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uoguelphca-my.sharepoint.com/personal/aolivo_uoguelph_ca/Documents/0_all_files_postdoc/1_projects/1_modeling_div_conv/Modeling/r_analysis/data/raw_data/2021/yield/"/>
    </mc:Choice>
  </mc:AlternateContent>
  <xr:revisionPtr revIDLastSave="3" documentId="13_ncr:1_{E9BA387C-9E79-5B47-95AE-CCA667FD21B4}" xr6:coauthVersionLast="47" xr6:coauthVersionMax="47" xr10:uidLastSave="{270DBBD6-9A39-4387-AD2E-5C153D0B72D6}"/>
  <bookViews>
    <workbookView xWindow="-120" yWindow="-120" windowWidth="29040" windowHeight="15720" firstSheet="3" activeTab="9" xr2:uid="{7D6D775C-34A1-834B-AEDE-FF63AADCBD38}"/>
  </bookViews>
  <sheets>
    <sheet name="Plant Sample Tracking" sheetId="1" r:id="rId1"/>
    <sheet name="Plant Sample IDs" sheetId="11" r:id="rId2"/>
    <sheet name="29-Jul-2020" sheetId="6" r:id="rId3"/>
    <sheet name="17-Sept-2020" sheetId="2" r:id="rId4"/>
    <sheet name="9 &amp;11-Nov-2020" sheetId="7" r:id="rId5"/>
    <sheet name="10-May-2021" sheetId="8" r:id="rId6"/>
    <sheet name="23-Jun-2021" sheetId="9" r:id="rId7"/>
    <sheet name="20&amp;21-Jul-2021" sheetId="10" r:id="rId8"/>
    <sheet name=" 2021 Harvest Corn! " sheetId="17" r:id="rId9"/>
    <sheet name="2021 Harevest CC" sheetId="16" r:id="rId10"/>
    <sheet name="Corn Growth Rate" sheetId="1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 i="16" l="1"/>
  <c r="R6" i="16"/>
  <c r="R5" i="16"/>
  <c r="AI50" i="17"/>
  <c r="AI49" i="17"/>
  <c r="AI48" i="17"/>
  <c r="AI47" i="17"/>
  <c r="AI46" i="17"/>
  <c r="AI45" i="17"/>
  <c r="AI44" i="17"/>
  <c r="AI43" i="17"/>
  <c r="AI42" i="17"/>
  <c r="AI41" i="17"/>
  <c r="AM6" i="17" s="1"/>
  <c r="AI40" i="17"/>
  <c r="AI39" i="17"/>
  <c r="AI38" i="17"/>
  <c r="AI37" i="17"/>
  <c r="AI36" i="17"/>
  <c r="AI35" i="17"/>
  <c r="AI34" i="17"/>
  <c r="AI33" i="17"/>
  <c r="AI32" i="17"/>
  <c r="AI31" i="17"/>
  <c r="AL5" i="17" s="1"/>
  <c r="AI30" i="17"/>
  <c r="AM5" i="17" s="1"/>
  <c r="AI29" i="17"/>
  <c r="AI28" i="17"/>
  <c r="AI27" i="17"/>
  <c r="AI26" i="17"/>
  <c r="AI25" i="17"/>
  <c r="AI24" i="17"/>
  <c r="AI23" i="17"/>
  <c r="AI22" i="17"/>
  <c r="AI21" i="17"/>
  <c r="AL4" i="17" s="1"/>
  <c r="AI20" i="17"/>
  <c r="AI19" i="17"/>
  <c r="AI18" i="17"/>
  <c r="AI17" i="17"/>
  <c r="AI16" i="17"/>
  <c r="AI15" i="17"/>
  <c r="AI14" i="17"/>
  <c r="AI13" i="17"/>
  <c r="AI12" i="17"/>
  <c r="AO3" i="17" s="1"/>
  <c r="AI11" i="17"/>
  <c r="AM3" i="17" s="1"/>
  <c r="AI10" i="17"/>
  <c r="AL3" i="17" s="1"/>
  <c r="AI9" i="17"/>
  <c r="AI8" i="17"/>
  <c r="AI7" i="17"/>
  <c r="AI6" i="17"/>
  <c r="AI5" i="17"/>
  <c r="AI4" i="17"/>
  <c r="AI3" i="17"/>
  <c r="Z3" i="17"/>
  <c r="Z4" i="17"/>
  <c r="Z5" i="17"/>
  <c r="Z6" i="17"/>
  <c r="Z7" i="17"/>
  <c r="AA7" i="17" s="1"/>
  <c r="Z8" i="17"/>
  <c r="Z9" i="17"/>
  <c r="AA9" i="17" s="1"/>
  <c r="Z10" i="17"/>
  <c r="AA10" i="17" s="1"/>
  <c r="Z11" i="17"/>
  <c r="AA11" i="17" s="1"/>
  <c r="Z12" i="17"/>
  <c r="AA12" i="17" s="1"/>
  <c r="Z13" i="17"/>
  <c r="Z14" i="17"/>
  <c r="Z15" i="17"/>
  <c r="AA15" i="17" s="1"/>
  <c r="Z16" i="17"/>
  <c r="Z17" i="17"/>
  <c r="AA17" i="17" s="1"/>
  <c r="Z18" i="17"/>
  <c r="Z19" i="17"/>
  <c r="AA19" i="17" s="1"/>
  <c r="Z20" i="17"/>
  <c r="AA20" i="17" s="1"/>
  <c r="Z21" i="17"/>
  <c r="AA21" i="17" s="1"/>
  <c r="Z22" i="17"/>
  <c r="AA22" i="17" s="1"/>
  <c r="Z23" i="17"/>
  <c r="Z24" i="17"/>
  <c r="Z25" i="17"/>
  <c r="Z26" i="17"/>
  <c r="Z27" i="17"/>
  <c r="AA27" i="17" s="1"/>
  <c r="Z28" i="17"/>
  <c r="Z29" i="17"/>
  <c r="AA29" i="17" s="1"/>
  <c r="Z30" i="17"/>
  <c r="AA30" i="17" s="1"/>
  <c r="Z31" i="17"/>
  <c r="AA31" i="17" s="1"/>
  <c r="Z32" i="17"/>
  <c r="AA32" i="17" s="1"/>
  <c r="Z33" i="17"/>
  <c r="Z34" i="17"/>
  <c r="Z35" i="17"/>
  <c r="Z36" i="17"/>
  <c r="Z37" i="17"/>
  <c r="AA37" i="17" s="1"/>
  <c r="Z38" i="17"/>
  <c r="Z39" i="17"/>
  <c r="AA39" i="17" s="1"/>
  <c r="Z40" i="17"/>
  <c r="AA40" i="17" s="1"/>
  <c r="Z41" i="17"/>
  <c r="AA41" i="17" s="1"/>
  <c r="Z42" i="17"/>
  <c r="AA42" i="17" s="1"/>
  <c r="Z43" i="17"/>
  <c r="Z44" i="17"/>
  <c r="Z45" i="17"/>
  <c r="Z46" i="17"/>
  <c r="Z47" i="17"/>
  <c r="AA47" i="17" s="1"/>
  <c r="Z48" i="17"/>
  <c r="Z49" i="17"/>
  <c r="AA49" i="17" s="1"/>
  <c r="Z50" i="17"/>
  <c r="AA50" i="17" s="1"/>
  <c r="AA3" i="17"/>
  <c r="AA4" i="17"/>
  <c r="AA5" i="17"/>
  <c r="AA6" i="17"/>
  <c r="AA8" i="17"/>
  <c r="AA13" i="17"/>
  <c r="AA14" i="17"/>
  <c r="AA16" i="17"/>
  <c r="AA18" i="17"/>
  <c r="AA23" i="17"/>
  <c r="AA24" i="17"/>
  <c r="AA25" i="17"/>
  <c r="AA26" i="17"/>
  <c r="AA28" i="17"/>
  <c r="AA33" i="17"/>
  <c r="AA34" i="17"/>
  <c r="AA35" i="17"/>
  <c r="AA36" i="17"/>
  <c r="AA38" i="17"/>
  <c r="AA43" i="17"/>
  <c r="AA44" i="17"/>
  <c r="AA45" i="17"/>
  <c r="AA46" i="17"/>
  <c r="AA48" i="17"/>
  <c r="AJ101" i="17"/>
  <c r="AJ100" i="17"/>
  <c r="AJ99" i="17"/>
  <c r="AJ98" i="17"/>
  <c r="AJ97" i="17"/>
  <c r="AJ96" i="17"/>
  <c r="AI101" i="17"/>
  <c r="AI100" i="17"/>
  <c r="AI99" i="17"/>
  <c r="AI98" i="17"/>
  <c r="AI97" i="17"/>
  <c r="AI96" i="17"/>
  <c r="AJ95" i="17"/>
  <c r="AI95" i="17"/>
  <c r="AJ94" i="17"/>
  <c r="AI94" i="17"/>
  <c r="W143" i="17"/>
  <c r="W142" i="17"/>
  <c r="X142" i="17" s="1"/>
  <c r="W141" i="17"/>
  <c r="W140" i="17"/>
  <c r="X140" i="17" s="1"/>
  <c r="W139" i="17"/>
  <c r="W138" i="17"/>
  <c r="W137" i="17"/>
  <c r="W136" i="17"/>
  <c r="X136" i="17" s="1"/>
  <c r="W135" i="17"/>
  <c r="W134" i="17"/>
  <c r="W133" i="17"/>
  <c r="W132" i="17"/>
  <c r="W128" i="17"/>
  <c r="W127" i="17"/>
  <c r="W126" i="17"/>
  <c r="W125" i="17"/>
  <c r="W124" i="17"/>
  <c r="W123" i="17"/>
  <c r="W122" i="17"/>
  <c r="W121" i="17"/>
  <c r="W120" i="17"/>
  <c r="W119" i="17"/>
  <c r="W118" i="17"/>
  <c r="W117" i="17"/>
  <c r="W116" i="17"/>
  <c r="W115" i="17"/>
  <c r="W114" i="17"/>
  <c r="W113" i="17"/>
  <c r="W112" i="17"/>
  <c r="W111" i="17"/>
  <c r="W110" i="17"/>
  <c r="W109" i="17"/>
  <c r="W108" i="17"/>
  <c r="W107" i="17"/>
  <c r="W106" i="17"/>
  <c r="W105" i="17"/>
  <c r="W104" i="17"/>
  <c r="W103" i="17"/>
  <c r="W102" i="17"/>
  <c r="W101" i="17"/>
  <c r="W100" i="17"/>
  <c r="W99" i="17"/>
  <c r="W98" i="17"/>
  <c r="W97" i="17"/>
  <c r="W96" i="17"/>
  <c r="W95" i="17"/>
  <c r="W94" i="17"/>
  <c r="W93" i="17"/>
  <c r="U132" i="17"/>
  <c r="T128" i="17"/>
  <c r="T127" i="17"/>
  <c r="T126" i="17"/>
  <c r="T125" i="17"/>
  <c r="T124" i="17"/>
  <c r="T123" i="17"/>
  <c r="T122" i="17"/>
  <c r="T121" i="17"/>
  <c r="T120" i="17"/>
  <c r="T119" i="17"/>
  <c r="T118" i="17"/>
  <c r="T117" i="17"/>
  <c r="T116" i="17"/>
  <c r="T115" i="17"/>
  <c r="T114" i="17"/>
  <c r="T113" i="17"/>
  <c r="T112" i="17"/>
  <c r="T111" i="17"/>
  <c r="T110" i="17"/>
  <c r="T109" i="17"/>
  <c r="T108" i="17"/>
  <c r="T107" i="17"/>
  <c r="T106" i="17"/>
  <c r="T105" i="17"/>
  <c r="T104" i="17"/>
  <c r="T103" i="17"/>
  <c r="T102" i="17"/>
  <c r="T101" i="17"/>
  <c r="T100" i="17"/>
  <c r="T99" i="17"/>
  <c r="T98" i="17"/>
  <c r="T97" i="17"/>
  <c r="T96" i="17"/>
  <c r="T95" i="17"/>
  <c r="T94" i="17"/>
  <c r="T93" i="17"/>
  <c r="S128" i="17"/>
  <c r="S127" i="17"/>
  <c r="S126" i="17"/>
  <c r="S125" i="17"/>
  <c r="S124" i="17"/>
  <c r="S123" i="17"/>
  <c r="S122" i="17"/>
  <c r="S121" i="17"/>
  <c r="S120" i="17"/>
  <c r="S119" i="17"/>
  <c r="S118" i="17"/>
  <c r="S117" i="17"/>
  <c r="S116" i="17"/>
  <c r="S115" i="17"/>
  <c r="S114" i="17"/>
  <c r="S113" i="17"/>
  <c r="S112" i="17"/>
  <c r="S111" i="17"/>
  <c r="S110" i="17"/>
  <c r="S109" i="17"/>
  <c r="S108" i="17"/>
  <c r="S107" i="17"/>
  <c r="S106" i="17"/>
  <c r="S105" i="17"/>
  <c r="S104" i="17"/>
  <c r="S103" i="17"/>
  <c r="S102" i="17"/>
  <c r="S101" i="17"/>
  <c r="S100" i="17"/>
  <c r="S99" i="17"/>
  <c r="S98" i="17"/>
  <c r="S97" i="17"/>
  <c r="S96" i="17"/>
  <c r="S95" i="17"/>
  <c r="S94" i="17"/>
  <c r="S93" i="17"/>
  <c r="AO6" i="17"/>
  <c r="AO5" i="17"/>
  <c r="AO4" i="17"/>
  <c r="AN6" i="17"/>
  <c r="AN5" i="17"/>
  <c r="AN4" i="17"/>
  <c r="AL6" i="17"/>
  <c r="X3" i="17"/>
  <c r="X4" i="17"/>
  <c r="X5" i="17"/>
  <c r="X6" i="17"/>
  <c r="X7" i="17"/>
  <c r="X8" i="17"/>
  <c r="X9" i="17"/>
  <c r="X10" i="17"/>
  <c r="X11" i="17"/>
  <c r="X12" i="17"/>
  <c r="X13" i="17"/>
  <c r="X14" i="17"/>
  <c r="X15" i="17"/>
  <c r="X16" i="17"/>
  <c r="X17" i="17"/>
  <c r="X18" i="17"/>
  <c r="X19" i="17"/>
  <c r="X20" i="17"/>
  <c r="X21" i="17"/>
  <c r="X22" i="17"/>
  <c r="X23" i="17"/>
  <c r="X24" i="17"/>
  <c r="X25" i="17"/>
  <c r="X26" i="17"/>
  <c r="X27" i="17"/>
  <c r="X28" i="17"/>
  <c r="X29" i="17"/>
  <c r="X30" i="17"/>
  <c r="X31" i="17"/>
  <c r="X32" i="17"/>
  <c r="X33" i="17"/>
  <c r="X34" i="17"/>
  <c r="X35" i="17"/>
  <c r="X36" i="17"/>
  <c r="X37" i="17"/>
  <c r="X38" i="17"/>
  <c r="X39" i="17"/>
  <c r="X40" i="17"/>
  <c r="X41" i="17"/>
  <c r="X42" i="17"/>
  <c r="X43" i="17"/>
  <c r="X44" i="17"/>
  <c r="X45" i="17"/>
  <c r="X46" i="17"/>
  <c r="X47" i="17"/>
  <c r="X48" i="17"/>
  <c r="X49" i="17"/>
  <c r="X50" i="17"/>
  <c r="V11" i="17"/>
  <c r="V12" i="17"/>
  <c r="W12" i="17" s="1"/>
  <c r="V13" i="17"/>
  <c r="V14" i="17"/>
  <c r="V21" i="17"/>
  <c r="V22" i="17"/>
  <c r="V24" i="17"/>
  <c r="V25" i="17"/>
  <c r="V26" i="17"/>
  <c r="V28" i="17"/>
  <c r="V30" i="17"/>
  <c r="V32" i="17"/>
  <c r="V36" i="17"/>
  <c r="V37" i="17"/>
  <c r="V38" i="17"/>
  <c r="V41" i="17"/>
  <c r="V42" i="17"/>
  <c r="V48" i="17"/>
  <c r="V49" i="17"/>
  <c r="V50" i="17"/>
  <c r="U47" i="17"/>
  <c r="U46" i="17"/>
  <c r="U45" i="17"/>
  <c r="U44" i="17"/>
  <c r="U43" i="17"/>
  <c r="U42" i="17"/>
  <c r="U41" i="17"/>
  <c r="U40" i="17"/>
  <c r="U39" i="17"/>
  <c r="U35" i="17"/>
  <c r="U34" i="17"/>
  <c r="V34" i="17" s="1"/>
  <c r="U33" i="17"/>
  <c r="U32" i="17"/>
  <c r="U31" i="17"/>
  <c r="U30" i="17"/>
  <c r="U29" i="17"/>
  <c r="U28" i="17"/>
  <c r="U27" i="17"/>
  <c r="T47" i="17"/>
  <c r="V47" i="17" s="1"/>
  <c r="T46" i="17"/>
  <c r="V46" i="17" s="1"/>
  <c r="T45" i="17"/>
  <c r="V45" i="17" s="1"/>
  <c r="T44" i="17"/>
  <c r="V44" i="17" s="1"/>
  <c r="T43" i="17"/>
  <c r="V43" i="17" s="1"/>
  <c r="T42" i="17"/>
  <c r="T41" i="17"/>
  <c r="T40" i="17"/>
  <c r="V40" i="17" s="1"/>
  <c r="T39" i="17"/>
  <c r="V39" i="17" s="1"/>
  <c r="T35" i="17"/>
  <c r="V35" i="17" s="1"/>
  <c r="T34" i="17"/>
  <c r="T33" i="17"/>
  <c r="V33" i="17" s="1"/>
  <c r="T32" i="17"/>
  <c r="T31" i="17"/>
  <c r="V31" i="17" s="1"/>
  <c r="T30" i="17"/>
  <c r="T29" i="17"/>
  <c r="V29" i="17" s="1"/>
  <c r="T28" i="17"/>
  <c r="T27" i="17"/>
  <c r="V27" i="17" s="1"/>
  <c r="T23" i="17"/>
  <c r="V23" i="17" s="1"/>
  <c r="T22" i="17"/>
  <c r="T21" i="17"/>
  <c r="T20" i="17"/>
  <c r="V20" i="17" s="1"/>
  <c r="T19" i="17"/>
  <c r="V19" i="17" s="1"/>
  <c r="T18" i="17"/>
  <c r="V18" i="17" s="1"/>
  <c r="T17" i="17"/>
  <c r="T16" i="17"/>
  <c r="V16" i="17" s="1"/>
  <c r="T15" i="17"/>
  <c r="V15" i="17" s="1"/>
  <c r="U23" i="17"/>
  <c r="U22" i="17"/>
  <c r="U21" i="17"/>
  <c r="U20" i="17"/>
  <c r="U19" i="17"/>
  <c r="U18" i="17"/>
  <c r="U17" i="17"/>
  <c r="V17" i="17" s="1"/>
  <c r="U16" i="17"/>
  <c r="U15" i="17"/>
  <c r="T11" i="17"/>
  <c r="T10" i="17"/>
  <c r="V10" i="17" s="1"/>
  <c r="T9" i="17"/>
  <c r="V9" i="17" s="1"/>
  <c r="T8" i="17"/>
  <c r="V8" i="17" s="1"/>
  <c r="T7" i="17"/>
  <c r="V7" i="17" s="1"/>
  <c r="T6" i="17"/>
  <c r="V6" i="17" s="1"/>
  <c r="U11" i="17"/>
  <c r="U7" i="17"/>
  <c r="U6" i="17"/>
  <c r="U5" i="17"/>
  <c r="U8" i="17"/>
  <c r="U9" i="17"/>
  <c r="U10" i="17"/>
  <c r="U4" i="17"/>
  <c r="U3" i="17"/>
  <c r="T5" i="17"/>
  <c r="V5" i="17" s="1"/>
  <c r="T4" i="17"/>
  <c r="V4" i="17" s="1"/>
  <c r="T3" i="17"/>
  <c r="V3" i="17" s="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V139" i="17"/>
  <c r="V138" i="17"/>
  <c r="U136" i="17"/>
  <c r="V143" i="17"/>
  <c r="V142" i="17"/>
  <c r="V141" i="17"/>
  <c r="V140" i="17"/>
  <c r="V137" i="17"/>
  <c r="V135" i="17"/>
  <c r="V133" i="17"/>
  <c r="V132" i="17"/>
  <c r="M140" i="17"/>
  <c r="M110" i="17"/>
  <c r="K93" i="17"/>
  <c r="M93" i="17" s="1"/>
  <c r="K94" i="17"/>
  <c r="M94" i="17" s="1"/>
  <c r="K95" i="17"/>
  <c r="M95" i="17" s="1"/>
  <c r="K96" i="17"/>
  <c r="M96" i="17" s="1"/>
  <c r="K97" i="17"/>
  <c r="M97" i="17" s="1"/>
  <c r="K98" i="17"/>
  <c r="M98" i="17" s="1"/>
  <c r="K99" i="17"/>
  <c r="M99" i="17" s="1"/>
  <c r="K100" i="17"/>
  <c r="M100" i="17" s="1"/>
  <c r="K101" i="17"/>
  <c r="M101" i="17" s="1"/>
  <c r="K102" i="17"/>
  <c r="M102" i="17" s="1"/>
  <c r="K103" i="17"/>
  <c r="M103" i="17" s="1"/>
  <c r="K104" i="17"/>
  <c r="M104" i="17" s="1"/>
  <c r="K105" i="17"/>
  <c r="M105" i="17" s="1"/>
  <c r="K106" i="17"/>
  <c r="M106" i="17" s="1"/>
  <c r="K107" i="17"/>
  <c r="M107" i="17" s="1"/>
  <c r="K108" i="17"/>
  <c r="M108" i="17" s="1"/>
  <c r="K109" i="17"/>
  <c r="M109" i="17" s="1"/>
  <c r="K110" i="17"/>
  <c r="K111" i="17"/>
  <c r="M111" i="17" s="1"/>
  <c r="K112" i="17"/>
  <c r="M112" i="17" s="1"/>
  <c r="K113" i="17"/>
  <c r="M113" i="17" s="1"/>
  <c r="K114" i="17"/>
  <c r="M114" i="17" s="1"/>
  <c r="K115" i="17"/>
  <c r="M115" i="17" s="1"/>
  <c r="K116" i="17"/>
  <c r="M116" i="17" s="1"/>
  <c r="K117" i="17"/>
  <c r="M117" i="17" s="1"/>
  <c r="K118" i="17"/>
  <c r="M118" i="17" s="1"/>
  <c r="K119" i="17"/>
  <c r="M119" i="17" s="1"/>
  <c r="K120" i="17"/>
  <c r="M120" i="17" s="1"/>
  <c r="K121" i="17"/>
  <c r="M121" i="17" s="1"/>
  <c r="K122" i="17"/>
  <c r="M122" i="17" s="1"/>
  <c r="K123" i="17"/>
  <c r="M123" i="17" s="1"/>
  <c r="K124" i="17"/>
  <c r="M124" i="17" s="1"/>
  <c r="K125" i="17"/>
  <c r="M125" i="17" s="1"/>
  <c r="K126" i="17"/>
  <c r="M126" i="17" s="1"/>
  <c r="K127" i="17"/>
  <c r="M127" i="17" s="1"/>
  <c r="K128" i="17"/>
  <c r="M128" i="17" s="1"/>
  <c r="K129" i="17"/>
  <c r="M129" i="17" s="1"/>
  <c r="K130" i="17"/>
  <c r="M130" i="17" s="1"/>
  <c r="K131" i="17"/>
  <c r="M131" i="17" s="1"/>
  <c r="K132" i="17"/>
  <c r="M132" i="17" s="1"/>
  <c r="K133" i="17"/>
  <c r="M133" i="17" s="1"/>
  <c r="K134" i="17"/>
  <c r="M134" i="17" s="1"/>
  <c r="K135" i="17"/>
  <c r="M135" i="17" s="1"/>
  <c r="K136" i="17"/>
  <c r="M136" i="17" s="1"/>
  <c r="K137" i="17"/>
  <c r="M137" i="17" s="1"/>
  <c r="K138" i="17"/>
  <c r="M138" i="17" s="1"/>
  <c r="K139" i="17"/>
  <c r="M139" i="17" s="1"/>
  <c r="K140" i="17"/>
  <c r="K141" i="17"/>
  <c r="M141" i="17" s="1"/>
  <c r="K142" i="17"/>
  <c r="M142" i="17" s="1"/>
  <c r="K143" i="17"/>
  <c r="M143" i="17" s="1"/>
  <c r="K144" i="17"/>
  <c r="M144" i="17" s="1"/>
  <c r="K145" i="17"/>
  <c r="M145" i="17" s="1"/>
  <c r="K146" i="17"/>
  <c r="M146" i="17" s="1"/>
  <c r="K147" i="17"/>
  <c r="M147" i="17" s="1"/>
  <c r="K148" i="17"/>
  <c r="M148" i="17" s="1"/>
  <c r="K149" i="17"/>
  <c r="M149" i="17" s="1"/>
  <c r="K150" i="17"/>
  <c r="M150" i="17" s="1"/>
  <c r="K151" i="17"/>
  <c r="M151" i="17" s="1"/>
  <c r="K152" i="17"/>
  <c r="M152" i="17" s="1"/>
  <c r="K153" i="17"/>
  <c r="M153" i="17" s="1"/>
  <c r="K154" i="17"/>
  <c r="M154" i="17" s="1"/>
  <c r="K155" i="17"/>
  <c r="M155" i="17" s="1"/>
  <c r="K156" i="17"/>
  <c r="M156" i="17" s="1"/>
  <c r="K157" i="17"/>
  <c r="M157" i="17" s="1"/>
  <c r="K158" i="17"/>
  <c r="M158" i="17" s="1"/>
  <c r="K159" i="17"/>
  <c r="M159" i="17" s="1"/>
  <c r="K160" i="17"/>
  <c r="M160" i="17" s="1"/>
  <c r="K161" i="17"/>
  <c r="M161" i="17" s="1"/>
  <c r="K162" i="17"/>
  <c r="M162" i="17" s="1"/>
  <c r="K163" i="17"/>
  <c r="M163" i="17" s="1"/>
  <c r="K164" i="17"/>
  <c r="M164" i="17" s="1"/>
  <c r="K165" i="17"/>
  <c r="M165" i="17" s="1"/>
  <c r="K166" i="17"/>
  <c r="M166" i="17" s="1"/>
  <c r="K167" i="17"/>
  <c r="M167" i="17" s="1"/>
  <c r="K168" i="17"/>
  <c r="M168" i="17" s="1"/>
  <c r="K169" i="17"/>
  <c r="M169" i="17" s="1"/>
  <c r="K170" i="17"/>
  <c r="M170" i="17" s="1"/>
  <c r="K171" i="17"/>
  <c r="M171" i="17" s="1"/>
  <c r="K172" i="17"/>
  <c r="M172" i="17" s="1"/>
  <c r="K173" i="17"/>
  <c r="M173" i="17" s="1"/>
  <c r="K174" i="17"/>
  <c r="M174" i="17" s="1"/>
  <c r="K175" i="17"/>
  <c r="M175" i="17" s="1"/>
  <c r="K176" i="17"/>
  <c r="M176" i="17" s="1"/>
  <c r="Y49" i="17"/>
  <c r="H10" i="18"/>
  <c r="H9" i="18"/>
  <c r="H8" i="18"/>
  <c r="H7" i="18"/>
  <c r="H6" i="18"/>
  <c r="H5" i="18"/>
  <c r="H4" i="18"/>
  <c r="H3" i="18"/>
  <c r="T16" i="9"/>
  <c r="T15" i="9"/>
  <c r="P5" i="9"/>
  <c r="P6" i="9"/>
  <c r="P7" i="9"/>
  <c r="P8" i="9"/>
  <c r="P9" i="9"/>
  <c r="P11" i="9"/>
  <c r="P12" i="9"/>
  <c r="P13" i="9"/>
  <c r="P14" i="9"/>
  <c r="P15" i="9"/>
  <c r="P16" i="9"/>
  <c r="P17" i="9"/>
  <c r="P19" i="9"/>
  <c r="P20" i="9"/>
  <c r="P21"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Z18" i="10"/>
  <c r="Z17" i="10"/>
  <c r="AX8" i="16"/>
  <c r="AX7" i="16"/>
  <c r="AX6" i="16"/>
  <c r="AX5" i="16"/>
  <c r="AW8" i="16"/>
  <c r="AW7" i="16"/>
  <c r="AW6" i="16"/>
  <c r="AW5" i="16"/>
  <c r="AV8" i="16"/>
  <c r="AV7" i="16"/>
  <c r="AV6" i="16"/>
  <c r="AV5" i="16"/>
  <c r="AO8" i="16"/>
  <c r="AO7" i="16"/>
  <c r="AO6" i="16"/>
  <c r="AO5" i="16"/>
  <c r="AN8" i="16"/>
  <c r="AN7" i="16"/>
  <c r="AN6" i="16"/>
  <c r="AN5" i="16"/>
  <c r="AM8" i="16"/>
  <c r="AM7" i="16"/>
  <c r="AM6" i="16"/>
  <c r="AM5" i="16"/>
  <c r="AH26" i="16"/>
  <c r="AH24" i="16"/>
  <c r="AH22" i="16"/>
  <c r="AH21" i="16"/>
  <c r="AH16" i="16"/>
  <c r="AH14" i="16"/>
  <c r="AH12" i="16"/>
  <c r="AH11" i="16"/>
  <c r="AH6" i="16"/>
  <c r="AG27" i="16"/>
  <c r="AG25" i="16"/>
  <c r="AG22" i="16"/>
  <c r="AG21" i="16"/>
  <c r="AG20" i="16"/>
  <c r="AG19" i="16"/>
  <c r="AG17" i="16"/>
  <c r="AG15" i="16"/>
  <c r="AG12" i="16"/>
  <c r="AG11" i="16"/>
  <c r="AG10" i="16"/>
  <c r="AG9" i="16"/>
  <c r="AG7" i="16"/>
  <c r="AF27" i="16"/>
  <c r="AF22" i="16"/>
  <c r="AF21" i="16"/>
  <c r="AF20" i="16"/>
  <c r="AF19" i="16"/>
  <c r="AF17" i="16"/>
  <c r="AF12" i="16"/>
  <c r="AF11" i="16"/>
  <c r="AF10" i="16"/>
  <c r="AF9" i="16"/>
  <c r="AF7" i="16"/>
  <c r="AG5" i="16"/>
  <c r="AE28" i="16"/>
  <c r="AH28" i="16" s="1"/>
  <c r="AE27" i="16"/>
  <c r="AH27" i="16" s="1"/>
  <c r="AE26" i="16"/>
  <c r="AQ8" i="16" s="1"/>
  <c r="AE25" i="16"/>
  <c r="AF25" i="16" s="1"/>
  <c r="AE24" i="16"/>
  <c r="AG24" i="16" s="1"/>
  <c r="AE23" i="16"/>
  <c r="AG23" i="16" s="1"/>
  <c r="AE22" i="16"/>
  <c r="AE21" i="16"/>
  <c r="AE20" i="16"/>
  <c r="AH20" i="16" s="1"/>
  <c r="AE19" i="16"/>
  <c r="AH19" i="16" s="1"/>
  <c r="AE18" i="16"/>
  <c r="AH18" i="16" s="1"/>
  <c r="AE17" i="16"/>
  <c r="AQ7" i="16" s="1"/>
  <c r="AE16" i="16"/>
  <c r="AF16" i="16" s="1"/>
  <c r="AE15" i="16"/>
  <c r="AF15" i="16" s="1"/>
  <c r="AE14" i="16"/>
  <c r="AG14" i="16" s="1"/>
  <c r="AE13" i="16"/>
  <c r="AG13" i="16" s="1"/>
  <c r="AE12" i="16"/>
  <c r="AE11" i="16"/>
  <c r="AE10" i="16"/>
  <c r="AH10" i="16" s="1"/>
  <c r="AE9" i="16"/>
  <c r="AH9" i="16" s="1"/>
  <c r="AE8" i="16"/>
  <c r="AH8" i="16" s="1"/>
  <c r="AE7" i="16"/>
  <c r="AH7" i="16" s="1"/>
  <c r="AE6" i="16"/>
  <c r="AF6" i="16" s="1"/>
  <c r="AE5" i="16"/>
  <c r="AF5" i="16" s="1"/>
  <c r="I5" i="16"/>
  <c r="AL22" i="7"/>
  <c r="AK22" i="7"/>
  <c r="AL6" i="7"/>
  <c r="AK6" i="7"/>
  <c r="AI30" i="7"/>
  <c r="AI29" i="7"/>
  <c r="AI28" i="7"/>
  <c r="AI27" i="7"/>
  <c r="AI26" i="7"/>
  <c r="AI25" i="7"/>
  <c r="AI24" i="7"/>
  <c r="AI23" i="7"/>
  <c r="AI22" i="7"/>
  <c r="AI14" i="7"/>
  <c r="AI13" i="7"/>
  <c r="AI12" i="7"/>
  <c r="AI11" i="7"/>
  <c r="AI10" i="7"/>
  <c r="AI9" i="7"/>
  <c r="AI8" i="7"/>
  <c r="AI7" i="7"/>
  <c r="AI6" i="7"/>
  <c r="Y34" i="6"/>
  <c r="X34" i="6"/>
  <c r="Y33" i="6"/>
  <c r="X33" i="6"/>
  <c r="V29" i="6"/>
  <c r="V28" i="6"/>
  <c r="V27" i="6"/>
  <c r="V26" i="6"/>
  <c r="V25" i="6"/>
  <c r="V24" i="6"/>
  <c r="V23" i="6"/>
  <c r="V22" i="6"/>
  <c r="W53" i="10"/>
  <c r="W52" i="10"/>
  <c r="W51" i="10"/>
  <c r="W50" i="10"/>
  <c r="W49" i="10"/>
  <c r="W48" i="10"/>
  <c r="W47" i="10"/>
  <c r="W46" i="10"/>
  <c r="W45" i="10"/>
  <c r="W44" i="10"/>
  <c r="W43" i="10"/>
  <c r="W42" i="10"/>
  <c r="W41" i="10"/>
  <c r="W40" i="10"/>
  <c r="W39" i="10"/>
  <c r="W38" i="10"/>
  <c r="W37" i="10"/>
  <c r="W36" i="10"/>
  <c r="W35" i="10"/>
  <c r="W34" i="10"/>
  <c r="W33" i="10"/>
  <c r="W32" i="10"/>
  <c r="W31" i="10"/>
  <c r="W30" i="10"/>
  <c r="W29" i="10"/>
  <c r="W28" i="10"/>
  <c r="W27" i="10"/>
  <c r="W26" i="10"/>
  <c r="W25" i="10"/>
  <c r="W24" i="10"/>
  <c r="W23" i="10"/>
  <c r="W22" i="10"/>
  <c r="W21" i="10"/>
  <c r="W20" i="10"/>
  <c r="W19" i="10"/>
  <c r="W18" i="10"/>
  <c r="W17" i="10"/>
  <c r="W16" i="10"/>
  <c r="W15" i="10"/>
  <c r="W14" i="10"/>
  <c r="W13" i="10"/>
  <c r="W12" i="10"/>
  <c r="W11" i="10"/>
  <c r="W10" i="10"/>
  <c r="W9" i="10"/>
  <c r="W8" i="10"/>
  <c r="W7" i="10"/>
  <c r="W6" i="10"/>
  <c r="V12" i="2"/>
  <c r="V11" i="2"/>
  <c r="U12" i="2"/>
  <c r="U11" i="2"/>
  <c r="V8" i="2"/>
  <c r="V7" i="2"/>
  <c r="U8" i="2"/>
  <c r="U7" i="2"/>
  <c r="M28" i="2"/>
  <c r="M27" i="2"/>
  <c r="M26" i="2"/>
  <c r="M25" i="2"/>
  <c r="M24" i="2"/>
  <c r="M23" i="2"/>
  <c r="M22" i="2"/>
  <c r="M21" i="2"/>
  <c r="M20" i="2"/>
  <c r="M14" i="2"/>
  <c r="M13" i="2"/>
  <c r="M12" i="2"/>
  <c r="M11" i="2"/>
  <c r="M10" i="2"/>
  <c r="M9" i="2"/>
  <c r="M8" i="2"/>
  <c r="M7" i="2"/>
  <c r="M6" i="2"/>
  <c r="O28" i="2"/>
  <c r="O27" i="2"/>
  <c r="O26" i="2"/>
  <c r="O25" i="2"/>
  <c r="O24" i="2"/>
  <c r="O23" i="2"/>
  <c r="O22" i="2"/>
  <c r="O21" i="2"/>
  <c r="O20" i="2"/>
  <c r="O14" i="2"/>
  <c r="O13" i="2"/>
  <c r="O12" i="2"/>
  <c r="O11" i="2"/>
  <c r="O10" i="2"/>
  <c r="O9" i="2"/>
  <c r="O8" i="2"/>
  <c r="O7" i="2"/>
  <c r="O6" i="2"/>
  <c r="V24" i="2"/>
  <c r="V23" i="2"/>
  <c r="U24" i="2"/>
  <c r="U23" i="2"/>
  <c r="V20" i="2"/>
  <c r="V19" i="2"/>
  <c r="U20" i="2"/>
  <c r="U19" i="2"/>
  <c r="O39" i="2"/>
  <c r="O40" i="2"/>
  <c r="O41" i="2"/>
  <c r="O42" i="2"/>
  <c r="O43" i="2"/>
  <c r="O44" i="2"/>
  <c r="O45" i="2"/>
  <c r="O46" i="2"/>
  <c r="O47" i="2"/>
  <c r="O48" i="2"/>
  <c r="O49" i="2"/>
  <c r="O50" i="2"/>
  <c r="O51" i="2"/>
  <c r="O52" i="2"/>
  <c r="O53" i="2"/>
  <c r="O54" i="2"/>
  <c r="O55" i="2"/>
  <c r="O56" i="2"/>
  <c r="AA13" i="10"/>
  <c r="AA12" i="10"/>
  <c r="AA11" i="10"/>
  <c r="AA10" i="10"/>
  <c r="AA9" i="10"/>
  <c r="AA8" i="10"/>
  <c r="AA7" i="10"/>
  <c r="AA6" i="10"/>
  <c r="Z13" i="10"/>
  <c r="Z12" i="10"/>
  <c r="Z11" i="10"/>
  <c r="Z10" i="10"/>
  <c r="Z9" i="10"/>
  <c r="Z8" i="10"/>
  <c r="Z7" i="10"/>
  <c r="Z6" i="10"/>
  <c r="V53" i="10"/>
  <c r="V52" i="10"/>
  <c r="V51" i="10"/>
  <c r="V50" i="10"/>
  <c r="V49" i="10"/>
  <c r="V48" i="10"/>
  <c r="V47" i="10"/>
  <c r="V46" i="10"/>
  <c r="V45" i="10"/>
  <c r="V44" i="10"/>
  <c r="V43" i="10"/>
  <c r="V42" i="10"/>
  <c r="V41" i="10"/>
  <c r="V40" i="10"/>
  <c r="V39" i="10"/>
  <c r="V38" i="10"/>
  <c r="V37" i="10"/>
  <c r="V36" i="10"/>
  <c r="V35" i="10"/>
  <c r="V34" i="10"/>
  <c r="V33" i="10"/>
  <c r="V32" i="10"/>
  <c r="V31" i="10"/>
  <c r="V30" i="10"/>
  <c r="V29" i="10"/>
  <c r="V28" i="10"/>
  <c r="V27" i="10"/>
  <c r="V26" i="10"/>
  <c r="V25" i="10"/>
  <c r="V24" i="10"/>
  <c r="V23" i="10"/>
  <c r="V22" i="10"/>
  <c r="V21" i="10"/>
  <c r="V20" i="10"/>
  <c r="V19" i="10"/>
  <c r="V18" i="10"/>
  <c r="V17" i="10"/>
  <c r="V16" i="10"/>
  <c r="V15" i="10"/>
  <c r="V14" i="10"/>
  <c r="V13" i="10"/>
  <c r="V12" i="10"/>
  <c r="V11" i="10"/>
  <c r="V10" i="10"/>
  <c r="V9" i="10"/>
  <c r="V8" i="10"/>
  <c r="V7" i="10"/>
  <c r="V6" i="10"/>
  <c r="N43" i="16"/>
  <c r="O43" i="16" s="1"/>
  <c r="N25" i="16"/>
  <c r="O25" i="16" s="1"/>
  <c r="N15" i="16"/>
  <c r="O15" i="16" s="1"/>
  <c r="R6" i="8"/>
  <c r="Q6" i="8"/>
  <c r="M6" i="8"/>
  <c r="M7" i="8"/>
  <c r="M8" i="8"/>
  <c r="M9" i="8"/>
  <c r="M10" i="8"/>
  <c r="M11" i="8"/>
  <c r="M12" i="8"/>
  <c r="M13" i="8"/>
  <c r="M14" i="8"/>
  <c r="X139" i="17"/>
  <c r="U143" i="17"/>
  <c r="U142" i="17"/>
  <c r="U141" i="17"/>
  <c r="U140" i="17"/>
  <c r="U139" i="17"/>
  <c r="U138" i="17"/>
  <c r="U137" i="17"/>
  <c r="U133" i="17"/>
  <c r="W13" i="17"/>
  <c r="W14" i="17"/>
  <c r="W36" i="17"/>
  <c r="W37" i="17"/>
  <c r="W38" i="17"/>
  <c r="W49" i="17"/>
  <c r="W50" i="17"/>
  <c r="W48" i="17"/>
  <c r="W26" i="17"/>
  <c r="W25" i="17"/>
  <c r="W24" i="17"/>
  <c r="L81" i="16"/>
  <c r="N81" i="16" s="1"/>
  <c r="L76" i="16"/>
  <c r="N76" i="16" s="1"/>
  <c r="O76" i="16" s="1"/>
  <c r="L71" i="16"/>
  <c r="N71" i="16" s="1"/>
  <c r="L60" i="16"/>
  <c r="N60" i="16" s="1"/>
  <c r="O60" i="16" s="1"/>
  <c r="L27" i="16"/>
  <c r="M27" i="16" s="1"/>
  <c r="L25" i="16"/>
  <c r="M25" i="16" s="1"/>
  <c r="L24" i="16"/>
  <c r="N24" i="16" s="1"/>
  <c r="O24" i="16" s="1"/>
  <c r="L22" i="16"/>
  <c r="N22" i="16" s="1"/>
  <c r="O22" i="16" s="1"/>
  <c r="L19" i="16"/>
  <c r="M19" i="16" s="1"/>
  <c r="L17" i="16"/>
  <c r="M17" i="16" s="1"/>
  <c r="L15" i="16"/>
  <c r="M15" i="16" s="1"/>
  <c r="L14" i="16"/>
  <c r="N14" i="16" s="1"/>
  <c r="L12" i="16"/>
  <c r="N12" i="16" s="1"/>
  <c r="O12" i="16" s="1"/>
  <c r="L9" i="16"/>
  <c r="M9" i="16" s="1"/>
  <c r="L7" i="16"/>
  <c r="M7" i="16" s="1"/>
  <c r="L54" i="16"/>
  <c r="N54" i="16" s="1"/>
  <c r="L45" i="16"/>
  <c r="M45" i="16" s="1"/>
  <c r="L43" i="16"/>
  <c r="M43" i="16" s="1"/>
  <c r="L37" i="16"/>
  <c r="N37" i="16" s="1"/>
  <c r="O37" i="16" s="1"/>
  <c r="K27" i="16"/>
  <c r="J27" i="16"/>
  <c r="J25" i="16"/>
  <c r="K25" i="16" s="1"/>
  <c r="J22" i="16"/>
  <c r="K22" i="16" s="1"/>
  <c r="J20" i="16"/>
  <c r="K20" i="16" s="1"/>
  <c r="J17" i="16"/>
  <c r="K17" i="16" s="1"/>
  <c r="J15" i="16"/>
  <c r="K15" i="16" s="1"/>
  <c r="J12" i="16"/>
  <c r="K12" i="16" s="1"/>
  <c r="J10" i="16"/>
  <c r="K10" i="16" s="1"/>
  <c r="J7" i="16"/>
  <c r="K7" i="16" s="1"/>
  <c r="U53" i="10"/>
  <c r="U52" i="10"/>
  <c r="U51" i="10"/>
  <c r="U50" i="10"/>
  <c r="U49" i="10"/>
  <c r="U48" i="10"/>
  <c r="U47" i="10"/>
  <c r="U46" i="10"/>
  <c r="U45" i="10"/>
  <c r="U44" i="10"/>
  <c r="U43" i="10"/>
  <c r="U42" i="10"/>
  <c r="U41" i="10"/>
  <c r="U40" i="10"/>
  <c r="U39" i="10"/>
  <c r="U38" i="10"/>
  <c r="U37" i="10"/>
  <c r="U36" i="10"/>
  <c r="U35" i="10"/>
  <c r="U34" i="10"/>
  <c r="U33" i="10"/>
  <c r="U32" i="10"/>
  <c r="U31" i="10"/>
  <c r="U30" i="10"/>
  <c r="U29" i="10"/>
  <c r="U28" i="10"/>
  <c r="U27" i="10"/>
  <c r="U26" i="10"/>
  <c r="U25" i="10"/>
  <c r="U24" i="10"/>
  <c r="U23" i="10"/>
  <c r="U22" i="10"/>
  <c r="U21" i="10"/>
  <c r="U20" i="10"/>
  <c r="U19" i="10"/>
  <c r="U18" i="10"/>
  <c r="U17" i="10"/>
  <c r="U16" i="10"/>
  <c r="U15" i="10"/>
  <c r="U14" i="10"/>
  <c r="U13" i="10"/>
  <c r="U12" i="10"/>
  <c r="U11" i="10"/>
  <c r="U10" i="10"/>
  <c r="U9" i="10"/>
  <c r="U8" i="10"/>
  <c r="U7" i="10"/>
  <c r="U6" i="10"/>
  <c r="T53" i="10"/>
  <c r="T52" i="10"/>
  <c r="T51" i="10"/>
  <c r="T50" i="10"/>
  <c r="T49" i="10"/>
  <c r="T48" i="10"/>
  <c r="T47" i="10"/>
  <c r="T46" i="10"/>
  <c r="T45" i="10"/>
  <c r="T44" i="10"/>
  <c r="T43" i="10"/>
  <c r="T42" i="10"/>
  <c r="T41" i="10"/>
  <c r="T40" i="10"/>
  <c r="T39" i="10"/>
  <c r="T38" i="10"/>
  <c r="T37" i="10"/>
  <c r="T36" i="10"/>
  <c r="T35" i="10"/>
  <c r="T34" i="10"/>
  <c r="T33" i="10"/>
  <c r="T32" i="10"/>
  <c r="T31" i="10"/>
  <c r="T30" i="10"/>
  <c r="T29" i="10"/>
  <c r="T28" i="10"/>
  <c r="T27" i="10"/>
  <c r="T26" i="10"/>
  <c r="T25" i="10"/>
  <c r="T24" i="10"/>
  <c r="T23" i="10"/>
  <c r="T22" i="10"/>
  <c r="T21" i="10"/>
  <c r="T20" i="10"/>
  <c r="T19" i="10"/>
  <c r="T18" i="10"/>
  <c r="T17" i="10"/>
  <c r="T16" i="10"/>
  <c r="T15" i="10"/>
  <c r="T14" i="10"/>
  <c r="T13" i="10"/>
  <c r="T12" i="10"/>
  <c r="T11" i="10"/>
  <c r="T10" i="10"/>
  <c r="T9" i="10"/>
  <c r="T8" i="10"/>
  <c r="T7" i="10"/>
  <c r="T6" i="10"/>
  <c r="S53" i="10"/>
  <c r="S52" i="10"/>
  <c r="S51" i="10"/>
  <c r="S50" i="10"/>
  <c r="S49" i="10"/>
  <c r="S48" i="10"/>
  <c r="S47" i="10"/>
  <c r="S46" i="10"/>
  <c r="S45" i="10"/>
  <c r="S44" i="10"/>
  <c r="S43" i="10"/>
  <c r="S42" i="10"/>
  <c r="S41" i="10"/>
  <c r="S40" i="10"/>
  <c r="S39" i="10"/>
  <c r="S38" i="10"/>
  <c r="S37" i="10"/>
  <c r="S36" i="10"/>
  <c r="S35" i="10"/>
  <c r="S34" i="10"/>
  <c r="S33" i="10"/>
  <c r="S32" i="10"/>
  <c r="S31" i="10"/>
  <c r="S30" i="10"/>
  <c r="S29" i="10"/>
  <c r="S28" i="10"/>
  <c r="S27" i="10"/>
  <c r="S26" i="10"/>
  <c r="S25" i="10"/>
  <c r="S24" i="10"/>
  <c r="S23" i="10"/>
  <c r="S22" i="10"/>
  <c r="S21" i="10"/>
  <c r="S20" i="10"/>
  <c r="S19" i="10"/>
  <c r="S18" i="10"/>
  <c r="S17" i="10"/>
  <c r="S16" i="10"/>
  <c r="S15" i="10"/>
  <c r="S14" i="10"/>
  <c r="S13" i="10"/>
  <c r="S12" i="10"/>
  <c r="S11" i="10"/>
  <c r="S10" i="10"/>
  <c r="S9" i="10"/>
  <c r="S8" i="10"/>
  <c r="S7" i="10"/>
  <c r="S6" i="10"/>
  <c r="R50" i="10"/>
  <c r="R49" i="10"/>
  <c r="R48" i="10"/>
  <c r="R47" i="10"/>
  <c r="R46" i="10"/>
  <c r="R45" i="10"/>
  <c r="R44" i="10"/>
  <c r="R43" i="10"/>
  <c r="R42" i="10"/>
  <c r="R38" i="10"/>
  <c r="R37" i="10"/>
  <c r="R36" i="10"/>
  <c r="R35" i="10"/>
  <c r="R34" i="10"/>
  <c r="R33" i="10"/>
  <c r="R32" i="10"/>
  <c r="R31" i="10"/>
  <c r="R30" i="10"/>
  <c r="R26" i="10"/>
  <c r="R25" i="10"/>
  <c r="R24" i="10"/>
  <c r="R23" i="10"/>
  <c r="R22" i="10"/>
  <c r="R21" i="10"/>
  <c r="R20" i="10"/>
  <c r="R19" i="10"/>
  <c r="R18" i="10"/>
  <c r="R14" i="10"/>
  <c r="R13" i="10"/>
  <c r="R12" i="10"/>
  <c r="R11" i="10"/>
  <c r="R10" i="10"/>
  <c r="R9" i="10"/>
  <c r="R8" i="10"/>
  <c r="R7" i="10"/>
  <c r="R6" i="10"/>
  <c r="Q50" i="10"/>
  <c r="Q49" i="10"/>
  <c r="Q48" i="10"/>
  <c r="Q47" i="10"/>
  <c r="Q46" i="10"/>
  <c r="Q45" i="10"/>
  <c r="Q44" i="10"/>
  <c r="Q43" i="10"/>
  <c r="Q42" i="10"/>
  <c r="Q38" i="10"/>
  <c r="Q37" i="10"/>
  <c r="Q36" i="10"/>
  <c r="Q35" i="10"/>
  <c r="Q34" i="10"/>
  <c r="Q33" i="10"/>
  <c r="Q32" i="10"/>
  <c r="Q31" i="10"/>
  <c r="Q30" i="10"/>
  <c r="Q26" i="10"/>
  <c r="Q25" i="10"/>
  <c r="Q24" i="10"/>
  <c r="Q23" i="10"/>
  <c r="Q22" i="10"/>
  <c r="Q21" i="10"/>
  <c r="Q20" i="10"/>
  <c r="Q19" i="10"/>
  <c r="Q18" i="10"/>
  <c r="Q14" i="10"/>
  <c r="Q13" i="10"/>
  <c r="Q12" i="10"/>
  <c r="Q11" i="10"/>
  <c r="Q10" i="10"/>
  <c r="Q9" i="10"/>
  <c r="Q8" i="10"/>
  <c r="Q7" i="10"/>
  <c r="Q6" i="10"/>
  <c r="M5" i="9"/>
  <c r="N5" i="9" s="1"/>
  <c r="O5" i="9" s="1"/>
  <c r="S5" i="9" s="1"/>
  <c r="M6" i="9"/>
  <c r="N6" i="9" s="1"/>
  <c r="O6" i="9" s="1"/>
  <c r="M7" i="9"/>
  <c r="N7" i="9" s="1"/>
  <c r="O7" i="9" s="1"/>
  <c r="M8" i="9"/>
  <c r="N8" i="9" s="1"/>
  <c r="O8" i="9" s="1"/>
  <c r="M9" i="9"/>
  <c r="N9" i="9" s="1"/>
  <c r="O9" i="9" s="1"/>
  <c r="M11" i="9"/>
  <c r="N11" i="9" s="1"/>
  <c r="O11" i="9" s="1"/>
  <c r="M12" i="9"/>
  <c r="N12" i="9" s="1"/>
  <c r="O12" i="9" s="1"/>
  <c r="M13" i="9"/>
  <c r="N13" i="9" s="1"/>
  <c r="O13" i="9" s="1"/>
  <c r="T5" i="9" s="1"/>
  <c r="M14" i="9"/>
  <c r="N14" i="9" s="1"/>
  <c r="O14" i="9" s="1"/>
  <c r="T6" i="9" s="1"/>
  <c r="M15" i="9"/>
  <c r="N15" i="9" s="1"/>
  <c r="O15" i="9" s="1"/>
  <c r="M16" i="9"/>
  <c r="N16" i="9" s="1"/>
  <c r="O16" i="9" s="1"/>
  <c r="M17" i="9"/>
  <c r="N17" i="9" s="1"/>
  <c r="O17" i="9" s="1"/>
  <c r="T7" i="9" s="1"/>
  <c r="M19" i="9"/>
  <c r="N19" i="9" s="1"/>
  <c r="O19" i="9" s="1"/>
  <c r="M20" i="9"/>
  <c r="N20" i="9" s="1"/>
  <c r="O20" i="9" s="1"/>
  <c r="M21" i="9"/>
  <c r="N21" i="9" s="1"/>
  <c r="O21" i="9" s="1"/>
  <c r="M23" i="9"/>
  <c r="N23" i="9" s="1"/>
  <c r="O23" i="9" s="1"/>
  <c r="M24" i="9"/>
  <c r="N24" i="9" s="1"/>
  <c r="O24" i="9" s="1"/>
  <c r="M25" i="9"/>
  <c r="N25" i="9" s="1"/>
  <c r="O25" i="9" s="1"/>
  <c r="M26" i="9"/>
  <c r="N26" i="9" s="1"/>
  <c r="O26" i="9" s="1"/>
  <c r="T8" i="9" s="1"/>
  <c r="M27" i="9"/>
  <c r="N27" i="9" s="1"/>
  <c r="O27" i="9" s="1"/>
  <c r="M28" i="9"/>
  <c r="N28" i="9" s="1"/>
  <c r="O28" i="9" s="1"/>
  <c r="M29" i="9"/>
  <c r="N29" i="9" s="1"/>
  <c r="O29" i="9" s="1"/>
  <c r="M30" i="9"/>
  <c r="N30" i="9" s="1"/>
  <c r="O30" i="9" s="1"/>
  <c r="M31" i="9"/>
  <c r="N31" i="9" s="1"/>
  <c r="O31" i="9" s="1"/>
  <c r="M32" i="9"/>
  <c r="N32" i="9" s="1"/>
  <c r="O32" i="9" s="1"/>
  <c r="M33" i="9"/>
  <c r="N33" i="9" s="1"/>
  <c r="O33" i="9" s="1"/>
  <c r="M34" i="9"/>
  <c r="N34" i="9" s="1"/>
  <c r="O34" i="9" s="1"/>
  <c r="M35" i="9"/>
  <c r="N35" i="9" s="1"/>
  <c r="O35" i="9" s="1"/>
  <c r="M36" i="9"/>
  <c r="N36" i="9" s="1"/>
  <c r="O36" i="9" s="1"/>
  <c r="M37" i="9"/>
  <c r="N37" i="9" s="1"/>
  <c r="O37" i="9" s="1"/>
  <c r="M38" i="9"/>
  <c r="N38" i="9" s="1"/>
  <c r="O38" i="9" s="1"/>
  <c r="T10" i="9" s="1"/>
  <c r="M39" i="9"/>
  <c r="N39" i="9" s="1"/>
  <c r="O39" i="9" s="1"/>
  <c r="M40" i="9"/>
  <c r="N40" i="9" s="1"/>
  <c r="O40" i="9" s="1"/>
  <c r="M41" i="9"/>
  <c r="N41" i="9" s="1"/>
  <c r="O41" i="9" s="1"/>
  <c r="T11" i="9" s="1"/>
  <c r="M42" i="9"/>
  <c r="N42" i="9" s="1"/>
  <c r="O42" i="9" s="1"/>
  <c r="M43" i="9"/>
  <c r="N43" i="9" s="1"/>
  <c r="O43" i="9" s="1"/>
  <c r="M44" i="9"/>
  <c r="N44" i="9" s="1"/>
  <c r="O44" i="9" s="1"/>
  <c r="M45" i="9"/>
  <c r="N45" i="9" s="1"/>
  <c r="O45" i="9" s="1"/>
  <c r="M46" i="9"/>
  <c r="N46" i="9" s="1"/>
  <c r="O46" i="9" s="1"/>
  <c r="M47" i="9"/>
  <c r="N47" i="9" s="1"/>
  <c r="O47" i="9" s="1"/>
  <c r="M48" i="9"/>
  <c r="N48" i="9" s="1"/>
  <c r="O48" i="9" s="1"/>
  <c r="M49" i="9"/>
  <c r="N49" i="9" s="1"/>
  <c r="O49" i="9" s="1"/>
  <c r="M50" i="9"/>
  <c r="N50" i="9" s="1"/>
  <c r="O50" i="9" s="1"/>
  <c r="T12" i="9" s="1"/>
  <c r="M51" i="9"/>
  <c r="N51" i="9" s="1"/>
  <c r="O51" i="9" s="1"/>
  <c r="M52" i="9"/>
  <c r="N52" i="9" s="1"/>
  <c r="O52" i="9" s="1"/>
  <c r="K6" i="8"/>
  <c r="I28" i="16"/>
  <c r="L28" i="16" s="1"/>
  <c r="I27" i="16"/>
  <c r="I26" i="16"/>
  <c r="L26" i="16" s="1"/>
  <c r="I25" i="16"/>
  <c r="I24" i="16"/>
  <c r="I23" i="16"/>
  <c r="L23" i="16" s="1"/>
  <c r="I22" i="16"/>
  <c r="I21" i="16"/>
  <c r="L21" i="16" s="1"/>
  <c r="I20" i="16"/>
  <c r="L20" i="16" s="1"/>
  <c r="I19" i="16"/>
  <c r="I18" i="16"/>
  <c r="L18" i="16" s="1"/>
  <c r="I17" i="16"/>
  <c r="I16" i="16"/>
  <c r="L16" i="16" s="1"/>
  <c r="I15" i="16"/>
  <c r="I14" i="16"/>
  <c r="I13" i="16"/>
  <c r="L13" i="16" s="1"/>
  <c r="I12" i="16"/>
  <c r="I11" i="16"/>
  <c r="L11" i="16" s="1"/>
  <c r="I10" i="16"/>
  <c r="L10" i="16" s="1"/>
  <c r="I9" i="16"/>
  <c r="I8" i="16"/>
  <c r="L8" i="16" s="1"/>
  <c r="I7" i="16"/>
  <c r="I6" i="16"/>
  <c r="L6" i="16" s="1"/>
  <c r="G28" i="16"/>
  <c r="J28" i="16" s="1"/>
  <c r="K28" i="16" s="1"/>
  <c r="G27" i="16"/>
  <c r="G26" i="16"/>
  <c r="J26" i="16" s="1"/>
  <c r="K26" i="16" s="1"/>
  <c r="G25" i="16"/>
  <c r="G24" i="16"/>
  <c r="J24" i="16" s="1"/>
  <c r="K24" i="16" s="1"/>
  <c r="G23" i="16"/>
  <c r="G22" i="16"/>
  <c r="G21" i="16"/>
  <c r="J21" i="16" s="1"/>
  <c r="K21" i="16" s="1"/>
  <c r="G20" i="16"/>
  <c r="G19" i="16"/>
  <c r="J19" i="16" s="1"/>
  <c r="K19" i="16" s="1"/>
  <c r="G18" i="16"/>
  <c r="J18" i="16" s="1"/>
  <c r="K18" i="16" s="1"/>
  <c r="G17" i="16"/>
  <c r="G16" i="16"/>
  <c r="J16" i="16" s="1"/>
  <c r="K16" i="16" s="1"/>
  <c r="G15" i="16"/>
  <c r="G14" i="16"/>
  <c r="J14" i="16" s="1"/>
  <c r="K14" i="16" s="1"/>
  <c r="G13" i="16"/>
  <c r="G12" i="16"/>
  <c r="G11" i="16"/>
  <c r="J11" i="16" s="1"/>
  <c r="K11" i="16" s="1"/>
  <c r="G10" i="16"/>
  <c r="G9" i="16"/>
  <c r="J9" i="16" s="1"/>
  <c r="K9" i="16" s="1"/>
  <c r="G8" i="16"/>
  <c r="J8" i="16" s="1"/>
  <c r="K8" i="16" s="1"/>
  <c r="G7" i="16"/>
  <c r="G6" i="16"/>
  <c r="J6" i="16" s="1"/>
  <c r="K6" i="16" s="1"/>
  <c r="G5" i="16"/>
  <c r="I55" i="16"/>
  <c r="J55" i="16" s="1"/>
  <c r="K55" i="16" s="1"/>
  <c r="I54" i="16"/>
  <c r="I52" i="16"/>
  <c r="L52" i="16" s="1"/>
  <c r="I51" i="16"/>
  <c r="L51" i="16" s="1"/>
  <c r="I50" i="16"/>
  <c r="L50" i="16" s="1"/>
  <c r="I48" i="16"/>
  <c r="J48" i="16" s="1"/>
  <c r="K48" i="16" s="1"/>
  <c r="I45" i="16"/>
  <c r="I43" i="16"/>
  <c r="I42" i="16"/>
  <c r="J42" i="16" s="1"/>
  <c r="K42" i="16" s="1"/>
  <c r="I41" i="16"/>
  <c r="L41" i="16" s="1"/>
  <c r="I40" i="16"/>
  <c r="J40" i="16" s="1"/>
  <c r="K40" i="16" s="1"/>
  <c r="I37" i="16"/>
  <c r="I34" i="16"/>
  <c r="L34" i="16" s="1"/>
  <c r="I33" i="16"/>
  <c r="L33" i="16" s="1"/>
  <c r="G55" i="16"/>
  <c r="G54" i="16"/>
  <c r="J54" i="16" s="1"/>
  <c r="K54" i="16" s="1"/>
  <c r="G52" i="16"/>
  <c r="G51" i="16"/>
  <c r="G50" i="16"/>
  <c r="J50" i="16" s="1"/>
  <c r="K50" i="16" s="1"/>
  <c r="G48" i="16"/>
  <c r="G45" i="16"/>
  <c r="J45" i="16" s="1"/>
  <c r="K45" i="16" s="1"/>
  <c r="G43" i="16"/>
  <c r="J43" i="16" s="1"/>
  <c r="K43" i="16" s="1"/>
  <c r="G42" i="16"/>
  <c r="G41" i="16"/>
  <c r="J41" i="16" s="1"/>
  <c r="K41" i="16" s="1"/>
  <c r="G40" i="16"/>
  <c r="G37" i="16"/>
  <c r="J37" i="16" s="1"/>
  <c r="K37" i="16" s="1"/>
  <c r="G34" i="16"/>
  <c r="G33" i="16"/>
  <c r="I82" i="16"/>
  <c r="L82" i="16" s="1"/>
  <c r="I81" i="16"/>
  <c r="I77" i="16"/>
  <c r="L77" i="16" s="1"/>
  <c r="I76" i="16"/>
  <c r="I73" i="16"/>
  <c r="L73" i="16" s="1"/>
  <c r="I72" i="16"/>
  <c r="L72" i="16" s="1"/>
  <c r="I71" i="16"/>
  <c r="I67" i="16"/>
  <c r="L67" i="16" s="1"/>
  <c r="I61" i="16"/>
  <c r="L61" i="16" s="1"/>
  <c r="I60" i="16"/>
  <c r="I59" i="16"/>
  <c r="L59" i="16" s="1"/>
  <c r="G82" i="16"/>
  <c r="J82" i="16" s="1"/>
  <c r="K82" i="16" s="1"/>
  <c r="G81" i="16"/>
  <c r="J81" i="16" s="1"/>
  <c r="K81" i="16" s="1"/>
  <c r="G77" i="16"/>
  <c r="G76" i="16"/>
  <c r="J76" i="16" s="1"/>
  <c r="K76" i="16" s="1"/>
  <c r="G73" i="16"/>
  <c r="J73" i="16" s="1"/>
  <c r="K73" i="16" s="1"/>
  <c r="G72" i="16"/>
  <c r="J72" i="16" s="1"/>
  <c r="K72" i="16" s="1"/>
  <c r="G71" i="16"/>
  <c r="J71" i="16" s="1"/>
  <c r="K71" i="16" s="1"/>
  <c r="G67" i="16"/>
  <c r="G61" i="16"/>
  <c r="J61" i="16" s="1"/>
  <c r="K61" i="16" s="1"/>
  <c r="G60" i="16"/>
  <c r="J60" i="16" s="1"/>
  <c r="K60" i="16" s="1"/>
  <c r="G59" i="16"/>
  <c r="J59" i="16" s="1"/>
  <c r="K59" i="16" s="1"/>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H5" i="9"/>
  <c r="L5" i="9" s="1"/>
  <c r="H6" i="9"/>
  <c r="L6" i="9" s="1"/>
  <c r="H7" i="9"/>
  <c r="L7" i="9" s="1"/>
  <c r="H8" i="9"/>
  <c r="L8" i="9" s="1"/>
  <c r="H9" i="9"/>
  <c r="L9" i="9" s="1"/>
  <c r="H10" i="9"/>
  <c r="H11" i="9"/>
  <c r="L11" i="9" s="1"/>
  <c r="H12" i="9"/>
  <c r="L12" i="9" s="1"/>
  <c r="H13" i="9"/>
  <c r="L13" i="9" s="1"/>
  <c r="H14" i="9"/>
  <c r="L14" i="9" s="1"/>
  <c r="H15" i="9"/>
  <c r="L15" i="9" s="1"/>
  <c r="H16" i="9"/>
  <c r="L16" i="9" s="1"/>
  <c r="H17" i="9"/>
  <c r="L17" i="9" s="1"/>
  <c r="H18" i="9"/>
  <c r="H19" i="9"/>
  <c r="L19" i="9" s="1"/>
  <c r="H20" i="9"/>
  <c r="L20" i="9" s="1"/>
  <c r="H21" i="9"/>
  <c r="L21" i="9" s="1"/>
  <c r="H22" i="9"/>
  <c r="H23" i="9"/>
  <c r="L23" i="9" s="1"/>
  <c r="H24" i="9"/>
  <c r="L24" i="9" s="1"/>
  <c r="H25" i="9"/>
  <c r="L25" i="9" s="1"/>
  <c r="H26" i="9"/>
  <c r="L26" i="9" s="1"/>
  <c r="H27" i="9"/>
  <c r="L27" i="9" s="1"/>
  <c r="H28" i="9"/>
  <c r="L28" i="9" s="1"/>
  <c r="H29" i="9"/>
  <c r="L29" i="9" s="1"/>
  <c r="H30" i="9"/>
  <c r="L30" i="9" s="1"/>
  <c r="H31" i="9"/>
  <c r="L31" i="9" s="1"/>
  <c r="H32" i="9"/>
  <c r="L32" i="9" s="1"/>
  <c r="H33" i="9"/>
  <c r="L33" i="9" s="1"/>
  <c r="H34" i="9"/>
  <c r="L34" i="9" s="1"/>
  <c r="H35" i="9"/>
  <c r="L35" i="9" s="1"/>
  <c r="H36" i="9"/>
  <c r="L36" i="9" s="1"/>
  <c r="H37" i="9"/>
  <c r="L37" i="9" s="1"/>
  <c r="H38" i="9"/>
  <c r="L38" i="9" s="1"/>
  <c r="H39" i="9"/>
  <c r="L39" i="9" s="1"/>
  <c r="H40" i="9"/>
  <c r="L40" i="9" s="1"/>
  <c r="H41" i="9"/>
  <c r="L41" i="9" s="1"/>
  <c r="H42" i="9"/>
  <c r="L42" i="9" s="1"/>
  <c r="H43" i="9"/>
  <c r="L43" i="9" s="1"/>
  <c r="H44" i="9"/>
  <c r="L44" i="9" s="1"/>
  <c r="H45" i="9"/>
  <c r="L45" i="9" s="1"/>
  <c r="H46" i="9"/>
  <c r="L46" i="9" s="1"/>
  <c r="H47" i="9"/>
  <c r="L47" i="9" s="1"/>
  <c r="H48" i="9"/>
  <c r="L48" i="9" s="1"/>
  <c r="H49" i="9"/>
  <c r="L49" i="9" s="1"/>
  <c r="H50" i="9"/>
  <c r="L50" i="9" s="1"/>
  <c r="H51" i="9"/>
  <c r="L51" i="9" s="1"/>
  <c r="H52" i="9"/>
  <c r="L52" i="9" s="1"/>
  <c r="L89" i="10"/>
  <c r="L88" i="10"/>
  <c r="L87" i="10"/>
  <c r="L86" i="10"/>
  <c r="L85" i="10"/>
  <c r="L84" i="10"/>
  <c r="L83" i="10"/>
  <c r="L82" i="10"/>
  <c r="L81" i="10"/>
  <c r="L80" i="10"/>
  <c r="L79" i="10"/>
  <c r="L78" i="10"/>
  <c r="L77" i="10"/>
  <c r="L76" i="10"/>
  <c r="L75" i="10"/>
  <c r="L74" i="10"/>
  <c r="L73" i="10"/>
  <c r="L72" i="10"/>
  <c r="L71" i="10"/>
  <c r="L70" i="10"/>
  <c r="L69" i="10"/>
  <c r="L68" i="10"/>
  <c r="L67" i="10"/>
  <c r="L66" i="10"/>
  <c r="L65" i="10"/>
  <c r="L64" i="10"/>
  <c r="L63" i="10"/>
  <c r="L62" i="10"/>
  <c r="L61" i="10"/>
  <c r="L60" i="10"/>
  <c r="L59" i="10"/>
  <c r="L58" i="10"/>
  <c r="L57" i="10"/>
  <c r="L56" i="10"/>
  <c r="L55" i="10"/>
  <c r="L54" i="10"/>
  <c r="L53" i="10"/>
  <c r="L52" i="10"/>
  <c r="L51" i="10"/>
  <c r="L50" i="10"/>
  <c r="L49" i="10"/>
  <c r="L48" i="10"/>
  <c r="L47" i="10"/>
  <c r="L46" i="10"/>
  <c r="L45" i="10"/>
  <c r="L44" i="10"/>
  <c r="L43" i="10"/>
  <c r="L42" i="10"/>
  <c r="L41" i="10"/>
  <c r="L40" i="10"/>
  <c r="L39" i="10"/>
  <c r="L38" i="10"/>
  <c r="L37" i="10"/>
  <c r="L36" i="10"/>
  <c r="L35" i="10"/>
  <c r="L34" i="10"/>
  <c r="L33" i="10"/>
  <c r="L32" i="10"/>
  <c r="L31" i="10"/>
  <c r="L30" i="10"/>
  <c r="L29" i="10"/>
  <c r="L28" i="10"/>
  <c r="L27" i="10"/>
  <c r="L26" i="10"/>
  <c r="L25" i="10"/>
  <c r="L24" i="10"/>
  <c r="L23" i="10"/>
  <c r="L22" i="10"/>
  <c r="L21" i="10"/>
  <c r="L20" i="10"/>
  <c r="L19" i="10"/>
  <c r="L18" i="10"/>
  <c r="L17" i="10"/>
  <c r="L16" i="10"/>
  <c r="L15" i="10"/>
  <c r="L14" i="10"/>
  <c r="L13" i="10"/>
  <c r="L12" i="10"/>
  <c r="L11" i="10"/>
  <c r="L10" i="10"/>
  <c r="L9" i="10"/>
  <c r="L8" i="10"/>
  <c r="L7" i="10"/>
  <c r="L6"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I176" i="17"/>
  <c r="I175" i="17"/>
  <c r="I174" i="17"/>
  <c r="I173" i="17"/>
  <c r="I172" i="17"/>
  <c r="I171" i="17"/>
  <c r="I170" i="17"/>
  <c r="I169" i="17"/>
  <c r="I168" i="17"/>
  <c r="I167" i="17"/>
  <c r="I166" i="17"/>
  <c r="I165" i="17"/>
  <c r="I164" i="17"/>
  <c r="I163" i="17"/>
  <c r="I162" i="17"/>
  <c r="I161" i="17"/>
  <c r="I160" i="17"/>
  <c r="I159" i="17"/>
  <c r="I158" i="17"/>
  <c r="I157" i="17"/>
  <c r="I156" i="17"/>
  <c r="I155" i="17"/>
  <c r="I154" i="17"/>
  <c r="I153" i="17"/>
  <c r="I152" i="17"/>
  <c r="I151" i="17"/>
  <c r="I150" i="17"/>
  <c r="I149" i="17"/>
  <c r="I148" i="17"/>
  <c r="I147" i="17"/>
  <c r="I146" i="17"/>
  <c r="I145" i="17"/>
  <c r="I144" i="17"/>
  <c r="I143" i="17"/>
  <c r="I142" i="17"/>
  <c r="I141" i="17"/>
  <c r="I140" i="17"/>
  <c r="I139" i="17"/>
  <c r="I138" i="17"/>
  <c r="I137" i="17"/>
  <c r="I136" i="17"/>
  <c r="I135" i="17"/>
  <c r="I134" i="17"/>
  <c r="I133" i="17"/>
  <c r="I132" i="17"/>
  <c r="I131" i="17"/>
  <c r="I130" i="17"/>
  <c r="I129" i="17"/>
  <c r="I128" i="17"/>
  <c r="I127" i="17"/>
  <c r="I126" i="17"/>
  <c r="I125" i="17"/>
  <c r="I124" i="17"/>
  <c r="I123" i="17"/>
  <c r="I122" i="17"/>
  <c r="I121" i="17"/>
  <c r="I120" i="17"/>
  <c r="I119" i="17"/>
  <c r="I118" i="17"/>
  <c r="I117" i="17"/>
  <c r="I116" i="17"/>
  <c r="I115" i="17"/>
  <c r="I114" i="17"/>
  <c r="I113" i="17"/>
  <c r="I112" i="17"/>
  <c r="I111" i="17"/>
  <c r="I110" i="17"/>
  <c r="I109" i="17"/>
  <c r="I108" i="17"/>
  <c r="I107" i="17"/>
  <c r="I106" i="17"/>
  <c r="I105" i="17"/>
  <c r="I104" i="17"/>
  <c r="I103" i="17"/>
  <c r="I102" i="17"/>
  <c r="I101" i="17"/>
  <c r="I100" i="17"/>
  <c r="I99" i="17"/>
  <c r="I98" i="17"/>
  <c r="I97" i="17"/>
  <c r="I96" i="17"/>
  <c r="I95" i="17"/>
  <c r="I94" i="17"/>
  <c r="I93" i="17"/>
  <c r="AM4" i="17" l="1"/>
  <c r="AN3" i="17"/>
  <c r="U118" i="17"/>
  <c r="V118" i="17" s="1"/>
  <c r="U116" i="17"/>
  <c r="V116" i="17" s="1"/>
  <c r="U135" i="17"/>
  <c r="V136" i="17"/>
  <c r="V134" i="17"/>
  <c r="U134" i="17"/>
  <c r="AF15" i="17"/>
  <c r="Y50" i="17"/>
  <c r="AF17" i="17"/>
  <c r="Y48" i="17"/>
  <c r="T9" i="9"/>
  <c r="S9" i="9"/>
  <c r="S7" i="9"/>
  <c r="N61" i="16"/>
  <c r="O61" i="16" s="1"/>
  <c r="M61" i="16"/>
  <c r="O54" i="16"/>
  <c r="AT6" i="16"/>
  <c r="M50" i="16"/>
  <c r="N50" i="16"/>
  <c r="O50" i="16" s="1"/>
  <c r="N72" i="16"/>
  <c r="O72" i="16" s="1"/>
  <c r="M72" i="16"/>
  <c r="M33" i="16"/>
  <c r="N33" i="16"/>
  <c r="M51" i="16"/>
  <c r="N51" i="16"/>
  <c r="O51" i="16" s="1"/>
  <c r="M8" i="16"/>
  <c r="N8" i="16"/>
  <c r="O8" i="16" s="1"/>
  <c r="M18" i="16"/>
  <c r="N18" i="16"/>
  <c r="O18" i="16" s="1"/>
  <c r="M28" i="16"/>
  <c r="N28" i="16"/>
  <c r="O28" i="16" s="1"/>
  <c r="O71" i="16"/>
  <c r="N73" i="16"/>
  <c r="O73" i="16" s="1"/>
  <c r="M73" i="16"/>
  <c r="M34" i="16"/>
  <c r="N34" i="16"/>
  <c r="O34" i="16" s="1"/>
  <c r="M52" i="16"/>
  <c r="N52" i="16"/>
  <c r="O52" i="16" s="1"/>
  <c r="O14" i="16"/>
  <c r="M6" i="16"/>
  <c r="N6" i="16"/>
  <c r="O6" i="16" s="1"/>
  <c r="M10" i="16"/>
  <c r="N10" i="16"/>
  <c r="O10" i="16" s="1"/>
  <c r="M20" i="16"/>
  <c r="N20" i="16"/>
  <c r="O20" i="16" s="1"/>
  <c r="R62" i="16"/>
  <c r="O81" i="16"/>
  <c r="M26" i="16"/>
  <c r="N26" i="16"/>
  <c r="N77" i="16"/>
  <c r="O77" i="16" s="1"/>
  <c r="M77" i="16"/>
  <c r="N11" i="16"/>
  <c r="O11" i="16" s="1"/>
  <c r="M11" i="16"/>
  <c r="N21" i="16"/>
  <c r="O21" i="16" s="1"/>
  <c r="M21" i="16"/>
  <c r="AT8" i="16"/>
  <c r="M16" i="16"/>
  <c r="N16" i="16"/>
  <c r="O16" i="16" s="1"/>
  <c r="M41" i="16"/>
  <c r="N41" i="16"/>
  <c r="N67" i="16"/>
  <c r="O67" i="16" s="1"/>
  <c r="M67" i="16"/>
  <c r="N59" i="16"/>
  <c r="M59" i="16"/>
  <c r="N82" i="16"/>
  <c r="O82" i="16" s="1"/>
  <c r="M82" i="16"/>
  <c r="N13" i="16"/>
  <c r="O13" i="16" s="1"/>
  <c r="M13" i="16"/>
  <c r="N23" i="16"/>
  <c r="O23" i="16" s="1"/>
  <c r="M23" i="16"/>
  <c r="AS6" i="16"/>
  <c r="J33" i="16"/>
  <c r="K33" i="16" s="1"/>
  <c r="J51" i="16"/>
  <c r="K51" i="16" s="1"/>
  <c r="M37" i="16"/>
  <c r="M54" i="16"/>
  <c r="J77" i="16"/>
  <c r="K77" i="16" s="1"/>
  <c r="AP5" i="16"/>
  <c r="J13" i="16"/>
  <c r="K13" i="16" s="1"/>
  <c r="J23" i="16"/>
  <c r="K23" i="16" s="1"/>
  <c r="J34" i="16"/>
  <c r="K34" i="16" s="1"/>
  <c r="J52" i="16"/>
  <c r="K52" i="16" s="1"/>
  <c r="L40" i="16"/>
  <c r="L55" i="16"/>
  <c r="M22" i="16"/>
  <c r="AF8" i="16"/>
  <c r="AR5" i="16" s="1"/>
  <c r="AF18" i="16"/>
  <c r="AR7" i="16" s="1"/>
  <c r="AF28" i="16"/>
  <c r="AG16" i="16"/>
  <c r="AG26" i="16"/>
  <c r="AP6" i="16"/>
  <c r="M12" i="16"/>
  <c r="M76" i="16"/>
  <c r="N7" i="16"/>
  <c r="O7" i="16" s="1"/>
  <c r="N17" i="16"/>
  <c r="N27" i="16"/>
  <c r="O27" i="16" s="1"/>
  <c r="AH13" i="16"/>
  <c r="AH23" i="16"/>
  <c r="AP7" i="16"/>
  <c r="L42" i="16"/>
  <c r="M14" i="16"/>
  <c r="AG8" i="16"/>
  <c r="AG18" i="16"/>
  <c r="AS7" i="16" s="1"/>
  <c r="AG28" i="16"/>
  <c r="AP8" i="16"/>
  <c r="M24" i="16"/>
  <c r="M81" i="16"/>
  <c r="N9" i="16"/>
  <c r="O9" i="16" s="1"/>
  <c r="N19" i="16"/>
  <c r="O19" i="16" s="1"/>
  <c r="N45" i="16"/>
  <c r="AH5" i="16"/>
  <c r="AH15" i="16"/>
  <c r="AH25" i="16"/>
  <c r="L48" i="16"/>
  <c r="M60" i="16"/>
  <c r="AF13" i="16"/>
  <c r="AF23" i="16"/>
  <c r="AH17" i="16"/>
  <c r="AQ5" i="16"/>
  <c r="J67" i="16"/>
  <c r="K67" i="16" s="1"/>
  <c r="AG6" i="16"/>
  <c r="AS5" i="16" s="1"/>
  <c r="AF14" i="16"/>
  <c r="AR6" i="16" s="1"/>
  <c r="AF24" i="16"/>
  <c r="AQ6" i="16"/>
  <c r="M71" i="16"/>
  <c r="AF26" i="16"/>
  <c r="Y116" i="17"/>
  <c r="Z116" i="17" s="1"/>
  <c r="Y122" i="17"/>
  <c r="Z122" i="17" s="1"/>
  <c r="Y126" i="17"/>
  <c r="Z126" i="17" s="1"/>
  <c r="Y137" i="17"/>
  <c r="Z137" i="17" s="1"/>
  <c r="Y138" i="17"/>
  <c r="Z138" i="17" s="1"/>
  <c r="Y139" i="17"/>
  <c r="Z139" i="17" s="1"/>
  <c r="Y140" i="17"/>
  <c r="Z140" i="17" s="1"/>
  <c r="Y141" i="17"/>
  <c r="Z141" i="17" s="1"/>
  <c r="Y142" i="17"/>
  <c r="Z142" i="17" s="1"/>
  <c r="Y133" i="17"/>
  <c r="Z133" i="17" s="1"/>
  <c r="Y143" i="17"/>
  <c r="Z143" i="17" s="1"/>
  <c r="Y12" i="17"/>
  <c r="Y132" i="17"/>
  <c r="Z132" i="17" s="1"/>
  <c r="N63" i="17"/>
  <c r="Y134" i="17"/>
  <c r="Z134" i="17" s="1"/>
  <c r="Y36" i="17"/>
  <c r="N83" i="17"/>
  <c r="N53" i="17"/>
  <c r="Y24" i="17"/>
  <c r="Y135" i="17"/>
  <c r="Z135" i="17" s="1"/>
  <c r="N73" i="17"/>
  <c r="Y14" i="17"/>
  <c r="Y136" i="17"/>
  <c r="Z136" i="17" s="1"/>
  <c r="S8" i="9"/>
  <c r="S12" i="9"/>
  <c r="S6" i="9"/>
  <c r="S10" i="9"/>
  <c r="S11" i="9"/>
  <c r="X120" i="17"/>
  <c r="X132" i="17"/>
  <c r="X141" i="17"/>
  <c r="N75" i="17"/>
  <c r="X133" i="17"/>
  <c r="X143" i="17"/>
  <c r="X134" i="17"/>
  <c r="X135" i="17"/>
  <c r="X138" i="17"/>
  <c r="X137" i="17"/>
  <c r="N64" i="17"/>
  <c r="U114" i="17"/>
  <c r="V114" i="17" s="1"/>
  <c r="U119" i="17"/>
  <c r="V119" i="17" s="1"/>
  <c r="U123" i="17"/>
  <c r="V123" i="17" s="1"/>
  <c r="U128" i="17"/>
  <c r="V128" i="17" s="1"/>
  <c r="N33" i="17"/>
  <c r="N23" i="17"/>
  <c r="N13" i="17"/>
  <c r="N3" i="17"/>
  <c r="W27" i="17"/>
  <c r="U124" i="17"/>
  <c r="V124" i="17" s="1"/>
  <c r="U105" i="17"/>
  <c r="V105" i="17" s="1"/>
  <c r="U110" i="17"/>
  <c r="V110" i="17" s="1"/>
  <c r="U127" i="17"/>
  <c r="V127" i="17" s="1"/>
  <c r="N86" i="17"/>
  <c r="U96" i="17"/>
  <c r="V96" i="17" s="1"/>
  <c r="U101" i="17"/>
  <c r="V101" i="17" s="1"/>
  <c r="N74" i="17"/>
  <c r="Y98" i="17"/>
  <c r="Z98" i="17" s="1"/>
  <c r="Y99" i="17"/>
  <c r="Z99" i="17" s="1"/>
  <c r="U95" i="17"/>
  <c r="V95" i="17" s="1"/>
  <c r="Y109" i="17"/>
  <c r="Z109" i="17" s="1"/>
  <c r="Y112" i="17"/>
  <c r="Z112" i="17" s="1"/>
  <c r="Y106" i="17"/>
  <c r="Z106" i="17" s="1"/>
  <c r="N57" i="17"/>
  <c r="N67" i="17"/>
  <c r="N77" i="17"/>
  <c r="N43" i="17"/>
  <c r="N17" i="17"/>
  <c r="N47" i="17"/>
  <c r="N27" i="17"/>
  <c r="N79" i="17"/>
  <c r="N59" i="17"/>
  <c r="N69" i="17"/>
  <c r="N56" i="17"/>
  <c r="N26" i="17"/>
  <c r="N55" i="17"/>
  <c r="N66" i="17"/>
  <c r="N36" i="17"/>
  <c r="N6" i="17"/>
  <c r="N25" i="17"/>
  <c r="N76" i="17"/>
  <c r="N46" i="17"/>
  <c r="N16" i="17"/>
  <c r="N65" i="17"/>
  <c r="N35" i="17"/>
  <c r="N49" i="17"/>
  <c r="N39" i="17"/>
  <c r="N29" i="17"/>
  <c r="N19" i="17"/>
  <c r="N44" i="17"/>
  <c r="N34" i="17"/>
  <c r="N14" i="17"/>
  <c r="N4" i="17"/>
  <c r="N28" i="17"/>
  <c r="N18" i="17"/>
  <c r="N58" i="17"/>
  <c r="N78" i="17"/>
  <c r="N5" i="17"/>
  <c r="N85" i="17"/>
  <c r="N15" i="17"/>
  <c r="N84" i="17"/>
  <c r="N45" i="17"/>
  <c r="N8" i="17"/>
  <c r="N68" i="17"/>
  <c r="N48" i="17"/>
  <c r="N38" i="17"/>
  <c r="N37" i="17"/>
  <c r="N7" i="17"/>
  <c r="N54" i="17"/>
  <c r="N24" i="17"/>
  <c r="N82" i="17"/>
  <c r="N72" i="17"/>
  <c r="N62" i="17"/>
  <c r="N52" i="17"/>
  <c r="N42" i="17"/>
  <c r="N32" i="17"/>
  <c r="N22" i="17"/>
  <c r="N12" i="17"/>
  <c r="N81" i="17"/>
  <c r="N71" i="17"/>
  <c r="N61" i="17"/>
  <c r="N51" i="17"/>
  <c r="N41" i="17"/>
  <c r="N31" i="17"/>
  <c r="N21" i="17"/>
  <c r="N11" i="17"/>
  <c r="N80" i="17"/>
  <c r="N70" i="17"/>
  <c r="N60" i="17"/>
  <c r="N50" i="17"/>
  <c r="N40" i="17"/>
  <c r="N30" i="17"/>
  <c r="N20" i="17"/>
  <c r="N10" i="17"/>
  <c r="N9" i="17"/>
  <c r="D36" i="7"/>
  <c r="D37" i="7"/>
  <c r="D38" i="7"/>
  <c r="D39" i="7"/>
  <c r="D40" i="7"/>
  <c r="D41" i="7"/>
  <c r="M91" i="17"/>
  <c r="L6" i="8"/>
  <c r="O6" i="8" s="1"/>
  <c r="L7" i="8"/>
  <c r="O7" i="8" s="1"/>
  <c r="L8" i="8"/>
  <c r="O8" i="8" s="1"/>
  <c r="L9" i="8"/>
  <c r="O9" i="8" s="1"/>
  <c r="L10" i="8"/>
  <c r="O10" i="8" s="1"/>
  <c r="L11" i="8"/>
  <c r="O11" i="8" s="1"/>
  <c r="L12" i="8"/>
  <c r="O12" i="8" s="1"/>
  <c r="L13" i="8"/>
  <c r="O13" i="8" s="1"/>
  <c r="L14" i="8"/>
  <c r="O14" i="8" s="1"/>
  <c r="K7" i="8"/>
  <c r="K8" i="8"/>
  <c r="K9" i="8"/>
  <c r="K10" i="8"/>
  <c r="K11" i="8"/>
  <c r="K12" i="8"/>
  <c r="K13" i="8"/>
  <c r="K14" i="8"/>
  <c r="J6" i="8"/>
  <c r="J7" i="8"/>
  <c r="J8" i="8"/>
  <c r="J9" i="8"/>
  <c r="J10" i="8"/>
  <c r="J11" i="8"/>
  <c r="J12" i="8"/>
  <c r="J13" i="8"/>
  <c r="J14" i="8"/>
  <c r="H6" i="8"/>
  <c r="H7" i="8"/>
  <c r="H8" i="8"/>
  <c r="H9" i="8"/>
  <c r="H10" i="8"/>
  <c r="N10" i="8" s="1"/>
  <c r="H11" i="8"/>
  <c r="H12" i="8"/>
  <c r="H13" i="8"/>
  <c r="H14" i="8"/>
  <c r="I39" i="2"/>
  <c r="J39" i="2" s="1"/>
  <c r="I40" i="2"/>
  <c r="J40" i="2" s="1"/>
  <c r="K40" i="2" s="1"/>
  <c r="L40" i="2" s="1"/>
  <c r="I41" i="2"/>
  <c r="J41" i="2" s="1"/>
  <c r="K41" i="2" s="1"/>
  <c r="L41" i="2" s="1"/>
  <c r="I42" i="2"/>
  <c r="J42" i="2" s="1"/>
  <c r="K42" i="2" s="1"/>
  <c r="L42" i="2" s="1"/>
  <c r="I43" i="2"/>
  <c r="J43" i="2" s="1"/>
  <c r="K43" i="2" s="1"/>
  <c r="L43" i="2" s="1"/>
  <c r="I44" i="2"/>
  <c r="J44" i="2" s="1"/>
  <c r="K44" i="2" s="1"/>
  <c r="L44" i="2" s="1"/>
  <c r="I45" i="2"/>
  <c r="J45" i="2" s="1"/>
  <c r="K45" i="2" s="1"/>
  <c r="L45" i="2" s="1"/>
  <c r="I46" i="2"/>
  <c r="J46" i="2" s="1"/>
  <c r="K46" i="2" s="1"/>
  <c r="L46" i="2" s="1"/>
  <c r="I47" i="2"/>
  <c r="J47" i="2" s="1"/>
  <c r="K47" i="2" s="1"/>
  <c r="L47" i="2" s="1"/>
  <c r="I48" i="2"/>
  <c r="I49" i="2"/>
  <c r="J49" i="2" s="1"/>
  <c r="K49" i="2" s="1"/>
  <c r="L49" i="2" s="1"/>
  <c r="I50" i="2"/>
  <c r="J50" i="2" s="1"/>
  <c r="K50" i="2" s="1"/>
  <c r="L50" i="2" s="1"/>
  <c r="I51" i="2"/>
  <c r="J51" i="2" s="1"/>
  <c r="K51" i="2" s="1"/>
  <c r="L51" i="2" s="1"/>
  <c r="I52" i="2"/>
  <c r="J52" i="2" s="1"/>
  <c r="K52" i="2" s="1"/>
  <c r="L52" i="2" s="1"/>
  <c r="I53" i="2"/>
  <c r="J53" i="2" s="1"/>
  <c r="K53" i="2" s="1"/>
  <c r="L53" i="2" s="1"/>
  <c r="I54" i="2"/>
  <c r="J54" i="2" s="1"/>
  <c r="K54" i="2" s="1"/>
  <c r="L54" i="2" s="1"/>
  <c r="I55" i="2"/>
  <c r="J55" i="2" s="1"/>
  <c r="K55" i="2" s="1"/>
  <c r="L55" i="2" s="1"/>
  <c r="I56" i="2"/>
  <c r="J56" i="2" s="1"/>
  <c r="K56" i="2" s="1"/>
  <c r="L56" i="2" s="1"/>
  <c r="AE17" i="17" l="1"/>
  <c r="U122" i="17"/>
  <c r="V122" i="17" s="1"/>
  <c r="Y97" i="17"/>
  <c r="Z97" i="17" s="1"/>
  <c r="U97" i="17"/>
  <c r="V97" i="17" s="1"/>
  <c r="U93" i="17"/>
  <c r="V93" i="17" s="1"/>
  <c r="Y103" i="17"/>
  <c r="Z103" i="17" s="1"/>
  <c r="U103" i="17"/>
  <c r="V103" i="17" s="1"/>
  <c r="Y94" i="17"/>
  <c r="Z94" i="17" s="1"/>
  <c r="U94" i="17"/>
  <c r="V94" i="17" s="1"/>
  <c r="U120" i="17"/>
  <c r="V120" i="17" s="1"/>
  <c r="U108" i="17"/>
  <c r="V108" i="17" s="1"/>
  <c r="U98" i="17"/>
  <c r="V98" i="17" s="1"/>
  <c r="Y117" i="17"/>
  <c r="Z117" i="17" s="1"/>
  <c r="U117" i="17"/>
  <c r="V117" i="17" s="1"/>
  <c r="Y115" i="17"/>
  <c r="Z115" i="17" s="1"/>
  <c r="U115" i="17"/>
  <c r="V115" i="17" s="1"/>
  <c r="Y121" i="17"/>
  <c r="Z121" i="17" s="1"/>
  <c r="U121" i="17"/>
  <c r="V121" i="17" s="1"/>
  <c r="AF10" i="17"/>
  <c r="U100" i="17"/>
  <c r="V100" i="17" s="1"/>
  <c r="U106" i="17"/>
  <c r="V106" i="17" s="1"/>
  <c r="U126" i="17"/>
  <c r="V126" i="17" s="1"/>
  <c r="Y125" i="17"/>
  <c r="Z125" i="17" s="1"/>
  <c r="U125" i="17"/>
  <c r="V125" i="17" s="1"/>
  <c r="Y104" i="17"/>
  <c r="Z104" i="17" s="1"/>
  <c r="U104" i="17"/>
  <c r="V104" i="17" s="1"/>
  <c r="Y111" i="17"/>
  <c r="Z111" i="17" s="1"/>
  <c r="U111" i="17"/>
  <c r="V111" i="17" s="1"/>
  <c r="Y113" i="17"/>
  <c r="Z113" i="17" s="1"/>
  <c r="U113" i="17"/>
  <c r="V113" i="17" s="1"/>
  <c r="X122" i="17"/>
  <c r="U109" i="17"/>
  <c r="V109" i="17" s="1"/>
  <c r="U112" i="17"/>
  <c r="V112" i="17" s="1"/>
  <c r="Y107" i="17"/>
  <c r="Z107" i="17" s="1"/>
  <c r="U107" i="17"/>
  <c r="V107" i="17" s="1"/>
  <c r="X116" i="17"/>
  <c r="U99" i="17"/>
  <c r="V99" i="17" s="1"/>
  <c r="U102" i="17"/>
  <c r="V102" i="17" s="1"/>
  <c r="AE10" i="17"/>
  <c r="Y31" i="17"/>
  <c r="Y30" i="17"/>
  <c r="Y45" i="17"/>
  <c r="W41" i="17"/>
  <c r="Y21" i="17"/>
  <c r="Y4" i="17"/>
  <c r="Y44" i="17"/>
  <c r="AE21" i="17"/>
  <c r="Y19" i="17"/>
  <c r="Y27" i="17"/>
  <c r="Y11" i="17"/>
  <c r="Y28" i="17"/>
  <c r="AE15" i="17"/>
  <c r="X121" i="17"/>
  <c r="AF21" i="17"/>
  <c r="AE19" i="17"/>
  <c r="AF19" i="17"/>
  <c r="T62" i="16"/>
  <c r="S62" i="16"/>
  <c r="AR8" i="16"/>
  <c r="O17" i="16"/>
  <c r="M48" i="16"/>
  <c r="N48" i="16"/>
  <c r="O48" i="16" s="1"/>
  <c r="M55" i="16"/>
  <c r="N55" i="16"/>
  <c r="R59" i="16"/>
  <c r="O59" i="16"/>
  <c r="M40" i="16"/>
  <c r="N40" i="16"/>
  <c r="O40" i="16" s="1"/>
  <c r="AT5" i="16"/>
  <c r="O41" i="16"/>
  <c r="S61" i="16"/>
  <c r="T61" i="16"/>
  <c r="O33" i="16"/>
  <c r="AT7" i="16"/>
  <c r="AS8" i="16"/>
  <c r="O45" i="16"/>
  <c r="R34" i="16"/>
  <c r="M42" i="16"/>
  <c r="N42" i="16"/>
  <c r="O42" i="16" s="1"/>
  <c r="O26" i="16"/>
  <c r="R8" i="16"/>
  <c r="R61" i="16"/>
  <c r="S6" i="16"/>
  <c r="T6" i="16"/>
  <c r="X126" i="17"/>
  <c r="W11" i="17"/>
  <c r="W5" i="17"/>
  <c r="W40" i="17"/>
  <c r="X125" i="17"/>
  <c r="Y8" i="17"/>
  <c r="Y22" i="17"/>
  <c r="Y7" i="17"/>
  <c r="Y38" i="17"/>
  <c r="Y34" i="17"/>
  <c r="W46" i="17"/>
  <c r="Y26" i="17"/>
  <c r="Y15" i="17"/>
  <c r="Y3" i="17"/>
  <c r="Y39" i="17"/>
  <c r="W33" i="17"/>
  <c r="Y13" i="17"/>
  <c r="AE4" i="17" s="1"/>
  <c r="Y25" i="17"/>
  <c r="Y37" i="17"/>
  <c r="W4" i="17"/>
  <c r="J48" i="2"/>
  <c r="K48" i="2" s="1"/>
  <c r="L48" i="2" s="1"/>
  <c r="K39" i="2"/>
  <c r="L39" i="2" s="1"/>
  <c r="Y123" i="17"/>
  <c r="Z123" i="17" s="1"/>
  <c r="W18" i="17"/>
  <c r="W42" i="17"/>
  <c r="W17" i="17"/>
  <c r="Y119" i="17"/>
  <c r="Z119" i="17" s="1"/>
  <c r="Y124" i="17"/>
  <c r="Z124" i="17" s="1"/>
  <c r="W31" i="17"/>
  <c r="Y114" i="17"/>
  <c r="Z114" i="17" s="1"/>
  <c r="W34" i="17"/>
  <c r="Y127" i="17"/>
  <c r="Z127" i="17" s="1"/>
  <c r="Y120" i="17"/>
  <c r="Z120" i="17" s="1"/>
  <c r="Y118" i="17"/>
  <c r="Z118" i="17" s="1"/>
  <c r="Y128" i="17"/>
  <c r="Z128" i="17" s="1"/>
  <c r="Y93" i="17"/>
  <c r="Z93" i="17" s="1"/>
  <c r="X100" i="17"/>
  <c r="Y100" i="17"/>
  <c r="Z100" i="17" s="1"/>
  <c r="X108" i="17"/>
  <c r="Y108" i="17"/>
  <c r="Z108" i="17" s="1"/>
  <c r="Y102" i="17"/>
  <c r="Z102" i="17" s="1"/>
  <c r="Y95" i="17"/>
  <c r="Z95" i="17" s="1"/>
  <c r="N14" i="8"/>
  <c r="N11" i="8"/>
  <c r="N7" i="8"/>
  <c r="N6" i="8"/>
  <c r="N13" i="8"/>
  <c r="N12" i="8"/>
  <c r="N9" i="8"/>
  <c r="N8" i="8"/>
  <c r="W32" i="17"/>
  <c r="W16" i="17"/>
  <c r="W30" i="17"/>
  <c r="W23" i="17"/>
  <c r="W45" i="17"/>
  <c r="W28" i="17"/>
  <c r="W15" i="17"/>
  <c r="W20" i="17"/>
  <c r="W22" i="17"/>
  <c r="W6" i="17"/>
  <c r="W10" i="17"/>
  <c r="W7" i="17"/>
  <c r="W29" i="17"/>
  <c r="W19" i="17"/>
  <c r="W47" i="17"/>
  <c r="W9" i="17"/>
  <c r="W35" i="17"/>
  <c r="X98" i="17"/>
  <c r="W21" i="17"/>
  <c r="W39" i="17"/>
  <c r="W44" i="17"/>
  <c r="W8" i="17"/>
  <c r="W43" i="17"/>
  <c r="Y43" i="17"/>
  <c r="W3" i="17"/>
  <c r="S29" i="6"/>
  <c r="R29" i="6"/>
  <c r="Z25" i="6" s="1"/>
  <c r="P29" i="6"/>
  <c r="Y25" i="6" s="1"/>
  <c r="S28" i="6"/>
  <c r="R28" i="6"/>
  <c r="T28" i="6" s="1"/>
  <c r="P28" i="6"/>
  <c r="U28" i="6" s="1"/>
  <c r="I28" i="6"/>
  <c r="J28" i="6" s="1"/>
  <c r="K28" i="6" s="1"/>
  <c r="G28" i="6"/>
  <c r="H28" i="6" s="1"/>
  <c r="S27" i="6"/>
  <c r="R27" i="6"/>
  <c r="T27" i="6" s="1"/>
  <c r="P27" i="6"/>
  <c r="I27" i="6"/>
  <c r="J27" i="6" s="1"/>
  <c r="K27" i="6" s="1"/>
  <c r="G27" i="6"/>
  <c r="H27" i="6" s="1"/>
  <c r="S26" i="6"/>
  <c r="R26" i="6"/>
  <c r="Z22" i="6" s="1"/>
  <c r="P26" i="6"/>
  <c r="Y22" i="6" s="1"/>
  <c r="I26" i="6"/>
  <c r="J26" i="6" s="1"/>
  <c r="K26" i="6" s="1"/>
  <c r="G26" i="6"/>
  <c r="H26" i="6" s="1"/>
  <c r="L26" i="6" s="1"/>
  <c r="S25" i="6"/>
  <c r="R25" i="6"/>
  <c r="Z21" i="6" s="1"/>
  <c r="P25" i="6"/>
  <c r="Y21" i="6" s="1"/>
  <c r="I25" i="6"/>
  <c r="J25" i="6" s="1"/>
  <c r="K25" i="6" s="1"/>
  <c r="G25" i="6"/>
  <c r="H25" i="6" s="1"/>
  <c r="S24" i="6"/>
  <c r="R24" i="6"/>
  <c r="Z20" i="6" s="1"/>
  <c r="P24" i="6"/>
  <c r="Y20" i="6" s="1"/>
  <c r="I24" i="6"/>
  <c r="J24" i="6" s="1"/>
  <c r="K24" i="6" s="1"/>
  <c r="G24" i="6"/>
  <c r="H24" i="6" s="1"/>
  <c r="L24" i="6" s="1"/>
  <c r="S23" i="6"/>
  <c r="R23" i="6"/>
  <c r="Z19" i="6" s="1"/>
  <c r="AA19" i="6" s="1"/>
  <c r="AB19" i="6" s="1"/>
  <c r="P23" i="6"/>
  <c r="I23" i="6"/>
  <c r="J23" i="6" s="1"/>
  <c r="K23" i="6" s="1"/>
  <c r="G23" i="6"/>
  <c r="H23" i="6" s="1"/>
  <c r="L23" i="6" s="1"/>
  <c r="S22" i="6"/>
  <c r="R22" i="6"/>
  <c r="T22" i="6" s="1"/>
  <c r="P22" i="6"/>
  <c r="I22" i="6"/>
  <c r="J22" i="6" s="1"/>
  <c r="K22" i="6" s="1"/>
  <c r="G22" i="6"/>
  <c r="H22" i="6" s="1"/>
  <c r="S21" i="6"/>
  <c r="R21" i="6"/>
  <c r="Z17" i="6" s="1"/>
  <c r="P21" i="6"/>
  <c r="Y17" i="6" s="1"/>
  <c r="I21" i="6"/>
  <c r="J21" i="6" s="1"/>
  <c r="K21" i="6" s="1"/>
  <c r="G21" i="6"/>
  <c r="H21" i="6" s="1"/>
  <c r="I20" i="6"/>
  <c r="J20" i="6" s="1"/>
  <c r="G20" i="6"/>
  <c r="H20" i="6" s="1"/>
  <c r="S15" i="6"/>
  <c r="R15" i="6"/>
  <c r="T15" i="6" s="1"/>
  <c r="V15" i="6" s="1"/>
  <c r="P15" i="6"/>
  <c r="S14" i="6"/>
  <c r="R14" i="6"/>
  <c r="Z15" i="6" s="1"/>
  <c r="P14" i="6"/>
  <c r="Y15" i="6" s="1"/>
  <c r="I14" i="6"/>
  <c r="J14" i="6" s="1"/>
  <c r="G14" i="6"/>
  <c r="H14" i="6" s="1"/>
  <c r="S13" i="6"/>
  <c r="R13" i="6"/>
  <c r="Z14" i="6" s="1"/>
  <c r="AA14" i="6" s="1"/>
  <c r="AB14" i="6" s="1"/>
  <c r="P13" i="6"/>
  <c r="U13" i="6" s="1"/>
  <c r="I13" i="6"/>
  <c r="J13" i="6" s="1"/>
  <c r="K13" i="6" s="1"/>
  <c r="G13" i="6"/>
  <c r="H13" i="6" s="1"/>
  <c r="S12" i="6"/>
  <c r="R12" i="6"/>
  <c r="T12" i="6" s="1"/>
  <c r="V12" i="6" s="1"/>
  <c r="P12" i="6"/>
  <c r="I12" i="6"/>
  <c r="J12" i="6" s="1"/>
  <c r="K12" i="6" s="1"/>
  <c r="G12" i="6"/>
  <c r="H12" i="6" s="1"/>
  <c r="L12" i="6" s="1"/>
  <c r="Z11" i="6"/>
  <c r="Y11" i="6"/>
  <c r="S11" i="6"/>
  <c r="R11" i="6"/>
  <c r="T11" i="6" s="1"/>
  <c r="V11" i="6" s="1"/>
  <c r="P11" i="6"/>
  <c r="I11" i="6"/>
  <c r="J11" i="6" s="1"/>
  <c r="K11" i="6" s="1"/>
  <c r="G11" i="6"/>
  <c r="H11" i="6" s="1"/>
  <c r="S10" i="6"/>
  <c r="R10" i="6"/>
  <c r="T10" i="6" s="1"/>
  <c r="V10" i="6" s="1"/>
  <c r="P10" i="6"/>
  <c r="U10" i="6" s="1"/>
  <c r="I10" i="6"/>
  <c r="J10" i="6" s="1"/>
  <c r="G10" i="6"/>
  <c r="H10" i="6" s="1"/>
  <c r="Z9" i="6"/>
  <c r="S9" i="6"/>
  <c r="R9" i="6"/>
  <c r="Z10" i="6" s="1"/>
  <c r="AA10" i="6" s="1"/>
  <c r="AB10" i="6" s="1"/>
  <c r="P9" i="6"/>
  <c r="Y10" i="6" s="1"/>
  <c r="I9" i="6"/>
  <c r="J9" i="6" s="1"/>
  <c r="G9" i="6"/>
  <c r="H9" i="6" s="1"/>
  <c r="S8" i="6"/>
  <c r="R8" i="6"/>
  <c r="T8" i="6" s="1"/>
  <c r="V8" i="6" s="1"/>
  <c r="P8" i="6"/>
  <c r="Y9" i="6" s="1"/>
  <c r="I8" i="6"/>
  <c r="J8" i="6" s="1"/>
  <c r="K8" i="6" s="1"/>
  <c r="G8" i="6"/>
  <c r="H8" i="6" s="1"/>
  <c r="S7" i="6"/>
  <c r="R7" i="6"/>
  <c r="Z8" i="6" s="1"/>
  <c r="P7" i="6"/>
  <c r="Y8" i="6" s="1"/>
  <c r="I7" i="6"/>
  <c r="J7" i="6" s="1"/>
  <c r="K7" i="6" s="1"/>
  <c r="G7" i="6"/>
  <c r="H7" i="6" s="1"/>
  <c r="I6" i="6"/>
  <c r="J6" i="6" s="1"/>
  <c r="K6" i="6" s="1"/>
  <c r="G6" i="6"/>
  <c r="H6" i="6" s="1"/>
  <c r="I28" i="2"/>
  <c r="J28" i="2" s="1"/>
  <c r="G28" i="2"/>
  <c r="H28" i="2" s="1"/>
  <c r="I27" i="2"/>
  <c r="J27" i="2" s="1"/>
  <c r="G27" i="2"/>
  <c r="H27" i="2" s="1"/>
  <c r="L27" i="2" s="1"/>
  <c r="I26" i="2"/>
  <c r="J26" i="2" s="1"/>
  <c r="G26" i="2"/>
  <c r="H26" i="2" s="1"/>
  <c r="I25" i="2"/>
  <c r="J25" i="2" s="1"/>
  <c r="G25" i="2"/>
  <c r="H25" i="2" s="1"/>
  <c r="L25" i="2" s="1"/>
  <c r="I24" i="2"/>
  <c r="J24" i="2" s="1"/>
  <c r="K24" i="2" s="1"/>
  <c r="G24" i="2"/>
  <c r="H24" i="2" s="1"/>
  <c r="I23" i="2"/>
  <c r="J23" i="2" s="1"/>
  <c r="G23" i="2"/>
  <c r="H23" i="2" s="1"/>
  <c r="I22" i="2"/>
  <c r="J22" i="2" s="1"/>
  <c r="G22" i="2"/>
  <c r="H22" i="2" s="1"/>
  <c r="I21" i="2"/>
  <c r="J21" i="2" s="1"/>
  <c r="G21" i="2"/>
  <c r="H21" i="2" s="1"/>
  <c r="I20" i="2"/>
  <c r="J20" i="2" s="1"/>
  <c r="G20" i="2"/>
  <c r="H20" i="2" s="1"/>
  <c r="I14" i="2"/>
  <c r="J14" i="2" s="1"/>
  <c r="G14" i="2"/>
  <c r="H14" i="2" s="1"/>
  <c r="L14" i="2" s="1"/>
  <c r="I13" i="2"/>
  <c r="J13" i="2" s="1"/>
  <c r="N13" i="2" s="1"/>
  <c r="Q14" i="2" s="1"/>
  <c r="G13" i="2"/>
  <c r="H13" i="2" s="1"/>
  <c r="I12" i="2"/>
  <c r="J12" i="2" s="1"/>
  <c r="G12" i="2"/>
  <c r="H12" i="2" s="1"/>
  <c r="I11" i="2"/>
  <c r="J11" i="2" s="1"/>
  <c r="G11" i="2"/>
  <c r="H11" i="2" s="1"/>
  <c r="I10" i="2"/>
  <c r="J10" i="2" s="1"/>
  <c r="N10" i="2" s="1"/>
  <c r="Q11" i="2" s="1"/>
  <c r="G10" i="2"/>
  <c r="H10" i="2" s="1"/>
  <c r="I9" i="2"/>
  <c r="J9" i="2" s="1"/>
  <c r="G9" i="2"/>
  <c r="H9" i="2" s="1"/>
  <c r="L9" i="2" s="1"/>
  <c r="I8" i="2"/>
  <c r="J8" i="2" s="1"/>
  <c r="G8" i="2"/>
  <c r="H8" i="2" s="1"/>
  <c r="I7" i="2"/>
  <c r="J7" i="2" s="1"/>
  <c r="N7" i="2" s="1"/>
  <c r="Q8" i="2" s="1"/>
  <c r="G7" i="2"/>
  <c r="H7" i="2" s="1"/>
  <c r="I6" i="2"/>
  <c r="J6" i="2" s="1"/>
  <c r="G6" i="2"/>
  <c r="H6" i="2" s="1"/>
  <c r="R58" i="7"/>
  <c r="Q58" i="7"/>
  <c r="T58" i="7" s="1"/>
  <c r="O58" i="7"/>
  <c r="F58" i="7"/>
  <c r="H58" i="7" s="1"/>
  <c r="D58" i="7"/>
  <c r="I58" i="7" s="1"/>
  <c r="T57" i="7"/>
  <c r="S57" i="7"/>
  <c r="Q57" i="7"/>
  <c r="O57" i="7"/>
  <c r="R57" i="7" s="1"/>
  <c r="I57" i="7"/>
  <c r="H57" i="7"/>
  <c r="F57" i="7"/>
  <c r="D57" i="7"/>
  <c r="G57" i="7" s="1"/>
  <c r="R56" i="7"/>
  <c r="Q56" i="7"/>
  <c r="S56" i="7" s="1"/>
  <c r="O56" i="7"/>
  <c r="T56" i="7" s="1"/>
  <c r="I56" i="7"/>
  <c r="H56" i="7"/>
  <c r="G56" i="7"/>
  <c r="F56" i="7"/>
  <c r="D56" i="7"/>
  <c r="Q55" i="7"/>
  <c r="S55" i="7" s="1"/>
  <c r="O55" i="7"/>
  <c r="T55" i="7" s="1"/>
  <c r="F55" i="7"/>
  <c r="H55" i="7" s="1"/>
  <c r="D55" i="7"/>
  <c r="I55" i="7" s="1"/>
  <c r="Q54" i="7"/>
  <c r="S54" i="7" s="1"/>
  <c r="O54" i="7"/>
  <c r="T54" i="7" s="1"/>
  <c r="H54" i="7"/>
  <c r="G54" i="7"/>
  <c r="F54" i="7"/>
  <c r="D54" i="7"/>
  <c r="I54" i="7" s="1"/>
  <c r="T53" i="7"/>
  <c r="S53" i="7"/>
  <c r="R53" i="7"/>
  <c r="Q53" i="7"/>
  <c r="O53" i="7"/>
  <c r="F53" i="7"/>
  <c r="H53" i="7" s="1"/>
  <c r="D53" i="7"/>
  <c r="I53" i="7" s="1"/>
  <c r="R52" i="7"/>
  <c r="Q52" i="7"/>
  <c r="T52" i="7" s="1"/>
  <c r="O52" i="7"/>
  <c r="F52" i="7"/>
  <c r="H52" i="7" s="1"/>
  <c r="D52" i="7"/>
  <c r="I52" i="7" s="1"/>
  <c r="T51" i="7"/>
  <c r="S51" i="7"/>
  <c r="Q51" i="7"/>
  <c r="O51" i="7"/>
  <c r="R51" i="7" s="1"/>
  <c r="I51" i="7"/>
  <c r="H51" i="7"/>
  <c r="F51" i="7"/>
  <c r="D51" i="7"/>
  <c r="G51" i="7" s="1"/>
  <c r="R50" i="7"/>
  <c r="Q50" i="7"/>
  <c r="Q60" i="7" s="1"/>
  <c r="O50" i="7"/>
  <c r="O60" i="7" s="1"/>
  <c r="I50" i="7"/>
  <c r="H50" i="7"/>
  <c r="G50" i="7"/>
  <c r="F50" i="7"/>
  <c r="D50" i="7"/>
  <c r="Q44" i="7"/>
  <c r="S44" i="7" s="1"/>
  <c r="O44" i="7"/>
  <c r="T44" i="7" s="1"/>
  <c r="H44" i="7"/>
  <c r="F44" i="7"/>
  <c r="D44" i="7"/>
  <c r="I44" i="7" s="1"/>
  <c r="T43" i="7"/>
  <c r="S43" i="7"/>
  <c r="R43" i="7"/>
  <c r="Q43" i="7"/>
  <c r="O43" i="7"/>
  <c r="F43" i="7"/>
  <c r="H43" i="7" s="1"/>
  <c r="D43" i="7"/>
  <c r="I43" i="7" s="1"/>
  <c r="R42" i="7"/>
  <c r="Q42" i="7"/>
  <c r="T42" i="7" s="1"/>
  <c r="O42" i="7"/>
  <c r="F42" i="7"/>
  <c r="H42" i="7" s="1"/>
  <c r="D42" i="7"/>
  <c r="I42" i="7" s="1"/>
  <c r="Q41" i="7"/>
  <c r="S41" i="7" s="1"/>
  <c r="O41" i="7"/>
  <c r="T41" i="7" s="1"/>
  <c r="F41" i="7"/>
  <c r="H41" i="7" s="1"/>
  <c r="I41" i="7"/>
  <c r="T40" i="7"/>
  <c r="Q40" i="7"/>
  <c r="S40" i="7" s="1"/>
  <c r="O40" i="7"/>
  <c r="R40" i="7" s="1"/>
  <c r="I40" i="7"/>
  <c r="H40" i="7"/>
  <c r="F40" i="7"/>
  <c r="G40" i="7"/>
  <c r="R39" i="7"/>
  <c r="Q39" i="7"/>
  <c r="S39" i="7" s="1"/>
  <c r="O39" i="7"/>
  <c r="T39" i="7" s="1"/>
  <c r="I39" i="7"/>
  <c r="H39" i="7"/>
  <c r="G39" i="7"/>
  <c r="F39" i="7"/>
  <c r="Q38" i="7"/>
  <c r="S38" i="7" s="1"/>
  <c r="O38" i="7"/>
  <c r="T38" i="7" s="1"/>
  <c r="F38" i="7"/>
  <c r="H38" i="7" s="1"/>
  <c r="D45" i="7"/>
  <c r="Q37" i="7"/>
  <c r="S37" i="7" s="1"/>
  <c r="O37" i="7"/>
  <c r="T37" i="7" s="1"/>
  <c r="H37" i="7"/>
  <c r="F37" i="7"/>
  <c r="I37" i="7"/>
  <c r="T36" i="7"/>
  <c r="S36" i="7"/>
  <c r="R36" i="7"/>
  <c r="Q36" i="7"/>
  <c r="Q46" i="7" s="1"/>
  <c r="O36" i="7"/>
  <c r="F36" i="7"/>
  <c r="H36" i="7" s="1"/>
  <c r="I36" i="7"/>
  <c r="Y35" i="7"/>
  <c r="AB34" i="7"/>
  <c r="AA33" i="7"/>
  <c r="Y33" i="7"/>
  <c r="AB33" i="7" s="1"/>
  <c r="AA32" i="7"/>
  <c r="Y32" i="7"/>
  <c r="AB32" i="7" s="1"/>
  <c r="AA31" i="7"/>
  <c r="Y31" i="7"/>
  <c r="AB31" i="7" s="1"/>
  <c r="AB30" i="7"/>
  <c r="AA30" i="7"/>
  <c r="Y30" i="7"/>
  <c r="Q30" i="7"/>
  <c r="AA29" i="7"/>
  <c r="Y29" i="7"/>
  <c r="AB29" i="7" s="1"/>
  <c r="Q29" i="7"/>
  <c r="AA28" i="7"/>
  <c r="Y28" i="7"/>
  <c r="AB28" i="7" s="1"/>
  <c r="T28" i="7"/>
  <c r="S28" i="7"/>
  <c r="R28" i="7"/>
  <c r="U28" i="7" s="1"/>
  <c r="P28" i="7"/>
  <c r="I28" i="7"/>
  <c r="K28" i="7" s="1"/>
  <c r="L28" i="7" s="1"/>
  <c r="G28" i="7"/>
  <c r="D28" i="7"/>
  <c r="E28" i="7" s="1"/>
  <c r="AA27" i="7"/>
  <c r="Y27" i="7"/>
  <c r="AB27" i="7" s="1"/>
  <c r="K27" i="7"/>
  <c r="J27" i="7"/>
  <c r="I27" i="7"/>
  <c r="E27" i="7"/>
  <c r="AA26" i="7"/>
  <c r="Y26" i="7"/>
  <c r="AB26" i="7" s="1"/>
  <c r="T26" i="7"/>
  <c r="T29" i="7" s="1"/>
  <c r="S26" i="7"/>
  <c r="S29" i="7" s="1"/>
  <c r="R26" i="7"/>
  <c r="R30" i="7" s="1"/>
  <c r="P26" i="7"/>
  <c r="P29" i="7" s="1"/>
  <c r="L27" i="7" s="1"/>
  <c r="I26" i="7"/>
  <c r="K26" i="7" s="1"/>
  <c r="L26" i="7" s="1"/>
  <c r="G26" i="7"/>
  <c r="D26" i="7"/>
  <c r="J26" i="7" s="1"/>
  <c r="AA25" i="7"/>
  <c r="Y25" i="7"/>
  <c r="AB25" i="7" s="1"/>
  <c r="K25" i="7"/>
  <c r="L25" i="7" s="1"/>
  <c r="J25" i="7"/>
  <c r="I25" i="7"/>
  <c r="E25" i="7"/>
  <c r="AA24" i="7"/>
  <c r="Y24" i="7"/>
  <c r="AB24" i="7" s="1"/>
  <c r="J24" i="7"/>
  <c r="I24" i="7"/>
  <c r="K24" i="7" s="1"/>
  <c r="L24" i="7" s="1"/>
  <c r="E24" i="7"/>
  <c r="AB23" i="7"/>
  <c r="AA23" i="7"/>
  <c r="Y23" i="7"/>
  <c r="J23" i="7"/>
  <c r="I23" i="7"/>
  <c r="K23" i="7" s="1"/>
  <c r="L23" i="7" s="1"/>
  <c r="E23" i="7"/>
  <c r="AA22" i="7"/>
  <c r="AA34" i="7" s="1"/>
  <c r="Y22" i="7"/>
  <c r="Y34" i="7" s="1"/>
  <c r="K22" i="7"/>
  <c r="L22" i="7" s="1"/>
  <c r="J22" i="7"/>
  <c r="I22" i="7"/>
  <c r="E22" i="7"/>
  <c r="J21" i="7"/>
  <c r="I21" i="7"/>
  <c r="K21" i="7" s="1"/>
  <c r="L21" i="7" s="1"/>
  <c r="E21" i="7"/>
  <c r="J20" i="7"/>
  <c r="I20" i="7"/>
  <c r="K20" i="7" s="1"/>
  <c r="L20" i="7" s="1"/>
  <c r="E20" i="7"/>
  <c r="AB19" i="7"/>
  <c r="Y19" i="7"/>
  <c r="AB18" i="7"/>
  <c r="AA17" i="7"/>
  <c r="Y17" i="7"/>
  <c r="AB17" i="7" s="1"/>
  <c r="AA16" i="7"/>
  <c r="AB16" i="7" s="1"/>
  <c r="Y16" i="7"/>
  <c r="AA15" i="7"/>
  <c r="Y15" i="7"/>
  <c r="AB15" i="7" s="1"/>
  <c r="T15" i="7"/>
  <c r="S15" i="7"/>
  <c r="R15" i="7"/>
  <c r="Q15" i="7"/>
  <c r="P15" i="7"/>
  <c r="O15" i="7"/>
  <c r="AB14" i="7"/>
  <c r="AA14" i="7"/>
  <c r="Y14" i="7"/>
  <c r="T14" i="7"/>
  <c r="S14" i="7"/>
  <c r="R14" i="7"/>
  <c r="Q14" i="7"/>
  <c r="P14" i="7"/>
  <c r="O14" i="7"/>
  <c r="AA13" i="7"/>
  <c r="Y13" i="7"/>
  <c r="AB13" i="7" s="1"/>
  <c r="J13" i="7"/>
  <c r="I13" i="7"/>
  <c r="K13" i="7" s="1"/>
  <c r="L13" i="7" s="1"/>
  <c r="E13" i="7"/>
  <c r="AA12" i="7"/>
  <c r="Y12" i="7"/>
  <c r="AB12" i="7" s="1"/>
  <c r="J12" i="7"/>
  <c r="I12" i="7"/>
  <c r="K12" i="7" s="1"/>
  <c r="L12" i="7" s="1"/>
  <c r="E12" i="7"/>
  <c r="AA11" i="7"/>
  <c r="Y11" i="7"/>
  <c r="AB11" i="7" s="1"/>
  <c r="J11" i="7"/>
  <c r="I11" i="7"/>
  <c r="K11" i="7" s="1"/>
  <c r="L11" i="7" s="1"/>
  <c r="E11" i="7"/>
  <c r="AA10" i="7"/>
  <c r="Y10" i="7"/>
  <c r="AB10" i="7" s="1"/>
  <c r="T10" i="7"/>
  <c r="S10" i="7"/>
  <c r="R10" i="7"/>
  <c r="P10" i="7"/>
  <c r="U10" i="7" s="1"/>
  <c r="I10" i="7"/>
  <c r="K10" i="7" s="1"/>
  <c r="L10" i="7" s="1"/>
  <c r="G10" i="7"/>
  <c r="D10" i="7"/>
  <c r="J10" i="7" s="1"/>
  <c r="AB9" i="7"/>
  <c r="AA9" i="7"/>
  <c r="Y9" i="7"/>
  <c r="J9" i="7"/>
  <c r="I9" i="7"/>
  <c r="K9" i="7" s="1"/>
  <c r="L9" i="7" s="1"/>
  <c r="E9" i="7"/>
  <c r="AA8" i="7"/>
  <c r="Y8" i="7"/>
  <c r="AB8" i="7" s="1"/>
  <c r="U8" i="7"/>
  <c r="U14" i="7" s="1"/>
  <c r="T8" i="7"/>
  <c r="S8" i="7"/>
  <c r="R8" i="7"/>
  <c r="P8" i="7"/>
  <c r="I8" i="7"/>
  <c r="K8" i="7" s="1"/>
  <c r="L8" i="7" s="1"/>
  <c r="G8" i="7"/>
  <c r="D8" i="7"/>
  <c r="J8" i="7" s="1"/>
  <c r="AB7" i="7"/>
  <c r="AA7" i="7"/>
  <c r="Y7" i="7"/>
  <c r="J7" i="7"/>
  <c r="I7" i="7"/>
  <c r="K7" i="7" s="1"/>
  <c r="L7" i="7" s="1"/>
  <c r="E7" i="7"/>
  <c r="AA6" i="7"/>
  <c r="AA18" i="7" s="1"/>
  <c r="Y6" i="7"/>
  <c r="AB6" i="7" s="1"/>
  <c r="K6" i="7"/>
  <c r="L6" i="7" s="1"/>
  <c r="J6" i="7"/>
  <c r="I6" i="7"/>
  <c r="E6" i="7"/>
  <c r="J5" i="7"/>
  <c r="I5" i="7"/>
  <c r="K5" i="7" s="1"/>
  <c r="L5" i="7" s="1"/>
  <c r="E5" i="7"/>
  <c r="X107" i="17" l="1"/>
  <c r="X104" i="17"/>
  <c r="X113" i="17"/>
  <c r="X94" i="17"/>
  <c r="X115" i="17"/>
  <c r="X117" i="17"/>
  <c r="X103" i="17"/>
  <c r="Y46" i="17"/>
  <c r="Y17" i="17"/>
  <c r="Y18" i="17"/>
  <c r="Y47" i="17"/>
  <c r="Y29" i="17"/>
  <c r="Y20" i="17"/>
  <c r="Y6" i="17"/>
  <c r="Y9" i="17"/>
  <c r="Y41" i="17"/>
  <c r="Y23" i="17"/>
  <c r="Y42" i="17"/>
  <c r="Y5" i="17"/>
  <c r="Y40" i="17"/>
  <c r="Y10" i="17"/>
  <c r="Y32" i="17"/>
  <c r="Y16" i="17"/>
  <c r="Y33" i="17"/>
  <c r="AF6" i="17"/>
  <c r="S33" i="16"/>
  <c r="T33" i="16"/>
  <c r="O55" i="16"/>
  <c r="R35" i="16"/>
  <c r="R33" i="16"/>
  <c r="T8" i="16"/>
  <c r="S8" i="16"/>
  <c r="S34" i="16"/>
  <c r="T34" i="16"/>
  <c r="T7" i="16"/>
  <c r="S7" i="16"/>
  <c r="S32" i="16"/>
  <c r="T32" i="16"/>
  <c r="R32" i="16"/>
  <c r="T59" i="16"/>
  <c r="S59" i="16"/>
  <c r="U23" i="6"/>
  <c r="U27" i="6"/>
  <c r="L7" i="6"/>
  <c r="L9" i="6"/>
  <c r="U12" i="6"/>
  <c r="AE8" i="17"/>
  <c r="AF4" i="17"/>
  <c r="X124" i="17"/>
  <c r="AF8" i="17"/>
  <c r="AE6" i="17"/>
  <c r="X119" i="17"/>
  <c r="X127" i="17"/>
  <c r="Y35" i="17"/>
  <c r="X128" i="17"/>
  <c r="X118" i="17"/>
  <c r="X114" i="17"/>
  <c r="X123" i="17"/>
  <c r="X101" i="17"/>
  <c r="Y101" i="17"/>
  <c r="Z101" i="17" s="1"/>
  <c r="X96" i="17"/>
  <c r="Y96" i="17"/>
  <c r="Z96" i="17" s="1"/>
  <c r="X110" i="17"/>
  <c r="Y110" i="17"/>
  <c r="Z110" i="17" s="1"/>
  <c r="X105" i="17"/>
  <c r="Y105" i="17"/>
  <c r="Z105" i="17" s="1"/>
  <c r="X99" i="17"/>
  <c r="X112" i="17"/>
  <c r="X109" i="17"/>
  <c r="X97" i="17"/>
  <c r="X93" i="17"/>
  <c r="X111" i="17"/>
  <c r="X95" i="17"/>
  <c r="X106" i="17"/>
  <c r="X102" i="17"/>
  <c r="L26" i="2"/>
  <c r="L28" i="6"/>
  <c r="L25" i="6"/>
  <c r="AA15" i="6"/>
  <c r="AB15" i="6" s="1"/>
  <c r="AA22" i="6"/>
  <c r="AB22" i="6" s="1"/>
  <c r="AA9" i="6"/>
  <c r="AB9" i="6" s="1"/>
  <c r="AA20" i="6"/>
  <c r="AB20" i="6" s="1"/>
  <c r="L6" i="6"/>
  <c r="L11" i="6"/>
  <c r="L13" i="6"/>
  <c r="L27" i="6"/>
  <c r="U15" i="6"/>
  <c r="U22" i="6"/>
  <c r="Y24" i="6"/>
  <c r="Z24" i="6"/>
  <c r="AA24" i="6" s="1"/>
  <c r="AB24" i="6" s="1"/>
  <c r="T25" i="6"/>
  <c r="U8" i="6"/>
  <c r="AA8" i="6"/>
  <c r="AB8" i="6" s="1"/>
  <c r="Y19" i="6"/>
  <c r="T23" i="6"/>
  <c r="Y18" i="6"/>
  <c r="Y13" i="6"/>
  <c r="L21" i="6"/>
  <c r="Z18" i="6"/>
  <c r="AA18" i="6" s="1"/>
  <c r="AB18" i="6" s="1"/>
  <c r="Z13" i="6"/>
  <c r="AA13" i="6" s="1"/>
  <c r="AB13" i="6" s="1"/>
  <c r="Y23" i="6"/>
  <c r="Z12" i="6"/>
  <c r="AA12" i="6" s="1"/>
  <c r="AB12" i="6" s="1"/>
  <c r="U11" i="6"/>
  <c r="Y12" i="6"/>
  <c r="Z23" i="6"/>
  <c r="AA23" i="6" s="1"/>
  <c r="AB23" i="6" s="1"/>
  <c r="L7" i="2"/>
  <c r="L13" i="2"/>
  <c r="L24" i="2"/>
  <c r="L11" i="2"/>
  <c r="L21" i="2"/>
  <c r="L10" i="2"/>
  <c r="AA21" i="6"/>
  <c r="AB21" i="6" s="1"/>
  <c r="J29" i="6"/>
  <c r="J30" i="6"/>
  <c r="L20" i="6"/>
  <c r="K20" i="6"/>
  <c r="AA17" i="6"/>
  <c r="AB17" i="6" s="1"/>
  <c r="L8" i="6"/>
  <c r="L14" i="6"/>
  <c r="K14" i="6"/>
  <c r="L22" i="6"/>
  <c r="AA25" i="6"/>
  <c r="AB25" i="6" s="1"/>
  <c r="L10" i="6"/>
  <c r="K10" i="6"/>
  <c r="K9" i="6"/>
  <c r="AA11" i="6"/>
  <c r="AB11" i="6" s="1"/>
  <c r="J15" i="6"/>
  <c r="J16" i="6"/>
  <c r="T7" i="6"/>
  <c r="V7" i="6" s="1"/>
  <c r="T24" i="6"/>
  <c r="U7" i="6"/>
  <c r="U24" i="6"/>
  <c r="T9" i="6"/>
  <c r="V9" i="6" s="1"/>
  <c r="T29" i="6"/>
  <c r="T21" i="6"/>
  <c r="V21" i="6" s="1"/>
  <c r="U29" i="6"/>
  <c r="Y16" i="6"/>
  <c r="Z16" i="6"/>
  <c r="AA16" i="6" s="1"/>
  <c r="AB16" i="6" s="1"/>
  <c r="U21" i="6"/>
  <c r="U25" i="6"/>
  <c r="T14" i="6"/>
  <c r="V14" i="6" s="1"/>
  <c r="T13" i="6"/>
  <c r="V13" i="6" s="1"/>
  <c r="U14" i="6"/>
  <c r="T26" i="6"/>
  <c r="U9" i="6"/>
  <c r="Y14" i="6"/>
  <c r="U26" i="6"/>
  <c r="N8" i="2"/>
  <c r="Q9" i="2" s="1"/>
  <c r="K8" i="2"/>
  <c r="N23" i="2"/>
  <c r="Q19" i="2" s="1"/>
  <c r="K23" i="2"/>
  <c r="K9" i="2"/>
  <c r="N9" i="2"/>
  <c r="Q10" i="2" s="1"/>
  <c r="N14" i="2"/>
  <c r="Q15" i="2" s="1"/>
  <c r="K14" i="2"/>
  <c r="K25" i="2"/>
  <c r="N25" i="2"/>
  <c r="Q21" i="2" s="1"/>
  <c r="H16" i="2"/>
  <c r="L6" i="2"/>
  <c r="H15" i="2"/>
  <c r="J16" i="2"/>
  <c r="N6" i="2"/>
  <c r="K6" i="2"/>
  <c r="J15" i="2"/>
  <c r="L22" i="2"/>
  <c r="N27" i="2"/>
  <c r="Q23" i="2" s="1"/>
  <c r="K27" i="2"/>
  <c r="L20" i="2"/>
  <c r="H30" i="2"/>
  <c r="H29" i="2"/>
  <c r="N20" i="2"/>
  <c r="J30" i="2"/>
  <c r="K20" i="2"/>
  <c r="J29" i="2"/>
  <c r="N26" i="2"/>
  <c r="Q22" i="2" s="1"/>
  <c r="K26" i="2"/>
  <c r="N11" i="2"/>
  <c r="Q12" i="2" s="1"/>
  <c r="K11" i="2"/>
  <c r="N21" i="2"/>
  <c r="Q17" i="2" s="1"/>
  <c r="K21" i="2"/>
  <c r="L12" i="2"/>
  <c r="K22" i="2"/>
  <c r="N22" i="2"/>
  <c r="Q18" i="2" s="1"/>
  <c r="L28" i="2"/>
  <c r="L8" i="2"/>
  <c r="K12" i="2"/>
  <c r="N12" i="2"/>
  <c r="Q13" i="2" s="1"/>
  <c r="L23" i="2"/>
  <c r="K28" i="2"/>
  <c r="N28" i="2"/>
  <c r="Q24" i="2" s="1"/>
  <c r="K7" i="2"/>
  <c r="K10" i="2"/>
  <c r="K13" i="2"/>
  <c r="N24" i="2"/>
  <c r="Q20" i="2" s="1"/>
  <c r="H46" i="7"/>
  <c r="H45" i="7"/>
  <c r="E10" i="7"/>
  <c r="E8" i="7"/>
  <c r="AA35" i="7"/>
  <c r="G38" i="7"/>
  <c r="R41" i="7"/>
  <c r="S42" i="7"/>
  <c r="S52" i="7"/>
  <c r="G55" i="7"/>
  <c r="S58" i="7"/>
  <c r="AB35" i="7"/>
  <c r="O45" i="7"/>
  <c r="Y40" i="7" s="1"/>
  <c r="AB22" i="7"/>
  <c r="U26" i="7"/>
  <c r="P30" i="7"/>
  <c r="G37" i="7"/>
  <c r="I38" i="7"/>
  <c r="G44" i="7"/>
  <c r="Q45" i="7"/>
  <c r="D59" i="7"/>
  <c r="Y18" i="7"/>
  <c r="D46" i="7"/>
  <c r="G53" i="7"/>
  <c r="G36" i="7"/>
  <c r="G43" i="7"/>
  <c r="S50" i="7"/>
  <c r="U15" i="7"/>
  <c r="S30" i="7"/>
  <c r="R38" i="7"/>
  <c r="T50" i="7"/>
  <c r="R55" i="7"/>
  <c r="Q59" i="7"/>
  <c r="E26" i="7"/>
  <c r="J28" i="7"/>
  <c r="T30" i="7"/>
  <c r="G42" i="7"/>
  <c r="O46" i="7"/>
  <c r="G52" i="7"/>
  <c r="G60" i="7" s="1"/>
  <c r="G58" i="7"/>
  <c r="D60" i="7"/>
  <c r="AA19" i="7"/>
  <c r="R29" i="7"/>
  <c r="R37" i="7"/>
  <c r="G41" i="7"/>
  <c r="R44" i="7"/>
  <c r="R54" i="7"/>
  <c r="O59" i="7"/>
  <c r="Y41" i="7" s="1"/>
  <c r="AE9" i="17" l="1"/>
  <c r="AE16" i="17"/>
  <c r="AF9" i="17"/>
  <c r="AE3" i="17"/>
  <c r="AF16" i="17"/>
  <c r="AF18" i="17"/>
  <c r="AE14" i="17"/>
  <c r="AF7" i="17"/>
  <c r="AF3" i="17"/>
  <c r="AE18" i="17"/>
  <c r="AF20" i="17"/>
  <c r="AE20" i="17"/>
  <c r="AF14" i="17"/>
  <c r="S35" i="16"/>
  <c r="T35" i="16"/>
  <c r="K16" i="6"/>
  <c r="AE7" i="17"/>
  <c r="AF5" i="17"/>
  <c r="AE5" i="17"/>
  <c r="L15" i="6"/>
  <c r="K15" i="6"/>
  <c r="AB27" i="6"/>
  <c r="AB26" i="6"/>
  <c r="L16" i="6"/>
  <c r="L30" i="6"/>
  <c r="L29" i="6"/>
  <c r="K29" i="6"/>
  <c r="K30" i="6"/>
  <c r="U31" i="6"/>
  <c r="U30" i="6"/>
  <c r="U17" i="6"/>
  <c r="U16" i="6"/>
  <c r="L16" i="2"/>
  <c r="L15" i="2"/>
  <c r="L30" i="2"/>
  <c r="L29" i="2"/>
  <c r="K30" i="2"/>
  <c r="K29" i="2"/>
  <c r="N30" i="2"/>
  <c r="N29" i="2"/>
  <c r="Q16" i="2"/>
  <c r="K16" i="2"/>
  <c r="K15" i="2"/>
  <c r="N16" i="2"/>
  <c r="Q7" i="2"/>
  <c r="N15" i="2"/>
  <c r="U30" i="7"/>
  <c r="U29" i="7"/>
  <c r="G46" i="7"/>
  <c r="G45" i="7"/>
  <c r="G59" i="7"/>
  <c r="L33" i="6" l="1"/>
  <c r="Q26" i="2"/>
  <c r="Q25" i="2"/>
  <c r="Q27" i="2" s="1"/>
  <c r="J5" i="16"/>
  <c r="K5" i="16" s="1"/>
  <c r="L5" i="16"/>
  <c r="N5" i="16" s="1"/>
  <c r="O5" i="16" l="1"/>
  <c r="M5" i="16"/>
  <c r="S5" i="16" l="1"/>
  <c r="T5" i="16"/>
</calcChain>
</file>

<file path=xl/sharedStrings.xml><?xml version="1.0" encoding="utf-8"?>
<sst xmlns="http://schemas.openxmlformats.org/spreadsheetml/2006/main" count="2847" uniqueCount="756">
  <si>
    <t xml:space="preserve">May 2020- Aug 2022 Plant Samples from E26 </t>
  </si>
  <si>
    <t xml:space="preserve">Nicole's Master's Period </t>
  </si>
  <si>
    <t>Plant Procedure:</t>
  </si>
  <si>
    <t xml:space="preserve">QUESTIONS: </t>
  </si>
  <si>
    <t>1. Collect Samples</t>
  </si>
  <si>
    <t xml:space="preserve">2. Weight samples before oven drying them. </t>
  </si>
  <si>
    <t xml:space="preserve">3. Weigh samples after oven drying and record in a shared excel file. </t>
  </si>
  <si>
    <t xml:space="preserve">4. Collect a sub sample. </t>
  </si>
  <si>
    <t xml:space="preserve">5. Grind sub-samples, label and prepare to send. </t>
  </si>
  <si>
    <t>6. Send samples to commercial lab for C &amp; N analysis.</t>
  </si>
  <si>
    <t xml:space="preserve">7. Recieve data back! Nicole is interested in N data and Jacob is interested in C data. </t>
  </si>
  <si>
    <t xml:space="preserve">TBC = To be collected </t>
  </si>
  <si>
    <t>ND = No data (YET!)</t>
  </si>
  <si>
    <t>Plant Samples</t>
  </si>
  <si>
    <t>Next Steps:</t>
  </si>
  <si>
    <t>Sampling Date:</t>
  </si>
  <si>
    <t>DOY:</t>
  </si>
  <si>
    <t xml:space="preserve">Status: </t>
  </si>
  <si>
    <t>Current Location:</t>
  </si>
  <si>
    <t>Weigh Wet</t>
  </si>
  <si>
    <t>Weigh Dry</t>
  </si>
  <si>
    <t>Collect Sub-Sample</t>
  </si>
  <si>
    <t>Grind Sub-sample</t>
  </si>
  <si>
    <t xml:space="preserve">Send for C/N Analysis </t>
  </si>
  <si>
    <t>Data Recorded/Stored:</t>
  </si>
  <si>
    <t>Notes:</t>
  </si>
  <si>
    <t>Collected, dried, threshed, and weighed (wet &amp; dry).</t>
  </si>
  <si>
    <t>ALEX Room 113</t>
  </si>
  <si>
    <t>✓</t>
  </si>
  <si>
    <t xml:space="preserve">Weights recorded on shared excel file. </t>
  </si>
  <si>
    <t xml:space="preserve">Soybean collected at the end of season. </t>
  </si>
  <si>
    <t xml:space="preserve">Collected, dried, weighed (wet &amp; dry), and stored. </t>
  </si>
  <si>
    <t xml:space="preserve">Shared Excel File </t>
  </si>
  <si>
    <t xml:space="preserve">Cover crop stover collected weighed and dried, pre-winter. </t>
  </si>
  <si>
    <t xml:space="preserve">Raddish root bodies collected, weighed and dried. </t>
  </si>
  <si>
    <t xml:space="preserve">Sampled cover crops the spring before they're terminated to plant corn. The cover crops where about 35Cm tall when terminated and not given much time to metabolize the herbicide before they were cultivated  into the soil. We'll see how this goes. </t>
  </si>
  <si>
    <t xml:space="preserve">Year  </t>
  </si>
  <si>
    <t>Collection date</t>
  </si>
  <si>
    <t xml:space="preserve">Sample ID # </t>
  </si>
  <si>
    <t>Plot #</t>
  </si>
  <si>
    <t>Subplot #</t>
  </si>
  <si>
    <t>Wet Weight (g)</t>
  </si>
  <si>
    <t xml:space="preserve">May 2020- Aug 2022 Crop Samples from E26 </t>
  </si>
  <si>
    <t>DOY</t>
  </si>
  <si>
    <t>Subplot #/Microplot</t>
  </si>
  <si>
    <t>Grain Weight (g)</t>
  </si>
  <si>
    <t xml:space="preserve">Plot </t>
  </si>
  <si>
    <t>Subplot</t>
  </si>
  <si>
    <t>Sample Wet Weight (g)</t>
  </si>
  <si>
    <t xml:space="preserve">Sample Dry Weight (g) </t>
  </si>
  <si>
    <t xml:space="preserve">Collected, dried, weighed (wet &amp; dry),sub-sampled  and stored. </t>
  </si>
  <si>
    <t xml:space="preserve">Redry (post Mold Weight) (g) </t>
  </si>
  <si>
    <t>DES</t>
  </si>
  <si>
    <t>Part</t>
  </si>
  <si>
    <t>A</t>
  </si>
  <si>
    <t>B</t>
  </si>
  <si>
    <t>3 plants</t>
  </si>
  <si>
    <t>Sub-Sample Dry Weight (g)</t>
  </si>
  <si>
    <t>Sub-Sample RE-DRIED Weight (g)</t>
  </si>
  <si>
    <t xml:space="preserve">Post Mold </t>
  </si>
  <si>
    <t xml:space="preserve">Wheat harvestest. </t>
  </si>
  <si>
    <t>23-Jun-21 *</t>
  </si>
  <si>
    <t>July 20 &amp; 21 *</t>
  </si>
  <si>
    <t>Sample ID</t>
  </si>
  <si>
    <t>Year</t>
  </si>
  <si>
    <t xml:space="preserve">Crop </t>
  </si>
  <si>
    <t>Plot</t>
  </si>
  <si>
    <t>20-1</t>
  </si>
  <si>
    <t>Soy</t>
  </si>
  <si>
    <t>P1-1</t>
  </si>
  <si>
    <t>20-2</t>
  </si>
  <si>
    <t>P1-2</t>
  </si>
  <si>
    <t>20-3</t>
  </si>
  <si>
    <t>P1-3</t>
  </si>
  <si>
    <t>20-4</t>
  </si>
  <si>
    <t>P1-4</t>
  </si>
  <si>
    <t>20-5</t>
  </si>
  <si>
    <t>P1-5</t>
  </si>
  <si>
    <t>20-6</t>
  </si>
  <si>
    <t>P1-6</t>
  </si>
  <si>
    <t>20-7</t>
  </si>
  <si>
    <t>P1-7</t>
  </si>
  <si>
    <t>20-8</t>
  </si>
  <si>
    <t>P1-8</t>
  </si>
  <si>
    <t>20-9</t>
  </si>
  <si>
    <t>P1-9</t>
  </si>
  <si>
    <t>20-10</t>
  </si>
  <si>
    <t>P2-1</t>
  </si>
  <si>
    <t>20-11</t>
  </si>
  <si>
    <t>P2-2</t>
  </si>
  <si>
    <t>20-12</t>
  </si>
  <si>
    <t>P2-3</t>
  </si>
  <si>
    <t>20-13</t>
  </si>
  <si>
    <t>P2-4</t>
  </si>
  <si>
    <t>20-14</t>
  </si>
  <si>
    <t>P2-5</t>
  </si>
  <si>
    <t>20-15</t>
  </si>
  <si>
    <t>P2-6</t>
  </si>
  <si>
    <t>20-16</t>
  </si>
  <si>
    <t>P2-7</t>
  </si>
  <si>
    <t>20-17</t>
  </si>
  <si>
    <t>P2-8</t>
  </si>
  <si>
    <t>20-18</t>
  </si>
  <si>
    <t>P2-9</t>
  </si>
  <si>
    <t>20-19</t>
  </si>
  <si>
    <t>W. Wheat</t>
  </si>
  <si>
    <t>P3-1</t>
  </si>
  <si>
    <t>20-20</t>
  </si>
  <si>
    <t>P3-2</t>
  </si>
  <si>
    <t>20-21</t>
  </si>
  <si>
    <t>P3-3</t>
  </si>
  <si>
    <t>20-22</t>
  </si>
  <si>
    <t>P3-4</t>
  </si>
  <si>
    <t>20-23</t>
  </si>
  <si>
    <t>P3-5</t>
  </si>
  <si>
    <t>20-24</t>
  </si>
  <si>
    <t>P3-6</t>
  </si>
  <si>
    <t>20-25</t>
  </si>
  <si>
    <t>P3-7</t>
  </si>
  <si>
    <t>20-26</t>
  </si>
  <si>
    <t>P3-8</t>
  </si>
  <si>
    <t>20-27</t>
  </si>
  <si>
    <t>P3-9</t>
  </si>
  <si>
    <t>20-28</t>
  </si>
  <si>
    <t>P4-1</t>
  </si>
  <si>
    <t>20-29</t>
  </si>
  <si>
    <t>P4-2</t>
  </si>
  <si>
    <t>20-30</t>
  </si>
  <si>
    <t>P4-3</t>
  </si>
  <si>
    <t>20-31</t>
  </si>
  <si>
    <t>P4-4</t>
  </si>
  <si>
    <t>20-32</t>
  </si>
  <si>
    <t>P4-5</t>
  </si>
  <si>
    <t>20-33</t>
  </si>
  <si>
    <t>P4-6</t>
  </si>
  <si>
    <t>20-34</t>
  </si>
  <si>
    <t>P4-7</t>
  </si>
  <si>
    <t>20-35</t>
  </si>
  <si>
    <t>P4-8</t>
  </si>
  <si>
    <t>20-36</t>
  </si>
  <si>
    <t>P4-9</t>
  </si>
  <si>
    <t>21-37</t>
  </si>
  <si>
    <t>Corn</t>
  </si>
  <si>
    <t>21-38</t>
  </si>
  <si>
    <t>21-39</t>
  </si>
  <si>
    <t>21-40</t>
  </si>
  <si>
    <t>21-41</t>
  </si>
  <si>
    <t>21-42</t>
  </si>
  <si>
    <t>21-43</t>
  </si>
  <si>
    <t>21-44</t>
  </si>
  <si>
    <t>21-45</t>
  </si>
  <si>
    <t>21-46</t>
  </si>
  <si>
    <t>P1-11</t>
  </si>
  <si>
    <t>21-47</t>
  </si>
  <si>
    <t>P1-12</t>
  </si>
  <si>
    <t>21-48</t>
  </si>
  <si>
    <t>P1-13</t>
  </si>
  <si>
    <t>21-49</t>
  </si>
  <si>
    <t>21-50</t>
  </si>
  <si>
    <t>21-51</t>
  </si>
  <si>
    <t>21-52</t>
  </si>
  <si>
    <t>21-53</t>
  </si>
  <si>
    <t>21-54</t>
  </si>
  <si>
    <t>21-55</t>
  </si>
  <si>
    <t>21-56</t>
  </si>
  <si>
    <t>21-57</t>
  </si>
  <si>
    <t>21-58</t>
  </si>
  <si>
    <t>P2-11</t>
  </si>
  <si>
    <t>21-59</t>
  </si>
  <si>
    <t>P2-12</t>
  </si>
  <si>
    <t>21-60</t>
  </si>
  <si>
    <t>P2-13</t>
  </si>
  <si>
    <t>21-61</t>
  </si>
  <si>
    <t>21-62</t>
  </si>
  <si>
    <t>21-63</t>
  </si>
  <si>
    <t>21-64</t>
  </si>
  <si>
    <t>21-65</t>
  </si>
  <si>
    <t>21-66</t>
  </si>
  <si>
    <t>21-67</t>
  </si>
  <si>
    <t>21-68</t>
  </si>
  <si>
    <t>21-69</t>
  </si>
  <si>
    <t>21-70</t>
  </si>
  <si>
    <t>P3-11</t>
  </si>
  <si>
    <t>21-71</t>
  </si>
  <si>
    <t>P3-12</t>
  </si>
  <si>
    <t>21-72</t>
  </si>
  <si>
    <t>P3-13</t>
  </si>
  <si>
    <t>21-73</t>
  </si>
  <si>
    <t>21-74</t>
  </si>
  <si>
    <t>21-75</t>
  </si>
  <si>
    <t>21-76</t>
  </si>
  <si>
    <t>21-77</t>
  </si>
  <si>
    <t>21-78</t>
  </si>
  <si>
    <t>21-79</t>
  </si>
  <si>
    <t>21-80</t>
  </si>
  <si>
    <t>21-81</t>
  </si>
  <si>
    <t>21-82</t>
  </si>
  <si>
    <t>P4-11</t>
  </si>
  <si>
    <t>21-83</t>
  </si>
  <si>
    <t>P4-12</t>
  </si>
  <si>
    <t>21-84</t>
  </si>
  <si>
    <t>P4-13</t>
  </si>
  <si>
    <t>20-85</t>
  </si>
  <si>
    <t>20-86</t>
  </si>
  <si>
    <t>20-87</t>
  </si>
  <si>
    <t>20-88</t>
  </si>
  <si>
    <t>20-89</t>
  </si>
  <si>
    <t>20-90</t>
  </si>
  <si>
    <t>20-91</t>
  </si>
  <si>
    <t>20-92</t>
  </si>
  <si>
    <t>20-93</t>
  </si>
  <si>
    <t>20-94</t>
  </si>
  <si>
    <t>20-95</t>
  </si>
  <si>
    <t>20-96</t>
  </si>
  <si>
    <t>20-97</t>
  </si>
  <si>
    <t>20-98</t>
  </si>
  <si>
    <t>20-99</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</si>
  <si>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</si>
  <si>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</si>
  <si>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</si>
  <si>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</si>
  <si>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</si>
  <si>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</si>
  <si>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</si>
  <si>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</si>
  <si>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</si>
  <si>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</si>
  <si>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</si>
  <si>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</si>
  <si>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</si>
  <si>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</si>
  <si>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</si>
  <si>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</si>
  <si>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</si>
  <si>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</si>
  <si>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</si>
  <si>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</si>
  <si>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</si>
  <si>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</si>
  <si>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Cover Crops</t>
  </si>
  <si>
    <t>20-122</t>
  </si>
  <si>
    <t>20-123</t>
  </si>
  <si>
    <t>20-124</t>
  </si>
  <si>
    <t>20-125</t>
  </si>
  <si>
    <t>20-126</t>
  </si>
  <si>
    <t>20-127</t>
  </si>
  <si>
    <t>20-128</t>
  </si>
  <si>
    <t>20-129</t>
  </si>
  <si>
    <t>20-130</t>
  </si>
  <si>
    <t>20-131</t>
  </si>
  <si>
    <t>20-132</t>
  </si>
  <si>
    <t>20-133</t>
  </si>
  <si>
    <t>20-134</t>
  </si>
  <si>
    <t>20-135</t>
  </si>
  <si>
    <t>20-136</t>
  </si>
  <si>
    <t>20-137</t>
  </si>
  <si>
    <t>20-138</t>
  </si>
  <si>
    <t>20-139</t>
  </si>
  <si>
    <t>D. Raddish</t>
  </si>
  <si>
    <t>20-140</t>
  </si>
  <si>
    <t>20-141</t>
  </si>
  <si>
    <t>20-142</t>
  </si>
  <si>
    <t>20-143</t>
  </si>
  <si>
    <t>20-144</t>
  </si>
  <si>
    <t>20-145</t>
  </si>
  <si>
    <t>20-146</t>
  </si>
  <si>
    <t>20-147</t>
  </si>
  <si>
    <t>20-148</t>
  </si>
  <si>
    <t>20-149</t>
  </si>
  <si>
    <t>20-150</t>
  </si>
  <si>
    <t>20-151</t>
  </si>
  <si>
    <t>20-152</t>
  </si>
  <si>
    <t>20-153</t>
  </si>
  <si>
    <t>20-154</t>
  </si>
  <si>
    <t>20-155</t>
  </si>
  <si>
    <t>20-156</t>
  </si>
  <si>
    <t>20-157</t>
  </si>
  <si>
    <t>20-158</t>
  </si>
  <si>
    <t>20-159</t>
  </si>
  <si>
    <t>20-160</t>
  </si>
  <si>
    <t>20-161</t>
  </si>
  <si>
    <t>20-162</t>
  </si>
  <si>
    <t>P3/4-1</t>
  </si>
  <si>
    <t>P3/4-2</t>
  </si>
  <si>
    <t>P3/4-3</t>
  </si>
  <si>
    <t>P3/4-4</t>
  </si>
  <si>
    <t>P3/4-5</t>
  </si>
  <si>
    <t>P3/4-6</t>
  </si>
  <si>
    <t>21-169</t>
  </si>
  <si>
    <t>P3/4-7</t>
  </si>
  <si>
    <t>21-170</t>
  </si>
  <si>
    <t>P3/4-8</t>
  </si>
  <si>
    <t>21-171</t>
  </si>
  <si>
    <t>P3/4-9</t>
  </si>
  <si>
    <t>21-172</t>
  </si>
  <si>
    <t xml:space="preserve">Corn </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</si>
  <si>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</si>
  <si>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</si>
  <si>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</si>
  <si>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</si>
  <si>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</si>
  <si>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</si>
  <si>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</si>
  <si>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</si>
  <si>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</si>
  <si>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</si>
  <si>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</si>
  <si>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</si>
  <si>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</si>
  <si>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</si>
  <si>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</si>
  <si>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</si>
  <si>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</si>
  <si>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</si>
  <si>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</si>
  <si>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</si>
  <si>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</si>
  <si>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</si>
  <si>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</si>
  <si>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</si>
  <si>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</si>
  <si>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</si>
  <si>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</si>
  <si>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</si>
  <si>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</si>
  <si>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</si>
  <si>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</si>
  <si>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</si>
  <si>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</si>
  <si>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</si>
  <si>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</si>
  <si>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</si>
  <si>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</si>
  <si>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</si>
  <si>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</si>
  <si>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</si>
  <si>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</si>
  <si>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</si>
  <si>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</si>
  <si>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</si>
  <si>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</si>
  <si>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</si>
  <si>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</si>
  <si>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</si>
  <si>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</si>
  <si>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</si>
  <si>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</si>
  <si>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</si>
  <si>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</si>
  <si>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</si>
  <si>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</si>
  <si>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</si>
  <si>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</si>
  <si>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</si>
  <si>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</si>
  <si>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</si>
  <si>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</si>
  <si>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</si>
  <si>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</si>
  <si>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</si>
  <si>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</si>
  <si>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</si>
  <si>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</si>
  <si>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</si>
  <si>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</si>
  <si>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</si>
  <si>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</si>
  <si>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</si>
  <si>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</si>
  <si>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</si>
  <si>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</si>
  <si>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</si>
  <si>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</si>
  <si>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</si>
  <si>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&lt;- GRAIN</t>
  </si>
  <si>
    <t>CC &amp; RESIDUE -&gt;</t>
  </si>
  <si>
    <t>3 &amp; 4</t>
  </si>
  <si>
    <t xml:space="preserve">Cover crops were sampled before their termination in Spring 2021. </t>
  </si>
  <si>
    <t xml:space="preserve">Winter Wheat was sampled from E26 prior to harvest (from plots 3 &amp; 4). </t>
  </si>
  <si>
    <t xml:space="preserve">Soybeans were sampled prior to harvest (from plots 1 &amp; 2). </t>
  </si>
  <si>
    <t xml:space="preserve">Corn was sampled just before pollen drop with the same procedure as harvest without a shredder. </t>
  </si>
  <si>
    <t>Sampled:29/07/2020</t>
  </si>
  <si>
    <t>Crop: Winterwheat</t>
  </si>
  <si>
    <t>Average Bag wt I</t>
  </si>
  <si>
    <t>wheat stubble were sampled and added to the wheat samples</t>
  </si>
  <si>
    <r>
      <t>0.5m</t>
    </r>
    <r>
      <rPr>
        <b/>
        <vertAlign val="superscript"/>
        <sz val="16"/>
        <color theme="1"/>
        <rFont val="Calibri"/>
        <family val="2"/>
        <scheme val="minor"/>
      </rPr>
      <t>2</t>
    </r>
  </si>
  <si>
    <t>Total</t>
  </si>
  <si>
    <t>Average Bag wt II</t>
  </si>
  <si>
    <t>Sample</t>
  </si>
  <si>
    <t>Fresh Wt (g)</t>
  </si>
  <si>
    <t>Dry Wt (g)</t>
  </si>
  <si>
    <t>Fresh wt(g)-Bag</t>
  </si>
  <si>
    <t>net Dry Wt (g)</t>
  </si>
  <si>
    <t>Dry yield (kg/ha)</t>
  </si>
  <si>
    <t xml:space="preserve">Moisture (%) </t>
  </si>
  <si>
    <t>Wheat Stubble</t>
  </si>
  <si>
    <t>Fresh wt(g)</t>
  </si>
  <si>
    <t xml:space="preserve"> Dry wt(g)</t>
  </si>
  <si>
    <t>net Dry wt(g)</t>
  </si>
  <si>
    <t>Fresh yield (kg/ha)</t>
  </si>
  <si>
    <t>net fresh wt</t>
  </si>
  <si>
    <t>net dry</t>
  </si>
  <si>
    <t>At 15% M</t>
  </si>
  <si>
    <t>ignore cell</t>
  </si>
  <si>
    <t>Average (g/m2)</t>
  </si>
  <si>
    <t>Stderror</t>
  </si>
  <si>
    <t>Dry Wt (g)-Bag</t>
  </si>
  <si>
    <t>Avg</t>
  </si>
  <si>
    <t>Ster</t>
  </si>
  <si>
    <t>at 15% M</t>
  </si>
  <si>
    <t>sample</t>
  </si>
  <si>
    <t>15%M</t>
  </si>
  <si>
    <t>ster</t>
  </si>
  <si>
    <t>Crop:  Covercrops</t>
  </si>
  <si>
    <t>Three different bagging</t>
  </si>
  <si>
    <t>Bag1</t>
  </si>
  <si>
    <t>Bag weight2</t>
  </si>
  <si>
    <t>Covercrops (CC) include Raddish(R), Rye grass (G), Oats (O), Clover (C). WS stands for wheat stubble; Only CC+WS-R and CC-WS-R was oven dried</t>
  </si>
  <si>
    <t>per 1m2</t>
  </si>
  <si>
    <t>Bag weight3</t>
  </si>
  <si>
    <t>Fresh Wt(g)</t>
  </si>
  <si>
    <t>Dry Wt(g)</t>
  </si>
  <si>
    <t>Wheat Stubble (WS)</t>
  </si>
  <si>
    <t>12 random raddish plant across study site (P3 and P4) below</t>
  </si>
  <si>
    <t>Sample per 1m2</t>
  </si>
  <si>
    <t>CC+WS</t>
  </si>
  <si>
    <t>CC+WS-R</t>
  </si>
  <si>
    <t>net CC+WS-R</t>
  </si>
  <si>
    <t>CC-WS-R</t>
  </si>
  <si>
    <t>net CC-WS-R</t>
  </si>
  <si>
    <t>net dry wt (g)</t>
  </si>
  <si>
    <t>subtract wheat stubble</t>
  </si>
  <si>
    <t>Sample per m2</t>
  </si>
  <si>
    <t>Net fresh wt(g)</t>
  </si>
  <si>
    <t>net dry wt(g)</t>
  </si>
  <si>
    <t>Taproot</t>
  </si>
  <si>
    <t>net Fresh wt(g)</t>
  </si>
  <si>
    <t>Average (g/plant)</t>
  </si>
  <si>
    <t>Shoot</t>
  </si>
  <si>
    <t>Raddish samples below include all raddish above ground. i.e. shoot + part of taproot above the soil</t>
  </si>
  <si>
    <t>Raddish Root</t>
  </si>
  <si>
    <t>Raddish Shoot</t>
  </si>
  <si>
    <t>net Fresh wt (g)</t>
  </si>
  <si>
    <t>net dry weight (g)</t>
  </si>
  <si>
    <t>net fresh wt(g)</t>
  </si>
  <si>
    <t>net Dry wt (g)</t>
  </si>
  <si>
    <t>Estimation of plant shoot per m2 of quadrant</t>
  </si>
  <si>
    <t>P3</t>
  </si>
  <si>
    <t>P4</t>
  </si>
  <si>
    <t>Sampled: 09 &amp; 11/11/2020</t>
  </si>
  <si>
    <t xml:space="preserve">Analysis completed by Jacob Evans. </t>
  </si>
  <si>
    <t xml:space="preserve">Stover analysis Completed by Jacob Evans. </t>
  </si>
  <si>
    <t>Stover Analysis Completed by Jacob Evans.</t>
  </si>
  <si>
    <t xml:space="preserve">Grain Analysis completed by Nicole Menheere. </t>
  </si>
  <si>
    <t xml:space="preserve">Bag Weight(g): </t>
  </si>
  <si>
    <t>Yield @ 15% Moisture</t>
  </si>
  <si>
    <t xml:space="preserve">Wet - Bag Weight (g) </t>
  </si>
  <si>
    <t xml:space="preserve">Dry - Bag Weight (g) </t>
  </si>
  <si>
    <t xml:space="preserve">REDRIED - Bag  Weight (g) </t>
  </si>
  <si>
    <t xml:space="preserve">Bag Weight (g): </t>
  </si>
  <si>
    <t xml:space="preserve">Grain Bag Weight (g) = </t>
  </si>
  <si>
    <t xml:space="preserve">Rye Bag Weight (g) = </t>
  </si>
  <si>
    <t xml:space="preserve">Stover Bag Weight (g) = </t>
  </si>
  <si>
    <t>46g</t>
  </si>
  <si>
    <t xml:space="preserve">Grain - Bag Weight (g) </t>
  </si>
  <si>
    <t>Stover Weight (g)</t>
  </si>
  <si>
    <t>Area Sampled:</t>
  </si>
  <si>
    <t xml:space="preserve">Dry Yield (kg/ha) </t>
  </si>
  <si>
    <t xml:space="preserve">Yield @ 15% Moisture (kg/ha) </t>
  </si>
  <si>
    <t>Yield (kg/ha)</t>
  </si>
  <si>
    <t>Yield @ 15% Moisture (kg/ha)</t>
  </si>
  <si>
    <t xml:space="preserve">Grain Bag Weight (g) </t>
  </si>
  <si>
    <t>Grain Bag Weight</t>
  </si>
  <si>
    <t>Stover Bag Weight</t>
  </si>
  <si>
    <t xml:space="preserve">Moisture Content (%) </t>
  </si>
  <si>
    <t>Collection DOY</t>
  </si>
  <si>
    <t xml:space="preserve">Rye Wet Weight (g) </t>
  </si>
  <si>
    <t>Clover Wet Weight (g)</t>
  </si>
  <si>
    <t>Weeds Wet Weight (g)</t>
  </si>
  <si>
    <t xml:space="preserve">Rye Dry Weight (g) </t>
  </si>
  <si>
    <t>Clover Dry Weight (g)</t>
  </si>
  <si>
    <t xml:space="preserve">Weeds Dry Weight (g) </t>
  </si>
  <si>
    <t># of Plants</t>
  </si>
  <si>
    <t># of Cobs</t>
  </si>
  <si>
    <t xml:space="preserve">Wet Cob Weight (g) </t>
  </si>
  <si>
    <t xml:space="preserve">Dried Grain Weight (g) </t>
  </si>
  <si>
    <t xml:space="preserve">Grain bag broke in Ovens. </t>
  </si>
  <si>
    <t>292-293</t>
  </si>
  <si>
    <t>201-202</t>
  </si>
  <si>
    <t>October 19 &amp; 20</t>
  </si>
  <si>
    <t>Collected, dried, de-kernelled, and weighed (wet &amp; dry).</t>
  </si>
  <si>
    <t>Harvest Sample, also sampled CC. DID NOT sample cc again before winter due to lack of growth.</t>
  </si>
  <si>
    <t>g</t>
  </si>
  <si>
    <t>Fresh Yield (kg/ha)</t>
  </si>
  <si>
    <t>% Moisture</t>
  </si>
  <si>
    <t xml:space="preserve">Bag Weight </t>
  </si>
  <si>
    <t xml:space="preserve">Cob Bag &amp; Zip Weight (g) </t>
  </si>
  <si>
    <t>Dried Cob -  (bag + zip tye) weight (g)</t>
  </si>
  <si>
    <t xml:space="preserve">Dried Grain - Bag Weight - Corn Cob  (g) </t>
  </si>
  <si>
    <t>BIOMASS</t>
  </si>
  <si>
    <t>GRAIN</t>
  </si>
  <si>
    <t>Whole Sample Wet Weight (g)</t>
  </si>
  <si>
    <t xml:space="preserve">Sample Weight (g) </t>
  </si>
  <si>
    <t>(X*0.36744)/2</t>
  </si>
  <si>
    <t>"DES" = Destroyed by Mold</t>
  </si>
  <si>
    <t>SAMPLE ID</t>
  </si>
  <si>
    <t>21-163</t>
  </si>
  <si>
    <t>21-164</t>
  </si>
  <si>
    <t>21-165</t>
  </si>
  <si>
    <t>21-166</t>
  </si>
  <si>
    <t xml:space="preserve">Clover &amp;Weeds bag Weight (g) = </t>
  </si>
  <si>
    <t>Cover Crops - Weeds</t>
  </si>
  <si>
    <t>Cover Crops - Clover</t>
  </si>
  <si>
    <t>Cover Crops - Rye</t>
  </si>
  <si>
    <t>Whole Wet Weight (g)</t>
  </si>
  <si>
    <t>21-1</t>
  </si>
  <si>
    <t>21-2</t>
  </si>
  <si>
    <t>21-3</t>
  </si>
  <si>
    <t>21-4</t>
  </si>
  <si>
    <t>21-5</t>
  </si>
  <si>
    <t>21-6</t>
  </si>
  <si>
    <t>21-7</t>
  </si>
  <si>
    <t>21-8</t>
  </si>
  <si>
    <t>21-9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</si>
  <si>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</si>
  <si>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</si>
  <si>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</si>
  <si>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</si>
  <si>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</si>
  <si>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</si>
  <si>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</si>
  <si>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</si>
  <si>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</si>
  <si>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</si>
  <si>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</si>
  <si>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</si>
  <si>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</si>
  <si>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</si>
  <si>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</si>
  <si>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</si>
  <si>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</si>
  <si>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</si>
  <si>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</si>
  <si>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</si>
  <si>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</si>
  <si>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</si>
  <si>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</si>
  <si>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</si>
  <si>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</si>
  <si>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</si>
  <si>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</si>
  <si>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21-85</t>
  </si>
  <si>
    <t>21-86</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</si>
  <si>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</si>
  <si>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</si>
  <si>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</si>
  <si>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</si>
  <si>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</si>
  <si>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</si>
  <si>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</si>
  <si>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</si>
  <si>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</si>
  <si>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</si>
  <si>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</si>
  <si>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</si>
  <si>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</si>
  <si>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</si>
  <si>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</si>
  <si>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</si>
  <si>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</si>
  <si>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</si>
  <si>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</si>
  <si>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</si>
  <si>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</si>
  <si>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</si>
  <si>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</si>
  <si>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</si>
  <si>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</si>
  <si>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</si>
  <si>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</si>
  <si>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</si>
  <si>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</si>
  <si>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</si>
  <si>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</si>
  <si>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</si>
  <si>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</si>
  <si>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</si>
  <si>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</si>
  <si>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</si>
  <si>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</si>
  <si>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</si>
  <si>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</si>
  <si>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</si>
  <si>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</si>
  <si>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</si>
  <si>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</si>
  <si>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</si>
  <si>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</si>
  <si>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</si>
  <si>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</si>
  <si>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</si>
  <si>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</si>
  <si>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</si>
  <si>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</si>
  <si>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</si>
  <si>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</si>
  <si>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</si>
  <si>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</si>
  <si>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</si>
  <si>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</si>
  <si>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</si>
  <si>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</si>
  <si>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</si>
  <si>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</si>
  <si>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</si>
  <si>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</si>
  <si>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</si>
  <si>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</si>
  <si>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</si>
  <si>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</si>
  <si>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</si>
  <si>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</si>
  <si>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</si>
  <si>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</si>
  <si>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</si>
  <si>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</si>
  <si>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</si>
  <si>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</si>
  <si>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</si>
  <si>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21-167</t>
  </si>
  <si>
    <t>21-168</t>
  </si>
  <si>
    <t>Grain Bag + Cob Bag + Zip Tie Weight (g)</t>
  </si>
  <si>
    <t>Collectiopn DOY</t>
  </si>
  <si>
    <t>s</t>
  </si>
  <si>
    <t>WEEDS</t>
  </si>
  <si>
    <t>CLOVER</t>
  </si>
  <si>
    <t>RYE</t>
  </si>
  <si>
    <t>Dried Cob Weight (g) [NO GRAIN]</t>
  </si>
  <si>
    <t xml:space="preserve">Wet Cob - Bag Weight (g) </t>
  </si>
  <si>
    <t>BAG WEIGHTS ALREADY SUBTRACTED</t>
  </si>
  <si>
    <t xml:space="preserve">Moisture Loss (g) </t>
  </si>
  <si>
    <t xml:space="preserve">Bag Weight (g) = </t>
  </si>
  <si>
    <t>Dry Yield (kg/ha)</t>
  </si>
  <si>
    <t>Dry - Bag (g)</t>
  </si>
  <si>
    <t xml:space="preserve">Dry Weight (g) </t>
  </si>
  <si>
    <t xml:space="preserve">Wet -Bag Weight (g) </t>
  </si>
  <si>
    <t>*MOLDY</t>
  </si>
  <si>
    <t>Corn was sampled just prior to pollen drop.*</t>
  </si>
  <si>
    <t>Corn was sampled about 1 week post fertilization while CC were being interseeded into P3&amp;P4.*</t>
  </si>
  <si>
    <t xml:space="preserve">Samples leaked on in lab leak, so they were moved to a humid shed. The samples ended up moldy and some were destroyed. </t>
  </si>
  <si>
    <t xml:space="preserve">WET Samples Combined Weight (g) </t>
  </si>
  <si>
    <t xml:space="preserve">DRY Sample Combined Weight (g) </t>
  </si>
  <si>
    <t xml:space="preserve">Moisture loss (g) </t>
  </si>
  <si>
    <t xml:space="preserve">% Moisture </t>
  </si>
  <si>
    <t xml:space="preserve">Weeds Wet -Bag Weight (g) </t>
  </si>
  <si>
    <t xml:space="preserve">Weeds Dry - Bag Weight (g) </t>
  </si>
  <si>
    <t>WET Clover - bag Weight (g)</t>
  </si>
  <si>
    <t xml:space="preserve">WET Rye - Bag Weight (g) </t>
  </si>
  <si>
    <t>DRY Clover - Bag Weight (g)</t>
  </si>
  <si>
    <t xml:space="preserve">DRY Rye - Bag Weight (g) </t>
  </si>
  <si>
    <t>Yield Calculation for (kg/ha)</t>
  </si>
  <si>
    <t>(X/1000)/(1/10000)</t>
  </si>
  <si>
    <t>(X/1000)/0.0001</t>
  </si>
  <si>
    <t>[X(g/m^2)/1000()]/[1()/10000()]</t>
  </si>
  <si>
    <t xml:space="preserve">DRY Sample - Bag Weight (g) </t>
  </si>
  <si>
    <t>Yield (kg/ha) Corrected to 15% Moisture</t>
  </si>
  <si>
    <t>Yield (KG/HA) Corrected to 15% Moisture</t>
  </si>
  <si>
    <t xml:space="preserve">Dry Sample Weight (g/m2) </t>
  </si>
  <si>
    <t xml:space="preserve">AVG Dry Yield for whole plot = </t>
  </si>
  <si>
    <t>215.18bu/ac</t>
  </si>
  <si>
    <t>1-0N</t>
  </si>
  <si>
    <t>2-0N</t>
  </si>
  <si>
    <t>3-0N</t>
  </si>
  <si>
    <t>4-0N</t>
  </si>
  <si>
    <t>AVG Dry Yield in ONT =</t>
  </si>
  <si>
    <t>175.2 bu/acre</t>
  </si>
  <si>
    <t xml:space="preserve">Kg corn / bushel = </t>
  </si>
  <si>
    <t>Dry Yield (tones/ha)</t>
  </si>
  <si>
    <t>AVG Dry Yield  (tones/ha)</t>
  </si>
  <si>
    <t>SD</t>
  </si>
  <si>
    <t>Yield (tons/ha) Corrected to 15% Moisture</t>
  </si>
  <si>
    <t>Yield (tons/ha)</t>
  </si>
  <si>
    <t>Yield Average (tons/ha)</t>
  </si>
  <si>
    <t>1 kg = (1/1000)tons</t>
  </si>
  <si>
    <t>Yield @ 15% Moisture (tons/ha)2</t>
  </si>
  <si>
    <t>Diverse</t>
  </si>
  <si>
    <t>Diverse-0N</t>
  </si>
  <si>
    <t>Diverse+NUI</t>
  </si>
  <si>
    <t xml:space="preserve">Diverse-0N-NUI </t>
  </si>
  <si>
    <t>Conventional-0N</t>
  </si>
  <si>
    <t>Conventnional+NUI</t>
  </si>
  <si>
    <t>Conventnional-0N-NUI</t>
  </si>
  <si>
    <t>Plot Yield Avg (tons/ha)</t>
  </si>
  <si>
    <t>Conventional</t>
  </si>
  <si>
    <t>Field</t>
  </si>
  <si>
    <t>Standard Deviation</t>
  </si>
  <si>
    <t>Yield @ 15% Moisture (tons/ha)</t>
  </si>
  <si>
    <t>AVG</t>
  </si>
  <si>
    <t>PLot</t>
  </si>
  <si>
    <t>Dry Avg (tons/ha)</t>
  </si>
  <si>
    <t>Dry Yield (tons/ha)</t>
  </si>
  <si>
    <t>15% Moisture Avg (tons/ha)</t>
  </si>
  <si>
    <t>Grain</t>
  </si>
  <si>
    <t>Dry Average (tons/ha)</t>
  </si>
  <si>
    <t>Treatment</t>
  </si>
  <si>
    <t>Moist Yield Avgerage (tons/ha)</t>
  </si>
  <si>
    <t>Dry Yield Average (tons/ha)</t>
  </si>
  <si>
    <t>NA</t>
  </si>
  <si>
    <t>Moist Avg (tons/ha)</t>
  </si>
  <si>
    <t>Moist Average (tons/ha)</t>
  </si>
  <si>
    <t>(tons/ha)</t>
  </si>
  <si>
    <t>Dry (tons/ha)</t>
  </si>
  <si>
    <t>Corected to 15% Moisture</t>
  </si>
  <si>
    <t>% Rye</t>
  </si>
  <si>
    <t xml:space="preserve">% Clover </t>
  </si>
  <si>
    <t>% Weeds</t>
  </si>
  <si>
    <t xml:space="preserve">Clover Dry Weight (tons/ha) </t>
  </si>
  <si>
    <t>Weeds Dry Weight (tons/ha)</t>
  </si>
  <si>
    <t>ALL Cover Crop Biomass (tons/ha)</t>
  </si>
  <si>
    <t>Rye dry Weight (tons/ha)</t>
  </si>
  <si>
    <t>Rotation</t>
  </si>
  <si>
    <t>Fertilized Yield (tons/ha)</t>
  </si>
  <si>
    <t xml:space="preserve">0N yield </t>
  </si>
  <si>
    <t>0N yield (tons/ha)</t>
  </si>
  <si>
    <t>Clover SD</t>
  </si>
  <si>
    <t>Weeds SD</t>
  </si>
  <si>
    <t>Rye Sd</t>
  </si>
  <si>
    <t>Rye</t>
  </si>
  <si>
    <t>Clover</t>
  </si>
  <si>
    <t>Weeds</t>
  </si>
  <si>
    <t>CC</t>
  </si>
  <si>
    <t xml:space="preserve">Rye </t>
  </si>
  <si>
    <t>0N</t>
  </si>
  <si>
    <t>Diverse + NUI</t>
  </si>
  <si>
    <t>Fertilized</t>
  </si>
  <si>
    <t xml:space="preserve">Fertilized </t>
  </si>
  <si>
    <t>fertilized SD</t>
  </si>
  <si>
    <t>0N SD</t>
  </si>
  <si>
    <t>sd</t>
  </si>
  <si>
    <t>fertilized</t>
  </si>
  <si>
    <t xml:space="preserve">0N </t>
  </si>
  <si>
    <t>V6 Standard Deviation</t>
  </si>
  <si>
    <t>V6 Biomass</t>
  </si>
  <si>
    <t>VT Biomass</t>
  </si>
  <si>
    <t>R6 Biomass</t>
  </si>
  <si>
    <t>VT Standard Deviation</t>
  </si>
  <si>
    <t>R6 Standard Deviation</t>
  </si>
  <si>
    <t>Growth Stage</t>
  </si>
  <si>
    <t>Avg SD</t>
  </si>
  <si>
    <t>Fertilized Yield</t>
  </si>
  <si>
    <t xml:space="preserve">Wet Weight of 3 plants (g) </t>
  </si>
  <si>
    <t xml:space="preserve">DRY Sample Weight (g) (3 Plants) </t>
  </si>
  <si>
    <t>Wet weight of 1m2 of corn</t>
  </si>
  <si>
    <t>Biomass Wet Weight (g/m2)</t>
  </si>
  <si>
    <t>Dry Weight of 1m2 of Corn</t>
  </si>
  <si>
    <t>Moisture loss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</si>
</sst>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2"/>
      <color theme="1"/>
      <name val="Calibri"/>
      <family val="2"/>
      <scheme val="minor"/>
    </font>
    <font>
      <sz val="12"/>
      <color theme="1"/>
      <name val="Calibri"/>
      <family val="2"/>
      <scheme val="minor"/>
    </font>
    <font>
      <sz val="12"/>
      <color rgb="FF9C5700"/>
      <name val="Calibri"/>
      <family val="2"/>
      <scheme val="minor"/>
    </font>
    <font>
      <b/>
      <sz val="12"/>
      <color theme="1"/>
      <name val="Calibri"/>
      <family val="2"/>
      <scheme val="minor"/>
    </font>
    <font>
      <sz val="12"/>
      <color theme="0"/>
      <name val="Calibri"/>
      <family val="2"/>
      <scheme val="minor"/>
    </font>
    <font>
      <sz val="12"/>
      <color rgb="FF006100"/>
      <name val="Calibri"/>
      <family val="2"/>
      <scheme val="minor"/>
    </font>
    <font>
      <sz val="12"/>
      <color rgb="FF9C0006"/>
      <name val="Calibri"/>
      <family val="2"/>
      <scheme val="minor"/>
    </font>
    <font>
      <sz val="20"/>
      <color theme="1"/>
      <name val="Calibri"/>
      <family val="2"/>
      <scheme val="minor"/>
    </font>
    <font>
      <b/>
      <sz val="16"/>
      <color theme="1"/>
      <name val="Calibri"/>
      <family val="2"/>
      <scheme val="minor"/>
    </font>
    <font>
      <b/>
      <sz val="11"/>
      <color theme="1"/>
      <name val="Calibri"/>
      <family val="2"/>
      <scheme val="minor"/>
    </font>
    <font>
      <b/>
      <vertAlign val="superscript"/>
      <sz val="16"/>
      <color theme="1"/>
      <name val="Calibri"/>
      <family val="2"/>
      <scheme val="minor"/>
    </font>
    <font>
      <b/>
      <sz val="14"/>
      <color theme="1"/>
      <name val="Calibri"/>
      <family val="2"/>
      <scheme val="minor"/>
    </font>
    <font>
      <b/>
      <sz val="14"/>
      <color rgb="FF006100"/>
      <name val="Calibri"/>
      <family val="2"/>
      <scheme val="minor"/>
    </font>
    <font>
      <b/>
      <sz val="14"/>
      <color rgb="FFFF0000"/>
      <name val="Calibri"/>
      <family val="2"/>
      <scheme val="minor"/>
    </font>
    <font>
      <sz val="11"/>
      <color rgb="FFFF0000"/>
      <name val="Calibri"/>
      <family val="2"/>
      <scheme val="minor"/>
    </font>
    <font>
      <b/>
      <sz val="18"/>
      <color rgb="FF006100"/>
      <name val="Calibri"/>
      <family val="2"/>
      <scheme val="minor"/>
    </font>
    <font>
      <b/>
      <sz val="11"/>
      <color rgb="FF006100"/>
      <name val="Calibri"/>
      <family val="2"/>
      <scheme val="minor"/>
    </font>
    <font>
      <b/>
      <sz val="14"/>
      <color theme="9" tint="-0.499984740745262"/>
      <name val="Calibri"/>
      <family val="2"/>
      <scheme val="minor"/>
    </font>
    <font>
      <b/>
      <sz val="22"/>
      <color rgb="FF006100"/>
      <name val="Calibri"/>
      <family val="2"/>
      <scheme val="minor"/>
    </font>
    <font>
      <sz val="12"/>
      <color rgb="FF000000"/>
      <name val="Calibri"/>
      <family val="2"/>
      <scheme val="minor"/>
    </font>
    <font>
      <sz val="18"/>
      <color theme="1"/>
      <name val="Calibri"/>
      <family val="2"/>
      <scheme val="minor"/>
    </font>
    <font>
      <b/>
      <sz val="12"/>
      <color theme="0"/>
      <name val="Calibri"/>
      <family val="2"/>
      <scheme val="minor"/>
    </font>
    <font>
      <b/>
      <sz val="12"/>
      <color rgb="FF000000"/>
      <name val="Calibri"/>
      <family val="2"/>
      <scheme val="minor"/>
    </font>
    <font>
      <sz val="20"/>
      <color theme="1"/>
      <name val="Calibri (Body)"/>
    </font>
    <font>
      <sz val="36"/>
      <color theme="1"/>
      <name val="Calibri (Body)"/>
    </font>
    <font>
      <sz val="48"/>
      <color theme="1"/>
      <name val="Calibri (Body)"/>
    </font>
    <font>
      <sz val="14"/>
      <color theme="1"/>
      <name val="Calibri"/>
      <family val="2"/>
      <scheme val="minor"/>
    </font>
    <font>
      <b/>
      <sz val="18"/>
      <color theme="1"/>
      <name val="Calibri (Body)"/>
    </font>
    <font>
      <b/>
      <sz val="18"/>
      <color theme="1"/>
      <name val="Calibri"/>
      <family val="2"/>
      <scheme val="minor"/>
    </font>
    <font>
      <sz val="14"/>
      <color theme="0"/>
      <name val="Calibri"/>
      <family val="2"/>
      <scheme val="minor"/>
    </font>
    <font>
      <sz val="22"/>
      <color theme="1"/>
      <name val="Calibri"/>
      <family val="2"/>
      <scheme val="minor"/>
    </font>
    <font>
      <b/>
      <sz val="14"/>
      <color theme="0"/>
      <name val="Calibri"/>
      <family val="2"/>
      <scheme val="minor"/>
    </font>
    <font>
      <sz val="8"/>
      <name val="Calibri"/>
      <family val="2"/>
      <scheme val="minor"/>
    </font>
    <font>
      <sz val="20"/>
      <color theme="0"/>
      <name val="Calibri"/>
      <family val="2"/>
      <scheme val="minor"/>
    </font>
  </fonts>
  <fills count="18">
    <fill>
      <patternFill patternType="none"/>
    </fill>
    <fill>
      <patternFill patternType="gray125"/>
    </fill>
    <fill>
      <patternFill patternType="solid">
        <fgColor rgb="FFFFEB9C"/>
      </patternFill>
    </fill>
    <fill>
      <patternFill patternType="solid">
        <fgColor theme="4" tint="0.59999389629810485"/>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gray125">
        <fgColor theme="9"/>
        <bgColor theme="9" tint="0.79995117038483843"/>
      </patternFill>
    </fill>
    <fill>
      <patternFill patternType="solid">
        <fgColor rgb="FFC6EFCE"/>
      </patternFill>
    </fill>
    <fill>
      <patternFill patternType="solid">
        <fgColor rgb="FFFFC7CE"/>
      </patternFill>
    </fill>
    <fill>
      <patternFill patternType="solid">
        <fgColor theme="5" tint="0.79998168889431442"/>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bgColor theme="9"/>
      </patternFill>
    </fill>
    <fill>
      <patternFill patternType="solid">
        <fgColor theme="8" tint="0.79998168889431442"/>
        <bgColor indexed="65"/>
      </patternFill>
    </fill>
    <fill>
      <patternFill patternType="solid">
        <fgColor rgb="FFC6E0B4"/>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style="thick">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bottom style="thin">
        <color theme="1"/>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medium">
        <color theme="1"/>
      </top>
      <bottom style="medium">
        <color theme="1"/>
      </bottom>
      <diagonal/>
    </border>
  </borders>
  <cellStyleXfs count="14">
    <xf numFmtId="0" fontId="0" fillId="0" borderId="0"/>
    <xf numFmtId="0" fontId="2"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5" fillId="9" borderId="0" applyNumberFormat="0" applyBorder="0" applyAlignment="0" applyProtection="0"/>
    <xf numFmtId="0" fontId="6" fillId="10" borderId="0" applyNumberFormat="0" applyBorder="0" applyAlignment="0" applyProtection="0"/>
    <xf numFmtId="0" fontId="1" fillId="11" borderId="0" applyNumberFormat="0" applyBorder="0" applyAlignment="0" applyProtection="0"/>
    <xf numFmtId="0" fontId="4"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cellStyleXfs>
  <cellXfs count="208">
    <xf numFmtId="0" fontId="0" fillId="0" borderId="0" xfId="0"/>
    <xf numFmtId="0" fontId="1" fillId="3" borderId="0" xfId="2"/>
    <xf numFmtId="0" fontId="2" fillId="2" borderId="0" xfId="1"/>
    <xf numFmtId="0" fontId="4" fillId="4" borderId="0" xfId="3"/>
    <xf numFmtId="0" fontId="1" fillId="7" borderId="0" xfId="6"/>
    <xf numFmtId="15" fontId="1" fillId="5" borderId="0" xfId="4" applyNumberFormat="1" applyAlignment="1">
      <alignment horizontal="center"/>
    </xf>
    <xf numFmtId="0" fontId="1" fillId="6" borderId="0" xfId="5" applyAlignment="1">
      <alignment horizontal="center"/>
    </xf>
    <xf numFmtId="0" fontId="1" fillId="5" borderId="0" xfId="4"/>
    <xf numFmtId="0" fontId="3" fillId="5" borderId="0" xfId="4" applyFont="1" applyAlignment="1">
      <alignment horizontal="center"/>
    </xf>
    <xf numFmtId="0" fontId="3" fillId="8" borderId="0" xfId="4" applyFont="1" applyFill="1" applyAlignment="1">
      <alignment horizontal="center"/>
    </xf>
    <xf numFmtId="0" fontId="1" fillId="5" borderId="0" xfId="4" applyAlignment="1">
      <alignment horizontal="center"/>
    </xf>
    <xf numFmtId="0" fontId="1" fillId="6" borderId="0" xfId="5"/>
    <xf numFmtId="0" fontId="0" fillId="5" borderId="0" xfId="4" applyFont="1" applyAlignment="1">
      <alignment horizontal="center"/>
    </xf>
    <xf numFmtId="0" fontId="1" fillId="5" borderId="0" xfId="4" applyAlignment="1">
      <alignment horizontal="left"/>
    </xf>
    <xf numFmtId="16" fontId="0" fillId="0" borderId="0" xfId="0" applyNumberFormat="1"/>
    <xf numFmtId="0" fontId="0" fillId="0" borderId="0" xfId="0" applyAlignment="1">
      <alignment horizontal="center"/>
    </xf>
    <xf numFmtId="0" fontId="0" fillId="0" borderId="0" xfId="0" applyAlignment="1">
      <alignment horizontal="right"/>
    </xf>
    <xf numFmtId="16" fontId="0" fillId="0" borderId="0" xfId="0" applyNumberFormat="1" applyAlignment="1">
      <alignment horizontal="center"/>
    </xf>
    <xf numFmtId="0" fontId="7" fillId="0" borderId="0" xfId="0" applyFont="1"/>
    <xf numFmtId="0" fontId="0" fillId="0" borderId="0" xfId="0" applyAlignment="1">
      <alignment vertical="center"/>
    </xf>
    <xf numFmtId="0" fontId="9" fillId="0" borderId="0" xfId="0" applyFont="1"/>
    <xf numFmtId="0" fontId="8" fillId="0" borderId="0" xfId="0" applyFont="1" applyAlignment="1">
      <alignment horizont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0" fontId="9" fillId="0" borderId="1" xfId="0" applyFont="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164" fontId="0" fillId="0" borderId="1" xfId="0" applyNumberFormat="1" applyBorder="1" applyAlignment="1">
      <alignment horizontal="center" vertical="center"/>
    </xf>
    <xf numFmtId="0" fontId="6" fillId="10" borderId="0" xfId="8"/>
    <xf numFmtId="0" fontId="6" fillId="10" borderId="1" xfId="8" applyBorder="1"/>
    <xf numFmtId="0" fontId="0" fillId="0" borderId="1" xfId="0" applyBorder="1"/>
    <xf numFmtId="0" fontId="12" fillId="9" borderId="0" xfId="7" applyFont="1" applyAlignment="1">
      <alignment horizontal="center"/>
    </xf>
    <xf numFmtId="164" fontId="12" fillId="9" borderId="0" xfId="7" applyNumberFormat="1" applyFont="1" applyAlignment="1">
      <alignment horizontal="center"/>
    </xf>
    <xf numFmtId="164" fontId="13" fillId="9" borderId="0" xfId="7" applyNumberFormat="1" applyFont="1" applyAlignment="1">
      <alignment horizontal="center"/>
    </xf>
    <xf numFmtId="164" fontId="11" fillId="9" borderId="0" xfId="7" applyNumberFormat="1" applyFont="1" applyAlignment="1">
      <alignment horizontal="center"/>
    </xf>
    <xf numFmtId="0" fontId="12" fillId="9" borderId="0" xfId="7" applyFont="1" applyAlignment="1">
      <alignment horizontal="center" vertical="center"/>
    </xf>
    <xf numFmtId="164" fontId="12" fillId="9" borderId="0" xfId="7" applyNumberFormat="1" applyFont="1" applyAlignment="1">
      <alignment horizontal="center" vertical="center"/>
    </xf>
    <xf numFmtId="164" fontId="13" fillId="9" borderId="0" xfId="7" applyNumberFormat="1" applyFont="1" applyAlignment="1">
      <alignment horizontal="center" vertical="center"/>
    </xf>
    <xf numFmtId="1" fontId="0" fillId="0" borderId="0" xfId="0" applyNumberFormat="1"/>
    <xf numFmtId="1" fontId="13" fillId="9" borderId="0" xfId="7" applyNumberFormat="1" applyFont="1" applyAlignment="1">
      <alignment horizontal="center" vertical="center"/>
    </xf>
    <xf numFmtId="164" fontId="0" fillId="0" borderId="0" xfId="0" applyNumberFormat="1"/>
    <xf numFmtId="0" fontId="3" fillId="0" borderId="0" xfId="0" applyFont="1"/>
    <xf numFmtId="0" fontId="3" fillId="0" borderId="1" xfId="0" applyFont="1" applyBorder="1"/>
    <xf numFmtId="0" fontId="3" fillId="0" borderId="6" xfId="0" applyFont="1" applyBorder="1" applyAlignment="1">
      <alignment horizontal="center" vertical="center"/>
    </xf>
    <xf numFmtId="0" fontId="13" fillId="9" borderId="0" xfId="7" applyFont="1" applyAlignment="1">
      <alignment horizontal="center"/>
    </xf>
    <xf numFmtId="0" fontId="1" fillId="0" borderId="1" xfId="0" applyFont="1" applyBorder="1" applyAlignment="1">
      <alignment horizontal="center" vertical="center"/>
    </xf>
    <xf numFmtId="0" fontId="14" fillId="0" borderId="0" xfId="0" applyFont="1"/>
    <xf numFmtId="0" fontId="3" fillId="0" borderId="0" xfId="0" applyFont="1" applyAlignment="1">
      <alignment vertical="center"/>
    </xf>
    <xf numFmtId="0" fontId="0" fillId="0" borderId="0" xfId="0" applyAlignment="1">
      <alignment horizontal="center" vertical="center"/>
    </xf>
    <xf numFmtId="0" fontId="7" fillId="0" borderId="0" xfId="0" applyFont="1" applyAlignment="1">
      <alignment vertical="center"/>
    </xf>
    <xf numFmtId="0" fontId="9" fillId="0" borderId="0" xfId="0" applyFont="1" applyAlignment="1">
      <alignment horizontal="left" vertical="center"/>
    </xf>
    <xf numFmtId="0" fontId="11" fillId="0" borderId="0" xfId="0" applyFont="1" applyAlignment="1">
      <alignment horizontal="center" vertical="center"/>
    </xf>
    <xf numFmtId="0" fontId="9" fillId="0" borderId="0" xfId="0" applyFont="1" applyAlignment="1">
      <alignment vertical="center"/>
    </xf>
    <xf numFmtId="0" fontId="15" fillId="9" borderId="1" xfId="7" applyFont="1" applyBorder="1" applyAlignment="1">
      <alignment horizontal="center"/>
    </xf>
    <xf numFmtId="0" fontId="16" fillId="9" borderId="1" xfId="7" applyFont="1" applyBorder="1" applyAlignment="1">
      <alignment horizontal="center" vertical="center"/>
    </xf>
    <xf numFmtId="0" fontId="5" fillId="9" borderId="1" xfId="7" applyBorder="1" applyAlignment="1">
      <alignment vertical="center"/>
    </xf>
    <xf numFmtId="164" fontId="12" fillId="9" borderId="0" xfId="7" applyNumberFormat="1"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center" vertical="center"/>
    </xf>
    <xf numFmtId="164" fontId="17" fillId="9" borderId="0" xfId="7" applyNumberFormat="1" applyFont="1" applyAlignment="1">
      <alignment horizontal="center"/>
    </xf>
    <xf numFmtId="0" fontId="5" fillId="9" borderId="1" xfId="7" applyBorder="1" applyAlignment="1">
      <alignment horizontal="center" vertical="center"/>
    </xf>
    <xf numFmtId="0" fontId="3" fillId="0" borderId="1" xfId="0" applyFont="1" applyBorder="1" applyAlignment="1">
      <alignment vertical="center"/>
    </xf>
    <xf numFmtId="0" fontId="9" fillId="0" borderId="1" xfId="0" applyFont="1" applyBorder="1"/>
    <xf numFmtId="164" fontId="0" fillId="0" borderId="0" xfId="0" applyNumberFormat="1" applyAlignment="1">
      <alignment horizontal="center"/>
    </xf>
    <xf numFmtId="0" fontId="12" fillId="9" borderId="0" xfId="7" applyFont="1" applyAlignment="1">
      <alignment vertical="center"/>
    </xf>
    <xf numFmtId="1" fontId="0" fillId="0" borderId="0" xfId="0" applyNumberFormat="1" applyAlignment="1">
      <alignment vertical="center"/>
    </xf>
    <xf numFmtId="0" fontId="19" fillId="0" borderId="0" xfId="0" applyFont="1" applyAlignment="1">
      <alignment horizontal="center"/>
    </xf>
    <xf numFmtId="16" fontId="19" fillId="0" borderId="0" xfId="0" applyNumberFormat="1" applyFont="1" applyAlignment="1">
      <alignment horizontal="center"/>
    </xf>
    <xf numFmtId="49" fontId="0" fillId="0" borderId="0" xfId="0" applyNumberFormat="1" applyAlignment="1">
      <alignment horizontal="center"/>
    </xf>
    <xf numFmtId="15" fontId="0" fillId="0" borderId="0" xfId="0" applyNumberFormat="1" applyAlignment="1">
      <alignment horizontal="center"/>
    </xf>
    <xf numFmtId="0" fontId="20" fillId="0" borderId="0" xfId="0" applyFont="1"/>
    <xf numFmtId="0" fontId="20" fillId="0" borderId="0" xfId="0" applyFont="1" applyAlignment="1">
      <alignment horizontal="center"/>
    </xf>
    <xf numFmtId="16" fontId="20" fillId="0" borderId="0" xfId="0" applyNumberFormat="1" applyFont="1" applyAlignment="1">
      <alignment horizontal="center"/>
    </xf>
    <xf numFmtId="0" fontId="9" fillId="0" borderId="2" xfId="0" applyFont="1" applyBorder="1" applyAlignment="1">
      <alignment horizontal="center" vertical="center"/>
    </xf>
    <xf numFmtId="0" fontId="24" fillId="0" borderId="0" xfId="0" applyFont="1" applyAlignment="1">
      <alignment horizontal="center"/>
    </xf>
    <xf numFmtId="0" fontId="25" fillId="0" borderId="0" xfId="0" applyFont="1"/>
    <xf numFmtId="0" fontId="4" fillId="12" borderId="0" xfId="10" applyAlignment="1">
      <alignment horizontal="center"/>
    </xf>
    <xf numFmtId="0" fontId="1" fillId="13" borderId="19" xfId="11" applyBorder="1" applyAlignment="1">
      <alignment horizontal="center"/>
    </xf>
    <xf numFmtId="0" fontId="1" fillId="13" borderId="20" xfId="11" applyBorder="1" applyAlignment="1">
      <alignment horizontal="center"/>
    </xf>
    <xf numFmtId="16" fontId="1" fillId="13" borderId="20" xfId="11" applyNumberFormat="1" applyBorder="1" applyAlignment="1">
      <alignment horizontal="center"/>
    </xf>
    <xf numFmtId="0" fontId="1" fillId="13" borderId="24" xfId="11" applyBorder="1" applyAlignment="1">
      <alignment horizontal="center"/>
    </xf>
    <xf numFmtId="0" fontId="1" fillId="13" borderId="22" xfId="11" applyBorder="1" applyAlignment="1">
      <alignment horizontal="center"/>
    </xf>
    <xf numFmtId="0" fontId="1" fillId="13" borderId="0" xfId="11" applyAlignment="1">
      <alignment horizontal="center"/>
    </xf>
    <xf numFmtId="0" fontId="23" fillId="0" borderId="0" xfId="0" applyFont="1" applyAlignment="1">
      <alignment horizontal="center"/>
    </xf>
    <xf numFmtId="0" fontId="4" fillId="4" borderId="0" xfId="3" applyAlignment="1">
      <alignment horizontal="center"/>
    </xf>
    <xf numFmtId="0" fontId="4" fillId="12" borderId="0" xfId="10"/>
    <xf numFmtId="16" fontId="1" fillId="5" borderId="0" xfId="4" applyNumberFormat="1" applyAlignment="1">
      <alignment horizontal="center"/>
    </xf>
    <xf numFmtId="0" fontId="1" fillId="5" borderId="0" xfId="4" applyNumberFormat="1" applyAlignment="1">
      <alignment horizontal="center"/>
    </xf>
    <xf numFmtId="0" fontId="0" fillId="0" borderId="26" xfId="0" applyBorder="1"/>
    <xf numFmtId="0" fontId="0" fillId="0" borderId="2" xfId="0" applyBorder="1" applyAlignment="1">
      <alignment vertical="center"/>
    </xf>
    <xf numFmtId="164" fontId="0" fillId="0" borderId="2" xfId="0" applyNumberFormat="1" applyBorder="1" applyAlignment="1">
      <alignment horizontal="center" vertical="center"/>
    </xf>
    <xf numFmtId="0" fontId="9" fillId="0" borderId="4" xfId="0" applyFont="1" applyBorder="1" applyAlignment="1">
      <alignment horizontal="center"/>
    </xf>
    <xf numFmtId="0" fontId="0" fillId="0" borderId="4" xfId="0" applyBorder="1" applyAlignment="1">
      <alignment horizontal="center"/>
    </xf>
    <xf numFmtId="0" fontId="3" fillId="0" borderId="26" xfId="0" applyFont="1" applyBorder="1" applyAlignment="1">
      <alignment vertical="center"/>
    </xf>
    <xf numFmtId="0" fontId="0" fillId="0" borderId="4" xfId="0" applyBorder="1" applyAlignment="1">
      <alignment vertical="center"/>
    </xf>
    <xf numFmtId="0" fontId="0" fillId="0" borderId="4" xfId="0" applyBorder="1" applyAlignment="1">
      <alignment horizontal="center" vertical="center"/>
    </xf>
    <xf numFmtId="0" fontId="0" fillId="0" borderId="26" xfId="0" applyBorder="1" applyAlignment="1">
      <alignment vertical="center"/>
    </xf>
    <xf numFmtId="0" fontId="9" fillId="0" borderId="26" xfId="0" applyFont="1" applyBorder="1" applyAlignment="1">
      <alignment vertical="center"/>
    </xf>
    <xf numFmtId="0" fontId="0" fillId="0" borderId="26" xfId="0" applyBorder="1" applyAlignment="1">
      <alignment horizontal="center"/>
    </xf>
    <xf numFmtId="0" fontId="3" fillId="0" borderId="4" xfId="0" applyFont="1" applyBorder="1"/>
    <xf numFmtId="0" fontId="0" fillId="0" borderId="4" xfId="0" applyBorder="1"/>
    <xf numFmtId="0" fontId="3" fillId="0" borderId="26" xfId="0" applyFont="1" applyBorder="1"/>
    <xf numFmtId="0" fontId="26" fillId="0" borderId="0" xfId="0" applyFont="1" applyAlignment="1">
      <alignment horizontal="center"/>
    </xf>
    <xf numFmtId="0" fontId="21" fillId="4" borderId="0" xfId="3" applyFont="1" applyAlignment="1">
      <alignment horizontal="center"/>
    </xf>
    <xf numFmtId="0" fontId="4" fillId="4" borderId="0" xfId="3" applyBorder="1"/>
    <xf numFmtId="49" fontId="1" fillId="13" borderId="0" xfId="11" applyNumberFormat="1" applyAlignment="1">
      <alignment horizontal="center"/>
    </xf>
    <xf numFmtId="0" fontId="27" fillId="0" borderId="0" xfId="0" applyFont="1"/>
    <xf numFmtId="0" fontId="28" fillId="0" borderId="0" xfId="0" applyFont="1" applyAlignment="1">
      <alignment horizontal="center"/>
    </xf>
    <xf numFmtId="0" fontId="1" fillId="13" borderId="28" xfId="11" applyBorder="1" applyAlignment="1">
      <alignment horizontal="center"/>
    </xf>
    <xf numFmtId="0" fontId="1" fillId="13" borderId="29" xfId="11" applyBorder="1" applyAlignment="1">
      <alignment horizontal="center"/>
    </xf>
    <xf numFmtId="0" fontId="1" fillId="13" borderId="30" xfId="11" applyBorder="1" applyAlignment="1">
      <alignment horizontal="center"/>
    </xf>
    <xf numFmtId="0" fontId="1" fillId="5" borderId="0" xfId="4" applyBorder="1" applyAlignment="1">
      <alignment horizontal="center"/>
    </xf>
    <xf numFmtId="0" fontId="22" fillId="15" borderId="11" xfId="0" applyFont="1" applyFill="1" applyBorder="1" applyAlignment="1">
      <alignment horizontal="center"/>
    </xf>
    <xf numFmtId="0" fontId="22" fillId="15" borderId="12" xfId="0" applyFont="1" applyFill="1" applyBorder="1" applyAlignment="1">
      <alignment horizontal="center"/>
    </xf>
    <xf numFmtId="0" fontId="19" fillId="0" borderId="11" xfId="0" applyFont="1" applyBorder="1" applyAlignment="1">
      <alignment horizontal="center"/>
    </xf>
    <xf numFmtId="16" fontId="19" fillId="0" borderId="12" xfId="0" applyNumberFormat="1"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16" fontId="19" fillId="0" borderId="14" xfId="0" applyNumberFormat="1" applyFont="1" applyBorder="1" applyAlignment="1">
      <alignment horizontal="center"/>
    </xf>
    <xf numFmtId="0" fontId="19" fillId="0" borderId="14" xfId="0" applyFont="1" applyBorder="1" applyAlignment="1">
      <alignment horizontal="center"/>
    </xf>
    <xf numFmtId="0" fontId="22" fillId="15" borderId="15" xfId="0" applyFont="1" applyFill="1" applyBorder="1" applyAlignment="1">
      <alignment horizontal="center"/>
    </xf>
    <xf numFmtId="0" fontId="19" fillId="0" borderId="15" xfId="0" applyFont="1" applyBorder="1" applyAlignment="1">
      <alignment horizontal="center"/>
    </xf>
    <xf numFmtId="0" fontId="19" fillId="0" borderId="16" xfId="0" applyFont="1" applyBorder="1" applyAlignment="1">
      <alignment horizontal="center"/>
    </xf>
    <xf numFmtId="0" fontId="27" fillId="0" borderId="0" xfId="0" applyFont="1" applyAlignment="1">
      <alignment horizontal="center"/>
    </xf>
    <xf numFmtId="0" fontId="28" fillId="11" borderId="0" xfId="9" applyFont="1" applyAlignment="1">
      <alignment horizontal="center"/>
    </xf>
    <xf numFmtId="16" fontId="1" fillId="6" borderId="0" xfId="5" applyNumberFormat="1" applyAlignment="1">
      <alignment horizontal="center"/>
    </xf>
    <xf numFmtId="0" fontId="20" fillId="6" borderId="0" xfId="5" applyFont="1" applyAlignment="1">
      <alignment horizontal="center"/>
    </xf>
    <xf numFmtId="16" fontId="20" fillId="6" borderId="0" xfId="5" applyNumberFormat="1" applyFont="1" applyAlignment="1">
      <alignment horizontal="center"/>
    </xf>
    <xf numFmtId="0" fontId="29" fillId="4" borderId="0" xfId="3" applyFont="1" applyAlignment="1">
      <alignment horizontal="center"/>
    </xf>
    <xf numFmtId="0" fontId="29" fillId="12" borderId="17" xfId="10" applyFont="1" applyBorder="1" applyAlignment="1">
      <alignment horizontal="center"/>
    </xf>
    <xf numFmtId="0" fontId="29" fillId="12" borderId="18" xfId="10" applyFont="1" applyBorder="1" applyAlignment="1">
      <alignment horizontal="center"/>
    </xf>
    <xf numFmtId="0" fontId="29" fillId="12" borderId="29" xfId="10" applyFont="1" applyBorder="1" applyAlignment="1">
      <alignment horizontal="center"/>
    </xf>
    <xf numFmtId="0" fontId="29" fillId="12" borderId="23" xfId="10" applyFont="1" applyBorder="1" applyAlignment="1">
      <alignment horizontal="center"/>
    </xf>
    <xf numFmtId="0" fontId="29" fillId="12" borderId="0" xfId="10" applyFont="1" applyAlignment="1">
      <alignment horizontal="center"/>
    </xf>
    <xf numFmtId="0" fontId="29" fillId="12" borderId="27" xfId="10" applyFont="1" applyBorder="1" applyAlignment="1">
      <alignment horizontal="center"/>
    </xf>
    <xf numFmtId="0" fontId="30" fillId="0" borderId="0" xfId="0" applyFont="1"/>
    <xf numFmtId="0" fontId="1" fillId="14" borderId="19" xfId="12" applyBorder="1" applyAlignment="1">
      <alignment horizontal="center"/>
    </xf>
    <xf numFmtId="0" fontId="1" fillId="14" borderId="20" xfId="12" applyBorder="1" applyAlignment="1">
      <alignment horizontal="center"/>
    </xf>
    <xf numFmtId="0" fontId="1" fillId="14" borderId="24" xfId="12" applyBorder="1" applyAlignment="1">
      <alignment horizontal="center"/>
    </xf>
    <xf numFmtId="0" fontId="1" fillId="14" borderId="29" xfId="12" applyBorder="1" applyAlignment="1">
      <alignment horizontal="center"/>
    </xf>
    <xf numFmtId="16" fontId="1" fillId="14" borderId="20" xfId="12" applyNumberFormat="1" applyBorder="1" applyAlignment="1">
      <alignment horizontal="center"/>
    </xf>
    <xf numFmtId="0" fontId="1" fillId="14" borderId="0" xfId="12" applyAlignment="1">
      <alignment horizontal="center"/>
    </xf>
    <xf numFmtId="0" fontId="1" fillId="14" borderId="28" xfId="12" applyBorder="1" applyAlignment="1">
      <alignment horizontal="center"/>
    </xf>
    <xf numFmtId="0" fontId="1" fillId="14" borderId="21" xfId="12" applyBorder="1" applyAlignment="1">
      <alignment horizontal="center"/>
    </xf>
    <xf numFmtId="0" fontId="1" fillId="14" borderId="22" xfId="12" applyBorder="1" applyAlignment="1">
      <alignment horizontal="center"/>
    </xf>
    <xf numFmtId="16" fontId="1" fillId="14" borderId="22" xfId="12" applyNumberFormat="1" applyBorder="1" applyAlignment="1">
      <alignment horizontal="center"/>
    </xf>
    <xf numFmtId="0" fontId="1" fillId="14" borderId="25" xfId="12" applyBorder="1" applyAlignment="1">
      <alignment horizontal="center"/>
    </xf>
    <xf numFmtId="0" fontId="1" fillId="13" borderId="0" xfId="11" applyBorder="1" applyAlignment="1">
      <alignment horizontal="center"/>
    </xf>
    <xf numFmtId="0" fontId="1" fillId="13" borderId="0" xfId="11" applyNumberFormat="1" applyAlignment="1">
      <alignment horizontal="center"/>
    </xf>
    <xf numFmtId="0" fontId="31" fillId="12" borderId="17" xfId="10" applyFont="1" applyBorder="1" applyAlignment="1">
      <alignment horizontal="center"/>
    </xf>
    <xf numFmtId="0" fontId="31" fillId="12" borderId="18" xfId="10" applyFont="1" applyBorder="1" applyAlignment="1">
      <alignment horizontal="center"/>
    </xf>
    <xf numFmtId="0" fontId="0" fillId="13" borderId="19" xfId="11" applyFont="1" applyBorder="1" applyAlignment="1">
      <alignment horizontal="center"/>
    </xf>
    <xf numFmtId="0" fontId="0" fillId="13" borderId="20" xfId="11" applyFont="1" applyBorder="1" applyAlignment="1">
      <alignment horizontal="center"/>
    </xf>
    <xf numFmtId="0" fontId="0" fillId="14" borderId="19" xfId="12" applyFont="1" applyBorder="1" applyAlignment="1">
      <alignment horizontal="center"/>
    </xf>
    <xf numFmtId="0" fontId="0" fillId="14" borderId="20" xfId="12" applyFont="1" applyBorder="1" applyAlignment="1">
      <alignment horizontal="center"/>
    </xf>
    <xf numFmtId="0" fontId="0" fillId="14" borderId="21" xfId="12" applyFont="1" applyBorder="1" applyAlignment="1">
      <alignment horizontal="center"/>
    </xf>
    <xf numFmtId="0" fontId="0" fillId="14" borderId="22" xfId="12" applyFont="1" applyBorder="1" applyAlignment="1">
      <alignment horizontal="center"/>
    </xf>
    <xf numFmtId="0" fontId="31" fillId="12" borderId="27" xfId="10" applyFont="1" applyBorder="1" applyAlignment="1">
      <alignment horizontal="center"/>
    </xf>
    <xf numFmtId="0" fontId="0" fillId="13" borderId="20" xfId="11" applyNumberFormat="1" applyFont="1" applyBorder="1" applyAlignment="1">
      <alignment horizontal="center"/>
    </xf>
    <xf numFmtId="0" fontId="31" fillId="12" borderId="0" xfId="10" applyFont="1" applyBorder="1" applyAlignment="1">
      <alignment horizontal="center"/>
    </xf>
    <xf numFmtId="0" fontId="7" fillId="0" borderId="0" xfId="0" applyFont="1" applyAlignment="1">
      <alignment horizontal="center"/>
    </xf>
    <xf numFmtId="0" fontId="7" fillId="0" borderId="0" xfId="0" applyFont="1" applyAlignment="1">
      <alignment horizontal="left"/>
    </xf>
    <xf numFmtId="0" fontId="1" fillId="7" borderId="0" xfId="6" applyAlignment="1">
      <alignment horizontal="left"/>
    </xf>
    <xf numFmtId="49" fontId="0" fillId="14" borderId="20" xfId="12" applyNumberFormat="1" applyFont="1" applyBorder="1" applyAlignment="1">
      <alignment horizontal="center"/>
    </xf>
    <xf numFmtId="0" fontId="1" fillId="6" borderId="0" xfId="5" applyNumberFormat="1" applyAlignment="1">
      <alignment horizontal="center"/>
    </xf>
    <xf numFmtId="49" fontId="1" fillId="14" borderId="20" xfId="12" applyNumberFormat="1" applyBorder="1" applyAlignment="1">
      <alignment horizontal="center"/>
    </xf>
    <xf numFmtId="0" fontId="1" fillId="14" borderId="20" xfId="12" applyNumberFormat="1" applyBorder="1" applyAlignment="1">
      <alignment horizontal="center"/>
    </xf>
    <xf numFmtId="49" fontId="1" fillId="14" borderId="22" xfId="12" applyNumberFormat="1" applyBorder="1" applyAlignment="1">
      <alignment horizontal="center"/>
    </xf>
    <xf numFmtId="0" fontId="1" fillId="14" borderId="22" xfId="12" applyNumberFormat="1" applyBorder="1" applyAlignment="1">
      <alignment horizontal="center"/>
    </xf>
    <xf numFmtId="0" fontId="1" fillId="16" borderId="0" xfId="13"/>
    <xf numFmtId="0" fontId="21" fillId="12" borderId="0" xfId="10" applyFont="1" applyAlignment="1">
      <alignment horizontal="center"/>
    </xf>
    <xf numFmtId="0" fontId="1" fillId="7" borderId="0" xfId="6" applyAlignment="1">
      <alignment horizontal="center"/>
    </xf>
    <xf numFmtId="0" fontId="20" fillId="11" borderId="0" xfId="9" applyFont="1" applyAlignment="1">
      <alignment horizontal="center"/>
    </xf>
    <xf numFmtId="16" fontId="20" fillId="11" borderId="0" xfId="9" applyNumberFormat="1" applyFont="1" applyAlignment="1">
      <alignment horizontal="center"/>
    </xf>
    <xf numFmtId="0" fontId="1" fillId="11" borderId="0" xfId="9" applyAlignment="1">
      <alignment horizontal="center"/>
    </xf>
    <xf numFmtId="0" fontId="1" fillId="7" borderId="0" xfId="6" applyBorder="1" applyAlignment="1">
      <alignment horizontal="center"/>
    </xf>
    <xf numFmtId="0" fontId="1" fillId="13" borderId="0" xfId="11"/>
    <xf numFmtId="0" fontId="1" fillId="5" borderId="0" xfId="4" applyAlignment="1">
      <alignment horizontal="right"/>
    </xf>
    <xf numFmtId="0" fontId="4" fillId="4" borderId="0" xfId="3" applyAlignment="1">
      <alignment horizontal="right"/>
    </xf>
    <xf numFmtId="0" fontId="1" fillId="6" borderId="0" xfId="5" applyAlignment="1">
      <alignment horizontal="right"/>
    </xf>
    <xf numFmtId="0" fontId="31" fillId="4" borderId="31" xfId="3" applyFont="1" applyBorder="1" applyAlignment="1">
      <alignment horizontal="center"/>
    </xf>
    <xf numFmtId="0" fontId="0" fillId="5" borderId="0" xfId="4" applyNumberFormat="1" applyFont="1" applyAlignment="1">
      <alignment horizontal="center"/>
    </xf>
    <xf numFmtId="0" fontId="19" fillId="17" borderId="0" xfId="0" applyFont="1" applyFill="1"/>
    <xf numFmtId="0" fontId="33" fillId="4" borderId="0" xfId="3" applyFont="1"/>
    <xf numFmtId="0" fontId="7" fillId="5" borderId="0" xfId="4" applyFont="1" applyAlignment="1">
      <alignment horizontal="center"/>
    </xf>
    <xf numFmtId="0" fontId="7" fillId="5" borderId="0" xfId="4" applyFont="1"/>
    <xf numFmtId="0" fontId="0" fillId="13" borderId="24" xfId="11" applyNumberFormat="1" applyFont="1" applyBorder="1" applyAlignment="1">
      <alignment horizontal="center"/>
    </xf>
    <xf numFmtId="0" fontId="1" fillId="14" borderId="0" xfId="12"/>
    <xf numFmtId="0" fontId="8" fillId="0" borderId="1" xfId="0" applyFont="1" applyBorder="1" applyAlignment="1">
      <alignment horizont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8" fillId="0" borderId="0" xfId="0" applyFont="1" applyAlignment="1">
      <alignment horizontal="center"/>
    </xf>
    <xf numFmtId="0" fontId="0" fillId="0" borderId="0" xfId="0" applyAlignment="1">
      <alignment horizontal="center" vertical="center"/>
    </xf>
    <xf numFmtId="0" fontId="8" fillId="0" borderId="5" xfId="0" applyFont="1" applyBorder="1" applyAlignment="1">
      <alignment horizontal="center"/>
    </xf>
    <xf numFmtId="0" fontId="8" fillId="0" borderId="9" xfId="0" applyFont="1" applyBorder="1" applyAlignment="1">
      <alignment horizontal="center"/>
    </xf>
    <xf numFmtId="0" fontId="8" fillId="0" borderId="8" xfId="0" applyFont="1" applyBorder="1" applyAlignment="1">
      <alignment horizontal="center"/>
    </xf>
    <xf numFmtId="0" fontId="8" fillId="0" borderId="0" xfId="0" applyFont="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18" fillId="9" borderId="1" xfId="7" applyFont="1" applyBorder="1" applyAlignment="1">
      <alignment horizontal="center" vertical="center"/>
    </xf>
    <xf numFmtId="0" fontId="9" fillId="0" borderId="10" xfId="0" applyFont="1" applyBorder="1" applyAlignment="1">
      <alignment horizontal="center" vertical="center"/>
    </xf>
  </cellXfs>
  <cellStyles count="14">
    <cellStyle name="20% - Accent2" xfId="9" builtinId="34"/>
    <cellStyle name="20% - Accent4" xfId="11" builtinId="42"/>
    <cellStyle name="20% - Accent5" xfId="13" builtinId="46"/>
    <cellStyle name="20% - Accent6" xfId="4" builtinId="50"/>
    <cellStyle name="40% - Accent1" xfId="2" builtinId="31"/>
    <cellStyle name="40% - Accent4" xfId="12" builtinId="43"/>
    <cellStyle name="40% - Accent6" xfId="5" builtinId="51"/>
    <cellStyle name="60% - Accent6" xfId="6" builtinId="52"/>
    <cellStyle name="Accent4" xfId="10" builtinId="41"/>
    <cellStyle name="Accent6" xfId="3" builtinId="49"/>
    <cellStyle name="Bad" xfId="8" builtinId="27"/>
    <cellStyle name="Good" xfId="7" builtinId="26"/>
    <cellStyle name="Neutral" xfId="1" builtinId="28"/>
    <cellStyle name="Normal" xfId="0" builtinId="0"/>
  </cellStyles>
  <dxfs count="105">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color theme="0"/>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165" formatCode="dd/mmm"/>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dd/mmm"/>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chemeClr val="tx1"/>
                </a:solidFill>
              </a:rPr>
              <a:t>V6 (Sixth</a:t>
            </a:r>
            <a:r>
              <a:rPr lang="en-US" sz="2400" baseline="0">
                <a:solidFill>
                  <a:schemeClr val="tx1"/>
                </a:solidFill>
              </a:rPr>
              <a:t> Leaf) Stage Biomass</a:t>
            </a:r>
            <a:endParaRPr lang="en-US" sz="2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'23-Jun-2021'!$Z$5</c:f>
              <c:strCache>
                <c:ptCount val="1"/>
                <c:pt idx="0">
                  <c:v>Fertilized</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0.15</c:v>
                </c:pt>
              </c:numLit>
            </c:plus>
            <c:minus>
              <c:numLit>
                <c:formatCode>General</c:formatCode>
                <c:ptCount val="1"/>
                <c:pt idx="0">
                  <c:v>0.15</c:v>
                </c:pt>
              </c:numLit>
            </c:minus>
            <c:spPr>
              <a:noFill/>
              <a:ln w="9525" cap="flat" cmpd="sng" algn="ctr">
                <a:solidFill>
                  <a:schemeClr val="tx1">
                    <a:lumMod val="65000"/>
                    <a:lumOff val="35000"/>
                  </a:schemeClr>
                </a:solidFill>
                <a:round/>
              </a:ln>
              <a:effectLst/>
            </c:spPr>
          </c:errBars>
          <c:cat>
            <c:strRef>
              <c:f>'23-Jun-2021'!$AA$4:$AD$4</c:f>
              <c:strCache>
                <c:ptCount val="4"/>
                <c:pt idx="0">
                  <c:v>Conventional</c:v>
                </c:pt>
                <c:pt idx="1">
                  <c:v>Conventnional+NUI</c:v>
                </c:pt>
                <c:pt idx="2">
                  <c:v>Diverse</c:v>
                </c:pt>
                <c:pt idx="3">
                  <c:v>Diverse+NUI</c:v>
                </c:pt>
              </c:strCache>
            </c:strRef>
          </c:cat>
          <c:val>
            <c:numRef>
              <c:f>'23-Jun-2021'!$AA$5:$AD$5</c:f>
              <c:numCache>
                <c:formatCode>General</c:formatCode>
                <c:ptCount val="4"/>
                <c:pt idx="0">
                  <c:v>1.5043874999999998</c:v>
                </c:pt>
                <c:pt idx="1">
                  <c:v>1.4539800000000001</c:v>
                </c:pt>
                <c:pt idx="2">
                  <c:v>1.3496816666666667</c:v>
                </c:pt>
                <c:pt idx="3">
                  <c:v>1.4209066666666665</c:v>
                </c:pt>
              </c:numCache>
            </c:numRef>
          </c:val>
          <c:extLst>
            <c:ext xmlns:c16="http://schemas.microsoft.com/office/drawing/2014/chart" uri="{C3380CC4-5D6E-409C-BE32-E72D297353CC}">
              <c16:uniqueId val="{00000000-B09C-3946-925E-BB2637562974}"/>
            </c:ext>
          </c:extLst>
        </c:ser>
        <c:ser>
          <c:idx val="1"/>
          <c:order val="1"/>
          <c:tx>
            <c:strRef>
              <c:f>'23-Jun-2021'!$Z$6</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0.09</c:v>
                </c:pt>
              </c:numLit>
            </c:plus>
            <c:minus>
              <c:numLit>
                <c:formatCode>General</c:formatCode>
                <c:ptCount val="1"/>
                <c:pt idx="0">
                  <c:v>0.09</c:v>
                </c:pt>
              </c:numLit>
            </c:minus>
            <c:spPr>
              <a:noFill/>
              <a:ln w="9525" cap="flat" cmpd="sng" algn="ctr">
                <a:solidFill>
                  <a:schemeClr val="tx1">
                    <a:lumMod val="65000"/>
                    <a:lumOff val="35000"/>
                  </a:schemeClr>
                </a:solidFill>
                <a:round/>
              </a:ln>
              <a:effectLst/>
            </c:spPr>
          </c:errBars>
          <c:cat>
            <c:strRef>
              <c:f>'23-Jun-2021'!$AA$4:$AD$4</c:f>
              <c:strCache>
                <c:ptCount val="4"/>
                <c:pt idx="0">
                  <c:v>Conventional</c:v>
                </c:pt>
                <c:pt idx="1">
                  <c:v>Conventnional+NUI</c:v>
                </c:pt>
                <c:pt idx="2">
                  <c:v>Diverse</c:v>
                </c:pt>
                <c:pt idx="3">
                  <c:v>Diverse+NUI</c:v>
                </c:pt>
              </c:strCache>
            </c:strRef>
          </c:cat>
          <c:val>
            <c:numRef>
              <c:f>'23-Jun-2021'!$AA$6:$AD$6</c:f>
              <c:numCache>
                <c:formatCode>General</c:formatCode>
                <c:ptCount val="4"/>
                <c:pt idx="0">
                  <c:v>1.08185</c:v>
                </c:pt>
                <c:pt idx="1">
                  <c:v>1.15577</c:v>
                </c:pt>
                <c:pt idx="2">
                  <c:v>0.99060499999999996</c:v>
                </c:pt>
                <c:pt idx="3">
                  <c:v>0.97366499999999989</c:v>
                </c:pt>
              </c:numCache>
            </c:numRef>
          </c:val>
          <c:extLst>
            <c:ext xmlns:c16="http://schemas.microsoft.com/office/drawing/2014/chart" uri="{C3380CC4-5D6E-409C-BE32-E72D297353CC}">
              <c16:uniqueId val="{00000001-B09C-3946-925E-BB2637562974}"/>
            </c:ext>
          </c:extLst>
        </c:ser>
        <c:dLbls>
          <c:showLegendKey val="0"/>
          <c:showVal val="0"/>
          <c:showCatName val="0"/>
          <c:showSerName val="0"/>
          <c:showPercent val="0"/>
          <c:showBubbleSize val="0"/>
        </c:dLbls>
        <c:gapWidth val="74"/>
        <c:axId val="699872640"/>
        <c:axId val="700296352"/>
      </c:barChart>
      <c:catAx>
        <c:axId val="69987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700296352"/>
        <c:crosses val="autoZero"/>
        <c:auto val="1"/>
        <c:lblAlgn val="ctr"/>
        <c:lblOffset val="100"/>
        <c:noMultiLvlLbl val="0"/>
      </c:catAx>
      <c:valAx>
        <c:axId val="700296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rPr>
                  <a:t>Biomass (tons/ha)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69987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tx1"/>
                </a:solidFill>
              </a:rPr>
              <a:t>Corn</a:t>
            </a:r>
            <a:r>
              <a:rPr lang="en-US" sz="2000" baseline="0">
                <a:solidFill>
                  <a:schemeClr val="tx1"/>
                </a:solidFill>
              </a:rPr>
              <a:t> Biomass for V6, VT &amp; R6 Stages</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'Corn Growth Rate'!$J$2</c:f>
              <c:strCache>
                <c:ptCount val="1"/>
                <c:pt idx="0">
                  <c:v>Conventional</c:v>
                </c:pt>
              </c:strCache>
            </c:strRef>
          </c:tx>
          <c:spPr>
            <a:solidFill>
              <a:schemeClr val="dk1">
                <a:tint val="88500"/>
              </a:schemeClr>
            </a:solidFill>
            <a:ln>
              <a:noFill/>
            </a:ln>
            <a:effectLst/>
          </c:spPr>
          <c:invertIfNegative val="0"/>
          <c:errBars>
            <c:errBarType val="both"/>
            <c:errValType val="cust"/>
            <c:noEndCap val="0"/>
            <c:plus>
              <c:numLit>
                <c:formatCode>General</c:formatCode>
                <c:ptCount val="1"/>
                <c:pt idx="0">
                  <c:v>0.31</c:v>
                </c:pt>
              </c:numLit>
            </c:plus>
            <c:minus>
              <c:numLit>
                <c:formatCode>General</c:formatCode>
                <c:ptCount val="1"/>
                <c:pt idx="0">
                  <c:v>0.31</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Rate'!$J$3:$J$5</c:f>
              <c:numCache>
                <c:formatCode>General</c:formatCode>
                <c:ptCount val="3"/>
                <c:pt idx="0">
                  <c:v>1.5043874999999998</c:v>
                </c:pt>
                <c:pt idx="1">
                  <c:v>4.0231111111111106</c:v>
                </c:pt>
                <c:pt idx="2">
                  <c:v>4.4043333333333337</c:v>
                </c:pt>
              </c:numCache>
            </c:numRef>
          </c:val>
          <c:extLst>
            <c:ext xmlns:c16="http://schemas.microsoft.com/office/drawing/2014/chart" uri="{C3380CC4-5D6E-409C-BE32-E72D297353CC}">
              <c16:uniqueId val="{00000007-E003-6743-B8D8-E455317F2C63}"/>
            </c:ext>
          </c:extLst>
        </c:ser>
        <c:ser>
          <c:idx val="1"/>
          <c:order val="1"/>
          <c:tx>
            <c:strRef>
              <c:f>'Corn Growth Rate'!$K$2</c:f>
              <c:strCache>
                <c:ptCount val="1"/>
                <c:pt idx="0">
                  <c:v>Conventional-0N</c:v>
                </c:pt>
              </c:strCache>
            </c:strRef>
          </c:tx>
          <c:spPr>
            <a:solidFill>
              <a:schemeClr val="dk1">
                <a:tint val="55000"/>
              </a:schemeClr>
            </a:solidFill>
            <a:ln>
              <a:noFill/>
            </a:ln>
            <a:effectLst/>
          </c:spPr>
          <c:invertIfNegative val="0"/>
          <c:errBars>
            <c:errBarType val="both"/>
            <c:errValType val="cust"/>
            <c:noEndCap val="0"/>
            <c:plus>
              <c:numLit>
                <c:formatCode>General</c:formatCode>
                <c:ptCount val="1"/>
                <c:pt idx="0">
                  <c:v>0.18</c:v>
                </c:pt>
              </c:numLit>
            </c:plus>
            <c:minus>
              <c:numLit>
                <c:formatCode>General</c:formatCode>
                <c:ptCount val="1"/>
                <c:pt idx="0">
                  <c:v>0.18</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Rate'!$K$3:$K$5</c:f>
              <c:numCache>
                <c:formatCode>General</c:formatCode>
                <c:ptCount val="3"/>
                <c:pt idx="0">
                  <c:v>1.08185</c:v>
                </c:pt>
                <c:pt idx="1">
                  <c:v>1.9886666666666668</c:v>
                </c:pt>
                <c:pt idx="2">
                  <c:v>1.795333333333333</c:v>
                </c:pt>
              </c:numCache>
            </c:numRef>
          </c:val>
          <c:extLst>
            <c:ext xmlns:c16="http://schemas.microsoft.com/office/drawing/2014/chart" uri="{C3380CC4-5D6E-409C-BE32-E72D297353CC}">
              <c16:uniqueId val="{00000008-E003-6743-B8D8-E455317F2C63}"/>
            </c:ext>
          </c:extLst>
        </c:ser>
        <c:ser>
          <c:idx val="2"/>
          <c:order val="2"/>
          <c:tx>
            <c:strRef>
              <c:f>'Corn Growth Rate'!$L$2</c:f>
              <c:strCache>
                <c:ptCount val="1"/>
                <c:pt idx="0">
                  <c:v>Conventnional+NUI</c:v>
                </c:pt>
              </c:strCache>
            </c:strRef>
          </c:tx>
          <c:spPr>
            <a:solidFill>
              <a:schemeClr val="dk1">
                <a:tint val="75000"/>
              </a:schemeClr>
            </a:solidFill>
            <a:ln>
              <a:noFill/>
            </a:ln>
            <a:effectLst/>
          </c:spPr>
          <c:invertIfNegative val="0"/>
          <c:errBars>
            <c:errBarType val="both"/>
            <c:errValType val="cust"/>
            <c:noEndCap val="0"/>
            <c:plus>
              <c:numLit>
                <c:formatCode>General</c:formatCode>
                <c:ptCount val="1"/>
                <c:pt idx="0">
                  <c:v>0.3</c:v>
                </c:pt>
              </c:numLit>
            </c:plus>
            <c:minus>
              <c:numLit>
                <c:formatCode>General</c:formatCode>
                <c:ptCount val="1"/>
                <c:pt idx="0">
                  <c:v>0.3</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Rate'!$L$3:$L$5</c:f>
              <c:numCache>
                <c:formatCode>General</c:formatCode>
                <c:ptCount val="3"/>
                <c:pt idx="0">
                  <c:v>1.4539800000000001</c:v>
                </c:pt>
                <c:pt idx="1">
                  <c:v>4.5348888888888892</c:v>
                </c:pt>
                <c:pt idx="2">
                  <c:v>4.4281111111111109</c:v>
                </c:pt>
              </c:numCache>
            </c:numRef>
          </c:val>
          <c:extLst>
            <c:ext xmlns:c16="http://schemas.microsoft.com/office/drawing/2014/chart" uri="{C3380CC4-5D6E-409C-BE32-E72D297353CC}">
              <c16:uniqueId val="{00000009-E003-6743-B8D8-E455317F2C63}"/>
            </c:ext>
          </c:extLst>
        </c:ser>
        <c:ser>
          <c:idx val="3"/>
          <c:order val="3"/>
          <c:tx>
            <c:strRef>
              <c:f>'Corn Growth Rate'!$M$2</c:f>
              <c:strCache>
                <c:ptCount val="1"/>
                <c:pt idx="0">
                  <c:v>Conventnional-0N-NUI</c:v>
                </c:pt>
              </c:strCache>
            </c:strRef>
          </c:tx>
          <c:spPr>
            <a:solidFill>
              <a:schemeClr val="dk1">
                <a:tint val="98500"/>
              </a:schemeClr>
            </a:solidFill>
            <a:ln>
              <a:noFill/>
            </a:ln>
            <a:effectLst/>
          </c:spPr>
          <c:invertIfNegative val="0"/>
          <c:errBars>
            <c:errBarType val="both"/>
            <c:errValType val="cust"/>
            <c:noEndCap val="0"/>
            <c:plus>
              <c:numLit>
                <c:formatCode>General</c:formatCode>
                <c:ptCount val="1"/>
                <c:pt idx="0">
                  <c:v>0.26</c:v>
                </c:pt>
              </c:numLit>
            </c:plus>
            <c:minus>
              <c:numLit>
                <c:formatCode>General</c:formatCode>
                <c:ptCount val="1"/>
                <c:pt idx="0">
                  <c:v>0.26</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Rate'!$M$3:$M$5</c:f>
              <c:numCache>
                <c:formatCode>General</c:formatCode>
                <c:ptCount val="3"/>
                <c:pt idx="0">
                  <c:v>1.15577</c:v>
                </c:pt>
                <c:pt idx="1">
                  <c:v>1.9113333333333331</c:v>
                </c:pt>
                <c:pt idx="2">
                  <c:v>2.0009999999999999</c:v>
                </c:pt>
              </c:numCache>
            </c:numRef>
          </c:val>
          <c:extLst>
            <c:ext xmlns:c16="http://schemas.microsoft.com/office/drawing/2014/chart" uri="{C3380CC4-5D6E-409C-BE32-E72D297353CC}">
              <c16:uniqueId val="{0000000A-E003-6743-B8D8-E455317F2C63}"/>
            </c:ext>
          </c:extLst>
        </c:ser>
        <c:ser>
          <c:idx val="4"/>
          <c:order val="4"/>
          <c:tx>
            <c:strRef>
              <c:f>'Corn Growth Rate'!$N$2</c:f>
              <c:strCache>
                <c:ptCount val="1"/>
                <c:pt idx="0">
                  <c:v>Diverse</c:v>
                </c:pt>
              </c:strCache>
            </c:strRef>
          </c:tx>
          <c:spPr>
            <a:solidFill>
              <a:schemeClr val="dk1">
                <a:tint val="30000"/>
              </a:schemeClr>
            </a:solidFill>
            <a:ln>
              <a:noFill/>
            </a:ln>
            <a:effectLst/>
          </c:spPr>
          <c:invertIfNegative val="0"/>
          <c:errBars>
            <c:errBarType val="both"/>
            <c:errValType val="cust"/>
            <c:noEndCap val="0"/>
            <c:plus>
              <c:numLit>
                <c:formatCode>General</c:formatCode>
                <c:ptCount val="1"/>
                <c:pt idx="0">
                  <c:v>0.39</c:v>
                </c:pt>
              </c:numLit>
            </c:plus>
            <c:minus>
              <c:numLit>
                <c:formatCode>General</c:formatCode>
                <c:ptCount val="1"/>
                <c:pt idx="0">
                  <c:v>0.39</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Rate'!$N$3:$N$5</c:f>
              <c:numCache>
                <c:formatCode>General</c:formatCode>
                <c:ptCount val="3"/>
                <c:pt idx="0">
                  <c:v>1.3496816666666667</c:v>
                </c:pt>
                <c:pt idx="1">
                  <c:v>3.3101111111111114</c:v>
                </c:pt>
                <c:pt idx="2">
                  <c:v>4.0746666666666664</c:v>
                </c:pt>
              </c:numCache>
            </c:numRef>
          </c:val>
          <c:extLst>
            <c:ext xmlns:c16="http://schemas.microsoft.com/office/drawing/2014/chart" uri="{C3380CC4-5D6E-409C-BE32-E72D297353CC}">
              <c16:uniqueId val="{0000000B-E003-6743-B8D8-E455317F2C63}"/>
            </c:ext>
          </c:extLst>
        </c:ser>
        <c:ser>
          <c:idx val="5"/>
          <c:order val="5"/>
          <c:tx>
            <c:strRef>
              <c:f>'Corn Growth Rate'!$O$2</c:f>
              <c:strCache>
                <c:ptCount val="1"/>
                <c:pt idx="0">
                  <c:v>Diverse-0N</c:v>
                </c:pt>
              </c:strCache>
            </c:strRef>
          </c:tx>
          <c:spPr>
            <a:solidFill>
              <a:schemeClr val="dk1">
                <a:tint val="60000"/>
              </a:schemeClr>
            </a:solidFill>
            <a:ln>
              <a:noFill/>
            </a:ln>
            <a:effectLst/>
          </c:spPr>
          <c:invertIfNegative val="0"/>
          <c:errBars>
            <c:errBarType val="both"/>
            <c:errValType val="cust"/>
            <c:noEndCap val="0"/>
            <c:plus>
              <c:numLit>
                <c:formatCode>General</c:formatCode>
                <c:ptCount val="1"/>
                <c:pt idx="0">
                  <c:v>0.16</c:v>
                </c:pt>
              </c:numLit>
            </c:plus>
            <c:minus>
              <c:numLit>
                <c:formatCode>General</c:formatCode>
                <c:ptCount val="1"/>
                <c:pt idx="0">
                  <c:v>0.16</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Rate'!$O$3:$O$5</c:f>
              <c:numCache>
                <c:formatCode>General</c:formatCode>
                <c:ptCount val="3"/>
                <c:pt idx="0">
                  <c:v>0.99060499999999996</c:v>
                </c:pt>
                <c:pt idx="1">
                  <c:v>1.3426666666666665</c:v>
                </c:pt>
                <c:pt idx="2">
                  <c:v>1.5423333333333336</c:v>
                </c:pt>
              </c:numCache>
            </c:numRef>
          </c:val>
          <c:extLst>
            <c:ext xmlns:c16="http://schemas.microsoft.com/office/drawing/2014/chart" uri="{C3380CC4-5D6E-409C-BE32-E72D297353CC}">
              <c16:uniqueId val="{0000000F-E003-6743-B8D8-E455317F2C63}"/>
            </c:ext>
          </c:extLst>
        </c:ser>
        <c:ser>
          <c:idx val="6"/>
          <c:order val="6"/>
          <c:tx>
            <c:strRef>
              <c:f>'Corn Growth Rate'!$P$2</c:f>
              <c:strCache>
                <c:ptCount val="1"/>
                <c:pt idx="0">
                  <c:v>Diverse+NUI</c:v>
                </c:pt>
              </c:strCache>
            </c:strRef>
          </c:tx>
          <c:spPr>
            <a:solidFill>
              <a:schemeClr val="dk1">
                <a:tint val="80000"/>
              </a:schemeClr>
            </a:solidFill>
            <a:ln>
              <a:noFill/>
            </a:ln>
            <a:effectLst/>
          </c:spPr>
          <c:invertIfNegative val="0"/>
          <c:errBars>
            <c:errBarType val="both"/>
            <c:errValType val="cust"/>
            <c:noEndCap val="0"/>
            <c:plus>
              <c:numLit>
                <c:formatCode>General</c:formatCode>
                <c:ptCount val="1"/>
                <c:pt idx="0">
                  <c:v>0.24</c:v>
                </c:pt>
              </c:numLit>
            </c:plus>
            <c:minus>
              <c:numLit>
                <c:formatCode>General</c:formatCode>
                <c:ptCount val="1"/>
                <c:pt idx="0">
                  <c:v>0.24</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Rate'!$P$3:$P$5</c:f>
              <c:numCache>
                <c:formatCode>General</c:formatCode>
                <c:ptCount val="3"/>
                <c:pt idx="0">
                  <c:v>1.4209066666666665</c:v>
                </c:pt>
                <c:pt idx="1">
                  <c:v>3.3356666666666666</c:v>
                </c:pt>
                <c:pt idx="2">
                  <c:v>4.4394444444444439</c:v>
                </c:pt>
              </c:numCache>
            </c:numRef>
          </c:val>
          <c:extLst>
            <c:ext xmlns:c16="http://schemas.microsoft.com/office/drawing/2014/chart" uri="{C3380CC4-5D6E-409C-BE32-E72D297353CC}">
              <c16:uniqueId val="{00000010-E003-6743-B8D8-E455317F2C63}"/>
            </c:ext>
          </c:extLst>
        </c:ser>
        <c:ser>
          <c:idx val="7"/>
          <c:order val="7"/>
          <c:tx>
            <c:strRef>
              <c:f>'Corn Growth Rate'!$Q$2</c:f>
              <c:strCache>
                <c:ptCount val="1"/>
                <c:pt idx="0">
                  <c:v>Diverse-0N-NUI </c:v>
                </c:pt>
              </c:strCache>
            </c:strRef>
          </c:tx>
          <c:spPr>
            <a:solidFill>
              <a:schemeClr val="dk1">
                <a:tint val="88500"/>
              </a:schemeClr>
            </a:solidFill>
            <a:ln>
              <a:noFill/>
            </a:ln>
            <a:effectLst/>
          </c:spPr>
          <c:invertIfNegative val="0"/>
          <c:errBars>
            <c:errBarType val="both"/>
            <c:errValType val="cust"/>
            <c:noEndCap val="0"/>
            <c:plus>
              <c:numLit>
                <c:formatCode>General</c:formatCode>
                <c:ptCount val="1"/>
                <c:pt idx="0">
                  <c:v>0.34</c:v>
                </c:pt>
              </c:numLit>
            </c:plus>
            <c:minus>
              <c:numLit>
                <c:formatCode>General</c:formatCode>
                <c:ptCount val="1"/>
                <c:pt idx="0">
                  <c:v>0.34</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Rate'!$Q$3:$Q$5</c:f>
              <c:numCache>
                <c:formatCode>General</c:formatCode>
                <c:ptCount val="3"/>
                <c:pt idx="0">
                  <c:v>0.97366499999999989</c:v>
                </c:pt>
                <c:pt idx="1">
                  <c:v>1.5763333333333334</c:v>
                </c:pt>
                <c:pt idx="2">
                  <c:v>1.8810000000000002</c:v>
                </c:pt>
              </c:numCache>
            </c:numRef>
          </c:val>
          <c:extLst>
            <c:ext xmlns:c16="http://schemas.microsoft.com/office/drawing/2014/chart" uri="{C3380CC4-5D6E-409C-BE32-E72D297353CC}">
              <c16:uniqueId val="{00000011-E003-6743-B8D8-E455317F2C63}"/>
            </c:ext>
          </c:extLst>
        </c:ser>
        <c:dLbls>
          <c:showLegendKey val="0"/>
          <c:showVal val="0"/>
          <c:showCatName val="0"/>
          <c:showSerName val="0"/>
          <c:showPercent val="0"/>
          <c:showBubbleSize val="0"/>
        </c:dLbls>
        <c:gapWidth val="150"/>
        <c:axId val="1582926416"/>
        <c:axId val="966070176"/>
      </c:barChart>
      <c:catAx>
        <c:axId val="15829264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966070176"/>
        <c:crosses val="autoZero"/>
        <c:auto val="1"/>
        <c:lblAlgn val="ctr"/>
        <c:lblOffset val="100"/>
        <c:noMultiLvlLbl val="0"/>
      </c:catAx>
      <c:valAx>
        <c:axId val="966070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solidFill>
                      <a:schemeClr val="tx1"/>
                    </a:solidFill>
                  </a:rPr>
                  <a:t>Corn</a:t>
                </a:r>
                <a:r>
                  <a:rPr lang="en-US" sz="1800" baseline="0">
                    <a:solidFill>
                      <a:schemeClr val="tx1"/>
                    </a:solidFill>
                  </a:rPr>
                  <a:t> Biomass (tons/ha)</a:t>
                </a:r>
                <a:endParaRPr lang="en-US" sz="18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582926416"/>
        <c:crosses val="autoZero"/>
        <c:crossBetween val="between"/>
      </c:valAx>
      <c:spPr>
        <a:noFill/>
        <a:ln>
          <a:noFill/>
        </a:ln>
        <a:effectLst/>
      </c:spPr>
    </c:plotArea>
    <c:legend>
      <c:legendPos val="b"/>
      <c:layout>
        <c:manualLayout>
          <c:xMode val="edge"/>
          <c:yMode val="edge"/>
          <c:x val="5.2454545768363782E-3"/>
          <c:y val="0.87327452489491442"/>
          <c:w val="0.98863228242896639"/>
          <c:h val="0.1159843365443981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3200" b="0" i="0" u="none" strike="noStrike" kern="1200" spc="0" baseline="0">
                <a:solidFill>
                  <a:schemeClr val="tx1"/>
                </a:solidFill>
                <a:latin typeface="+mn-lt"/>
                <a:ea typeface="+mn-ea"/>
                <a:cs typeface="+mn-cs"/>
              </a:defRPr>
            </a:pPr>
            <a:r>
              <a:rPr lang="en-US" sz="3200" baseline="0">
                <a:solidFill>
                  <a:schemeClr val="tx1"/>
                </a:solidFill>
              </a:rPr>
              <a:t>VT(Tassel) Stage Corn Biomass</a:t>
            </a:r>
            <a:endParaRPr lang="en-US" sz="3200">
              <a:solidFill>
                <a:schemeClr val="tx1"/>
              </a:solidFill>
            </a:endParaRP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'20&amp;21-Jul-2021'!$AC$6</c:f>
              <c:strCache>
                <c:ptCount val="1"/>
                <c:pt idx="0">
                  <c:v>Fertilized</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0.6</c:v>
                </c:pt>
              </c:numLit>
            </c:plus>
            <c:minus>
              <c:numLit>
                <c:formatCode>General</c:formatCode>
                <c:ptCount val="1"/>
                <c:pt idx="0">
                  <c:v>0.6</c:v>
                </c:pt>
              </c:numLit>
            </c:minus>
            <c:spPr>
              <a:noFill/>
              <a:ln w="9525" cap="flat" cmpd="sng" algn="ctr">
                <a:solidFill>
                  <a:schemeClr val="tx1">
                    <a:lumMod val="65000"/>
                    <a:lumOff val="35000"/>
                  </a:schemeClr>
                </a:solidFill>
                <a:round/>
              </a:ln>
              <a:effectLst/>
            </c:spPr>
          </c:errBars>
          <c:cat>
            <c:strRef>
              <c:f>'20&amp;21-Jul-2021'!$AD$5:$AG$5</c:f>
              <c:strCache>
                <c:ptCount val="4"/>
                <c:pt idx="0">
                  <c:v>Conventional</c:v>
                </c:pt>
                <c:pt idx="1">
                  <c:v>Conventnional+NUI</c:v>
                </c:pt>
                <c:pt idx="2">
                  <c:v>Diverse</c:v>
                </c:pt>
                <c:pt idx="3">
                  <c:v>Diverse+NUI</c:v>
                </c:pt>
              </c:strCache>
            </c:strRef>
          </c:cat>
          <c:val>
            <c:numRef>
              <c:f>'20&amp;21-Jul-2021'!$AD$6:$AG$6</c:f>
              <c:numCache>
                <c:formatCode>General</c:formatCode>
                <c:ptCount val="4"/>
                <c:pt idx="0">
                  <c:v>4.0231111111111106</c:v>
                </c:pt>
                <c:pt idx="1">
                  <c:v>4.5348888888888892</c:v>
                </c:pt>
                <c:pt idx="2">
                  <c:v>3.3101111111111114</c:v>
                </c:pt>
                <c:pt idx="3">
                  <c:v>3.3356666666666666</c:v>
                </c:pt>
              </c:numCache>
            </c:numRef>
          </c:val>
          <c:extLst>
            <c:ext xmlns:c16="http://schemas.microsoft.com/office/drawing/2014/chart" uri="{C3380CC4-5D6E-409C-BE32-E72D297353CC}">
              <c16:uniqueId val="{00000000-5715-EF4F-A52D-7492DC8342D0}"/>
            </c:ext>
          </c:extLst>
        </c:ser>
        <c:ser>
          <c:idx val="1"/>
          <c:order val="1"/>
          <c:tx>
            <c:strRef>
              <c:f>'20&amp;21-Jul-2021'!$AC$7</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0.4</c:v>
                </c:pt>
              </c:numLit>
            </c:plus>
            <c:minus>
              <c:numLit>
                <c:formatCode>General</c:formatCode>
                <c:ptCount val="1"/>
                <c:pt idx="0">
                  <c:v>0.4</c:v>
                </c:pt>
              </c:numLit>
            </c:minus>
            <c:spPr>
              <a:noFill/>
              <a:ln w="9525" cap="flat" cmpd="sng" algn="ctr">
                <a:solidFill>
                  <a:schemeClr val="tx1">
                    <a:lumMod val="65000"/>
                    <a:lumOff val="35000"/>
                  </a:schemeClr>
                </a:solidFill>
                <a:round/>
              </a:ln>
              <a:effectLst/>
            </c:spPr>
          </c:errBars>
          <c:cat>
            <c:strRef>
              <c:f>'20&amp;21-Jul-2021'!$AD$5:$AG$5</c:f>
              <c:strCache>
                <c:ptCount val="4"/>
                <c:pt idx="0">
                  <c:v>Conventional</c:v>
                </c:pt>
                <c:pt idx="1">
                  <c:v>Conventnional+NUI</c:v>
                </c:pt>
                <c:pt idx="2">
                  <c:v>Diverse</c:v>
                </c:pt>
                <c:pt idx="3">
                  <c:v>Diverse+NUI</c:v>
                </c:pt>
              </c:strCache>
            </c:strRef>
          </c:cat>
          <c:val>
            <c:numRef>
              <c:f>'20&amp;21-Jul-2021'!$AD$7:$AG$7</c:f>
              <c:numCache>
                <c:formatCode>General</c:formatCode>
                <c:ptCount val="4"/>
                <c:pt idx="0">
                  <c:v>1.9886666666666668</c:v>
                </c:pt>
                <c:pt idx="1">
                  <c:v>1.9113333333333331</c:v>
                </c:pt>
                <c:pt idx="2">
                  <c:v>1.3426666666666665</c:v>
                </c:pt>
                <c:pt idx="3">
                  <c:v>1.5763333333333334</c:v>
                </c:pt>
              </c:numCache>
            </c:numRef>
          </c:val>
          <c:extLst>
            <c:ext xmlns:c16="http://schemas.microsoft.com/office/drawing/2014/chart" uri="{C3380CC4-5D6E-409C-BE32-E72D297353CC}">
              <c16:uniqueId val="{00000001-5715-EF4F-A52D-7492DC8342D0}"/>
            </c:ext>
          </c:extLst>
        </c:ser>
        <c:dLbls>
          <c:showLegendKey val="0"/>
          <c:showVal val="0"/>
          <c:showCatName val="0"/>
          <c:showSerName val="0"/>
          <c:showPercent val="0"/>
          <c:showBubbleSize val="0"/>
        </c:dLbls>
        <c:gapWidth val="46"/>
        <c:axId val="1348539376"/>
        <c:axId val="1594451936"/>
      </c:barChart>
      <c:catAx>
        <c:axId val="13485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crossAx val="1594451936"/>
        <c:crosses val="autoZero"/>
        <c:auto val="1"/>
        <c:lblAlgn val="ctr"/>
        <c:lblOffset val="100"/>
        <c:noMultiLvlLbl val="0"/>
      </c:catAx>
      <c:valAx>
        <c:axId val="1594451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rPr>
                  <a:t>Biomass</a:t>
                </a:r>
                <a:r>
                  <a:rPr lang="en-US" sz="2000" baseline="0">
                    <a:solidFill>
                      <a:schemeClr val="tx1"/>
                    </a:solidFill>
                  </a:rPr>
                  <a:t> (tons/ha)</a:t>
                </a:r>
                <a:endParaRPr lang="en-US" sz="2000">
                  <a:solidFill>
                    <a:schemeClr val="tx1"/>
                  </a:solidFill>
                </a:endParaRPr>
              </a:p>
            </c:rich>
          </c:tx>
          <c:layout>
            <c:manualLayout>
              <c:xMode val="edge"/>
              <c:yMode val="edge"/>
              <c:x val="6.6613801068286056E-3"/>
              <c:y val="0.34631179625485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crossAx val="134853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2021</a:t>
            </a:r>
            <a:r>
              <a:rPr lang="en-US" sz="3200" b="1" baseline="0"/>
              <a:t> Corn Grain Yield </a:t>
            </a:r>
            <a:endParaRPr lang="en-US" sz="3200" b="1"/>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772138823339599E-2"/>
          <c:y val="9.1225949462638775E-2"/>
          <c:w val="0.92661849726882661"/>
          <c:h val="0.86208225037860675"/>
        </c:manualLayout>
      </c:layout>
      <c:barChart>
        <c:barDir val="col"/>
        <c:grouping val="clustered"/>
        <c:varyColors val="0"/>
        <c:ser>
          <c:idx val="0"/>
          <c:order val="0"/>
          <c:spPr>
            <a:solidFill>
              <a:schemeClr val="accent4">
                <a:shade val="76000"/>
              </a:schemeClr>
            </a:solidFill>
            <a:ln>
              <a:noFill/>
            </a:ln>
            <a:effectLst/>
          </c:spPr>
          <c:invertIfNegative val="0"/>
          <c:errBars>
            <c:errBarType val="both"/>
            <c:errValType val="cust"/>
            <c:noEndCap val="0"/>
            <c:plus>
              <c:numRef>
                <c:f>' 2021 Harvest Corn! '!$AI$106:$AI$109</c:f>
                <c:numCache>
                  <c:formatCode>General</c:formatCode>
                  <c:ptCount val="4"/>
                  <c:pt idx="0">
                    <c:v>0.86574237246119257</c:v>
                  </c:pt>
                  <c:pt idx="1">
                    <c:v>0.32573487631016507</c:v>
                  </c:pt>
                  <c:pt idx="2">
                    <c:v>0.63525375764668757</c:v>
                  </c:pt>
                  <c:pt idx="3">
                    <c:v>1.3319416520492133</c:v>
                  </c:pt>
                </c:numCache>
              </c:numRef>
            </c:plus>
            <c:minus>
              <c:numRef>
                <c:f>' 2021 Harvest Corn! '!$AI$106:$AI$109</c:f>
                <c:numCache>
                  <c:formatCode>General</c:formatCode>
                  <c:ptCount val="4"/>
                  <c:pt idx="0">
                    <c:v>0.86574237246119257</c:v>
                  </c:pt>
                  <c:pt idx="1">
                    <c:v>0.32573487631016507</c:v>
                  </c:pt>
                  <c:pt idx="2">
                    <c:v>0.63525375764668757</c:v>
                  </c:pt>
                  <c:pt idx="3">
                    <c:v>1.3319416520492133</c:v>
                  </c:pt>
                </c:numCache>
              </c:numRef>
            </c:minus>
            <c:spPr>
              <a:noFill/>
              <a:ln w="38100" cap="flat" cmpd="sng" algn="ctr">
                <a:solidFill>
                  <a:schemeClr val="tx1">
                    <a:lumMod val="65000"/>
                    <a:lumOff val="35000"/>
                  </a:schemeClr>
                </a:solidFill>
                <a:round/>
              </a:ln>
              <a:effectLst/>
            </c:spPr>
          </c:errBars>
          <c:cat>
            <c:strRef>
              <c:f>' 2021 Harvest Corn! '!$AG$106:$AG$109</c:f>
              <c:strCache>
                <c:ptCount val="4"/>
                <c:pt idx="0">
                  <c:v>Conventional</c:v>
                </c:pt>
                <c:pt idx="1">
                  <c:v>Conventnional+NUI</c:v>
                </c:pt>
                <c:pt idx="2">
                  <c:v>Diverse</c:v>
                </c:pt>
                <c:pt idx="3">
                  <c:v>Diverse+NUI</c:v>
                </c:pt>
              </c:strCache>
            </c:strRef>
          </c:cat>
          <c:val>
            <c:numRef>
              <c:f>' 2021 Harvest Corn! '!$AH$106:$AH$109</c:f>
              <c:numCache>
                <c:formatCode>General</c:formatCode>
                <c:ptCount val="4"/>
                <c:pt idx="0">
                  <c:v>12.451843500000001</c:v>
                </c:pt>
                <c:pt idx="1">
                  <c:v>12.608048638888887</c:v>
                </c:pt>
                <c:pt idx="2">
                  <c:v>12.015440861111109</c:v>
                </c:pt>
                <c:pt idx="3">
                  <c:v>12.724999805555555</c:v>
                </c:pt>
              </c:numCache>
            </c:numRef>
          </c:val>
          <c:extLst>
            <c:ext xmlns:c16="http://schemas.microsoft.com/office/drawing/2014/chart" uri="{C3380CC4-5D6E-409C-BE32-E72D297353CC}">
              <c16:uniqueId val="{00000000-03A1-FE48-8737-B70848E56531}"/>
            </c:ext>
          </c:extLst>
        </c:ser>
        <c:ser>
          <c:idx val="1"/>
          <c:order val="1"/>
          <c:spPr>
            <a:solidFill>
              <a:schemeClr val="accent4">
                <a:tint val="77000"/>
              </a:schemeClr>
            </a:solidFill>
            <a:ln>
              <a:noFill/>
            </a:ln>
            <a:effectLst/>
          </c:spPr>
          <c:invertIfNegative val="0"/>
          <c:errBars>
            <c:errBarType val="both"/>
            <c:errValType val="cust"/>
            <c:noEndCap val="0"/>
            <c:plus>
              <c:numRef>
                <c:f>' 2021 Harvest Corn! '!$AK$106:$AK$109</c:f>
                <c:numCache>
                  <c:formatCode>General</c:formatCode>
                  <c:ptCount val="4"/>
                  <c:pt idx="0">
                    <c:v>2.021518568249276</c:v>
                  </c:pt>
                  <c:pt idx="1">
                    <c:v>1.7462709769770335</c:v>
                  </c:pt>
                  <c:pt idx="2">
                    <c:v>0.49647779706557144</c:v>
                  </c:pt>
                  <c:pt idx="3">
                    <c:v>3.5631535797052494</c:v>
                  </c:pt>
                </c:numCache>
              </c:numRef>
            </c:plus>
            <c:minus>
              <c:numRef>
                <c:f>' 2021 Harvest Corn! '!$AK$106:$AK$109</c:f>
                <c:numCache>
                  <c:formatCode>General</c:formatCode>
                  <c:ptCount val="4"/>
                  <c:pt idx="0">
                    <c:v>2.021518568249276</c:v>
                  </c:pt>
                  <c:pt idx="1">
                    <c:v>1.7462709769770335</c:v>
                  </c:pt>
                  <c:pt idx="2">
                    <c:v>0.49647779706557144</c:v>
                  </c:pt>
                  <c:pt idx="3">
                    <c:v>3.5631535797052494</c:v>
                  </c:pt>
                </c:numCache>
              </c:numRef>
            </c:minus>
            <c:spPr>
              <a:noFill/>
              <a:ln w="38100" cap="flat" cmpd="sng" algn="ctr">
                <a:solidFill>
                  <a:schemeClr val="tx1">
                    <a:lumMod val="65000"/>
                    <a:lumOff val="35000"/>
                  </a:schemeClr>
                </a:solidFill>
                <a:round/>
              </a:ln>
              <a:effectLst/>
            </c:spPr>
          </c:errBars>
          <c:cat>
            <c:strRef>
              <c:f>' 2021 Harvest Corn! '!$AG$106:$AG$109</c:f>
              <c:strCache>
                <c:ptCount val="4"/>
                <c:pt idx="0">
                  <c:v>Conventional</c:v>
                </c:pt>
                <c:pt idx="1">
                  <c:v>Conventnional+NUI</c:v>
                </c:pt>
                <c:pt idx="2">
                  <c:v>Diverse</c:v>
                </c:pt>
                <c:pt idx="3">
                  <c:v>Diverse+NUI</c:v>
                </c:pt>
              </c:strCache>
            </c:strRef>
          </c:cat>
          <c:val>
            <c:numRef>
              <c:f>' 2021 Harvest Corn! '!$AJ$106:$AJ$109</c:f>
              <c:numCache>
                <c:formatCode>General</c:formatCode>
                <c:ptCount val="4"/>
                <c:pt idx="0">
                  <c:v>10.336426166666666</c:v>
                </c:pt>
                <c:pt idx="1">
                  <c:v>9.1285428333333325</c:v>
                </c:pt>
                <c:pt idx="2">
                  <c:v>5.8722028333333327</c:v>
                </c:pt>
                <c:pt idx="3">
                  <c:v>8.9282051666666664</c:v>
                </c:pt>
              </c:numCache>
            </c:numRef>
          </c:val>
          <c:extLst>
            <c:ext xmlns:c16="http://schemas.microsoft.com/office/drawing/2014/chart" uri="{C3380CC4-5D6E-409C-BE32-E72D297353CC}">
              <c16:uniqueId val="{00000002-03A1-FE48-8737-B70848E56531}"/>
            </c:ext>
          </c:extLst>
        </c:ser>
        <c:dLbls>
          <c:showLegendKey val="0"/>
          <c:showVal val="0"/>
          <c:showCatName val="0"/>
          <c:showSerName val="0"/>
          <c:showPercent val="0"/>
          <c:showBubbleSize val="0"/>
        </c:dLbls>
        <c:gapWidth val="108"/>
        <c:overlap val="-5"/>
        <c:axId val="2127782911"/>
        <c:axId val="100301232"/>
      </c:barChart>
      <c:catAx>
        <c:axId val="212778291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00301232"/>
        <c:crosses val="autoZero"/>
        <c:auto val="1"/>
        <c:lblAlgn val="ctr"/>
        <c:lblOffset val="10"/>
        <c:noMultiLvlLbl val="0"/>
      </c:catAx>
      <c:valAx>
        <c:axId val="100301232"/>
        <c:scaling>
          <c:orientation val="minMax"/>
          <c:max val="15"/>
          <c:min val="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Average</a:t>
                </a:r>
                <a:r>
                  <a:rPr lang="en-US" sz="2000" baseline="0"/>
                  <a:t> Yield (tons/ha) Corrected to 15% Moisture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27782911"/>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2021</a:t>
            </a:r>
            <a:r>
              <a:rPr lang="en-US" sz="2400" b="1" baseline="0"/>
              <a:t> Corn Biomass Yield</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21360964276247E-2"/>
          <c:y val="8.4320853521176936E-2"/>
          <c:w val="0.91289462194570492"/>
          <c:h val="0.85892478614540035"/>
        </c:manualLayout>
      </c:layout>
      <c:barChart>
        <c:barDir val="col"/>
        <c:grouping val="clustered"/>
        <c:varyColors val="0"/>
        <c:ser>
          <c:idx val="0"/>
          <c:order val="0"/>
          <c:spPr>
            <a:solidFill>
              <a:schemeClr val="accent6">
                <a:shade val="76000"/>
              </a:schemeClr>
            </a:solidFill>
            <a:ln>
              <a:noFill/>
            </a:ln>
            <a:effectLst/>
          </c:spPr>
          <c:invertIfNegative val="0"/>
          <c:errBars>
            <c:errBarType val="both"/>
            <c:errValType val="cust"/>
            <c:noEndCap val="0"/>
            <c:plus>
              <c:numRef>
                <c:f>' 2021 Harvest Corn! '!$AM$3:$AM$6</c:f>
                <c:numCache>
                  <c:formatCode>General</c:formatCode>
                  <c:ptCount val="4"/>
                  <c:pt idx="0">
                    <c:v>0.5764822479244851</c:v>
                  </c:pt>
                  <c:pt idx="1">
                    <c:v>0.42766982423472072</c:v>
                  </c:pt>
                  <c:pt idx="2">
                    <c:v>0.4081335786442658</c:v>
                  </c:pt>
                  <c:pt idx="3">
                    <c:v>0.41449389039358686</c:v>
                  </c:pt>
                </c:numCache>
              </c:numRef>
            </c:plus>
            <c:minus>
              <c:numRef>
                <c:f>' 2021 Harvest Corn! '!$AM$3:$AM$6</c:f>
                <c:numCache>
                  <c:formatCode>General</c:formatCode>
                  <c:ptCount val="4"/>
                  <c:pt idx="0">
                    <c:v>0.5764822479244851</c:v>
                  </c:pt>
                  <c:pt idx="1">
                    <c:v>0.42766982423472072</c:v>
                  </c:pt>
                  <c:pt idx="2">
                    <c:v>0.4081335786442658</c:v>
                  </c:pt>
                  <c:pt idx="3">
                    <c:v>0.41449389039358686</c:v>
                  </c:pt>
                </c:numCache>
              </c:numRef>
            </c:minus>
            <c:spPr>
              <a:noFill/>
              <a:ln w="38100" cap="flat" cmpd="sng" algn="ctr">
                <a:solidFill>
                  <a:schemeClr val="tx1">
                    <a:lumMod val="65000"/>
                    <a:lumOff val="35000"/>
                  </a:schemeClr>
                </a:solidFill>
                <a:round/>
              </a:ln>
              <a:effectLst/>
            </c:spPr>
          </c:errBars>
          <c:cat>
            <c:strRef>
              <c:f>' 2021 Harvest Corn! '!$AK$3:$AK$6</c:f>
              <c:strCache>
                <c:ptCount val="4"/>
                <c:pt idx="0">
                  <c:v>Conventional</c:v>
                </c:pt>
                <c:pt idx="1">
                  <c:v>Conventnional+NUI</c:v>
                </c:pt>
                <c:pt idx="2">
                  <c:v>Diverse</c:v>
                </c:pt>
                <c:pt idx="3">
                  <c:v>Diverse+NUI</c:v>
                </c:pt>
              </c:strCache>
            </c:strRef>
          </c:cat>
          <c:val>
            <c:numRef>
              <c:f>' 2021 Harvest Corn! '!$AL$3:$AL$6</c:f>
              <c:numCache>
                <c:formatCode>General</c:formatCode>
                <c:ptCount val="4"/>
                <c:pt idx="0">
                  <c:v>5.7350287037037022</c:v>
                </c:pt>
                <c:pt idx="1">
                  <c:v>6.0321120370370354</c:v>
                </c:pt>
                <c:pt idx="2">
                  <c:v>5.8930898148148128</c:v>
                </c:pt>
                <c:pt idx="3">
                  <c:v>5.9677333333333316</c:v>
                </c:pt>
              </c:numCache>
            </c:numRef>
          </c:val>
          <c:extLst>
            <c:ext xmlns:c16="http://schemas.microsoft.com/office/drawing/2014/chart" uri="{C3380CC4-5D6E-409C-BE32-E72D297353CC}">
              <c16:uniqueId val="{00000001-94AF-D944-9977-700B3EF92BC0}"/>
            </c:ext>
          </c:extLst>
        </c:ser>
        <c:ser>
          <c:idx val="1"/>
          <c:order val="1"/>
          <c:spPr>
            <a:solidFill>
              <a:schemeClr val="accent6">
                <a:tint val="77000"/>
              </a:schemeClr>
            </a:solidFill>
            <a:ln>
              <a:noFill/>
            </a:ln>
            <a:effectLst/>
          </c:spPr>
          <c:invertIfNegative val="0"/>
          <c:errBars>
            <c:errBarType val="both"/>
            <c:errValType val="cust"/>
            <c:noEndCap val="0"/>
            <c:plus>
              <c:numRef>
                <c:f>' 2021 Harvest Corn! '!$AO$3:$AO$6</c:f>
                <c:numCache>
                  <c:formatCode>General</c:formatCode>
                  <c:ptCount val="4"/>
                  <c:pt idx="0">
                    <c:v>1.5030551814923871</c:v>
                  </c:pt>
                  <c:pt idx="1">
                    <c:v>1.237483361504307</c:v>
                  </c:pt>
                  <c:pt idx="2">
                    <c:v>0.55818708341611856</c:v>
                  </c:pt>
                  <c:pt idx="3">
                    <c:v>1.0109758801661781</c:v>
                  </c:pt>
                </c:numCache>
              </c:numRef>
            </c:plus>
            <c:minus>
              <c:numRef>
                <c:f>' 2021 Harvest Corn! '!$AO$3:$AO$6</c:f>
                <c:numCache>
                  <c:formatCode>General</c:formatCode>
                  <c:ptCount val="4"/>
                  <c:pt idx="0">
                    <c:v>1.5030551814923871</c:v>
                  </c:pt>
                  <c:pt idx="1">
                    <c:v>1.237483361504307</c:v>
                  </c:pt>
                  <c:pt idx="2">
                    <c:v>0.55818708341611856</c:v>
                  </c:pt>
                  <c:pt idx="3">
                    <c:v>1.0109758801661781</c:v>
                  </c:pt>
                </c:numCache>
              </c:numRef>
            </c:minus>
            <c:spPr>
              <a:noFill/>
              <a:ln w="38100" cap="flat" cmpd="sng" algn="ctr">
                <a:solidFill>
                  <a:schemeClr val="tx1">
                    <a:lumMod val="65000"/>
                    <a:lumOff val="35000"/>
                  </a:schemeClr>
                </a:solidFill>
                <a:round/>
              </a:ln>
              <a:effectLst/>
            </c:spPr>
          </c:errBars>
          <c:cat>
            <c:strRef>
              <c:f>' 2021 Harvest Corn! '!$AK$3:$AK$6</c:f>
              <c:strCache>
                <c:ptCount val="4"/>
                <c:pt idx="0">
                  <c:v>Conventional</c:v>
                </c:pt>
                <c:pt idx="1">
                  <c:v>Conventnional+NUI</c:v>
                </c:pt>
                <c:pt idx="2">
                  <c:v>Diverse</c:v>
                </c:pt>
                <c:pt idx="3">
                  <c:v>Diverse+NUI</c:v>
                </c:pt>
              </c:strCache>
            </c:strRef>
          </c:cat>
          <c:val>
            <c:numRef>
              <c:f>' 2021 Harvest Corn! '!$AN$3:$AN$6</c:f>
              <c:numCache>
                <c:formatCode>General</c:formatCode>
                <c:ptCount val="4"/>
                <c:pt idx="0">
                  <c:v>4.8917166666666656</c:v>
                </c:pt>
                <c:pt idx="1">
                  <c:v>4.8575999999999988</c:v>
                </c:pt>
                <c:pt idx="2">
                  <c:v>3.921244444444445</c:v>
                </c:pt>
                <c:pt idx="3">
                  <c:v>5.0473499999999989</c:v>
                </c:pt>
              </c:numCache>
            </c:numRef>
          </c:val>
          <c:extLst>
            <c:ext xmlns:c16="http://schemas.microsoft.com/office/drawing/2014/chart" uri="{C3380CC4-5D6E-409C-BE32-E72D297353CC}">
              <c16:uniqueId val="{00000002-94AF-D944-9977-700B3EF92BC0}"/>
            </c:ext>
          </c:extLst>
        </c:ser>
        <c:dLbls>
          <c:showLegendKey val="0"/>
          <c:showVal val="0"/>
          <c:showCatName val="0"/>
          <c:showSerName val="0"/>
          <c:showPercent val="0"/>
          <c:showBubbleSize val="0"/>
        </c:dLbls>
        <c:gapWidth val="129"/>
        <c:axId val="1991411951"/>
        <c:axId val="169147392"/>
      </c:barChart>
      <c:catAx>
        <c:axId val="199141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9147392"/>
        <c:crosses val="autoZero"/>
        <c:auto val="1"/>
        <c:lblAlgn val="ctr"/>
        <c:lblOffset val="100"/>
        <c:noMultiLvlLbl val="0"/>
      </c:catAx>
      <c:valAx>
        <c:axId val="169147392"/>
        <c:scaling>
          <c:orientation val="minMax"/>
          <c:max val="7"/>
        </c:scaling>
        <c:delete val="0"/>
        <c:axPos val="l"/>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Yield</a:t>
                </a:r>
                <a:r>
                  <a:rPr lang="en-US" sz="1800" baseline="0"/>
                  <a:t> (tons/ha)</a:t>
                </a:r>
                <a:endParaRPr lang="en-US" sz="1800"/>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99141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US" sz="2000">
                <a:solidFill>
                  <a:schemeClr val="tx1"/>
                </a:solidFill>
              </a:rPr>
              <a:t> DIVERSE FIELD (PLOT 3)</a:t>
            </a:r>
          </a:p>
        </c:rich>
      </c:tx>
      <c:layout>
        <c:manualLayout>
          <c:xMode val="edge"/>
          <c:yMode val="edge"/>
          <c:x val="0.52581455653886644"/>
          <c:y val="3.8849642026871314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2-DE22-AD4C-9F25-5A318D87A46E}"/>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9319-BA42-8E2F-BA64D85B376D}"/>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1-DE22-AD4C-9F25-5A318D87A46E}"/>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'2021 Harevest CC'!$AM$4:$AO$4</c:f>
              <c:strCache>
                <c:ptCount val="3"/>
                <c:pt idx="0">
                  <c:v>Rye </c:v>
                </c:pt>
                <c:pt idx="1">
                  <c:v>Clover</c:v>
                </c:pt>
                <c:pt idx="2">
                  <c:v>Weeds</c:v>
                </c:pt>
              </c:strCache>
            </c:strRef>
          </c:cat>
          <c:val>
            <c:numRef>
              <c:f>'2021 Harevest CC'!$AM$5:$AO$5</c:f>
              <c:numCache>
                <c:formatCode>General</c:formatCode>
                <c:ptCount val="3"/>
                <c:pt idx="0">
                  <c:v>0.23299999999999998</c:v>
                </c:pt>
                <c:pt idx="1">
                  <c:v>9.3333333333333324E-3</c:v>
                </c:pt>
                <c:pt idx="2">
                  <c:v>4.0222222222222229E-2</c:v>
                </c:pt>
              </c:numCache>
            </c:numRef>
          </c:val>
          <c:extLst>
            <c:ext xmlns:c16="http://schemas.microsoft.com/office/drawing/2014/chart" uri="{C3380CC4-5D6E-409C-BE32-E72D297353CC}">
              <c16:uniqueId val="{00000000-DE22-AD4C-9F25-5A318D87A46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Diverse-0N (Plot 3-0N)</a:t>
            </a:r>
          </a:p>
        </c:rich>
      </c:tx>
      <c:layout>
        <c:manualLayout>
          <c:xMode val="edge"/>
          <c:yMode val="edge"/>
          <c:x val="0.64877057161310026"/>
          <c:y val="3.8837103366143245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manualLayout>
          <c:layoutTarget val="inner"/>
          <c:xMode val="edge"/>
          <c:yMode val="edge"/>
          <c:x val="6.5802875123928767E-2"/>
          <c:y val="0.13007018494372458"/>
          <c:w val="0.75573503908176809"/>
          <c:h val="0.7950913764889157"/>
        </c:manualLayout>
      </c:layout>
      <c:pieChart>
        <c:varyColors val="1"/>
        <c:ser>
          <c:idx val="0"/>
          <c:order val="0"/>
          <c:tx>
            <c:strRef>
              <c:f>'2021 Harevest CC'!$BA$4</c:f>
              <c:strCache>
                <c:ptCount val="1"/>
                <c:pt idx="0">
                  <c:v>3-0N</c:v>
                </c:pt>
              </c:strCache>
            </c:strRef>
          </c:tx>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CB61-DD44-804D-938A5476FA11}"/>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B61-DD44-804D-938A5476FA11}"/>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B61-DD44-804D-938A5476FA11}"/>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CB61-DD44-804D-938A5476FA11}"/>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CB61-DD44-804D-938A5476FA11}"/>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CB61-DD44-804D-938A5476FA11}"/>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CC'!$AZ$5:$AZ$7</c:f>
              <c:strCache>
                <c:ptCount val="3"/>
                <c:pt idx="0">
                  <c:v>Rye</c:v>
                </c:pt>
                <c:pt idx="1">
                  <c:v>Clover</c:v>
                </c:pt>
                <c:pt idx="2">
                  <c:v>Weeds</c:v>
                </c:pt>
              </c:strCache>
            </c:strRef>
          </c:cat>
          <c:val>
            <c:numRef>
              <c:f>'2021 Harevest CC'!$BA$5:$BA$7</c:f>
              <c:numCache>
                <c:formatCode>General</c:formatCode>
                <c:ptCount val="3"/>
                <c:pt idx="0">
                  <c:v>0.10999999999999999</c:v>
                </c:pt>
                <c:pt idx="1">
                  <c:v>7.0000000000000001E-3</c:v>
                </c:pt>
                <c:pt idx="2">
                  <c:v>0</c:v>
                </c:pt>
              </c:numCache>
            </c:numRef>
          </c:val>
          <c:extLst>
            <c:ext xmlns:c16="http://schemas.microsoft.com/office/drawing/2014/chart" uri="{C3380CC4-5D6E-409C-BE32-E72D297353CC}">
              <c16:uniqueId val="{00000001-CB61-DD44-804D-938A5476FA1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Diverse+NUI (Plot 4)</a:t>
            </a:r>
          </a:p>
        </c:rich>
      </c:tx>
      <c:layout>
        <c:manualLayout>
          <c:xMode val="edge"/>
          <c:yMode val="edge"/>
          <c:x val="0.57235958264713671"/>
          <c:y val="3.9406530518578321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A97-F540-8019-238EDF376DB4}"/>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A97-F540-8019-238EDF376DB4}"/>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A97-F540-8019-238EDF376DB4}"/>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A97-F540-8019-238EDF376DB4}"/>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0A97-F540-8019-238EDF376DB4}"/>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A97-F540-8019-238EDF376DB4}"/>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CC'!$BC$5:$BC$7</c:f>
              <c:strCache>
                <c:ptCount val="3"/>
                <c:pt idx="0">
                  <c:v>Rye</c:v>
                </c:pt>
                <c:pt idx="1">
                  <c:v>Clover</c:v>
                </c:pt>
                <c:pt idx="2">
                  <c:v>Weeds</c:v>
                </c:pt>
              </c:strCache>
            </c:strRef>
          </c:cat>
          <c:val>
            <c:numRef>
              <c:f>'2021 Harevest CC'!$BD$5:$BD$7</c:f>
              <c:numCache>
                <c:formatCode>General</c:formatCode>
                <c:ptCount val="3"/>
                <c:pt idx="0">
                  <c:v>0.2638888888888889</c:v>
                </c:pt>
                <c:pt idx="1">
                  <c:v>2.9111111111111112E-2</c:v>
                </c:pt>
                <c:pt idx="2">
                  <c:v>1.1000000000000003E-2</c:v>
                </c:pt>
              </c:numCache>
            </c:numRef>
          </c:val>
          <c:extLst>
            <c:ext xmlns:c16="http://schemas.microsoft.com/office/drawing/2014/chart" uri="{C3380CC4-5D6E-409C-BE32-E72D297353CC}">
              <c16:uniqueId val="{00000000-0A97-F540-8019-238EDF376DB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Diverse+NUI-0N (Plot4-ON)</a:t>
            </a:r>
          </a:p>
        </c:rich>
      </c:tx>
      <c:layout>
        <c:manualLayout>
          <c:xMode val="edge"/>
          <c:yMode val="edge"/>
          <c:x val="0.55462676390336785"/>
          <c:y val="4.0702811021614993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F9C2-134F-B1BC-1961B91D4EE7}"/>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9C2-134F-B1BC-1961B91D4EE7}"/>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F9C2-134F-B1BC-1961B91D4EE7}"/>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F9C2-134F-B1BC-1961B91D4EE7}"/>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9C2-134F-B1BC-1961B91D4EE7}"/>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F9C2-134F-B1BC-1961B91D4EE7}"/>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CC'!$BF$5:$BF$7</c:f>
              <c:strCache>
                <c:ptCount val="3"/>
                <c:pt idx="0">
                  <c:v>Rye</c:v>
                </c:pt>
                <c:pt idx="1">
                  <c:v>Clover</c:v>
                </c:pt>
                <c:pt idx="2">
                  <c:v>Weeds</c:v>
                </c:pt>
              </c:strCache>
            </c:strRef>
          </c:cat>
          <c:val>
            <c:numRef>
              <c:f>'2021 Harevest CC'!$BG$5:$BG$7</c:f>
              <c:numCache>
                <c:formatCode>General</c:formatCode>
                <c:ptCount val="3"/>
                <c:pt idx="0">
                  <c:v>0.18899999999999997</c:v>
                </c:pt>
                <c:pt idx="1">
                  <c:v>1.6333333333333335E-2</c:v>
                </c:pt>
                <c:pt idx="2">
                  <c:v>1.6E-2</c:v>
                </c:pt>
              </c:numCache>
            </c:numRef>
          </c:val>
          <c:extLst>
            <c:ext xmlns:c16="http://schemas.microsoft.com/office/drawing/2014/chart" uri="{C3380CC4-5D6E-409C-BE32-E72D297353CC}">
              <c16:uniqueId val="{00000000-F9C2-134F-B1BC-1961B91D4EE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YR2</a:t>
            </a:r>
            <a:r>
              <a:rPr lang="en-US" sz="2000" baseline="0"/>
              <a:t> Harvest Plant Sample</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'2021 Harevest CC'!$BC$11</c:f>
              <c:strCache>
                <c:ptCount val="1"/>
                <c:pt idx="0">
                  <c:v>Fertilized </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0.23</c:v>
                </c:pt>
              </c:numLit>
            </c:plus>
            <c:minus>
              <c:numLit>
                <c:formatCode>General</c:formatCode>
                <c:ptCount val="1"/>
                <c:pt idx="0">
                  <c:v>0.23</c:v>
                </c:pt>
              </c:numLit>
            </c:minus>
            <c:spPr>
              <a:noFill/>
              <a:ln w="38100" cap="flat" cmpd="sng" algn="ctr">
                <a:solidFill>
                  <a:schemeClr val="tx1">
                    <a:lumMod val="65000"/>
                    <a:lumOff val="35000"/>
                  </a:schemeClr>
                </a:solidFill>
                <a:round/>
              </a:ln>
              <a:effectLst/>
            </c:spPr>
          </c:errBars>
          <c:cat>
            <c:strRef>
              <c:f>'2021 Harevest CC'!$BD$10:$BE$10</c:f>
              <c:strCache>
                <c:ptCount val="2"/>
                <c:pt idx="0">
                  <c:v>Diverse</c:v>
                </c:pt>
                <c:pt idx="1">
                  <c:v>Diverse+NUI</c:v>
                </c:pt>
              </c:strCache>
            </c:strRef>
          </c:cat>
          <c:val>
            <c:numRef>
              <c:f>'2021 Harevest CC'!$BD$11:$BE$11</c:f>
              <c:numCache>
                <c:formatCode>General</c:formatCode>
                <c:ptCount val="2"/>
                <c:pt idx="0">
                  <c:v>0.28255555555555556</c:v>
                </c:pt>
                <c:pt idx="1">
                  <c:v>0.30400000000000005</c:v>
                </c:pt>
              </c:numCache>
            </c:numRef>
          </c:val>
          <c:extLst>
            <c:ext xmlns:c16="http://schemas.microsoft.com/office/drawing/2014/chart" uri="{C3380CC4-5D6E-409C-BE32-E72D297353CC}">
              <c16:uniqueId val="{00000000-B034-F54F-BF9C-C9970E02EEDF}"/>
            </c:ext>
          </c:extLst>
        </c:ser>
        <c:ser>
          <c:idx val="1"/>
          <c:order val="1"/>
          <c:tx>
            <c:strRef>
              <c:f>'2021 Harevest CC'!$BC$12</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7.7499999999999999E-2</c:v>
                </c:pt>
              </c:numLit>
            </c:plus>
            <c:minus>
              <c:numLit>
                <c:formatCode>General</c:formatCode>
                <c:ptCount val="1"/>
                <c:pt idx="0">
                  <c:v>7.7499999999999999E-2</c:v>
                </c:pt>
              </c:numLit>
            </c:minus>
            <c:spPr>
              <a:noFill/>
              <a:ln w="38100" cap="flat" cmpd="sng" algn="ctr">
                <a:solidFill>
                  <a:schemeClr val="tx1">
                    <a:lumMod val="65000"/>
                    <a:lumOff val="35000"/>
                  </a:schemeClr>
                </a:solidFill>
                <a:round/>
              </a:ln>
              <a:effectLst/>
            </c:spPr>
          </c:errBars>
          <c:cat>
            <c:strRef>
              <c:f>'2021 Harevest CC'!$BD$10:$BE$10</c:f>
              <c:strCache>
                <c:ptCount val="2"/>
                <c:pt idx="0">
                  <c:v>Diverse</c:v>
                </c:pt>
                <c:pt idx="1">
                  <c:v>Diverse+NUI</c:v>
                </c:pt>
              </c:strCache>
            </c:strRef>
          </c:cat>
          <c:val>
            <c:numRef>
              <c:f>'2021 Harevest CC'!$BD$12:$BE$12</c:f>
              <c:numCache>
                <c:formatCode>General</c:formatCode>
                <c:ptCount val="2"/>
                <c:pt idx="0">
                  <c:v>0.11699999999999999</c:v>
                </c:pt>
                <c:pt idx="1">
                  <c:v>0.2213333333333333</c:v>
                </c:pt>
              </c:numCache>
            </c:numRef>
          </c:val>
          <c:extLst>
            <c:ext xmlns:c16="http://schemas.microsoft.com/office/drawing/2014/chart" uri="{C3380CC4-5D6E-409C-BE32-E72D297353CC}">
              <c16:uniqueId val="{00000001-B034-F54F-BF9C-C9970E02EEDF}"/>
            </c:ext>
          </c:extLst>
        </c:ser>
        <c:dLbls>
          <c:showLegendKey val="0"/>
          <c:showVal val="0"/>
          <c:showCatName val="0"/>
          <c:showSerName val="0"/>
          <c:showPercent val="0"/>
          <c:showBubbleSize val="0"/>
        </c:dLbls>
        <c:gapWidth val="222"/>
        <c:axId val="1256351247"/>
        <c:axId val="2129328671"/>
      </c:barChart>
      <c:catAx>
        <c:axId val="12563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29328671"/>
        <c:crosses val="autoZero"/>
        <c:auto val="1"/>
        <c:lblAlgn val="ctr"/>
        <c:lblOffset val="100"/>
        <c:noMultiLvlLbl val="0"/>
      </c:catAx>
      <c:valAx>
        <c:axId val="2129328671"/>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Cover</a:t>
                </a:r>
                <a:r>
                  <a:rPr lang="en-US" sz="2000" baseline="0"/>
                  <a:t> Crop Biomass (tons/ha)</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563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932234</xdr:colOff>
      <xdr:row>37</xdr:row>
      <xdr:rowOff>148617</xdr:rowOff>
    </xdr:from>
    <xdr:to>
      <xdr:col>11</xdr:col>
      <xdr:colOff>702553</xdr:colOff>
      <xdr:row>42</xdr:row>
      <xdr:rowOff>148617</xdr:rowOff>
    </xdr:to>
    <xdr:sp macro="" textlink="">
      <xdr:nvSpPr>
        <xdr:cNvPr id="2" name="TextBox 1">
          <a:extLst>
            <a:ext uri="{FF2B5EF4-FFF2-40B4-BE49-F238E27FC236}">
              <a16:creationId xmlns:a16="http://schemas.microsoft.com/office/drawing/2014/main" id="{F955202B-E483-02B0-0557-447FF75EC7DB}"/>
            </a:ext>
          </a:extLst>
        </xdr:cNvPr>
        <xdr:cNvSpPr txBox="1"/>
      </xdr:nvSpPr>
      <xdr:spPr>
        <a:xfrm>
          <a:off x="11470532" y="8565745"/>
          <a:ext cx="2310319" cy="10538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SAMPLE ID'S </a:t>
          </a:r>
          <a:r>
            <a:rPr lang="en-US" sz="1100" b="1" baseline="0"/>
            <a:t> </a:t>
          </a:r>
          <a:r>
            <a:rPr lang="en-US" sz="1100" baseline="0"/>
            <a:t>were not assinged to these raddishes because the whole raddishes where separated by (shoot vs. Root), given ID's and sent for analysis.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391583</xdr:colOff>
      <xdr:row>8</xdr:row>
      <xdr:rowOff>25399</xdr:rowOff>
    </xdr:from>
    <xdr:to>
      <xdr:col>33</xdr:col>
      <xdr:colOff>656167</xdr:colOff>
      <xdr:row>34</xdr:row>
      <xdr:rowOff>275166</xdr:rowOff>
    </xdr:to>
    <xdr:graphicFrame macro="">
      <xdr:nvGraphicFramePr>
        <xdr:cNvPr id="2" name="Chart 1">
          <a:extLst>
            <a:ext uri="{FF2B5EF4-FFF2-40B4-BE49-F238E27FC236}">
              <a16:creationId xmlns:a16="http://schemas.microsoft.com/office/drawing/2014/main" id="{FE2DA22A-0185-7A7B-B204-98DD6B290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1439334</xdr:colOff>
      <xdr:row>0</xdr:row>
      <xdr:rowOff>33867</xdr:rowOff>
    </xdr:from>
    <xdr:to>
      <xdr:col>14</xdr:col>
      <xdr:colOff>965199</xdr:colOff>
      <xdr:row>2</xdr:row>
      <xdr:rowOff>101600</xdr:rowOff>
    </xdr:to>
    <xdr:sp macro="" textlink="">
      <xdr:nvSpPr>
        <xdr:cNvPr id="2" name="TextBox 1">
          <a:extLst>
            <a:ext uri="{FF2B5EF4-FFF2-40B4-BE49-F238E27FC236}">
              <a16:creationId xmlns:a16="http://schemas.microsoft.com/office/drawing/2014/main" id="{E2054969-3A6C-2C4C-90AE-B77828A2564B}"/>
            </a:ext>
          </a:extLst>
        </xdr:cNvPr>
        <xdr:cNvSpPr txBox="1"/>
      </xdr:nvSpPr>
      <xdr:spPr>
        <a:xfrm>
          <a:off x="13529734" y="33867"/>
          <a:ext cx="9313332" cy="677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linear meters of corn was sampled in parts A &amp; B (1 Meter for sample A, 1 meter for sample B). The whole linear meter is weighed wet ("Whole Sample Wet Weight").</a:t>
          </a:r>
          <a:r>
            <a:rPr lang="en-US" sz="1200" baseline="0"/>
            <a:t> Three plants from each whole linear meter sample were randdomly chosen for shredding, weighing wet and drying.  These three plants randomly taken are known as the sample from then on. Yes, confusing I know. </a:t>
          </a:r>
          <a:endParaRPr lang="en-US" sz="1200"/>
        </a:p>
      </xdr:txBody>
    </xdr:sp>
    <xdr:clientData/>
  </xdr:twoCellAnchor>
  <xdr:twoCellAnchor>
    <xdr:from>
      <xdr:col>27</xdr:col>
      <xdr:colOff>698499</xdr:colOff>
      <xdr:row>8</xdr:row>
      <xdr:rowOff>97970</xdr:rowOff>
    </xdr:from>
    <xdr:to>
      <xdr:col>39</xdr:col>
      <xdr:colOff>344713</xdr:colOff>
      <xdr:row>43</xdr:row>
      <xdr:rowOff>36286</xdr:rowOff>
    </xdr:to>
    <xdr:graphicFrame macro="">
      <xdr:nvGraphicFramePr>
        <xdr:cNvPr id="3" name="Chart 2">
          <a:extLst>
            <a:ext uri="{FF2B5EF4-FFF2-40B4-BE49-F238E27FC236}">
              <a16:creationId xmlns:a16="http://schemas.microsoft.com/office/drawing/2014/main" id="{54EE3184-9530-9C61-EE1D-A54F10A42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18677</xdr:colOff>
      <xdr:row>0</xdr:row>
      <xdr:rowOff>18675</xdr:rowOff>
    </xdr:from>
    <xdr:to>
      <xdr:col>10</xdr:col>
      <xdr:colOff>466912</xdr:colOff>
      <xdr:row>0</xdr:row>
      <xdr:rowOff>691029</xdr:rowOff>
    </xdr:to>
    <xdr:sp macro="" textlink="">
      <xdr:nvSpPr>
        <xdr:cNvPr id="2" name="TextBox 1">
          <a:extLst>
            <a:ext uri="{FF2B5EF4-FFF2-40B4-BE49-F238E27FC236}">
              <a16:creationId xmlns:a16="http://schemas.microsoft.com/office/drawing/2014/main" id="{C42D4B1A-874F-23AB-AB4F-3F8305B0A396}"/>
            </a:ext>
          </a:extLst>
        </xdr:cNvPr>
        <xdr:cNvSpPr txBox="1"/>
      </xdr:nvSpPr>
      <xdr:spPr>
        <a:xfrm>
          <a:off x="2708089" y="18675"/>
          <a:ext cx="10253382" cy="672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linear meters of corn was sampled in parts A &amp; B (1 Meter for sample A, 1 meter for sample B). The whole linear meter is weighed wet ("Whole Sample Wet Weight"),</a:t>
          </a:r>
          <a:r>
            <a:rPr lang="en-US" sz="1200" baseline="0"/>
            <a:t> all cobs were removed and dried in individual bags ("grain bags").  Three plants from each whole linear meter sample were randdomly chosen for shredding, weighing wet and drying.  These three plants randomly taken are known as the sample from then on. Yes, confusing I know. </a:t>
          </a:r>
          <a:endParaRPr lang="en-US" sz="1200"/>
        </a:p>
      </xdr:txBody>
    </xdr:sp>
    <xdr:clientData/>
  </xdr:twoCellAnchor>
  <xdr:twoCellAnchor>
    <xdr:from>
      <xdr:col>14</xdr:col>
      <xdr:colOff>50800</xdr:colOff>
      <xdr:row>93</xdr:row>
      <xdr:rowOff>16933</xdr:rowOff>
    </xdr:from>
    <xdr:to>
      <xdr:col>14</xdr:col>
      <xdr:colOff>2336800</xdr:colOff>
      <xdr:row>117</xdr:row>
      <xdr:rowOff>0</xdr:rowOff>
    </xdr:to>
    <xdr:sp macro="" textlink="">
      <xdr:nvSpPr>
        <xdr:cNvPr id="3" name="Chevron 2">
          <a:extLst>
            <a:ext uri="{FF2B5EF4-FFF2-40B4-BE49-F238E27FC236}">
              <a16:creationId xmlns:a16="http://schemas.microsoft.com/office/drawing/2014/main" id="{61F6F8B1-FA6E-3B12-AE48-A96C7C6EFF7F}"/>
            </a:ext>
          </a:extLst>
        </xdr:cNvPr>
        <xdr:cNvSpPr/>
      </xdr:nvSpPr>
      <xdr:spPr>
        <a:xfrm>
          <a:off x="29565600" y="20489333"/>
          <a:ext cx="2286000" cy="4859867"/>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26</xdr:col>
      <xdr:colOff>25401</xdr:colOff>
      <xdr:row>92</xdr:row>
      <xdr:rowOff>135466</xdr:rowOff>
    </xdr:from>
    <xdr:to>
      <xdr:col>27</xdr:col>
      <xdr:colOff>0</xdr:colOff>
      <xdr:row>115</xdr:row>
      <xdr:rowOff>101600</xdr:rowOff>
    </xdr:to>
    <xdr:sp macro="" textlink="">
      <xdr:nvSpPr>
        <xdr:cNvPr id="4" name="Chevron 3">
          <a:extLst>
            <a:ext uri="{FF2B5EF4-FFF2-40B4-BE49-F238E27FC236}">
              <a16:creationId xmlns:a16="http://schemas.microsoft.com/office/drawing/2014/main" id="{89BED201-03A7-C740-9CB9-44976B311B1F}"/>
            </a:ext>
          </a:extLst>
        </xdr:cNvPr>
        <xdr:cNvSpPr/>
      </xdr:nvSpPr>
      <xdr:spPr>
        <a:xfrm>
          <a:off x="62153801" y="20353866"/>
          <a:ext cx="4089399" cy="4690534"/>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30</xdr:col>
      <xdr:colOff>16934</xdr:colOff>
      <xdr:row>92</xdr:row>
      <xdr:rowOff>98778</xdr:rowOff>
    </xdr:from>
    <xdr:to>
      <xdr:col>31</xdr:col>
      <xdr:colOff>812800</xdr:colOff>
      <xdr:row>115</xdr:row>
      <xdr:rowOff>0</xdr:rowOff>
    </xdr:to>
    <xdr:sp macro="" textlink="">
      <xdr:nvSpPr>
        <xdr:cNvPr id="5" name="Chevron 4">
          <a:extLst>
            <a:ext uri="{FF2B5EF4-FFF2-40B4-BE49-F238E27FC236}">
              <a16:creationId xmlns:a16="http://schemas.microsoft.com/office/drawing/2014/main" id="{59D40A40-D12D-264D-A3A9-1ADB3DB97674}"/>
            </a:ext>
          </a:extLst>
        </xdr:cNvPr>
        <xdr:cNvSpPr/>
      </xdr:nvSpPr>
      <xdr:spPr>
        <a:xfrm>
          <a:off x="72406934" y="20317178"/>
          <a:ext cx="2319866" cy="4625622"/>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16</xdr:col>
      <xdr:colOff>118532</xdr:colOff>
      <xdr:row>54</xdr:row>
      <xdr:rowOff>101600</xdr:rowOff>
    </xdr:from>
    <xdr:to>
      <xdr:col>18</xdr:col>
      <xdr:colOff>228599</xdr:colOff>
      <xdr:row>62</xdr:row>
      <xdr:rowOff>101599</xdr:rowOff>
    </xdr:to>
    <xdr:sp macro="" textlink="">
      <xdr:nvSpPr>
        <xdr:cNvPr id="6" name="Chevron 5">
          <a:extLst>
            <a:ext uri="{FF2B5EF4-FFF2-40B4-BE49-F238E27FC236}">
              <a16:creationId xmlns:a16="http://schemas.microsoft.com/office/drawing/2014/main" id="{5F6560ED-5BF6-8E4A-B2F0-5E4986456DCD}"/>
            </a:ext>
          </a:extLst>
        </xdr:cNvPr>
        <xdr:cNvSpPr/>
      </xdr:nvSpPr>
      <xdr:spPr>
        <a:xfrm rot="5400000">
          <a:off x="29345466" y="11590866"/>
          <a:ext cx="1625599" cy="2269067"/>
        </a:xfrm>
        <a:prstGeom prst="chevron">
          <a:avLst>
            <a:gd name="adj" fmla="val 50000"/>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660400</xdr:colOff>
      <xdr:row>0</xdr:row>
      <xdr:rowOff>127000</xdr:rowOff>
    </xdr:from>
    <xdr:to>
      <xdr:col>10</xdr:col>
      <xdr:colOff>1854200</xdr:colOff>
      <xdr:row>0</xdr:row>
      <xdr:rowOff>685800</xdr:rowOff>
    </xdr:to>
    <xdr:sp macro="" textlink="">
      <xdr:nvSpPr>
        <xdr:cNvPr id="7" name="Chevron 6">
          <a:extLst>
            <a:ext uri="{FF2B5EF4-FFF2-40B4-BE49-F238E27FC236}">
              <a16:creationId xmlns:a16="http://schemas.microsoft.com/office/drawing/2014/main" id="{9B266572-F0AC-594B-950F-0A2237374539}"/>
            </a:ext>
          </a:extLst>
        </xdr:cNvPr>
        <xdr:cNvSpPr/>
      </xdr:nvSpPr>
      <xdr:spPr>
        <a:xfrm rot="5400000">
          <a:off x="19342100" y="-190500"/>
          <a:ext cx="558800" cy="1193800"/>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812800</xdr:colOff>
      <xdr:row>0</xdr:row>
      <xdr:rowOff>279400</xdr:rowOff>
    </xdr:from>
    <xdr:to>
      <xdr:col>10</xdr:col>
      <xdr:colOff>1879600</xdr:colOff>
      <xdr:row>1</xdr:row>
      <xdr:rowOff>50800</xdr:rowOff>
    </xdr:to>
    <xdr:sp macro="" textlink="">
      <xdr:nvSpPr>
        <xdr:cNvPr id="8" name="TextBox 7">
          <a:extLst>
            <a:ext uri="{FF2B5EF4-FFF2-40B4-BE49-F238E27FC236}">
              <a16:creationId xmlns:a16="http://schemas.microsoft.com/office/drawing/2014/main" id="{696E567E-6540-8990-6224-DEEB590423AC}"/>
            </a:ext>
          </a:extLst>
        </xdr:cNvPr>
        <xdr:cNvSpPr txBox="1"/>
      </xdr:nvSpPr>
      <xdr:spPr>
        <a:xfrm>
          <a:off x="19177000" y="279400"/>
          <a:ext cx="1066800" cy="5588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cap="none" spc="0">
              <a:ln w="0"/>
              <a:solidFill>
                <a:schemeClr val="tx1"/>
              </a:solidFill>
              <a:effectLst>
                <a:outerShdw blurRad="38100" dist="19050" dir="2700000" algn="tl" rotWithShape="0">
                  <a:schemeClr val="dk1">
                    <a:alpha val="40000"/>
                  </a:schemeClr>
                </a:outerShdw>
              </a:effectLst>
            </a:rPr>
            <a:t>GRAIN</a:t>
          </a:r>
        </a:p>
      </xdr:txBody>
    </xdr:sp>
    <xdr:clientData/>
  </xdr:twoCellAnchor>
  <xdr:twoCellAnchor>
    <xdr:from>
      <xdr:col>17</xdr:col>
      <xdr:colOff>545780</xdr:colOff>
      <xdr:row>59</xdr:row>
      <xdr:rowOff>88605</xdr:rowOff>
    </xdr:from>
    <xdr:to>
      <xdr:col>17</xdr:col>
      <xdr:colOff>1713023</xdr:colOff>
      <xdr:row>62</xdr:row>
      <xdr:rowOff>0</xdr:rowOff>
    </xdr:to>
    <xdr:sp macro="" textlink="">
      <xdr:nvSpPr>
        <xdr:cNvPr id="9" name="TextBox 8">
          <a:extLst>
            <a:ext uri="{FF2B5EF4-FFF2-40B4-BE49-F238E27FC236}">
              <a16:creationId xmlns:a16="http://schemas.microsoft.com/office/drawing/2014/main" id="{2E24D5E1-1CE3-8140-8251-D20595E724ED}"/>
            </a:ext>
          </a:extLst>
        </xdr:cNvPr>
        <xdr:cNvSpPr txBox="1"/>
      </xdr:nvSpPr>
      <xdr:spPr>
        <a:xfrm>
          <a:off x="34865315" y="13113489"/>
          <a:ext cx="1167243" cy="53162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cap="none" spc="0">
              <a:ln w="0"/>
              <a:solidFill>
                <a:schemeClr val="tx1"/>
              </a:solidFill>
              <a:effectLst>
                <a:outerShdw blurRad="38100" dist="19050" dir="2700000" algn="tl" rotWithShape="0">
                  <a:schemeClr val="dk1">
                    <a:alpha val="40000"/>
                  </a:schemeClr>
                </a:outerShdw>
              </a:effectLst>
            </a:rPr>
            <a:t>GRAIN</a:t>
          </a:r>
        </a:p>
      </xdr:txBody>
    </xdr:sp>
    <xdr:clientData/>
  </xdr:twoCellAnchor>
  <xdr:twoCellAnchor>
    <xdr:from>
      <xdr:col>15</xdr:col>
      <xdr:colOff>56445</xdr:colOff>
      <xdr:row>4</xdr:row>
      <xdr:rowOff>177800</xdr:rowOff>
    </xdr:from>
    <xdr:to>
      <xdr:col>15</xdr:col>
      <xdr:colOff>1155700</xdr:colOff>
      <xdr:row>12</xdr:row>
      <xdr:rowOff>177800</xdr:rowOff>
    </xdr:to>
    <xdr:sp macro="" textlink="">
      <xdr:nvSpPr>
        <xdr:cNvPr id="10" name="Chevron 9">
          <a:extLst>
            <a:ext uri="{FF2B5EF4-FFF2-40B4-BE49-F238E27FC236}">
              <a16:creationId xmlns:a16="http://schemas.microsoft.com/office/drawing/2014/main" id="{3FC492A8-7A12-4C67-F9C7-74333B3015D5}"/>
            </a:ext>
          </a:extLst>
        </xdr:cNvPr>
        <xdr:cNvSpPr/>
      </xdr:nvSpPr>
      <xdr:spPr>
        <a:xfrm>
          <a:off x="31834667" y="1814689"/>
          <a:ext cx="1099255" cy="1580444"/>
        </a:xfrm>
        <a:prstGeom prst="chevr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31</xdr:col>
      <xdr:colOff>237029</xdr:colOff>
      <xdr:row>116</xdr:row>
      <xdr:rowOff>5257</xdr:rowOff>
    </xdr:from>
    <xdr:to>
      <xdr:col>46</xdr:col>
      <xdr:colOff>426169</xdr:colOff>
      <xdr:row>162</xdr:row>
      <xdr:rowOff>136915</xdr:rowOff>
    </xdr:to>
    <xdr:graphicFrame macro="">
      <xdr:nvGraphicFramePr>
        <xdr:cNvPr id="17" name="Chart 16">
          <a:extLst>
            <a:ext uri="{FF2B5EF4-FFF2-40B4-BE49-F238E27FC236}">
              <a16:creationId xmlns:a16="http://schemas.microsoft.com/office/drawing/2014/main" id="{150CE5A1-C468-60BA-3337-5CF1D2CAA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1003562</xdr:colOff>
      <xdr:row>10</xdr:row>
      <xdr:rowOff>107187</xdr:rowOff>
    </xdr:from>
    <xdr:to>
      <xdr:col>53</xdr:col>
      <xdr:colOff>323206</xdr:colOff>
      <xdr:row>66</xdr:row>
      <xdr:rowOff>175223</xdr:rowOff>
    </xdr:to>
    <xdr:graphicFrame macro="">
      <xdr:nvGraphicFramePr>
        <xdr:cNvPr id="18" name="Chart 17">
          <a:extLst>
            <a:ext uri="{FF2B5EF4-FFF2-40B4-BE49-F238E27FC236}">
              <a16:creationId xmlns:a16="http://schemas.microsoft.com/office/drawing/2014/main" id="{01210E88-3579-7B52-912C-E6B3AF9EF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34</xdr:col>
      <xdr:colOff>304395</xdr:colOff>
      <xdr:row>10</xdr:row>
      <xdr:rowOff>49590</xdr:rowOff>
    </xdr:from>
    <xdr:to>
      <xdr:col>40</xdr:col>
      <xdr:colOff>1874761</xdr:colOff>
      <xdr:row>50</xdr:row>
      <xdr:rowOff>60475</xdr:rowOff>
    </xdr:to>
    <xdr:graphicFrame macro="">
      <xdr:nvGraphicFramePr>
        <xdr:cNvPr id="3" name="Chart 2">
          <a:extLst>
            <a:ext uri="{FF2B5EF4-FFF2-40B4-BE49-F238E27FC236}">
              <a16:creationId xmlns:a16="http://schemas.microsoft.com/office/drawing/2014/main" id="{03640D57-EB83-DE0B-C9A5-81483805A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38</xdr:col>
      <xdr:colOff>1330477</xdr:colOff>
      <xdr:row>35</xdr:row>
      <xdr:rowOff>20158</xdr:rowOff>
    </xdr:from>
    <xdr:ext cx="1673174" cy="655692"/>
    <xdr:sp macro="" textlink="">
      <xdr:nvSpPr>
        <xdr:cNvPr id="4" name="TextBox 3">
          <a:extLst>
            <a:ext uri="{FF2B5EF4-FFF2-40B4-BE49-F238E27FC236}">
              <a16:creationId xmlns:a16="http://schemas.microsoft.com/office/drawing/2014/main" id="{FA19EF36-15AC-F706-5DAE-D1E9949A7B9E}"/>
            </a:ext>
          </a:extLst>
        </xdr:cNvPr>
        <xdr:cNvSpPr txBox="1"/>
      </xdr:nvSpPr>
      <xdr:spPr>
        <a:xfrm>
          <a:off x="49792064" y="7478888"/>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0.23 tons/ha (+/- 0.17)</a:t>
          </a:r>
        </a:p>
      </xdr:txBody>
    </xdr:sp>
    <xdr:clientData/>
  </xdr:oneCellAnchor>
  <xdr:oneCellAnchor>
    <xdr:from>
      <xdr:col>37</xdr:col>
      <xdr:colOff>353988</xdr:colOff>
      <xdr:row>18</xdr:row>
      <xdr:rowOff>91925</xdr:rowOff>
    </xdr:from>
    <xdr:ext cx="1673174" cy="655692"/>
    <xdr:sp macro="" textlink="">
      <xdr:nvSpPr>
        <xdr:cNvPr id="5" name="TextBox 4">
          <a:extLst>
            <a:ext uri="{FF2B5EF4-FFF2-40B4-BE49-F238E27FC236}">
              <a16:creationId xmlns:a16="http://schemas.microsoft.com/office/drawing/2014/main" id="{E52E5115-DE3B-AF45-B9E6-4CB487D4DEE4}"/>
            </a:ext>
          </a:extLst>
        </xdr:cNvPr>
        <xdr:cNvSpPr txBox="1"/>
      </xdr:nvSpPr>
      <xdr:spPr>
        <a:xfrm>
          <a:off x="47989067" y="4022877"/>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0.04 tons/ha (+/- 0.09)</a:t>
          </a:r>
        </a:p>
      </xdr:txBody>
    </xdr:sp>
    <xdr:clientData/>
  </xdr:oneCellAnchor>
  <xdr:oneCellAnchor>
    <xdr:from>
      <xdr:col>36</xdr:col>
      <xdr:colOff>324960</xdr:colOff>
      <xdr:row>22</xdr:row>
      <xdr:rowOff>163688</xdr:rowOff>
    </xdr:from>
    <xdr:ext cx="1673174" cy="655692"/>
    <xdr:sp macro="" textlink="">
      <xdr:nvSpPr>
        <xdr:cNvPr id="6" name="TextBox 5">
          <a:extLst>
            <a:ext uri="{FF2B5EF4-FFF2-40B4-BE49-F238E27FC236}">
              <a16:creationId xmlns:a16="http://schemas.microsoft.com/office/drawing/2014/main" id="{2C38602B-BBB1-0046-901D-5E053B368EE1}"/>
            </a:ext>
          </a:extLst>
        </xdr:cNvPr>
        <xdr:cNvSpPr txBox="1"/>
      </xdr:nvSpPr>
      <xdr:spPr>
        <a:xfrm>
          <a:off x="46831150" y="4900990"/>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0.009 tons/ha (+/- 0.02)</a:t>
          </a:r>
        </a:p>
      </xdr:txBody>
    </xdr:sp>
    <xdr:clientData/>
  </xdr:oneCellAnchor>
  <xdr:twoCellAnchor>
    <xdr:from>
      <xdr:col>40</xdr:col>
      <xdr:colOff>866551</xdr:colOff>
      <xdr:row>10</xdr:row>
      <xdr:rowOff>78454</xdr:rowOff>
    </xdr:from>
    <xdr:to>
      <xdr:col>47</xdr:col>
      <xdr:colOff>744499</xdr:colOff>
      <xdr:row>50</xdr:row>
      <xdr:rowOff>89340</xdr:rowOff>
    </xdr:to>
    <xdr:graphicFrame macro="">
      <xdr:nvGraphicFramePr>
        <xdr:cNvPr id="7" name="Chart 6">
          <a:extLst>
            <a:ext uri="{FF2B5EF4-FFF2-40B4-BE49-F238E27FC236}">
              <a16:creationId xmlns:a16="http://schemas.microsoft.com/office/drawing/2014/main" id="{FDB9AC69-172D-7360-FB9D-603099D2E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42</xdr:col>
      <xdr:colOff>374146</xdr:colOff>
      <xdr:row>17</xdr:row>
      <xdr:rowOff>152400</xdr:rowOff>
    </xdr:from>
    <xdr:ext cx="1673174" cy="655692"/>
    <xdr:sp macro="" textlink="">
      <xdr:nvSpPr>
        <xdr:cNvPr id="8" name="TextBox 7">
          <a:extLst>
            <a:ext uri="{FF2B5EF4-FFF2-40B4-BE49-F238E27FC236}">
              <a16:creationId xmlns:a16="http://schemas.microsoft.com/office/drawing/2014/main" id="{4649B2E4-4CA8-A54D-80B3-98A7DFF44D0B}"/>
            </a:ext>
          </a:extLst>
        </xdr:cNvPr>
        <xdr:cNvSpPr txBox="1"/>
      </xdr:nvSpPr>
      <xdr:spPr>
        <a:xfrm>
          <a:off x="57342717" y="3881765"/>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0.007 tons/ha (+/- 0.004)</a:t>
          </a:r>
        </a:p>
      </xdr:txBody>
    </xdr:sp>
    <xdr:clientData/>
  </xdr:oneCellAnchor>
  <xdr:oneCellAnchor>
    <xdr:from>
      <xdr:col>43</xdr:col>
      <xdr:colOff>587022</xdr:colOff>
      <xdr:row>37</xdr:row>
      <xdr:rowOff>2419</xdr:rowOff>
    </xdr:from>
    <xdr:ext cx="1673174" cy="655692"/>
    <xdr:sp macro="" textlink="">
      <xdr:nvSpPr>
        <xdr:cNvPr id="9" name="TextBox 8">
          <a:extLst>
            <a:ext uri="{FF2B5EF4-FFF2-40B4-BE49-F238E27FC236}">
              <a16:creationId xmlns:a16="http://schemas.microsoft.com/office/drawing/2014/main" id="{EDF9562B-146D-BC44-886F-4F75068C3E3D}"/>
            </a:ext>
          </a:extLst>
        </xdr:cNvPr>
        <xdr:cNvSpPr txBox="1"/>
      </xdr:nvSpPr>
      <xdr:spPr>
        <a:xfrm>
          <a:off x="58382101" y="7864324"/>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0.11 tons/ha (+/- 0.09)</a:t>
          </a:r>
        </a:p>
      </xdr:txBody>
    </xdr:sp>
    <xdr:clientData/>
  </xdr:oneCellAnchor>
  <xdr:twoCellAnchor>
    <xdr:from>
      <xdr:col>34</xdr:col>
      <xdr:colOff>282222</xdr:colOff>
      <xdr:row>50</xdr:row>
      <xdr:rowOff>69748</xdr:rowOff>
    </xdr:from>
    <xdr:to>
      <xdr:col>40</xdr:col>
      <xdr:colOff>1894920</xdr:colOff>
      <xdr:row>91</xdr:row>
      <xdr:rowOff>80635</xdr:rowOff>
    </xdr:to>
    <xdr:graphicFrame macro="">
      <xdr:nvGraphicFramePr>
        <xdr:cNvPr id="10" name="Chart 9">
          <a:extLst>
            <a:ext uri="{FF2B5EF4-FFF2-40B4-BE49-F238E27FC236}">
              <a16:creationId xmlns:a16="http://schemas.microsoft.com/office/drawing/2014/main" id="{6D4D62A4-EBEF-44BB-1132-769FA809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866551</xdr:colOff>
      <xdr:row>50</xdr:row>
      <xdr:rowOff>78452</xdr:rowOff>
    </xdr:from>
    <xdr:to>
      <xdr:col>47</xdr:col>
      <xdr:colOff>744499</xdr:colOff>
      <xdr:row>91</xdr:row>
      <xdr:rowOff>129656</xdr:rowOff>
    </xdr:to>
    <xdr:graphicFrame macro="">
      <xdr:nvGraphicFramePr>
        <xdr:cNvPr id="11" name="Chart 10">
          <a:extLst>
            <a:ext uri="{FF2B5EF4-FFF2-40B4-BE49-F238E27FC236}">
              <a16:creationId xmlns:a16="http://schemas.microsoft.com/office/drawing/2014/main" id="{C4C45585-9A62-15EA-A7DA-AA429BB5E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376542</xdr:colOff>
      <xdr:row>20</xdr:row>
      <xdr:rowOff>9802</xdr:rowOff>
    </xdr:from>
    <xdr:to>
      <xdr:col>66</xdr:col>
      <xdr:colOff>401052</xdr:colOff>
      <xdr:row>63</xdr:row>
      <xdr:rowOff>66843</xdr:rowOff>
    </xdr:to>
    <xdr:graphicFrame macro="">
      <xdr:nvGraphicFramePr>
        <xdr:cNvPr id="15" name="Chart 14">
          <a:extLst>
            <a:ext uri="{FF2B5EF4-FFF2-40B4-BE49-F238E27FC236}">
              <a16:creationId xmlns:a16="http://schemas.microsoft.com/office/drawing/2014/main" id="{3C3F0DDB-8C98-4226-396B-79B1AFEA2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0.49746</cdr:x>
      <cdr:y>0.6465</cdr:y>
    </cdr:from>
    <cdr:to>
      <cdr:x>0.68052</cdr:x>
      <cdr:y>0.73524</cdr:y>
    </cdr:to>
    <cdr:sp macro="" textlink="">
      <cdr:nvSpPr>
        <cdr:cNvPr id="2" name="TextBox 3">
          <a:extLst xmlns:a="http://schemas.openxmlformats.org/drawingml/2006/main">
            <a:ext uri="{FF2B5EF4-FFF2-40B4-BE49-F238E27FC236}">
              <a16:creationId xmlns:a16="http://schemas.microsoft.com/office/drawing/2014/main" id="{FA19EF36-15AC-F706-5DAE-D1E9949A7B9E}"/>
            </a:ext>
          </a:extLst>
        </cdr:cNvPr>
        <cdr:cNvSpPr txBox="1"/>
      </cdr:nvSpPr>
      <cdr:spPr>
        <a:xfrm xmlns:a="http://schemas.openxmlformats.org/drawingml/2006/main">
          <a:off x="4552773" y="5415584"/>
          <a:ext cx="1675388" cy="74334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0.26 tons/ha (+/- 0.25)</a:t>
          </a:r>
        </a:p>
      </cdr:txBody>
    </cdr:sp>
  </cdr:relSizeAnchor>
  <cdr:relSizeAnchor xmlns:cdr="http://schemas.openxmlformats.org/drawingml/2006/chartDrawing">
    <cdr:from>
      <cdr:x>0.25445</cdr:x>
      <cdr:y>0.23468</cdr:y>
    </cdr:from>
    <cdr:to>
      <cdr:x>0.43751</cdr:x>
      <cdr:y>0.31296</cdr:y>
    </cdr:to>
    <cdr:sp macro="" textlink="">
      <cdr:nvSpPr>
        <cdr:cNvPr id="3" name="TextBox 3">
          <a:extLst xmlns:a="http://schemas.openxmlformats.org/drawingml/2006/main">
            <a:ext uri="{FF2B5EF4-FFF2-40B4-BE49-F238E27FC236}">
              <a16:creationId xmlns:a16="http://schemas.microsoft.com/office/drawing/2014/main" id="{83FDBD5B-B248-22FC-7087-93B4B0120211}"/>
            </a:ext>
          </a:extLst>
        </cdr:cNvPr>
        <cdr:cNvSpPr txBox="1"/>
      </cdr:nvSpPr>
      <cdr:spPr>
        <a:xfrm xmlns:a="http://schemas.openxmlformats.org/drawingml/2006/main">
          <a:off x="2328738" y="1965879"/>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0.029 tons/ha (+/- 0.04)</a:t>
          </a:r>
        </a:p>
      </cdr:txBody>
    </cdr:sp>
  </cdr:relSizeAnchor>
  <cdr:relSizeAnchor xmlns:cdr="http://schemas.openxmlformats.org/drawingml/2006/chartDrawing">
    <cdr:from>
      <cdr:x>0.38</cdr:x>
      <cdr:y>0.14564</cdr:y>
    </cdr:from>
    <cdr:to>
      <cdr:x>0.56306</cdr:x>
      <cdr:y>0.22392</cdr:y>
    </cdr:to>
    <cdr:sp macro="" textlink="">
      <cdr:nvSpPr>
        <cdr:cNvPr id="4" name="TextBox 3">
          <a:extLst xmlns:a="http://schemas.openxmlformats.org/drawingml/2006/main">
            <a:ext uri="{FF2B5EF4-FFF2-40B4-BE49-F238E27FC236}">
              <a16:creationId xmlns:a16="http://schemas.microsoft.com/office/drawing/2014/main" id="{DE300B17-4879-8397-B006-25311D4A761C}"/>
            </a:ext>
          </a:extLst>
        </cdr:cNvPr>
        <cdr:cNvSpPr txBox="1"/>
      </cdr:nvSpPr>
      <cdr:spPr>
        <a:xfrm xmlns:a="http://schemas.openxmlformats.org/drawingml/2006/main">
          <a:off x="3477784" y="1220005"/>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0.011 tons/ha (+/- 0.02)</a:t>
          </a:r>
        </a:p>
      </cdr:txBody>
    </cdr:sp>
  </cdr:relSizeAnchor>
</c:userShapes>
</file>

<file path=xl/drawings/drawing7.xml><?xml version="1.0" encoding="utf-8"?>
<c:userShapes xmlns:c="http://schemas.openxmlformats.org/drawingml/2006/chart">
  <cdr:relSizeAnchor xmlns:cdr="http://schemas.openxmlformats.org/drawingml/2006/chartDrawing">
    <cdr:from>
      <cdr:x>0.50958</cdr:x>
      <cdr:y>0.62873</cdr:y>
    </cdr:from>
    <cdr:to>
      <cdr:x>0.70518</cdr:x>
      <cdr:y>0.70663</cdr:y>
    </cdr:to>
    <cdr:sp macro="" textlink="">
      <cdr:nvSpPr>
        <cdr:cNvPr id="2" name="TextBox 3">
          <a:extLst xmlns:a="http://schemas.openxmlformats.org/drawingml/2006/main">
            <a:ext uri="{FF2B5EF4-FFF2-40B4-BE49-F238E27FC236}">
              <a16:creationId xmlns:a16="http://schemas.microsoft.com/office/drawing/2014/main" id="{E26BB5B8-E8C7-D460-0447-7317B01FB7BE}"/>
            </a:ext>
          </a:extLst>
        </cdr:cNvPr>
        <cdr:cNvSpPr txBox="1"/>
      </cdr:nvSpPr>
      <cdr:spPr>
        <a:xfrm xmlns:a="http://schemas.openxmlformats.org/drawingml/2006/main">
          <a:off x="4364769" y="5292069"/>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0.19 tons/ha (+/- 0.05)</a:t>
          </a:r>
        </a:p>
      </cdr:txBody>
    </cdr:sp>
  </cdr:relSizeAnchor>
  <cdr:relSizeAnchor xmlns:cdr="http://schemas.openxmlformats.org/drawingml/2006/chartDrawing">
    <cdr:from>
      <cdr:x>0.19421</cdr:x>
      <cdr:y>0.24553</cdr:y>
    </cdr:from>
    <cdr:to>
      <cdr:x>0.38981</cdr:x>
      <cdr:y>0.32343</cdr:y>
    </cdr:to>
    <cdr:sp macro="" textlink="">
      <cdr:nvSpPr>
        <cdr:cNvPr id="3" name="TextBox 3">
          <a:extLst xmlns:a="http://schemas.openxmlformats.org/drawingml/2006/main">
            <a:ext uri="{FF2B5EF4-FFF2-40B4-BE49-F238E27FC236}">
              <a16:creationId xmlns:a16="http://schemas.microsoft.com/office/drawing/2014/main" id="{A99846C1-54B4-E982-375F-73EC2479DC8D}"/>
            </a:ext>
          </a:extLst>
        </cdr:cNvPr>
        <cdr:cNvSpPr txBox="1"/>
      </cdr:nvSpPr>
      <cdr:spPr>
        <a:xfrm xmlns:a="http://schemas.openxmlformats.org/drawingml/2006/main">
          <a:off x="1663498" y="2066673"/>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0.16 tons/ha (+/- 0.02)</a:t>
          </a:r>
        </a:p>
      </cdr:txBody>
    </cdr:sp>
  </cdr:relSizeAnchor>
  <cdr:relSizeAnchor xmlns:cdr="http://schemas.openxmlformats.org/drawingml/2006/chartDrawing">
    <cdr:from>
      <cdr:x>0.32601</cdr:x>
      <cdr:y>0.16889</cdr:y>
    </cdr:from>
    <cdr:to>
      <cdr:x>0.5216</cdr:x>
      <cdr:y>0.24679</cdr:y>
    </cdr:to>
    <cdr:sp macro="" textlink="">
      <cdr:nvSpPr>
        <cdr:cNvPr id="4" name="TextBox 3">
          <a:extLst xmlns:a="http://schemas.openxmlformats.org/drawingml/2006/main">
            <a:ext uri="{FF2B5EF4-FFF2-40B4-BE49-F238E27FC236}">
              <a16:creationId xmlns:a16="http://schemas.microsoft.com/office/drawing/2014/main" id="{66EB508C-A73D-A1AA-9E66-E2C176F0C39D}"/>
            </a:ext>
          </a:extLst>
        </cdr:cNvPr>
        <cdr:cNvSpPr txBox="1"/>
      </cdr:nvSpPr>
      <cdr:spPr>
        <a:xfrm xmlns:a="http://schemas.openxmlformats.org/drawingml/2006/main">
          <a:off x="2792388" y="1421594"/>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0.16 tons/ha (+/- 0.02)</a:t>
          </a: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1098550</xdr:colOff>
      <xdr:row>11</xdr:row>
      <xdr:rowOff>146050</xdr:rowOff>
    </xdr:from>
    <xdr:to>
      <xdr:col>15</xdr:col>
      <xdr:colOff>368300</xdr:colOff>
      <xdr:row>40</xdr:row>
      <xdr:rowOff>165100</xdr:rowOff>
    </xdr:to>
    <xdr:graphicFrame macro="">
      <xdr:nvGraphicFramePr>
        <xdr:cNvPr id="2" name="Chart 1">
          <a:extLst>
            <a:ext uri="{FF2B5EF4-FFF2-40B4-BE49-F238E27FC236}">
              <a16:creationId xmlns:a16="http://schemas.microsoft.com/office/drawing/2014/main" id="{02F5465E-5641-9FDA-D38A-2A970B9AC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F2CB2E-2811-D347-AAF6-1C97C32AA1D3}" name="Table4" displayName="Table4" ref="A1:E85" totalsRowShown="0" headerRowDxfId="104" dataDxfId="103">
  <autoFilter ref="A1:E85" xr:uid="{F1F2CB2E-2811-D347-AAF6-1C97C32AA1D3}"/>
  <tableColumns count="5">
    <tableColumn id="1" xr3:uid="{DE85C5C8-B57F-E244-84E1-47E3E1437830}" name="Sample ID" dataDxfId="102"/>
    <tableColumn id="2" xr3:uid="{E65C11C6-6965-3D41-B281-FC2A7D6F0F63}" name="Year" dataDxfId="101"/>
    <tableColumn id="3" xr3:uid="{DA857AB3-973C-C84C-A3AE-86D0E4F81C5C}" name="Crop " dataDxfId="100"/>
    <tableColumn id="4" xr3:uid="{AD8CCFC9-BBF6-4E41-AB56-D324777196E5}" name="Plot" dataDxfId="99"/>
    <tableColumn id="5" xr3:uid="{6C748484-06B3-5740-82A3-75B210A9E0AA}" name="&lt;- GRAIN" dataDxfId="98" dataCellStyle="Accent4"/>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530079-D6C5-CC45-A68C-B136F71F576B}" name="Table5" displayName="Table5" ref="F1:J281" totalsRowShown="0" headerRowDxfId="97" dataDxfId="96">
  <autoFilter ref="F1:J281" xr:uid="{41530079-D6C5-CC45-A68C-B136F71F576B}"/>
  <tableColumns count="5">
    <tableColumn id="1" xr3:uid="{9D5B64A1-11CB-8D41-89B6-D2CB42F04B41}" name="CC &amp; RESIDUE -&gt;" dataDxfId="95"/>
    <tableColumn id="2" xr3:uid="{ED292BF9-73DB-A14D-8B27-91DB345971E6}" name="Sample ID" dataDxfId="94"/>
    <tableColumn id="3" xr3:uid="{9DE8200E-29D4-E04B-8C88-78F457A4B088}" name="Year" dataDxfId="93"/>
    <tableColumn id="4" xr3:uid="{56D963E9-3379-B04A-AD56-9A0C03749CF8}" name="Crop " dataDxfId="92"/>
    <tableColumn id="5" xr3:uid="{31BC926A-D4C3-E34F-A8B5-40661018905B}" name="Plot" dataDxfId="91"/>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2EC136-F069-4B41-B96C-FE4B5069DB98}" name="Table1" displayName="Table1" ref="B38:L56" totalsRowShown="0" headerRowDxfId="90" dataDxfId="89">
  <autoFilter ref="B38:L56" xr:uid="{A62EC136-F069-4B41-B96C-FE4B5069DB98}"/>
  <tableColumns count="11">
    <tableColumn id="1" xr3:uid="{452EC544-9039-E847-8BBB-D71BBE169BCC}" name="Year  " dataDxfId="88"/>
    <tableColumn id="2" xr3:uid="{585B1225-7BFF-D947-AD17-F041F370756C}" name="Collection date" dataDxfId="87"/>
    <tableColumn id="3" xr3:uid="{07585258-D677-254B-9D76-3CBBAC16CC9F}" name="DOY" dataDxfId="86"/>
    <tableColumn id="4" xr3:uid="{6895ED47-4C49-3347-A2D6-AC1308FF2B43}" name="Sample ID # " dataDxfId="85"/>
    <tableColumn id="5" xr3:uid="{38C3F395-4D1A-DF47-B306-041353EDA94E}" name="Plot #" dataDxfId="84"/>
    <tableColumn id="6" xr3:uid="{FCFF838F-1E60-D54A-8B1E-58FE7D636186}" name="Subplot #/Microplot" dataDxfId="83"/>
    <tableColumn id="8" xr3:uid="{AFD9A229-5D3B-3943-B4B7-05AEB00C2109}" name="Grain Weight (g)" dataDxfId="82"/>
    <tableColumn id="7" xr3:uid="{046283F6-FF4A-144B-B483-4E94D3F7FB63}" name="Grain - Bag Weight (g) " dataDxfId="81">
      <calculatedColumnFormula>Table1[[#This Row],[Grain Weight (g)]]-Table6[[#This Row],[Grain Bag Weight]]</calculatedColumnFormula>
    </tableColumn>
    <tableColumn id="11" xr3:uid="{08FA8D46-223A-844F-8FFE-955C4EA1A7AE}" name="Dry Yield (kg/ha) " dataDxfId="80">
      <calculatedColumnFormula>(Table1[[#This Row],[Grain - Bag Weight (g) ]]/1000)/(1/10000)</calculatedColumnFormula>
    </tableColumn>
    <tableColumn id="9" xr3:uid="{1CEA1AA6-4840-5747-B3F3-E5A75BD90A27}" name="Yield @ 15% Moisture (kg/ha) " dataDxfId="79">
      <calculatedColumnFormula>Table1[[#This Row],[Dry Yield (kg/ha) ]]*1.155</calculatedColumnFormula>
    </tableColumn>
    <tableColumn id="10" xr3:uid="{0A529236-8C01-374A-BD62-3BC703D81DBE}" name="Yield @ 15% Moisture (tons/ha)" dataDxfId="78">
      <calculatedColumnFormula>Table1[[#This Row],[Yield @ 15% Moisture (kg/ha) ]]/1000</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C264D6-3AD9-7C4E-B70B-5606C6E36256}" name="Table6" displayName="Table6" ref="M38:O56" totalsRowShown="0" headerRowCellStyle="Normal" dataCellStyle="Normal">
  <autoFilter ref="M38:O56" xr:uid="{A6C264D6-3AD9-7C4E-B70B-5606C6E36256}"/>
  <tableColumns count="3">
    <tableColumn id="1" xr3:uid="{6FA0EDB2-9FCD-0F49-B9DD-7834C785E522}" name="Grain Bag Weight" dataCellStyle="Normal"/>
    <tableColumn id="2" xr3:uid="{053BEA87-3185-0C4A-8084-05F889944DFA}" name="Stover Bag Weight" dataCellStyle="Normal"/>
    <tableColumn id="4" xr3:uid="{6E14C665-DF2A-4B46-8198-05061C9B8E61}" name="Dry Yield (tons/ha)" dataDxfId="77" dataCellStyle="Normal">
      <calculatedColumnFormula>Table1[[#This Row],[Dry Yield (kg/ha) ]]/1000</calculatedColumnFormula>
    </tableColumn>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425FB-3070-6741-8F34-709B0F2470CF}" name="Table3" displayName="Table3" ref="A5:O14" totalsRowShown="0" headerRowDxfId="76" dataCellStyle="20% - Accent6">
  <autoFilter ref="A5:O14" xr:uid="{604425FB-3070-6741-8F34-709B0F2470CF}"/>
  <tableColumns count="15">
    <tableColumn id="1" xr3:uid="{35762CFF-F244-134F-BCC8-AD5131E62AA4}" name="Year  " dataDxfId="75" dataCellStyle="20% - Accent6"/>
    <tableColumn id="2" xr3:uid="{F83DAC9B-DC9B-D84F-9E15-28C7CB27F275}" name="Collection date" dataDxfId="74" dataCellStyle="20% - Accent6"/>
    <tableColumn id="3" xr3:uid="{59E9D095-FB96-0646-A862-BBE948791D7D}" name="DOY" dataDxfId="73" dataCellStyle="20% - Accent6"/>
    <tableColumn id="4" xr3:uid="{C25C2753-DCDF-5B47-828D-BAE736C569ED}" name="Sample ID # " dataDxfId="72" dataCellStyle="20% - Accent6"/>
    <tableColumn id="5" xr3:uid="{328399FD-9BB8-214B-B561-15DE3B9E8EAA}" name="Plot #" dataDxfId="71" dataCellStyle="20% - Accent6"/>
    <tableColumn id="6" xr3:uid="{16A644CF-C041-1B40-B17D-12ACCFC3F8C2}" name="Subplot #" dataDxfId="70" dataCellStyle="20% - Accent6"/>
    <tableColumn id="7" xr3:uid="{2016050E-AA97-3D4F-BF8E-361C18D4D534}" name="Wet Weight (g)" dataDxfId="69" dataCellStyle="20% - Accent6"/>
    <tableColumn id="8" xr3:uid="{0159A77B-CCC2-1749-9A60-F3E136D30EEB}" name="Wet -Bag Weight (g) " dataDxfId="68" dataCellStyle="20% - Accent6">
      <calculatedColumnFormula>Table3[[#This Row],[Wet Weight (g)]]-55.8</calculatedColumnFormula>
    </tableColumn>
    <tableColumn id="9" xr3:uid="{AC72226B-5420-7E43-9D28-880D9660343B}" name="Dry Weight (g) " dataDxfId="67" dataCellStyle="20% - Accent6"/>
    <tableColumn id="10" xr3:uid="{63AE5329-3F50-ED46-AA98-54FCBAE7AB7C}" name="Dry - Bag (g)" dataDxfId="66" dataCellStyle="20% - Accent6">
      <calculatedColumnFormula>Table3[[#This Row],[Dry Weight (g) ]]-55.8</calculatedColumnFormula>
    </tableColumn>
    <tableColumn id="11" xr3:uid="{F3AD5DD1-0845-5840-A79C-07CD1A88B1D2}" name="Fresh Yield (kg/ha)" dataDxfId="65" dataCellStyle="20% - Accent6">
      <calculatedColumnFormula>(Table3[[#This Row],[Wet Weight (g)]]/1000)/0.0001</calculatedColumnFormula>
    </tableColumn>
    <tableColumn id="12" xr3:uid="{002A4ED9-BFD7-A54F-8DF7-1868454A306B}" name="Dry Yield (kg/ha)" dataDxfId="64" dataCellStyle="20% - Accent6">
      <calculatedColumnFormula>(Table3[[#This Row],[Dry Weight (g) ]]/1000)/0.0001</calculatedColumnFormula>
    </tableColumn>
    <tableColumn id="15" xr3:uid="{2903E78E-1EA9-3246-A8C1-76C3626261A7}" name="Dry Yield (tones/ha)" dataDxfId="63" dataCellStyle="20% - Accent6">
      <calculatedColumnFormula>Table3[[#This Row],[Dry Yield (kg/ha)]]/1000</calculatedColumnFormula>
    </tableColumn>
    <tableColumn id="13" xr3:uid="{686C0226-C8AE-354F-A294-0FA0CE03B4F1}" name="% Moisture" dataDxfId="62" dataCellStyle="20% - Accent6">
      <calculatedColumnFormula>((Table3[[#This Row],[Wet -Bag Weight (g) ]]-Table3[[#This Row],[Dry - Bag (g)]])/Table3[[#This Row],[Wet -Bag Weight (g) ]])*100</calculatedColumnFormula>
    </tableColumn>
    <tableColumn id="14" xr3:uid="{4A182F76-5EB6-864B-8775-C0D13A6B8B9E}" name="Yield @ 15% Moisture" dataDxfId="61" dataCellStyle="20% - Accent6">
      <calculatedColumnFormula>Table3[[#This Row],[Dry Yield (kg/ha)]]*1.155</calculatedColumnFormula>
    </tableColumn>
  </tableColumns>
  <tableStyleInfo name="TableStyleMedium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1C7154-5538-CB4C-96B1-F8E9D016D090}" name="Table7" displayName="Table7" ref="A4:P52" totalsRowShown="0" headerRowDxfId="60" dataDxfId="59">
  <autoFilter ref="A4:P52" xr:uid="{F21C7154-5538-CB4C-96B1-F8E9D016D090}"/>
  <tableColumns count="16">
    <tableColumn id="1" xr3:uid="{F3FE9BB9-AE43-CE45-8FF3-A5F33E4D4B6D}" name="Year  " dataDxfId="58"/>
    <tableColumn id="2" xr3:uid="{1076B388-EA7E-8944-A21E-11CC57A0E0A9}" name="Collection date" dataDxfId="57"/>
    <tableColumn id="3" xr3:uid="{46BE64E1-2757-E741-8B87-7C01690D65F3}" name="DOY" dataDxfId="56"/>
    <tableColumn id="4" xr3:uid="{78E4FFE6-EE94-C94A-BEDD-0F7B7B748ED9}" name="Sample ID # " dataDxfId="55"/>
    <tableColumn id="5" xr3:uid="{945DE015-1A6E-D246-A251-AC376EEF5D7A}" name="Plot #" dataDxfId="54"/>
    <tableColumn id="6" xr3:uid="{7206A3B3-5DBE-9B49-9E4A-25B4F1F61256}" name="Subplot #" dataDxfId="53"/>
    <tableColumn id="7" xr3:uid="{D9B2F63C-106E-7649-BB0D-BD0D9FF0A951}" name="Sample Wet Weight (g)" dataDxfId="52"/>
    <tableColumn id="8" xr3:uid="{21F42FEA-BC49-9445-992D-67ABF00E5155}" name="Wet - Bag Weight (g) " dataDxfId="51">
      <calculatedColumnFormula>Table7[[#This Row],[Sample Wet Weight (g)]]-55.8</calculatedColumnFormula>
    </tableColumn>
    <tableColumn id="9" xr3:uid="{134025F9-039B-574E-9184-27A7AA757A21}" name="Sample Dry Weight (g) " dataDxfId="50"/>
    <tableColumn id="10" xr3:uid="{B1D6B80A-FC92-1148-9900-442796BC187E}" name="Dry - Bag Weight (g) " dataDxfId="49">
      <calculatedColumnFormula>Table7[[#This Row],[Sample Dry Weight (g) ]]-55.8</calculatedColumnFormula>
    </tableColumn>
    <tableColumn id="11" xr3:uid="{46D9ADD3-F574-694D-9A08-9852B9C3162A}" name="Redry (post Mold Weight) (g) " dataDxfId="48"/>
    <tableColumn id="12" xr3:uid="{8DEA36A8-3C98-4046-8F34-989585D602B3}" name="Moisture Content (%) " dataDxfId="47">
      <calculatedColumnFormula>((Table7[[#This Row],[Wet - Bag Weight (g) ]]-Table7[[#This Row],[Redry (post Mold Weight) (g) ]])/Table7[[#This Row],[Wet - Bag Weight (g) ]])*100</calculatedColumnFormula>
    </tableColumn>
    <tableColumn id="13" xr3:uid="{A422AEEE-CF6D-7D44-80C9-1940DE8B4290}" name="Yield (kg/ha)" dataDxfId="46">
      <calculatedColumnFormula>(Table7[[#This Row],[Redry (post Mold Weight) (g) ]]/1000)/0.0001</calculatedColumnFormula>
    </tableColumn>
    <tableColumn id="14" xr3:uid="{50AE6ADC-3249-5940-B651-9F628370D4C6}" name="Yield @ 15% Moisture (kg/ha)" dataDxfId="45">
      <calculatedColumnFormula>Table7[[#This Row],[Yield (kg/ha)]]*1.155</calculatedColumnFormula>
    </tableColumn>
    <tableColumn id="17" xr3:uid="{5C0DD76E-7E36-D248-8624-E08EE7E38C4E}" name="Yield @ 15% Moisture (tons/ha)2" dataDxfId="44">
      <calculatedColumnFormula>Table7[[#This Row],[Yield @ 15% Moisture (kg/ha)]]/1000</calculatedColumnFormula>
    </tableColumn>
    <tableColumn id="15" xr3:uid="{A3D22BD0-43B5-4642-B9B5-FB74C04BE073}" name="Dry Yield (tons/ha)" dataDxfId="43">
      <calculatedColumnFormula>Table7[[#This Row],[Yield (kg/ha)]]/1000</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1C0DB6-E52D-574A-AAAA-C6D42DE891D6}" name="Table8" displayName="Table8" ref="A2:O87" totalsRowShown="0" headerRowDxfId="42" dataDxfId="41">
  <autoFilter ref="A2:O87" xr:uid="{811C0DB6-E52D-574A-AAAA-C6D42DE891D6}"/>
  <tableColumns count="15">
    <tableColumn id="1" xr3:uid="{9E2C442B-DB62-EE42-B329-7B250CA69B77}" name="Year  " dataDxfId="40"/>
    <tableColumn id="2" xr3:uid="{57FC9E3E-4F0B-2C4A-A109-900D16358C56}" name="Collection DOY" dataDxfId="39"/>
    <tableColumn id="4" xr3:uid="{8A8442FB-03CF-C649-8183-184F8518C72D}" name="Plot " dataDxfId="38"/>
    <tableColumn id="5" xr3:uid="{514132C2-199C-6E46-ACFE-609016056787}" name="Subplot" dataDxfId="37"/>
    <tableColumn id="6" xr3:uid="{1DAFDC2D-5247-2B4F-90EC-17BA053FEF5C}" name="Part" dataDxfId="36"/>
    <tableColumn id="7" xr3:uid="{02E857A1-BD0A-F047-8E94-BA235F82C038}" name="# of Plants" dataDxfId="35"/>
    <tableColumn id="8" xr3:uid="{12CCD8CD-5BF4-B04B-9048-F8506674DC8F}" name="# of Cobs" dataDxfId="34"/>
    <tableColumn id="10" xr3:uid="{06A35B66-4771-654B-B1A7-3658FDE7EE79}" name="Whole Sample Wet Weight (g)" dataDxfId="33"/>
    <tableColumn id="11" xr3:uid="{8AFE3735-3A92-B946-A37A-E35E9635B2EE}" name="Wet Weight of 3 plants (g) " dataDxfId="32"/>
    <tableColumn id="12" xr3:uid="{2ADD7676-D139-E642-A020-EE8CD6F67C24}" name="Wet - Bag Weight (g) " dataDxfId="31">
      <calculatedColumnFormula>Table8[[#This Row],[Wet Weight of 3 plants (g) ]]-55.8</calculatedColumnFormula>
    </tableColumn>
    <tableColumn id="3" xr3:uid="{BC722493-44F0-0E44-B64E-891BA3229EDE}" name="Wet weight of 1m2 of corn" dataDxfId="30" dataCellStyle="40% - Accent6">
      <calculatedColumnFormula>Table8[[#This Row],[Wet - Bag Weight (g) ]]/3</calculatedColumnFormula>
    </tableColumn>
    <tableColumn id="13" xr3:uid="{7A093C47-56C3-5E43-9FB3-E36F716008FF}" name="DRY Sample Weight (g) (3 Plants) " dataDxfId="29"/>
    <tableColumn id="14" xr3:uid="{58639805-6429-4846-B453-553204BD204A}" name="DRY Sample - Bag Weight (g) " dataDxfId="28">
      <calculatedColumnFormula>Table8[[#This Row],[DRY Sample Weight (g) (3 Plants) ]]-55.8</calculatedColumnFormula>
    </tableColumn>
    <tableColumn id="15" xr3:uid="{12931B09-688F-CD43-8252-D3D82605CA26}" name="Moisture Loss (g) " dataDxfId="27">
      <calculatedColumnFormula>J3-M3</calculatedColumnFormula>
    </tableColumn>
    <tableColumn id="9" xr3:uid="{683DB0FE-6876-294E-925A-16D4A5F447CF}" name="Dry Weight of 1m2 of Corn" dataDxfId="26">
      <calculatedColumnFormula>(Table8[[#This Row],[DRY Sample - Bag Weight (g) ]]/3)*Table8[[#This Row],['# of Plants]]</calculatedColumnFormula>
    </tableColumn>
  </tableColumns>
  <tableStyleInfo name="TableStyleMedium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BE6695-DF81-614F-BFB7-111DFFE06FA0}" name="Table9" displayName="Table9" ref="P92:Z143" totalsRowShown="0" headerRowDxfId="25" dataDxfId="24" headerRowCellStyle="Accent4" dataCellStyle="20% - Accent4">
  <autoFilter ref="P92:Z143" xr:uid="{4EBE6695-DF81-614F-BFB7-111DFFE06FA0}"/>
  <tableColumns count="11">
    <tableColumn id="1" xr3:uid="{D5BAF8CC-5B4B-BD4E-9ED2-7371C44D69CD}" name="Plot " dataDxfId="23" dataCellStyle="20% - Accent4"/>
    <tableColumn id="2" xr3:uid="{9E3EB9BE-9429-864C-9996-C58351F911CC}" name="Subplot" dataDxfId="22" dataCellStyle="20% - Accent4"/>
    <tableColumn id="3" xr3:uid="{A1A9569A-D03F-1243-A651-F5E2E63FEFDA}" name="SAMPLE ID" dataDxfId="21" dataCellStyle="20% - Accent4"/>
    <tableColumn id="4" xr3:uid="{011512D4-EE28-974C-A867-2B8F4AA5610A}" name="Wet Cob Weight (g) " dataDxfId="20" dataCellStyle="20% - Accent4"/>
    <tableColumn id="6" xr3:uid="{BA1CEA20-15A8-FB4F-BF0E-E99BF86197DA}" name="Dried Grain Weight (g) " dataDxfId="19" dataCellStyle="20% - Accent4"/>
    <tableColumn id="7" xr3:uid="{47C0145F-A4E3-D344-A1A5-280A88806564}" name="Moisture Loss (g) " dataDxfId="18" dataCellStyle="20% - Accent4">
      <calculatedColumnFormula>Table9[[#This Row],[Wet Cob Weight (g) ]]-Table9[[#This Row],[Dried Grain Weight (g) ]]</calculatedColumnFormula>
    </tableColumn>
    <tableColumn id="8" xr3:uid="{85B6A0E1-51D6-BA4A-91C1-B78E2DC7133E}" name="% Moisture " dataDxfId="17" dataCellStyle="20% - Accent4">
      <calculatedColumnFormula>(Table9[[#This Row],[Moisture Loss (g) ]]/Table9[[#This Row],[Wet Cob Weight (g) ]])*100</calculatedColumnFormula>
    </tableColumn>
    <tableColumn id="9" xr3:uid="{2538A014-C78B-7342-8193-3EF072B8F45D}" name="Yield (kg/ha)" dataDxfId="16" dataCellStyle="20% - Accent4">
      <calculatedColumnFormula>((Table9[[#This Row],[Dried Grain Weight (g) ]]/1000)/0.0001)/2</calculatedColumnFormula>
    </tableColumn>
    <tableColumn id="10" xr3:uid="{3888638A-02C0-7A49-B21C-EA5001924EA4}" name="Yield (KG/HA) Corrected to 15% Moisture" dataDxfId="15" dataCellStyle="20% - Accent4">
      <calculatedColumnFormula>Table9[[#This Row],[Yield (kg/ha)]]*1.155</calculatedColumnFormula>
    </tableColumn>
    <tableColumn id="12" xr3:uid="{ACE2E910-1F95-4E4F-9312-F0CA18BCF3A1}" name="Yield (tons/ha)" dataDxfId="14" dataCellStyle="20% - Accent4"/>
    <tableColumn id="13" xr3:uid="{47A462AD-E7AB-7F48-B6D9-5F525E1F0C29}" name="Yield (tons/ha) Corrected to 15% Moisture" dataDxfId="13" dataCellStyle="20% - Accent4"/>
  </tableColumns>
  <tableStyleInfo name="TableStyleMedium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9C15439-38A3-F84A-9FE8-4F31B360FA41}" name="Table911" displayName="Table911" ref="Q2:AA50" totalsRowShown="0" headerRowDxfId="12" dataDxfId="11" headerRowCellStyle="Accent6" dataCellStyle="20% - Accent6">
  <autoFilter ref="Q2:AA50" xr:uid="{49C15439-38A3-F84A-9FE8-4F31B360FA41}"/>
  <tableColumns count="11">
    <tableColumn id="1" xr3:uid="{BCEBD03F-D0B1-C34B-8A08-45308FE37443}" name="Plot " dataDxfId="10" dataCellStyle="20% - Accent6"/>
    <tableColumn id="2" xr3:uid="{A88C8AC3-3300-1F4B-A748-F93417166AD7}" name="Subplot" dataDxfId="9" dataCellStyle="20% - Accent6"/>
    <tableColumn id="3" xr3:uid="{EB318F23-90AF-914B-989B-176CD01A67A4}" name="SAMPLE ID" dataDxfId="8" dataCellStyle="20% - Accent6"/>
    <tableColumn id="5" xr3:uid="{B2974FC8-D697-F340-B24E-60C215435FF0}" name="Biomass Wet Weight (g/m2)" dataDxfId="7" dataCellStyle="20% - Accent6"/>
    <tableColumn id="6" xr3:uid="{A1D2F083-CB79-E94D-B2C2-129B8C47C3CB}" name="Dry Sample Weight (g/m2) " dataDxfId="6" dataCellStyle="20% - Accent6"/>
    <tableColumn id="7" xr3:uid="{37B5E26B-D15F-2F44-93E9-822923B2F842}" name="Moisture loss (g)" dataDxfId="5" dataCellStyle="20% - Accent6">
      <calculatedColumnFormula>Table911[[#This Row],[Biomass Wet Weight (g/m2)]]-Table911[[#This Row],[Dry Sample Weight (g/m2) ]]</calculatedColumnFormula>
    </tableColumn>
    <tableColumn id="8" xr3:uid="{DFD25410-10A1-4348-8B03-A2ABAD83A3DA}" name="% Moisture" dataDxfId="4" dataCellStyle="20% - Accent6">
      <calculatedColumnFormula>(Table911[[#This Row],[Moisture loss (g)]]/Table911[[#This Row],[Biomass Wet Weight (g/m2)]])*100</calculatedColumnFormula>
    </tableColumn>
    <tableColumn id="9" xr3:uid="{3BC846C6-5683-0E40-BDDF-C7B625F3EFE6}" name="Dry Yield (kg/ha)" dataDxfId="3" dataCellStyle="20% - Accent6">
      <calculatedColumnFormula>Table911[[#This Row],[Dry Sample Weight (g/m2) ]]*(10000/1000)</calculatedColumnFormula>
    </tableColumn>
    <tableColumn id="10" xr3:uid="{31AE0D47-A4D8-7E40-AF60-A5B0E42CEE9A}" name="Yield (kg/ha) Corrected to 15% Moisture" dataDxfId="2" dataCellStyle="40% - Accent6">
      <calculatedColumnFormula>Table911[[#This Row],[Dry Yield (kg/ha)]]*1.155</calculatedColumnFormula>
    </tableColumn>
    <tableColumn id="4" xr3:uid="{3584CAC9-BAF8-084F-A5DC-3CF7FC32ADFD}" name="Dry Yield (tons/ha)" dataDxfId="1" dataCellStyle="40% - Accent6">
      <calculatedColumnFormula>Table911[[#This Row],[Dry Yield (kg/ha)]]/1000</calculatedColumnFormula>
    </tableColumn>
    <tableColumn id="11" xr3:uid="{85A1F217-7836-8743-9BBF-7E8CE56D5DF6}" name="Yield (tons/ha) Corrected to 15% Moisture" dataDxfId="0" dataCellStyle="20% - Accent6">
      <calculatedColumnFormula>Table911[[#This Row],[Dry Yield (tons/ha)]]*1.15</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B040B-C8DB-A245-8273-5F7476A91B21}">
  <dimension ref="A1:AC22"/>
  <sheetViews>
    <sheetView workbookViewId="0">
      <selection activeCell="B26" sqref="B26"/>
    </sheetView>
  </sheetViews>
  <sheetFormatPr defaultColWidth="11" defaultRowHeight="15.75"/>
  <cols>
    <col min="1" max="1" width="30.625" customWidth="1"/>
    <col min="3" max="3" width="52.875" customWidth="1"/>
    <col min="4" max="4" width="21.375" customWidth="1"/>
    <col min="7" max="7" width="17.875" customWidth="1"/>
    <col min="8" max="8" width="16.125" customWidth="1"/>
    <col min="9" max="9" width="19.5" customWidth="1"/>
    <col min="10" max="10" width="34.875" customWidth="1"/>
    <col min="11" max="11" width="18.375" customWidth="1"/>
  </cols>
  <sheetData>
    <row r="1" spans="1:29">
      <c r="A1" t="s">
        <v>0</v>
      </c>
      <c r="C1" t="s">
        <v>1</v>
      </c>
    </row>
    <row r="2" spans="1:29">
      <c r="A2" s="1" t="s">
        <v>2</v>
      </c>
      <c r="B2" s="1"/>
      <c r="C2" s="1"/>
      <c r="E2" s="2" t="s">
        <v>3</v>
      </c>
      <c r="F2" s="2"/>
      <c r="G2" s="2"/>
      <c r="H2" s="2"/>
    </row>
    <row r="3" spans="1:29">
      <c r="A3" s="1" t="s">
        <v>4</v>
      </c>
      <c r="B3" s="1"/>
      <c r="C3" s="1"/>
      <c r="E3" s="2"/>
      <c r="F3" s="2"/>
      <c r="G3" s="2"/>
      <c r="H3" s="2"/>
    </row>
    <row r="4" spans="1:29">
      <c r="A4" s="1" t="s">
        <v>5</v>
      </c>
      <c r="B4" s="1"/>
      <c r="C4" s="1"/>
      <c r="E4" s="2"/>
      <c r="F4" s="2"/>
      <c r="G4" s="2"/>
      <c r="H4" s="2"/>
    </row>
    <row r="5" spans="1:29">
      <c r="A5" s="1" t="s">
        <v>6</v>
      </c>
      <c r="B5" s="1"/>
      <c r="C5" s="1"/>
      <c r="E5" s="2"/>
      <c r="F5" s="2"/>
      <c r="G5" s="2"/>
      <c r="H5" s="2"/>
    </row>
    <row r="6" spans="1:29">
      <c r="A6" s="1" t="s">
        <v>7</v>
      </c>
      <c r="B6" s="1"/>
      <c r="C6" s="1"/>
      <c r="E6" s="2"/>
      <c r="F6" s="2"/>
      <c r="G6" s="2"/>
      <c r="H6" s="2"/>
    </row>
    <row r="7" spans="1:29">
      <c r="A7" s="1" t="s">
        <v>8</v>
      </c>
      <c r="B7" s="1"/>
      <c r="C7" s="1"/>
      <c r="E7" s="2"/>
      <c r="F7" s="2"/>
      <c r="G7" s="2"/>
      <c r="H7" s="2"/>
    </row>
    <row r="8" spans="1:29">
      <c r="A8" s="1" t="s">
        <v>9</v>
      </c>
      <c r="B8" s="1"/>
      <c r="C8" s="1"/>
      <c r="E8" s="2"/>
      <c r="F8" s="2"/>
      <c r="G8" s="2"/>
      <c r="H8" s="2"/>
    </row>
    <row r="9" spans="1:29">
      <c r="A9" s="1" t="s">
        <v>10</v>
      </c>
      <c r="B9" s="1"/>
      <c r="C9" s="1"/>
      <c r="E9" s="2"/>
      <c r="F9" s="2"/>
      <c r="G9" s="2"/>
      <c r="H9" s="2"/>
    </row>
    <row r="10" spans="1:29">
      <c r="A10" s="1" t="s">
        <v>11</v>
      </c>
      <c r="B10" s="1" t="s">
        <v>12</v>
      </c>
      <c r="C10" s="1"/>
      <c r="E10" s="2"/>
      <c r="F10" s="2"/>
      <c r="G10" s="2"/>
      <c r="H10" s="2"/>
    </row>
    <row r="12" spans="1:29">
      <c r="A12" s="3" t="s">
        <v>13</v>
      </c>
      <c r="B12" s="3"/>
      <c r="C12" s="3"/>
      <c r="D12" s="3"/>
      <c r="E12" s="3" t="s">
        <v>14</v>
      </c>
      <c r="F12" s="3"/>
      <c r="G12" s="3"/>
      <c r="H12" s="3"/>
      <c r="I12" s="3"/>
      <c r="J12" s="3"/>
      <c r="K12" s="3"/>
      <c r="L12" s="3"/>
      <c r="M12" s="3"/>
      <c r="N12" s="3"/>
      <c r="O12" s="3"/>
      <c r="P12" s="3"/>
      <c r="Q12" s="3"/>
      <c r="R12" s="3"/>
      <c r="S12" s="3"/>
      <c r="T12" s="3"/>
      <c r="U12" s="3"/>
      <c r="V12" s="3"/>
      <c r="W12" s="3"/>
      <c r="X12" s="3"/>
      <c r="Y12" s="3"/>
      <c r="Z12" s="3"/>
      <c r="AA12" s="3"/>
      <c r="AB12" s="3"/>
      <c r="AC12" s="3"/>
    </row>
    <row r="13" spans="1:29">
      <c r="A13" s="4" t="s">
        <v>15</v>
      </c>
      <c r="B13" s="4" t="s">
        <v>16</v>
      </c>
      <c r="C13" s="4" t="s">
        <v>17</v>
      </c>
      <c r="D13" s="4" t="s">
        <v>18</v>
      </c>
      <c r="E13" s="4" t="s">
        <v>19</v>
      </c>
      <c r="F13" s="4" t="s">
        <v>20</v>
      </c>
      <c r="G13" s="4" t="s">
        <v>21</v>
      </c>
      <c r="H13" s="4" t="s">
        <v>22</v>
      </c>
      <c r="I13" s="4" t="s">
        <v>23</v>
      </c>
      <c r="J13" s="4" t="s">
        <v>24</v>
      </c>
      <c r="K13" s="4" t="s">
        <v>25</v>
      </c>
      <c r="L13" s="4"/>
      <c r="M13" s="4"/>
      <c r="N13" s="4"/>
      <c r="O13" s="4"/>
      <c r="P13" s="4"/>
      <c r="Q13" s="4"/>
      <c r="R13" s="4"/>
      <c r="S13" s="4"/>
      <c r="T13" s="4"/>
      <c r="U13" s="4"/>
      <c r="V13" s="4"/>
      <c r="W13" s="4"/>
      <c r="X13" s="4"/>
      <c r="Y13" s="4"/>
      <c r="Z13" s="4"/>
      <c r="AA13" s="4"/>
      <c r="AB13" s="4"/>
      <c r="AC13" s="4"/>
    </row>
    <row r="14" spans="1:29">
      <c r="A14" s="5">
        <v>44041</v>
      </c>
      <c r="B14" s="6">
        <v>211</v>
      </c>
      <c r="C14" s="7" t="s">
        <v>26</v>
      </c>
      <c r="D14" s="6" t="s">
        <v>27</v>
      </c>
      <c r="E14" s="8" t="s">
        <v>28</v>
      </c>
      <c r="F14" s="9" t="s">
        <v>28</v>
      </c>
      <c r="G14" s="8" t="s">
        <v>28</v>
      </c>
      <c r="H14" s="9" t="s">
        <v>28</v>
      </c>
      <c r="I14" s="8" t="s">
        <v>28</v>
      </c>
      <c r="J14" s="11" t="s">
        <v>29</v>
      </c>
      <c r="K14" s="7" t="s">
        <v>60</v>
      </c>
      <c r="L14" s="7"/>
      <c r="M14" s="7"/>
      <c r="N14" s="7"/>
      <c r="O14" s="7"/>
      <c r="P14" s="7"/>
      <c r="Q14" s="7"/>
      <c r="R14" s="7"/>
      <c r="S14" s="7"/>
      <c r="T14" s="7"/>
      <c r="U14" s="7"/>
      <c r="V14" s="7"/>
      <c r="W14" s="7"/>
      <c r="X14" s="7"/>
      <c r="Y14" s="7"/>
      <c r="Z14" s="7"/>
      <c r="AA14" s="7"/>
      <c r="AB14" s="7"/>
      <c r="AC14" s="7"/>
    </row>
    <row r="15" spans="1:29">
      <c r="A15" s="5">
        <v>44091</v>
      </c>
      <c r="B15" s="6">
        <v>261</v>
      </c>
      <c r="C15" s="7" t="s">
        <v>26</v>
      </c>
      <c r="D15" s="6" t="s">
        <v>27</v>
      </c>
      <c r="E15" s="8" t="s">
        <v>28</v>
      </c>
      <c r="F15" s="9" t="s">
        <v>28</v>
      </c>
      <c r="G15" s="8" t="s">
        <v>28</v>
      </c>
      <c r="H15" s="9" t="s">
        <v>28</v>
      </c>
      <c r="I15" s="8" t="s">
        <v>28</v>
      </c>
      <c r="J15" s="11" t="s">
        <v>29</v>
      </c>
      <c r="K15" s="7" t="s">
        <v>30</v>
      </c>
      <c r="L15" s="7"/>
      <c r="M15" s="7"/>
      <c r="N15" s="7"/>
      <c r="O15" s="7"/>
      <c r="P15" s="7"/>
      <c r="Q15" s="7"/>
      <c r="R15" s="7"/>
      <c r="S15" s="7"/>
      <c r="T15" s="7"/>
      <c r="U15" s="7"/>
      <c r="V15" s="7"/>
      <c r="W15" s="7"/>
      <c r="X15" s="7"/>
      <c r="Y15" s="7"/>
      <c r="Z15" s="7"/>
      <c r="AA15" s="7"/>
      <c r="AB15" s="7"/>
      <c r="AC15" s="7"/>
    </row>
    <row r="16" spans="1:29">
      <c r="A16" s="5">
        <v>44144</v>
      </c>
      <c r="B16" s="6">
        <v>314</v>
      </c>
      <c r="C16" s="7" t="s">
        <v>31</v>
      </c>
      <c r="D16" s="6" t="s">
        <v>27</v>
      </c>
      <c r="E16" s="8" t="s">
        <v>28</v>
      </c>
      <c r="F16" s="9" t="s">
        <v>28</v>
      </c>
      <c r="G16" s="8" t="s">
        <v>28</v>
      </c>
      <c r="H16" s="9" t="s">
        <v>28</v>
      </c>
      <c r="I16" s="8" t="s">
        <v>28</v>
      </c>
      <c r="J16" s="11" t="s">
        <v>32</v>
      </c>
      <c r="K16" s="7" t="s">
        <v>33</v>
      </c>
      <c r="L16" s="7"/>
      <c r="M16" s="7"/>
      <c r="N16" s="7"/>
      <c r="O16" s="7"/>
      <c r="P16" s="7"/>
      <c r="Q16" s="7"/>
      <c r="R16" s="7"/>
      <c r="S16" s="7"/>
      <c r="T16" s="7"/>
      <c r="U16" s="7"/>
      <c r="V16" s="7"/>
      <c r="W16" s="7"/>
      <c r="X16" s="7"/>
      <c r="Y16" s="7"/>
      <c r="Z16" s="7"/>
      <c r="AA16" s="7"/>
      <c r="AB16" s="7"/>
      <c r="AC16" s="7"/>
    </row>
    <row r="17" spans="1:29">
      <c r="A17" s="5">
        <v>44146</v>
      </c>
      <c r="B17" s="6">
        <v>316</v>
      </c>
      <c r="C17" s="7" t="s">
        <v>31</v>
      </c>
      <c r="D17" s="6" t="s">
        <v>27</v>
      </c>
      <c r="E17" s="8" t="s">
        <v>28</v>
      </c>
      <c r="F17" s="9" t="s">
        <v>28</v>
      </c>
      <c r="G17" s="8" t="s">
        <v>28</v>
      </c>
      <c r="H17" s="9" t="s">
        <v>28</v>
      </c>
      <c r="I17" s="8" t="s">
        <v>28</v>
      </c>
      <c r="J17" s="11" t="s">
        <v>32</v>
      </c>
      <c r="K17" s="7" t="s">
        <v>34</v>
      </c>
      <c r="L17" s="7"/>
      <c r="M17" s="7"/>
      <c r="N17" s="7"/>
      <c r="O17" s="7"/>
      <c r="P17" s="7"/>
      <c r="Q17" s="7"/>
      <c r="R17" s="7"/>
      <c r="S17" s="7"/>
      <c r="T17" s="7"/>
      <c r="U17" s="7"/>
      <c r="V17" s="7"/>
      <c r="W17" s="7"/>
      <c r="X17" s="7"/>
      <c r="Y17" s="7"/>
      <c r="Z17" s="7"/>
      <c r="AA17" s="7"/>
      <c r="AB17" s="7"/>
      <c r="AC17" s="7"/>
    </row>
    <row r="18" spans="1:29">
      <c r="A18" s="5">
        <v>44326</v>
      </c>
      <c r="B18" s="6">
        <v>130</v>
      </c>
      <c r="C18" s="7" t="s">
        <v>31</v>
      </c>
      <c r="D18" s="6" t="s">
        <v>27</v>
      </c>
      <c r="E18" s="8" t="s">
        <v>28</v>
      </c>
      <c r="F18" s="9" t="s">
        <v>28</v>
      </c>
      <c r="G18" s="8" t="s">
        <v>28</v>
      </c>
      <c r="H18" s="9" t="s">
        <v>28</v>
      </c>
      <c r="I18" s="8"/>
      <c r="J18" s="11" t="s">
        <v>32</v>
      </c>
      <c r="K18" s="7" t="s">
        <v>35</v>
      </c>
      <c r="L18" s="7"/>
      <c r="M18" s="7"/>
      <c r="N18" s="7"/>
      <c r="O18" s="7"/>
      <c r="P18" s="7"/>
      <c r="Q18" s="7"/>
      <c r="R18" s="7"/>
      <c r="S18" s="7"/>
      <c r="T18" s="7"/>
      <c r="U18" s="7"/>
      <c r="V18" s="7"/>
      <c r="W18" s="7"/>
      <c r="X18" s="7"/>
      <c r="Y18" s="7"/>
      <c r="Z18" s="7"/>
      <c r="AA18" s="7"/>
      <c r="AB18" s="7"/>
      <c r="AC18" s="7"/>
    </row>
    <row r="19" spans="1:29">
      <c r="A19" s="12" t="s">
        <v>61</v>
      </c>
      <c r="B19" s="6">
        <v>174</v>
      </c>
      <c r="C19" s="7" t="s">
        <v>31</v>
      </c>
      <c r="D19" s="6" t="s">
        <v>27</v>
      </c>
      <c r="E19" s="8" t="s">
        <v>28</v>
      </c>
      <c r="F19" s="9" t="s">
        <v>28</v>
      </c>
      <c r="G19" s="8" t="s">
        <v>28</v>
      </c>
      <c r="H19" s="9" t="s">
        <v>28</v>
      </c>
      <c r="I19" s="8"/>
      <c r="J19" s="11" t="s">
        <v>32</v>
      </c>
      <c r="K19" s="13" t="s">
        <v>648</v>
      </c>
      <c r="L19" s="7"/>
      <c r="M19" s="7"/>
      <c r="N19" s="7"/>
      <c r="O19" s="7"/>
      <c r="P19" s="7"/>
      <c r="Q19" s="7"/>
      <c r="R19" s="7"/>
      <c r="S19" s="7"/>
      <c r="T19" s="7"/>
      <c r="U19" s="7"/>
      <c r="V19" s="7"/>
      <c r="W19" s="7"/>
      <c r="X19" s="7"/>
      <c r="Y19" s="7"/>
      <c r="Z19" s="7"/>
      <c r="AA19" s="7"/>
      <c r="AB19" s="7"/>
      <c r="AC19" s="7"/>
    </row>
    <row r="20" spans="1:29">
      <c r="A20" s="12" t="s">
        <v>62</v>
      </c>
      <c r="B20" s="6" t="s">
        <v>488</v>
      </c>
      <c r="C20" s="7" t="s">
        <v>50</v>
      </c>
      <c r="D20" s="6" t="s">
        <v>27</v>
      </c>
      <c r="E20" s="8" t="s">
        <v>28</v>
      </c>
      <c r="F20" s="9" t="s">
        <v>28</v>
      </c>
      <c r="G20" s="8" t="s">
        <v>28</v>
      </c>
      <c r="H20" s="9" t="s">
        <v>28</v>
      </c>
      <c r="I20" s="8"/>
      <c r="J20" s="11" t="s">
        <v>32</v>
      </c>
      <c r="K20" s="13" t="s">
        <v>647</v>
      </c>
      <c r="L20" s="7"/>
      <c r="M20" s="7"/>
      <c r="N20" s="7"/>
      <c r="O20" s="7"/>
      <c r="P20" s="7"/>
      <c r="Q20" s="7"/>
      <c r="R20" s="7"/>
      <c r="S20" s="7"/>
      <c r="T20" s="7"/>
      <c r="U20" s="7"/>
      <c r="V20" s="7"/>
      <c r="W20" s="7"/>
      <c r="X20" s="7"/>
      <c r="Y20" s="7"/>
      <c r="Z20" s="7"/>
      <c r="AA20" s="7"/>
      <c r="AB20" s="7"/>
      <c r="AC20" s="7"/>
    </row>
    <row r="21" spans="1:29">
      <c r="A21" s="12" t="s">
        <v>489</v>
      </c>
      <c r="B21" s="6" t="s">
        <v>487</v>
      </c>
      <c r="C21" s="7" t="s">
        <v>490</v>
      </c>
      <c r="D21" s="6" t="s">
        <v>27</v>
      </c>
      <c r="E21" s="8" t="s">
        <v>28</v>
      </c>
      <c r="F21" s="9" t="s">
        <v>28</v>
      </c>
      <c r="G21" s="8" t="s">
        <v>28</v>
      </c>
      <c r="H21" s="9" t="s">
        <v>28</v>
      </c>
      <c r="I21" s="10"/>
      <c r="J21" s="11" t="s">
        <v>32</v>
      </c>
      <c r="K21" s="13" t="s">
        <v>491</v>
      </c>
      <c r="L21" s="7"/>
      <c r="M21" s="7"/>
      <c r="N21" s="7"/>
      <c r="O21" s="7"/>
      <c r="P21" s="7"/>
      <c r="Q21" s="7"/>
      <c r="R21" s="7"/>
      <c r="S21" s="7"/>
      <c r="T21" s="7"/>
      <c r="U21" s="7"/>
      <c r="V21" s="7"/>
      <c r="W21" s="7"/>
      <c r="X21" s="7"/>
      <c r="Y21" s="7"/>
      <c r="Z21" s="7"/>
      <c r="AA21" s="7"/>
      <c r="AB21" s="7"/>
      <c r="AC21" s="7"/>
    </row>
    <row r="22" spans="1:29">
      <c r="A22" s="164" t="s">
        <v>646</v>
      </c>
      <c r="B22" s="4" t="s">
        <v>649</v>
      </c>
      <c r="C22" s="4"/>
      <c r="D22" s="4"/>
      <c r="E22" s="4"/>
      <c r="F22"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97CA-8186-7A4C-94DD-86F4D1E3B109}">
  <dimension ref="A1:BH82"/>
  <sheetViews>
    <sheetView tabSelected="1" topLeftCell="T1" zoomScale="80" zoomScaleNormal="80" workbookViewId="0">
      <selection activeCell="T5" sqref="T5"/>
    </sheetView>
  </sheetViews>
  <sheetFormatPr defaultColWidth="11" defaultRowHeight="15.75"/>
  <cols>
    <col min="2" max="2" width="15.375" customWidth="1"/>
    <col min="5" max="5" width="19.5" customWidth="1"/>
    <col min="6" max="6" width="21" customWidth="1"/>
    <col min="7" max="7" width="25.125" customWidth="1"/>
    <col min="8" max="8" width="21.375" customWidth="1"/>
    <col min="9" max="9" width="24.375" customWidth="1"/>
    <col min="10" max="10" width="16.125" customWidth="1"/>
    <col min="11" max="11" width="12" customWidth="1"/>
    <col min="13" max="13" width="35.875" customWidth="1"/>
    <col min="14" max="14" width="14.875" customWidth="1"/>
    <col min="15" max="15" width="35.875" customWidth="1"/>
    <col min="16" max="16" width="20.125" customWidth="1"/>
    <col min="18" max="18" width="16" customWidth="1"/>
    <col min="19" max="19" width="18.5" customWidth="1"/>
    <col min="20" max="20" width="17.375" customWidth="1"/>
    <col min="24" max="24" width="15.625" customWidth="1"/>
    <col min="28" max="28" width="24.125" customWidth="1"/>
    <col min="29" max="29" width="26.375" customWidth="1"/>
    <col min="30" max="30" width="26.5" customWidth="1"/>
    <col min="31" max="31" width="31.375" customWidth="1"/>
    <col min="37" max="37" width="14.875" customWidth="1"/>
    <col min="39" max="39" width="22.875" customWidth="1"/>
    <col min="40" max="40" width="28.875" customWidth="1"/>
    <col min="41" max="41" width="27.625" customWidth="1"/>
    <col min="42" max="42" width="32.125" customWidth="1"/>
  </cols>
  <sheetData>
    <row r="1" spans="1:60" ht="23.25">
      <c r="A1">
        <v>2021</v>
      </c>
      <c r="M1" s="72"/>
      <c r="N1" s="72"/>
    </row>
    <row r="2" spans="1:60" ht="23.25">
      <c r="M2" s="72"/>
      <c r="N2" s="72"/>
      <c r="Q2" t="s">
        <v>683</v>
      </c>
    </row>
    <row r="3" spans="1:60" ht="23.25">
      <c r="A3" s="108" t="s">
        <v>636</v>
      </c>
      <c r="E3" t="s">
        <v>461</v>
      </c>
      <c r="F3">
        <v>20.7</v>
      </c>
    </row>
    <row r="4" spans="1:60">
      <c r="A4" s="86" t="s">
        <v>64</v>
      </c>
      <c r="B4" s="86" t="s">
        <v>475</v>
      </c>
      <c r="C4" s="86" t="s">
        <v>505</v>
      </c>
      <c r="D4" s="86" t="s">
        <v>66</v>
      </c>
      <c r="E4" s="86" t="s">
        <v>47</v>
      </c>
      <c r="F4" s="86" t="s">
        <v>476</v>
      </c>
      <c r="G4" s="86" t="s">
        <v>657</v>
      </c>
      <c r="H4" s="86" t="s">
        <v>479</v>
      </c>
      <c r="I4" s="86" t="s">
        <v>659</v>
      </c>
      <c r="J4" s="86" t="s">
        <v>640</v>
      </c>
      <c r="K4" s="86" t="s">
        <v>494</v>
      </c>
      <c r="L4" s="86" t="s">
        <v>469</v>
      </c>
      <c r="M4" s="86" t="s">
        <v>665</v>
      </c>
      <c r="N4" s="86" t="s">
        <v>681</v>
      </c>
      <c r="O4" s="86" t="s">
        <v>680</v>
      </c>
      <c r="Q4" s="86" t="s">
        <v>66</v>
      </c>
      <c r="R4" s="86" t="s">
        <v>699</v>
      </c>
      <c r="S4" s="86" t="s">
        <v>708</v>
      </c>
      <c r="T4" s="86" t="s">
        <v>679</v>
      </c>
      <c r="W4" s="86" t="s">
        <v>64</v>
      </c>
      <c r="X4" s="86" t="s">
        <v>475</v>
      </c>
      <c r="Y4" s="86" t="s">
        <v>505</v>
      </c>
      <c r="Z4" s="86" t="s">
        <v>66</v>
      </c>
      <c r="AA4" s="86" t="s">
        <v>47</v>
      </c>
      <c r="AB4" s="86" t="s">
        <v>719</v>
      </c>
      <c r="AC4" s="86" t="s">
        <v>716</v>
      </c>
      <c r="AD4" s="86" t="s">
        <v>717</v>
      </c>
      <c r="AE4" s="86" t="s">
        <v>718</v>
      </c>
      <c r="AF4" s="86" t="s">
        <v>713</v>
      </c>
      <c r="AG4" s="86" t="s">
        <v>714</v>
      </c>
      <c r="AH4" s="86" t="s">
        <v>715</v>
      </c>
      <c r="AJ4" s="86" t="s">
        <v>64</v>
      </c>
      <c r="AK4" s="86" t="s">
        <v>475</v>
      </c>
      <c r="AL4" s="86" t="s">
        <v>66</v>
      </c>
      <c r="AM4" s="86" t="s">
        <v>731</v>
      </c>
      <c r="AN4" s="86" t="s">
        <v>728</v>
      </c>
      <c r="AO4" s="86" t="s">
        <v>729</v>
      </c>
      <c r="AP4" s="86" t="s">
        <v>718</v>
      </c>
      <c r="AQ4" s="3" t="s">
        <v>679</v>
      </c>
      <c r="AR4" s="86" t="s">
        <v>713</v>
      </c>
      <c r="AS4" s="86" t="s">
        <v>714</v>
      </c>
      <c r="AT4" s="86" t="s">
        <v>715</v>
      </c>
      <c r="AV4" s="86" t="s">
        <v>726</v>
      </c>
      <c r="AW4" s="86" t="s">
        <v>724</v>
      </c>
      <c r="AX4" s="86" t="s">
        <v>725</v>
      </c>
      <c r="AZ4" s="86" t="s">
        <v>730</v>
      </c>
      <c r="BA4" s="86" t="s">
        <v>672</v>
      </c>
      <c r="BB4" s="86"/>
      <c r="BC4" s="86" t="s">
        <v>730</v>
      </c>
      <c r="BD4" s="86">
        <v>4</v>
      </c>
      <c r="BE4" s="86"/>
      <c r="BF4" s="86" t="s">
        <v>730</v>
      </c>
      <c r="BG4" s="86" t="s">
        <v>673</v>
      </c>
      <c r="BH4" s="86"/>
    </row>
    <row r="5" spans="1:60">
      <c r="A5" s="10">
        <v>2021</v>
      </c>
      <c r="B5" s="10">
        <v>292</v>
      </c>
      <c r="C5" s="10" t="s">
        <v>325</v>
      </c>
      <c r="D5" s="10">
        <v>3</v>
      </c>
      <c r="E5" s="10">
        <v>1</v>
      </c>
      <c r="F5" s="10">
        <v>139.6</v>
      </c>
      <c r="G5" s="10">
        <f>F5-20.7</f>
        <v>118.89999999999999</v>
      </c>
      <c r="H5" s="10">
        <v>40.299999999999997</v>
      </c>
      <c r="I5" s="10">
        <f t="shared" ref="I5:I28" si="0">H5-20.7</f>
        <v>19.599999999999998</v>
      </c>
      <c r="J5" s="10">
        <f>G5-I5</f>
        <v>99.3</v>
      </c>
      <c r="K5" s="10">
        <f>(J5/G5)*100</f>
        <v>83.515559293523978</v>
      </c>
      <c r="L5" s="10">
        <f>(I5/1000)/0.0001</f>
        <v>195.99999999999997</v>
      </c>
      <c r="M5" s="10">
        <f>L5*1.155</f>
        <v>226.37999999999997</v>
      </c>
      <c r="N5" s="7">
        <f>L5*(1/1000)</f>
        <v>0.19599999999999998</v>
      </c>
      <c r="O5" s="7">
        <f>N5*1.15</f>
        <v>0.22539999999999996</v>
      </c>
      <c r="Q5" s="179">
        <v>3</v>
      </c>
      <c r="R5" s="7">
        <f>AVERAGE(N5:N13)</f>
        <v>0.23299999999999998</v>
      </c>
      <c r="S5" s="7">
        <f>AVERAGE(O5:O13)</f>
        <v>0.26794999999999997</v>
      </c>
      <c r="T5" s="7">
        <f>STDEV(O5:O13)</f>
        <v>0.19244726875172852</v>
      </c>
      <c r="W5" s="10">
        <v>2021</v>
      </c>
      <c r="X5" s="10">
        <v>292</v>
      </c>
      <c r="Y5" s="10" t="s">
        <v>325</v>
      </c>
      <c r="Z5" s="10">
        <v>3</v>
      </c>
      <c r="AA5" s="10">
        <v>1</v>
      </c>
      <c r="AB5" s="7">
        <v>0.19599999999999998</v>
      </c>
      <c r="AC5" s="179">
        <v>0</v>
      </c>
      <c r="AD5" s="179">
        <v>0.27700000000000002</v>
      </c>
      <c r="AE5" s="7">
        <f>SUM(AB5:AD5)</f>
        <v>0.47299999999999998</v>
      </c>
      <c r="AF5" s="7">
        <f>(AB5/AE5)*100</f>
        <v>41.437632135306551</v>
      </c>
      <c r="AG5" s="7">
        <f>0</f>
        <v>0</v>
      </c>
      <c r="AH5" s="7">
        <f>(AD5/AE5)*100</f>
        <v>58.562367864693456</v>
      </c>
      <c r="AJ5" s="7">
        <v>2021</v>
      </c>
      <c r="AK5" s="7">
        <v>292</v>
      </c>
      <c r="AL5" s="179">
        <v>3</v>
      </c>
      <c r="AM5" s="7">
        <f t="shared" ref="AM5:AP5" si="1">AVERAGE(AB5:AB13)</f>
        <v>0.23299999999999998</v>
      </c>
      <c r="AN5" s="7">
        <f t="shared" si="1"/>
        <v>9.3333333333333324E-3</v>
      </c>
      <c r="AO5" s="7">
        <f t="shared" si="1"/>
        <v>4.0222222222222229E-2</v>
      </c>
      <c r="AP5" s="7">
        <f t="shared" si="1"/>
        <v>0.28255555555555556</v>
      </c>
      <c r="AQ5" s="7">
        <f>STDEV(AE5:AE13)</f>
        <v>0.20103427015754743</v>
      </c>
      <c r="AR5" s="7">
        <f>AVERAGE(AF5:AF13)</f>
        <v>88.118724250665394</v>
      </c>
      <c r="AS5" s="7">
        <f>AVERAGE(AG5:AG13)</f>
        <v>2.1767725849358501</v>
      </c>
      <c r="AT5" s="7">
        <f>AVERAGE(AH5:AH13)</f>
        <v>9.7045031643987514</v>
      </c>
      <c r="AV5">
        <f>STDEV(AB5:AB13)</f>
        <v>0.16734545108845958</v>
      </c>
      <c r="AW5">
        <f>STDEV(AC5:AC13)</f>
        <v>1.9767397400770794E-2</v>
      </c>
      <c r="AX5">
        <f>STDEV(AD5:AD13)</f>
        <v>9.0747972123042212E-2</v>
      </c>
      <c r="AZ5" t="s">
        <v>727</v>
      </c>
      <c r="BA5">
        <v>0.10999999999999999</v>
      </c>
      <c r="BC5" t="s">
        <v>727</v>
      </c>
      <c r="BD5">
        <v>0.2638888888888889</v>
      </c>
      <c r="BF5" t="s">
        <v>727</v>
      </c>
      <c r="BG5">
        <v>0.18899999999999997</v>
      </c>
    </row>
    <row r="6" spans="1:60">
      <c r="A6" s="10">
        <v>2021</v>
      </c>
      <c r="B6" s="10">
        <v>292</v>
      </c>
      <c r="C6" s="10" t="s">
        <v>326</v>
      </c>
      <c r="D6" s="10">
        <v>3</v>
      </c>
      <c r="E6" s="10">
        <v>2</v>
      </c>
      <c r="F6" s="10">
        <v>371</v>
      </c>
      <c r="G6" s="10">
        <f t="shared" ref="G6:G28" si="2">F6-20.7</f>
        <v>350.3</v>
      </c>
      <c r="H6" s="10">
        <v>81.2</v>
      </c>
      <c r="I6" s="10">
        <f t="shared" si="0"/>
        <v>60.5</v>
      </c>
      <c r="J6" s="10">
        <f t="shared" ref="J6:J28" si="3">G6-I6</f>
        <v>289.8</v>
      </c>
      <c r="K6" s="10">
        <f t="shared" ref="K6:K28" si="4">(J6/G6)*100</f>
        <v>82.729089351984015</v>
      </c>
      <c r="L6" s="10">
        <f t="shared" ref="L6:L28" si="5">(I6/1000)/0.0001</f>
        <v>605</v>
      </c>
      <c r="M6" s="10">
        <f t="shared" ref="M6:M28" si="6">L6*1.155</f>
        <v>698.77499999999998</v>
      </c>
      <c r="N6" s="7">
        <f t="shared" ref="N6:N28" si="7">L6*(1/1000)</f>
        <v>0.60499999999999998</v>
      </c>
      <c r="O6" s="7">
        <f t="shared" ref="O6:O28" si="8">N6*1.15</f>
        <v>0.69574999999999998</v>
      </c>
      <c r="Q6" s="179" t="s">
        <v>672</v>
      </c>
      <c r="R6" s="7">
        <f>AVERAGE(N14:N16)</f>
        <v>0.10999999999999999</v>
      </c>
      <c r="S6" s="7">
        <f>AVERAGE(O14:O16)</f>
        <v>0.1265</v>
      </c>
      <c r="T6" s="7">
        <f>STDEV(O14:O16)</f>
        <v>0.10164985243471825</v>
      </c>
      <c r="W6" s="10">
        <v>2021</v>
      </c>
      <c r="X6" s="10">
        <v>292</v>
      </c>
      <c r="Y6" s="10" t="s">
        <v>326</v>
      </c>
      <c r="Z6" s="10">
        <v>3</v>
      </c>
      <c r="AA6" s="10">
        <v>2</v>
      </c>
      <c r="AB6" s="7">
        <v>0.60499999999999998</v>
      </c>
      <c r="AC6" s="179">
        <v>6.0999999999999999E-2</v>
      </c>
      <c r="AD6" s="179">
        <v>0.02</v>
      </c>
      <c r="AE6" s="7">
        <f t="shared" ref="AE6:AE28" si="9">SUM(AB6:AD6)</f>
        <v>0.68599999999999994</v>
      </c>
      <c r="AF6" s="7">
        <f t="shared" ref="AF6:AF28" si="10">(AB6/AE6)*100</f>
        <v>88.192419825072889</v>
      </c>
      <c r="AG6" s="7">
        <f>(AC6/AE6)*100</f>
        <v>8.8921282798833818</v>
      </c>
      <c r="AH6" s="7">
        <f t="shared" ref="AH6:AH28" si="11">(AD6/AE6)*100</f>
        <v>2.915451895043732</v>
      </c>
      <c r="AJ6" s="11">
        <v>2021</v>
      </c>
      <c r="AK6" s="11">
        <v>292</v>
      </c>
      <c r="AL6" s="181" t="s">
        <v>672</v>
      </c>
      <c r="AM6" s="11">
        <f t="shared" ref="AM6:AP6" si="12">AVERAGE(AB14:AB16)</f>
        <v>0.10999999999999999</v>
      </c>
      <c r="AN6" s="11">
        <f t="shared" si="12"/>
        <v>7.0000000000000001E-3</v>
      </c>
      <c r="AO6" s="11">
        <f t="shared" si="12"/>
        <v>0</v>
      </c>
      <c r="AP6" s="11">
        <f t="shared" si="12"/>
        <v>0.11699999999999999</v>
      </c>
      <c r="AQ6" s="11">
        <f>STDEV(AE14:AE16)</f>
        <v>8.4326745460737415E-2</v>
      </c>
      <c r="AR6" s="11">
        <f>AVERAGE(AF14:AF16)</f>
        <v>89.412437359163221</v>
      </c>
      <c r="AS6" s="11">
        <f>AVERAGE(AG14:AG16)</f>
        <v>10.587562640836779</v>
      </c>
      <c r="AT6" s="11">
        <f>AVERAGE(AH14:AH16)</f>
        <v>0</v>
      </c>
      <c r="AV6">
        <f>STDEV(AB14:AB16)</f>
        <v>8.8391176030189825E-2</v>
      </c>
      <c r="AW6">
        <f>STDEV(AC14:AC16)</f>
        <v>4.5825756949558413E-3</v>
      </c>
      <c r="AX6">
        <f>STDEV(AD14:AD16)</f>
        <v>0</v>
      </c>
      <c r="AZ6" t="s">
        <v>728</v>
      </c>
      <c r="BA6" s="184">
        <v>7.0000000000000001E-3</v>
      </c>
      <c r="BC6" t="s">
        <v>728</v>
      </c>
      <c r="BD6">
        <v>2.9111111111111112E-2</v>
      </c>
      <c r="BF6" t="s">
        <v>728</v>
      </c>
      <c r="BG6">
        <v>1.6333333333333335E-2</v>
      </c>
    </row>
    <row r="7" spans="1:60">
      <c r="A7" s="10">
        <v>2021</v>
      </c>
      <c r="B7" s="10">
        <v>292</v>
      </c>
      <c r="C7" s="10" t="s">
        <v>327</v>
      </c>
      <c r="D7" s="10">
        <v>3</v>
      </c>
      <c r="E7" s="10">
        <v>3</v>
      </c>
      <c r="F7" s="10">
        <v>188.7</v>
      </c>
      <c r="G7" s="10">
        <f t="shared" si="2"/>
        <v>168</v>
      </c>
      <c r="H7" s="10">
        <v>49.9</v>
      </c>
      <c r="I7" s="10">
        <f t="shared" si="0"/>
        <v>29.2</v>
      </c>
      <c r="J7" s="10">
        <f t="shared" si="3"/>
        <v>138.80000000000001</v>
      </c>
      <c r="K7" s="10">
        <f t="shared" si="4"/>
        <v>82.61904761904762</v>
      </c>
      <c r="L7" s="10">
        <f t="shared" si="5"/>
        <v>292</v>
      </c>
      <c r="M7" s="10">
        <f t="shared" si="6"/>
        <v>337.26</v>
      </c>
      <c r="N7" s="7">
        <f t="shared" si="7"/>
        <v>0.29199999999999998</v>
      </c>
      <c r="O7" s="7">
        <f t="shared" si="8"/>
        <v>0.33579999999999993</v>
      </c>
      <c r="Q7" s="179">
        <v>4</v>
      </c>
      <c r="R7" s="7">
        <f>AVERAGE(N17:N25)</f>
        <v>0.2638888888888889</v>
      </c>
      <c r="S7" s="7">
        <f>AVERAGE(O17:O25)</f>
        <v>0.3034722222222222</v>
      </c>
      <c r="T7" s="7">
        <f>STDEV(O17:O25)</f>
        <v>0.29462252874558736</v>
      </c>
      <c r="W7" s="10">
        <v>2021</v>
      </c>
      <c r="X7" s="10">
        <v>292</v>
      </c>
      <c r="Y7" s="10" t="s">
        <v>327</v>
      </c>
      <c r="Z7" s="10">
        <v>3</v>
      </c>
      <c r="AA7" s="10">
        <v>3</v>
      </c>
      <c r="AB7" s="7">
        <v>0.29199999999999998</v>
      </c>
      <c r="AC7" s="179">
        <v>7.9999999999999984E-3</v>
      </c>
      <c r="AD7" s="179">
        <v>7.9999999999999984E-3</v>
      </c>
      <c r="AE7" s="7">
        <f t="shared" si="9"/>
        <v>0.308</v>
      </c>
      <c r="AF7" s="7">
        <f t="shared" si="10"/>
        <v>94.805194805194802</v>
      </c>
      <c r="AG7" s="7">
        <f t="shared" ref="AG7:AG28" si="13">(AC7/AE7)*100</f>
        <v>2.5974025974025969</v>
      </c>
      <c r="AH7" s="7">
        <f t="shared" si="11"/>
        <v>2.5974025974025969</v>
      </c>
      <c r="AJ7" s="7">
        <v>2021</v>
      </c>
      <c r="AK7" s="7">
        <v>292</v>
      </c>
      <c r="AL7" s="179">
        <v>4</v>
      </c>
      <c r="AM7" s="7">
        <f t="shared" ref="AM7:AP7" si="14">AVERAGE(AB17:AB25)</f>
        <v>0.2638888888888889</v>
      </c>
      <c r="AN7" s="7">
        <f t="shared" si="14"/>
        <v>2.9111111111111112E-2</v>
      </c>
      <c r="AO7" s="7">
        <f t="shared" si="14"/>
        <v>1.1000000000000003E-2</v>
      </c>
      <c r="AP7" s="7">
        <f t="shared" si="14"/>
        <v>0.30400000000000005</v>
      </c>
      <c r="AQ7" s="7">
        <f>STDEV(AE17:AE25)</f>
        <v>0.26080260734892968</v>
      </c>
      <c r="AR7" s="7">
        <f>AVERAGE(AF17:AF25)</f>
        <v>84.853005695749403</v>
      </c>
      <c r="AS7" s="7">
        <f>AVERAGE(AG17:AG25)</f>
        <v>11.921760899350422</v>
      </c>
      <c r="AT7" s="7">
        <f>AVERAGE(AH17:AH25)</f>
        <v>3.2252334049001785</v>
      </c>
      <c r="AV7">
        <f>STDEV(AB17:AB25)</f>
        <v>0.25619350325703244</v>
      </c>
      <c r="AW7">
        <f>STDEV(AC17:AC25)</f>
        <v>4.1630651101215208E-2</v>
      </c>
      <c r="AX7">
        <f>STDEV(AD17:AD25)</f>
        <v>2.0174241001832016E-2</v>
      </c>
      <c r="AZ7" t="s">
        <v>729</v>
      </c>
      <c r="BA7">
        <v>0</v>
      </c>
      <c r="BC7" t="s">
        <v>729</v>
      </c>
      <c r="BD7">
        <v>1.1000000000000003E-2</v>
      </c>
      <c r="BF7" t="s">
        <v>729</v>
      </c>
      <c r="BG7">
        <v>1.6E-2</v>
      </c>
    </row>
    <row r="8" spans="1:60">
      <c r="A8" s="10">
        <v>2021</v>
      </c>
      <c r="B8" s="10">
        <v>292</v>
      </c>
      <c r="C8" s="10" t="s">
        <v>328</v>
      </c>
      <c r="D8" s="10">
        <v>3</v>
      </c>
      <c r="E8" s="10">
        <v>4</v>
      </c>
      <c r="F8" s="10">
        <v>81.599999999999994</v>
      </c>
      <c r="G8" s="10">
        <f t="shared" si="2"/>
        <v>60.899999999999991</v>
      </c>
      <c r="H8" s="10">
        <v>30.5</v>
      </c>
      <c r="I8" s="10">
        <f t="shared" si="0"/>
        <v>9.8000000000000007</v>
      </c>
      <c r="J8" s="10">
        <f t="shared" si="3"/>
        <v>51.099999999999994</v>
      </c>
      <c r="K8" s="10">
        <f t="shared" si="4"/>
        <v>83.908045977011497</v>
      </c>
      <c r="L8" s="10">
        <f t="shared" si="5"/>
        <v>98.000000000000014</v>
      </c>
      <c r="M8" s="10">
        <f t="shared" si="6"/>
        <v>113.19000000000001</v>
      </c>
      <c r="N8" s="7">
        <f t="shared" si="7"/>
        <v>9.8000000000000018E-2</v>
      </c>
      <c r="O8" s="7">
        <f t="shared" si="8"/>
        <v>0.11270000000000001</v>
      </c>
      <c r="Q8" s="179" t="s">
        <v>673</v>
      </c>
      <c r="R8" s="7">
        <f>AVERAGE(N26:N28)</f>
        <v>0.18899999999999997</v>
      </c>
      <c r="S8" s="7">
        <f>AVERAGE(O26:O28)</f>
        <v>0.21734999999999996</v>
      </c>
      <c r="T8" s="7">
        <f>STDEV(O26:O28)</f>
        <v>6.2682912344593625E-2</v>
      </c>
      <c r="W8" s="10">
        <v>2021</v>
      </c>
      <c r="X8" s="10">
        <v>292</v>
      </c>
      <c r="Y8" s="10" t="s">
        <v>328</v>
      </c>
      <c r="Z8" s="10">
        <v>3</v>
      </c>
      <c r="AA8" s="10">
        <v>4</v>
      </c>
      <c r="AB8" s="7">
        <v>9.8000000000000018E-2</v>
      </c>
      <c r="AC8" s="179">
        <v>0</v>
      </c>
      <c r="AD8" s="179">
        <v>0</v>
      </c>
      <c r="AE8" s="7">
        <f t="shared" si="9"/>
        <v>9.8000000000000018E-2</v>
      </c>
      <c r="AF8" s="7">
        <f t="shared" si="10"/>
        <v>100</v>
      </c>
      <c r="AG8" s="7">
        <f t="shared" si="13"/>
        <v>0</v>
      </c>
      <c r="AH8" s="7">
        <f t="shared" si="11"/>
        <v>0</v>
      </c>
      <c r="AJ8" s="11">
        <v>2021</v>
      </c>
      <c r="AK8" s="11">
        <v>292</v>
      </c>
      <c r="AL8" s="181" t="s">
        <v>673</v>
      </c>
      <c r="AM8" s="11">
        <f t="shared" ref="AM8:AP8" si="15">AVERAGE(AB26:AB28)</f>
        <v>0.18899999999999997</v>
      </c>
      <c r="AN8" s="11">
        <f t="shared" si="15"/>
        <v>1.6333333333333335E-2</v>
      </c>
      <c r="AO8" s="11">
        <f t="shared" si="15"/>
        <v>1.6E-2</v>
      </c>
      <c r="AP8" s="11">
        <f t="shared" si="15"/>
        <v>0.2213333333333333</v>
      </c>
      <c r="AQ8" s="11">
        <f>STDEV(AE26:AE28)</f>
        <v>7.5048872965110786E-2</v>
      </c>
      <c r="AR8" s="11">
        <f>AVERAGE(AF26:AF28)</f>
        <v>87.982112379263313</v>
      </c>
      <c r="AS8" s="11">
        <f>AVERAGE(AG26:AG28)</f>
        <v>6.0518512161865816</v>
      </c>
      <c r="AT8" s="11">
        <f>AVERAGE(AH26:AH28)</f>
        <v>5.9660364045500929</v>
      </c>
      <c r="AV8">
        <f>STDEV(AB26:AB28)</f>
        <v>5.4506880299646655E-2</v>
      </c>
      <c r="AW8">
        <f>STDEV(AC26:AC28)</f>
        <v>2.490649179096352E-2</v>
      </c>
      <c r="AX8">
        <f>STDEV(AD26:AD28)</f>
        <v>1.9697715603592209E-2</v>
      </c>
    </row>
    <row r="9" spans="1:60">
      <c r="A9" s="10">
        <v>2021</v>
      </c>
      <c r="B9" s="10">
        <v>292</v>
      </c>
      <c r="C9" s="10" t="s">
        <v>329</v>
      </c>
      <c r="D9" s="10">
        <v>3</v>
      </c>
      <c r="E9" s="10">
        <v>5</v>
      </c>
      <c r="F9" s="10">
        <v>259.8</v>
      </c>
      <c r="G9" s="10">
        <f t="shared" si="2"/>
        <v>239.10000000000002</v>
      </c>
      <c r="H9" s="10">
        <v>57.4</v>
      </c>
      <c r="I9" s="10">
        <f t="shared" si="0"/>
        <v>36.700000000000003</v>
      </c>
      <c r="J9" s="10">
        <f t="shared" si="3"/>
        <v>202.40000000000003</v>
      </c>
      <c r="K9" s="10">
        <f t="shared" si="4"/>
        <v>84.650773734838992</v>
      </c>
      <c r="L9" s="10">
        <f t="shared" si="5"/>
        <v>367</v>
      </c>
      <c r="M9" s="10">
        <f t="shared" si="6"/>
        <v>423.88499999999999</v>
      </c>
      <c r="N9" s="7">
        <f t="shared" si="7"/>
        <v>0.36699999999999999</v>
      </c>
      <c r="O9" s="7">
        <f t="shared" si="8"/>
        <v>0.42204999999999998</v>
      </c>
      <c r="W9" s="10">
        <v>2021</v>
      </c>
      <c r="X9" s="10">
        <v>292</v>
      </c>
      <c r="Y9" s="10" t="s">
        <v>329</v>
      </c>
      <c r="Z9" s="10">
        <v>3</v>
      </c>
      <c r="AA9" s="10">
        <v>5</v>
      </c>
      <c r="AB9" s="7">
        <v>0.36699999999999999</v>
      </c>
      <c r="AC9" s="179">
        <v>0</v>
      </c>
      <c r="AD9" s="179">
        <v>0</v>
      </c>
      <c r="AE9" s="7">
        <f t="shared" si="9"/>
        <v>0.36699999999999999</v>
      </c>
      <c r="AF9" s="7">
        <f t="shared" si="10"/>
        <v>100</v>
      </c>
      <c r="AG9" s="7">
        <f t="shared" si="13"/>
        <v>0</v>
      </c>
      <c r="AH9" s="7">
        <f t="shared" si="11"/>
        <v>0</v>
      </c>
    </row>
    <row r="10" spans="1:60">
      <c r="A10" s="10">
        <v>2021</v>
      </c>
      <c r="B10" s="10">
        <v>292</v>
      </c>
      <c r="C10" s="10" t="s">
        <v>330</v>
      </c>
      <c r="D10" s="10">
        <v>3</v>
      </c>
      <c r="E10" s="10">
        <v>6</v>
      </c>
      <c r="F10" s="10">
        <v>81.599999999999994</v>
      </c>
      <c r="G10" s="10">
        <f t="shared" si="2"/>
        <v>60.899999999999991</v>
      </c>
      <c r="H10" s="10">
        <v>36.200000000000003</v>
      </c>
      <c r="I10" s="10">
        <f t="shared" si="0"/>
        <v>15.500000000000004</v>
      </c>
      <c r="J10" s="10">
        <f t="shared" si="3"/>
        <v>45.399999999999991</v>
      </c>
      <c r="K10" s="10">
        <f t="shared" si="4"/>
        <v>74.548440065681447</v>
      </c>
      <c r="L10" s="10">
        <f t="shared" si="5"/>
        <v>155.00000000000003</v>
      </c>
      <c r="M10" s="10">
        <f t="shared" si="6"/>
        <v>179.02500000000003</v>
      </c>
      <c r="N10" s="7">
        <f t="shared" si="7"/>
        <v>0.15500000000000003</v>
      </c>
      <c r="O10" s="7">
        <f t="shared" si="8"/>
        <v>0.17825000000000002</v>
      </c>
      <c r="W10" s="10">
        <v>2021</v>
      </c>
      <c r="X10" s="10">
        <v>292</v>
      </c>
      <c r="Y10" s="10" t="s">
        <v>330</v>
      </c>
      <c r="Z10" s="10">
        <v>3</v>
      </c>
      <c r="AA10" s="10">
        <v>6</v>
      </c>
      <c r="AB10" s="7">
        <v>0.15500000000000003</v>
      </c>
      <c r="AC10" s="179">
        <v>0.01</v>
      </c>
      <c r="AD10" s="179">
        <v>0</v>
      </c>
      <c r="AE10" s="7">
        <f t="shared" si="9"/>
        <v>0.16500000000000004</v>
      </c>
      <c r="AF10" s="7">
        <f t="shared" si="10"/>
        <v>93.939393939393938</v>
      </c>
      <c r="AG10" s="7">
        <f t="shared" si="13"/>
        <v>6.0606060606060597</v>
      </c>
      <c r="AH10" s="7">
        <f t="shared" si="11"/>
        <v>0</v>
      </c>
      <c r="AY10" s="86" t="s">
        <v>66</v>
      </c>
      <c r="AZ10" t="s">
        <v>734</v>
      </c>
      <c r="BA10" t="s">
        <v>732</v>
      </c>
      <c r="BC10" t="s">
        <v>66</v>
      </c>
      <c r="BD10" t="s">
        <v>685</v>
      </c>
      <c r="BE10" t="s">
        <v>687</v>
      </c>
    </row>
    <row r="11" spans="1:60">
      <c r="A11" s="10">
        <v>2021</v>
      </c>
      <c r="B11" s="10">
        <v>292</v>
      </c>
      <c r="C11" s="10" t="s">
        <v>331</v>
      </c>
      <c r="D11" s="10">
        <v>3</v>
      </c>
      <c r="E11" s="10">
        <v>7</v>
      </c>
      <c r="F11" s="10">
        <v>77.5</v>
      </c>
      <c r="G11" s="10">
        <f t="shared" si="2"/>
        <v>56.8</v>
      </c>
      <c r="H11" s="10">
        <v>28.6</v>
      </c>
      <c r="I11" s="10">
        <f t="shared" si="0"/>
        <v>7.9000000000000021</v>
      </c>
      <c r="J11" s="10">
        <f t="shared" si="3"/>
        <v>48.899999999999991</v>
      </c>
      <c r="K11" s="10">
        <f t="shared" si="4"/>
        <v>86.091549295774641</v>
      </c>
      <c r="L11" s="10">
        <f t="shared" si="5"/>
        <v>79.000000000000014</v>
      </c>
      <c r="M11" s="10">
        <f t="shared" si="6"/>
        <v>91.245000000000019</v>
      </c>
      <c r="N11" s="7">
        <f t="shared" si="7"/>
        <v>7.9000000000000015E-2</v>
      </c>
      <c r="O11" s="7">
        <f t="shared" si="8"/>
        <v>9.0850000000000014E-2</v>
      </c>
      <c r="W11" s="10">
        <v>2021</v>
      </c>
      <c r="X11" s="10">
        <v>292</v>
      </c>
      <c r="Y11" s="10" t="s">
        <v>331</v>
      </c>
      <c r="Z11" s="10">
        <v>3</v>
      </c>
      <c r="AA11" s="10">
        <v>7</v>
      </c>
      <c r="AB11" s="7">
        <v>7.9000000000000015E-2</v>
      </c>
      <c r="AC11" s="179">
        <v>0</v>
      </c>
      <c r="AD11" s="179">
        <v>0</v>
      </c>
      <c r="AE11" s="7">
        <f t="shared" si="9"/>
        <v>7.9000000000000015E-2</v>
      </c>
      <c r="AF11" s="7">
        <f t="shared" si="10"/>
        <v>100</v>
      </c>
      <c r="AG11" s="7">
        <f t="shared" si="13"/>
        <v>0</v>
      </c>
      <c r="AH11" s="7">
        <f t="shared" si="11"/>
        <v>0</v>
      </c>
      <c r="AY11" s="179" t="s">
        <v>685</v>
      </c>
      <c r="AZ11">
        <v>0.28255555555555556</v>
      </c>
      <c r="BA11">
        <v>0.11699999999999999</v>
      </c>
      <c r="BC11" t="s">
        <v>735</v>
      </c>
      <c r="BD11">
        <v>0.28255555555555556</v>
      </c>
      <c r="BE11">
        <v>0.30400000000000005</v>
      </c>
    </row>
    <row r="12" spans="1:60">
      <c r="A12" s="10">
        <v>2021</v>
      </c>
      <c r="B12" s="10">
        <v>292</v>
      </c>
      <c r="C12" s="10" t="s">
        <v>332</v>
      </c>
      <c r="D12" s="10">
        <v>3</v>
      </c>
      <c r="E12" s="10">
        <v>8</v>
      </c>
      <c r="F12" s="10">
        <v>104.6</v>
      </c>
      <c r="G12" s="10">
        <f t="shared" si="2"/>
        <v>83.899999999999991</v>
      </c>
      <c r="H12" s="10">
        <v>32.9</v>
      </c>
      <c r="I12" s="10">
        <f t="shared" si="0"/>
        <v>12.2</v>
      </c>
      <c r="J12" s="10">
        <f t="shared" si="3"/>
        <v>71.699999999999989</v>
      </c>
      <c r="K12" s="10">
        <f t="shared" si="4"/>
        <v>85.458879618593571</v>
      </c>
      <c r="L12" s="10">
        <f t="shared" si="5"/>
        <v>121.99999999999999</v>
      </c>
      <c r="M12" s="10">
        <f t="shared" si="6"/>
        <v>140.91</v>
      </c>
      <c r="N12" s="7">
        <f t="shared" si="7"/>
        <v>0.12199999999999998</v>
      </c>
      <c r="O12" s="7">
        <f t="shared" si="8"/>
        <v>0.14029999999999998</v>
      </c>
      <c r="W12" s="10">
        <v>2021</v>
      </c>
      <c r="X12" s="10">
        <v>292</v>
      </c>
      <c r="Y12" s="10" t="s">
        <v>332</v>
      </c>
      <c r="Z12" s="10">
        <v>3</v>
      </c>
      <c r="AA12" s="10">
        <v>8</v>
      </c>
      <c r="AB12" s="7">
        <v>0.12199999999999998</v>
      </c>
      <c r="AC12" s="179">
        <v>0</v>
      </c>
      <c r="AD12" s="179">
        <v>0</v>
      </c>
      <c r="AE12" s="7">
        <f t="shared" si="9"/>
        <v>0.12199999999999998</v>
      </c>
      <c r="AF12" s="7">
        <f t="shared" si="10"/>
        <v>100</v>
      </c>
      <c r="AG12" s="7">
        <f t="shared" si="13"/>
        <v>0</v>
      </c>
      <c r="AH12" s="7">
        <f t="shared" si="11"/>
        <v>0</v>
      </c>
      <c r="AY12" s="179" t="s">
        <v>733</v>
      </c>
      <c r="AZ12">
        <v>0.30400000000000005</v>
      </c>
      <c r="BA12">
        <v>0.2213333333333333</v>
      </c>
      <c r="BC12" t="s">
        <v>732</v>
      </c>
      <c r="BD12">
        <v>0.11699999999999999</v>
      </c>
      <c r="BE12">
        <v>0.2213333333333333</v>
      </c>
    </row>
    <row r="13" spans="1:60">
      <c r="A13" s="10">
        <v>2021</v>
      </c>
      <c r="B13" s="10">
        <v>292</v>
      </c>
      <c r="C13" s="10" t="s">
        <v>333</v>
      </c>
      <c r="D13" s="10">
        <v>3</v>
      </c>
      <c r="E13" s="10">
        <v>9</v>
      </c>
      <c r="F13" s="10">
        <v>154.9</v>
      </c>
      <c r="G13" s="10">
        <f t="shared" si="2"/>
        <v>134.20000000000002</v>
      </c>
      <c r="H13" s="10">
        <v>39</v>
      </c>
      <c r="I13" s="10">
        <f t="shared" si="0"/>
        <v>18.3</v>
      </c>
      <c r="J13" s="10">
        <f t="shared" si="3"/>
        <v>115.90000000000002</v>
      </c>
      <c r="K13" s="10">
        <f t="shared" si="4"/>
        <v>86.36363636363636</v>
      </c>
      <c r="L13" s="10">
        <f t="shared" si="5"/>
        <v>183</v>
      </c>
      <c r="M13" s="10">
        <f t="shared" si="6"/>
        <v>211.36500000000001</v>
      </c>
      <c r="N13" s="7">
        <f t="shared" si="7"/>
        <v>0.183</v>
      </c>
      <c r="O13" s="7">
        <f t="shared" si="8"/>
        <v>0.21044999999999997</v>
      </c>
      <c r="W13" s="10">
        <v>2021</v>
      </c>
      <c r="X13" s="10">
        <v>292</v>
      </c>
      <c r="Y13" s="10" t="s">
        <v>333</v>
      </c>
      <c r="Z13" s="10">
        <v>3</v>
      </c>
      <c r="AA13" s="10">
        <v>9</v>
      </c>
      <c r="AB13" s="7">
        <v>0.183</v>
      </c>
      <c r="AC13" s="179">
        <v>5.0000000000000001E-3</v>
      </c>
      <c r="AD13" s="179">
        <v>5.7000000000000002E-2</v>
      </c>
      <c r="AE13" s="7">
        <f t="shared" si="9"/>
        <v>0.245</v>
      </c>
      <c r="AF13" s="7">
        <f t="shared" si="10"/>
        <v>74.693877551020407</v>
      </c>
      <c r="AG13" s="7">
        <f t="shared" si="13"/>
        <v>2.0408163265306123</v>
      </c>
      <c r="AH13" s="7">
        <f t="shared" si="11"/>
        <v>23.26530612244898</v>
      </c>
    </row>
    <row r="14" spans="1:60">
      <c r="A14" s="10">
        <v>2021</v>
      </c>
      <c r="B14" s="10">
        <v>292</v>
      </c>
      <c r="C14" s="10" t="s">
        <v>334</v>
      </c>
      <c r="D14" s="10">
        <v>3</v>
      </c>
      <c r="E14" s="10">
        <v>11</v>
      </c>
      <c r="F14" s="10">
        <v>212.5</v>
      </c>
      <c r="G14" s="10">
        <f t="shared" si="2"/>
        <v>191.8</v>
      </c>
      <c r="H14" s="10">
        <v>41.6</v>
      </c>
      <c r="I14" s="10">
        <f t="shared" si="0"/>
        <v>20.900000000000002</v>
      </c>
      <c r="J14" s="10">
        <f t="shared" si="3"/>
        <v>170.9</v>
      </c>
      <c r="K14" s="10">
        <f t="shared" si="4"/>
        <v>89.103232533889468</v>
      </c>
      <c r="L14" s="10">
        <f t="shared" si="5"/>
        <v>209</v>
      </c>
      <c r="M14" s="10">
        <f t="shared" si="6"/>
        <v>241.39500000000001</v>
      </c>
      <c r="N14" s="7">
        <f t="shared" si="7"/>
        <v>0.20899999999999999</v>
      </c>
      <c r="O14" s="7">
        <f t="shared" si="8"/>
        <v>0.24034999999999998</v>
      </c>
      <c r="W14" s="6">
        <v>2021</v>
      </c>
      <c r="X14" s="6">
        <v>292</v>
      </c>
      <c r="Y14" s="6" t="s">
        <v>334</v>
      </c>
      <c r="Z14" s="6">
        <v>3</v>
      </c>
      <c r="AA14" s="6">
        <v>11</v>
      </c>
      <c r="AB14" s="11">
        <v>0.20899999999999999</v>
      </c>
      <c r="AC14" s="181">
        <v>2.9999999999999979E-3</v>
      </c>
      <c r="AD14" s="181">
        <v>0</v>
      </c>
      <c r="AE14" s="11">
        <f t="shared" si="9"/>
        <v>0.21199999999999999</v>
      </c>
      <c r="AF14" s="11">
        <f t="shared" si="10"/>
        <v>98.584905660377359</v>
      </c>
      <c r="AG14" s="11">
        <f t="shared" si="13"/>
        <v>1.4150943396226405</v>
      </c>
      <c r="AH14" s="11">
        <f t="shared" si="11"/>
        <v>0</v>
      </c>
    </row>
    <row r="15" spans="1:60">
      <c r="A15" s="10">
        <v>2021</v>
      </c>
      <c r="B15" s="10">
        <v>292</v>
      </c>
      <c r="C15" s="10" t="s">
        <v>335</v>
      </c>
      <c r="D15" s="10">
        <v>3</v>
      </c>
      <c r="E15" s="10">
        <v>12</v>
      </c>
      <c r="F15" s="10">
        <v>64.2</v>
      </c>
      <c r="G15" s="10">
        <f t="shared" si="2"/>
        <v>43.5</v>
      </c>
      <c r="H15" s="10">
        <v>24.6</v>
      </c>
      <c r="I15" s="10">
        <f t="shared" si="0"/>
        <v>3.9000000000000021</v>
      </c>
      <c r="J15" s="10">
        <f t="shared" si="3"/>
        <v>39.599999999999994</v>
      </c>
      <c r="K15" s="10">
        <f t="shared" si="4"/>
        <v>91.034482758620669</v>
      </c>
      <c r="L15" s="10">
        <f t="shared" si="5"/>
        <v>39.000000000000021</v>
      </c>
      <c r="M15" s="10">
        <f t="shared" si="6"/>
        <v>45.045000000000023</v>
      </c>
      <c r="N15" s="7">
        <f t="shared" si="7"/>
        <v>3.9000000000000021E-2</v>
      </c>
      <c r="O15" s="7">
        <f t="shared" si="8"/>
        <v>4.4850000000000022E-2</v>
      </c>
      <c r="W15" s="6">
        <v>2021</v>
      </c>
      <c r="X15" s="6">
        <v>292</v>
      </c>
      <c r="Y15" s="6" t="s">
        <v>335</v>
      </c>
      <c r="Z15" s="6">
        <v>3</v>
      </c>
      <c r="AA15" s="6">
        <v>12</v>
      </c>
      <c r="AB15" s="11">
        <v>3.9000000000000021E-2</v>
      </c>
      <c r="AC15" s="181">
        <v>1.2E-2</v>
      </c>
      <c r="AD15" s="181">
        <v>0</v>
      </c>
      <c r="AE15" s="11">
        <f t="shared" si="9"/>
        <v>5.1000000000000018E-2</v>
      </c>
      <c r="AF15" s="11">
        <f t="shared" si="10"/>
        <v>76.47058823529413</v>
      </c>
      <c r="AG15" s="11">
        <f t="shared" si="13"/>
        <v>23.529411764705873</v>
      </c>
      <c r="AH15" s="11">
        <f t="shared" si="11"/>
        <v>0</v>
      </c>
    </row>
    <row r="16" spans="1:60">
      <c r="A16" s="10">
        <v>2021</v>
      </c>
      <c r="B16" s="10">
        <v>292</v>
      </c>
      <c r="C16" s="10" t="s">
        <v>336</v>
      </c>
      <c r="D16" s="10">
        <v>3</v>
      </c>
      <c r="E16" s="10">
        <v>13</v>
      </c>
      <c r="F16" s="10">
        <v>83.6</v>
      </c>
      <c r="G16" s="10">
        <f t="shared" si="2"/>
        <v>62.899999999999991</v>
      </c>
      <c r="H16" s="10">
        <v>28.9</v>
      </c>
      <c r="I16" s="10">
        <f t="shared" si="0"/>
        <v>8.1999999999999993</v>
      </c>
      <c r="J16" s="10">
        <f t="shared" si="3"/>
        <v>54.699999999999989</v>
      </c>
      <c r="K16" s="10">
        <f t="shared" si="4"/>
        <v>86.963434022257545</v>
      </c>
      <c r="L16" s="10">
        <f t="shared" si="5"/>
        <v>81.999999999999986</v>
      </c>
      <c r="M16" s="10">
        <f t="shared" si="6"/>
        <v>94.70999999999998</v>
      </c>
      <c r="N16" s="7">
        <f t="shared" si="7"/>
        <v>8.199999999999999E-2</v>
      </c>
      <c r="O16" s="7">
        <f t="shared" si="8"/>
        <v>9.4299999999999981E-2</v>
      </c>
      <c r="W16" s="6">
        <v>2021</v>
      </c>
      <c r="X16" s="6">
        <v>292</v>
      </c>
      <c r="Y16" s="6" t="s">
        <v>336</v>
      </c>
      <c r="Z16" s="6">
        <v>3</v>
      </c>
      <c r="AA16" s="6">
        <v>13</v>
      </c>
      <c r="AB16" s="11">
        <v>8.199999999999999E-2</v>
      </c>
      <c r="AC16" s="181">
        <v>6.0000000000000045E-3</v>
      </c>
      <c r="AD16" s="181">
        <v>0</v>
      </c>
      <c r="AE16" s="11">
        <f t="shared" si="9"/>
        <v>8.7999999999999995E-2</v>
      </c>
      <c r="AF16" s="11">
        <f t="shared" si="10"/>
        <v>93.181818181818173</v>
      </c>
      <c r="AG16" s="11">
        <f t="shared" si="13"/>
        <v>6.8181818181818237</v>
      </c>
      <c r="AH16" s="11">
        <f t="shared" si="11"/>
        <v>0</v>
      </c>
    </row>
    <row r="17" spans="1:34">
      <c r="A17" s="10">
        <v>2021</v>
      </c>
      <c r="B17" s="10">
        <v>292</v>
      </c>
      <c r="C17" s="10" t="s">
        <v>348</v>
      </c>
      <c r="D17" s="10">
        <v>4</v>
      </c>
      <c r="E17" s="10">
        <v>1</v>
      </c>
      <c r="F17" s="10">
        <v>97.8</v>
      </c>
      <c r="G17" s="10">
        <f t="shared" si="2"/>
        <v>77.099999999999994</v>
      </c>
      <c r="H17" s="10">
        <v>30</v>
      </c>
      <c r="I17" s="10">
        <f t="shared" si="0"/>
        <v>9.3000000000000007</v>
      </c>
      <c r="J17" s="10">
        <f t="shared" si="3"/>
        <v>67.8</v>
      </c>
      <c r="K17" s="10">
        <f t="shared" si="4"/>
        <v>87.937743190661479</v>
      </c>
      <c r="L17" s="10">
        <f t="shared" si="5"/>
        <v>93</v>
      </c>
      <c r="M17" s="10">
        <f t="shared" si="6"/>
        <v>107.41500000000001</v>
      </c>
      <c r="N17" s="7">
        <f t="shared" si="7"/>
        <v>9.2999999999999999E-2</v>
      </c>
      <c r="O17" s="7">
        <f t="shared" si="8"/>
        <v>0.10694999999999999</v>
      </c>
      <c r="W17" s="10">
        <v>2021</v>
      </c>
      <c r="X17" s="10">
        <v>292</v>
      </c>
      <c r="Y17" s="10" t="s">
        <v>348</v>
      </c>
      <c r="Z17" s="10">
        <v>4</v>
      </c>
      <c r="AA17" s="10">
        <v>1</v>
      </c>
      <c r="AB17" s="7">
        <v>9.2999999999999999E-2</v>
      </c>
      <c r="AC17" s="179">
        <v>0</v>
      </c>
      <c r="AD17" s="179">
        <v>7.0000000000000019E-3</v>
      </c>
      <c r="AE17" s="7">
        <f t="shared" si="9"/>
        <v>0.1</v>
      </c>
      <c r="AF17" s="7">
        <f t="shared" si="10"/>
        <v>93</v>
      </c>
      <c r="AG17" s="7">
        <f t="shared" si="13"/>
        <v>0</v>
      </c>
      <c r="AH17" s="7">
        <f t="shared" si="11"/>
        <v>7.0000000000000018</v>
      </c>
    </row>
    <row r="18" spans="1:34">
      <c r="A18" s="10">
        <v>2021</v>
      </c>
      <c r="B18" s="10">
        <v>292</v>
      </c>
      <c r="C18" s="10" t="s">
        <v>349</v>
      </c>
      <c r="D18" s="10">
        <v>4</v>
      </c>
      <c r="E18" s="10">
        <v>2</v>
      </c>
      <c r="F18" s="10">
        <v>95.7</v>
      </c>
      <c r="G18" s="10">
        <f t="shared" si="2"/>
        <v>75</v>
      </c>
      <c r="H18" s="10">
        <v>29.7</v>
      </c>
      <c r="I18" s="10">
        <f t="shared" si="0"/>
        <v>9</v>
      </c>
      <c r="J18" s="10">
        <f t="shared" si="3"/>
        <v>66</v>
      </c>
      <c r="K18" s="10">
        <f t="shared" si="4"/>
        <v>88</v>
      </c>
      <c r="L18" s="10">
        <f t="shared" si="5"/>
        <v>89.999999999999986</v>
      </c>
      <c r="M18" s="10">
        <f t="shared" si="6"/>
        <v>103.94999999999999</v>
      </c>
      <c r="N18" s="7">
        <f t="shared" si="7"/>
        <v>8.9999999999999983E-2</v>
      </c>
      <c r="O18" s="7">
        <f t="shared" si="8"/>
        <v>0.10349999999999997</v>
      </c>
      <c r="W18" s="10">
        <v>2021</v>
      </c>
      <c r="X18" s="10">
        <v>292</v>
      </c>
      <c r="Y18" s="10" t="s">
        <v>349</v>
      </c>
      <c r="Z18" s="10">
        <v>4</v>
      </c>
      <c r="AA18" s="10">
        <v>2</v>
      </c>
      <c r="AB18" s="7">
        <v>8.9999999999999983E-2</v>
      </c>
      <c r="AC18" s="179">
        <v>6.0000000000000045E-3</v>
      </c>
      <c r="AD18" s="179">
        <v>4.0000000000000036E-3</v>
      </c>
      <c r="AE18" s="7">
        <f t="shared" si="9"/>
        <v>9.9999999999999992E-2</v>
      </c>
      <c r="AF18" s="7">
        <f t="shared" si="10"/>
        <v>89.999999999999986</v>
      </c>
      <c r="AG18" s="7">
        <f t="shared" si="13"/>
        <v>6.0000000000000044</v>
      </c>
      <c r="AH18" s="7">
        <f t="shared" si="11"/>
        <v>4.0000000000000036</v>
      </c>
    </row>
    <row r="19" spans="1:34">
      <c r="A19" s="10">
        <v>2021</v>
      </c>
      <c r="B19" s="10">
        <v>292</v>
      </c>
      <c r="C19" s="10" t="s">
        <v>350</v>
      </c>
      <c r="D19" s="10">
        <v>4</v>
      </c>
      <c r="E19" s="10">
        <v>3</v>
      </c>
      <c r="F19" s="10">
        <v>78.900000000000006</v>
      </c>
      <c r="G19" s="10">
        <f t="shared" si="2"/>
        <v>58.2</v>
      </c>
      <c r="H19" s="10">
        <v>28.6</v>
      </c>
      <c r="I19" s="10">
        <f t="shared" si="0"/>
        <v>7.9000000000000021</v>
      </c>
      <c r="J19" s="10">
        <f t="shared" si="3"/>
        <v>50.3</v>
      </c>
      <c r="K19" s="10">
        <f t="shared" si="4"/>
        <v>86.426116838487971</v>
      </c>
      <c r="L19" s="10">
        <f t="shared" si="5"/>
        <v>79.000000000000014</v>
      </c>
      <c r="M19" s="10">
        <f t="shared" si="6"/>
        <v>91.245000000000019</v>
      </c>
      <c r="N19" s="7">
        <f t="shared" si="7"/>
        <v>7.9000000000000015E-2</v>
      </c>
      <c r="O19" s="7">
        <f t="shared" si="8"/>
        <v>9.0850000000000014E-2</v>
      </c>
      <c r="W19" s="10">
        <v>2021</v>
      </c>
      <c r="X19" s="10">
        <v>292</v>
      </c>
      <c r="Y19" s="10" t="s">
        <v>350</v>
      </c>
      <c r="Z19" s="10">
        <v>4</v>
      </c>
      <c r="AA19" s="10">
        <v>3</v>
      </c>
      <c r="AB19" s="7">
        <v>7.9000000000000015E-2</v>
      </c>
      <c r="AC19" s="179">
        <v>0</v>
      </c>
      <c r="AD19" s="179">
        <v>2.0000000000000018E-3</v>
      </c>
      <c r="AE19" s="7">
        <f t="shared" si="9"/>
        <v>8.1000000000000016E-2</v>
      </c>
      <c r="AF19" s="7">
        <f t="shared" si="10"/>
        <v>97.53086419753086</v>
      </c>
      <c r="AG19" s="7">
        <f t="shared" si="13"/>
        <v>0</v>
      </c>
      <c r="AH19" s="7">
        <f t="shared" si="11"/>
        <v>2.4691358024691374</v>
      </c>
    </row>
    <row r="20" spans="1:34">
      <c r="A20" s="10">
        <v>2021</v>
      </c>
      <c r="B20" s="10">
        <v>292</v>
      </c>
      <c r="C20" s="10" t="s">
        <v>351</v>
      </c>
      <c r="D20" s="10">
        <v>4</v>
      </c>
      <c r="E20" s="10">
        <v>4</v>
      </c>
      <c r="F20" s="10">
        <v>357.1</v>
      </c>
      <c r="G20" s="10">
        <f t="shared" si="2"/>
        <v>336.40000000000003</v>
      </c>
      <c r="H20" s="10">
        <v>93.7</v>
      </c>
      <c r="I20" s="10">
        <f t="shared" si="0"/>
        <v>73</v>
      </c>
      <c r="J20" s="10">
        <f t="shared" si="3"/>
        <v>263.40000000000003</v>
      </c>
      <c r="K20" s="10">
        <f t="shared" si="4"/>
        <v>78.299643281807377</v>
      </c>
      <c r="L20" s="10">
        <f t="shared" si="5"/>
        <v>729.99999999999989</v>
      </c>
      <c r="M20" s="10">
        <f t="shared" si="6"/>
        <v>843.14999999999986</v>
      </c>
      <c r="N20" s="7">
        <f t="shared" si="7"/>
        <v>0.72999999999999987</v>
      </c>
      <c r="O20" s="7">
        <f t="shared" si="8"/>
        <v>0.8394999999999998</v>
      </c>
      <c r="W20" s="10">
        <v>2021</v>
      </c>
      <c r="X20" s="10">
        <v>292</v>
      </c>
      <c r="Y20" s="10" t="s">
        <v>351</v>
      </c>
      <c r="Z20" s="10">
        <v>4</v>
      </c>
      <c r="AA20" s="10">
        <v>4</v>
      </c>
      <c r="AB20" s="7">
        <v>0.72999999999999987</v>
      </c>
      <c r="AC20" s="179">
        <v>0</v>
      </c>
      <c r="AD20" s="179">
        <v>0</v>
      </c>
      <c r="AE20" s="7">
        <f t="shared" si="9"/>
        <v>0.72999999999999987</v>
      </c>
      <c r="AF20" s="7">
        <f t="shared" si="10"/>
        <v>100</v>
      </c>
      <c r="AG20" s="7">
        <f t="shared" si="13"/>
        <v>0</v>
      </c>
      <c r="AH20" s="7">
        <f t="shared" si="11"/>
        <v>0</v>
      </c>
    </row>
    <row r="21" spans="1:34">
      <c r="A21" s="10">
        <v>2021</v>
      </c>
      <c r="B21" s="10">
        <v>292</v>
      </c>
      <c r="C21" s="10" t="s">
        <v>352</v>
      </c>
      <c r="D21" s="10">
        <v>4</v>
      </c>
      <c r="E21" s="10">
        <v>5</v>
      </c>
      <c r="F21" s="10">
        <v>183</v>
      </c>
      <c r="G21" s="10">
        <f t="shared" si="2"/>
        <v>162.30000000000001</v>
      </c>
      <c r="H21" s="10">
        <v>38.6</v>
      </c>
      <c r="I21" s="10">
        <f t="shared" si="0"/>
        <v>17.900000000000002</v>
      </c>
      <c r="J21" s="10">
        <f t="shared" si="3"/>
        <v>144.4</v>
      </c>
      <c r="K21" s="10">
        <f t="shared" si="4"/>
        <v>88.971041281577328</v>
      </c>
      <c r="L21" s="10">
        <f t="shared" si="5"/>
        <v>179.00000000000003</v>
      </c>
      <c r="M21" s="10">
        <f t="shared" si="6"/>
        <v>206.74500000000003</v>
      </c>
      <c r="N21" s="7">
        <f t="shared" si="7"/>
        <v>0.17900000000000002</v>
      </c>
      <c r="O21" s="7">
        <f t="shared" si="8"/>
        <v>0.20585000000000001</v>
      </c>
      <c r="W21" s="10">
        <v>2021</v>
      </c>
      <c r="X21" s="10">
        <v>292</v>
      </c>
      <c r="Y21" s="10" t="s">
        <v>352</v>
      </c>
      <c r="Z21" s="10">
        <v>4</v>
      </c>
      <c r="AA21" s="10">
        <v>5</v>
      </c>
      <c r="AB21" s="7">
        <v>0.17900000000000002</v>
      </c>
      <c r="AC21" s="179">
        <v>0.01</v>
      </c>
      <c r="AD21" s="179">
        <v>0</v>
      </c>
      <c r="AE21" s="7">
        <f t="shared" si="9"/>
        <v>0.18900000000000003</v>
      </c>
      <c r="AF21" s="7">
        <f t="shared" si="10"/>
        <v>94.708994708994709</v>
      </c>
      <c r="AG21" s="7">
        <f t="shared" si="13"/>
        <v>5.2910052910052903</v>
      </c>
      <c r="AH21" s="7">
        <f t="shared" si="11"/>
        <v>0</v>
      </c>
    </row>
    <row r="22" spans="1:34">
      <c r="A22" s="10">
        <v>2021</v>
      </c>
      <c r="B22" s="10">
        <v>292</v>
      </c>
      <c r="C22" s="10" t="s">
        <v>353</v>
      </c>
      <c r="D22" s="10">
        <v>4</v>
      </c>
      <c r="E22" s="10">
        <v>6</v>
      </c>
      <c r="F22" s="10">
        <v>397</v>
      </c>
      <c r="G22" s="10">
        <f t="shared" si="2"/>
        <v>376.3</v>
      </c>
      <c r="H22" s="10">
        <v>88.7</v>
      </c>
      <c r="I22" s="10">
        <f t="shared" si="0"/>
        <v>68</v>
      </c>
      <c r="J22" s="10">
        <f t="shared" si="3"/>
        <v>308.3</v>
      </c>
      <c r="K22" s="10">
        <f t="shared" si="4"/>
        <v>81.929311719372848</v>
      </c>
      <c r="L22" s="10">
        <f t="shared" si="5"/>
        <v>680</v>
      </c>
      <c r="M22" s="10">
        <f t="shared" si="6"/>
        <v>785.4</v>
      </c>
      <c r="N22" s="7">
        <f t="shared" si="7"/>
        <v>0.68</v>
      </c>
      <c r="O22" s="7">
        <f t="shared" si="8"/>
        <v>0.78200000000000003</v>
      </c>
      <c r="W22" s="10">
        <v>2021</v>
      </c>
      <c r="X22" s="10">
        <v>292</v>
      </c>
      <c r="Y22" s="10" t="s">
        <v>353</v>
      </c>
      <c r="Z22" s="10">
        <v>4</v>
      </c>
      <c r="AA22" s="10">
        <v>6</v>
      </c>
      <c r="AB22" s="7">
        <v>0.68</v>
      </c>
      <c r="AC22" s="179">
        <v>0</v>
      </c>
      <c r="AD22" s="179">
        <v>6.0000000000000012E-2</v>
      </c>
      <c r="AE22" s="7">
        <f t="shared" si="9"/>
        <v>0.7400000000000001</v>
      </c>
      <c r="AF22" s="7">
        <f t="shared" si="10"/>
        <v>91.891891891891888</v>
      </c>
      <c r="AG22" s="7">
        <f t="shared" si="13"/>
        <v>0</v>
      </c>
      <c r="AH22" s="7">
        <f t="shared" si="11"/>
        <v>8.1081081081081088</v>
      </c>
    </row>
    <row r="23" spans="1:34">
      <c r="A23" s="10">
        <v>2021</v>
      </c>
      <c r="B23" s="10">
        <v>292</v>
      </c>
      <c r="C23" s="10" t="s">
        <v>354</v>
      </c>
      <c r="D23" s="10">
        <v>4</v>
      </c>
      <c r="E23" s="10">
        <v>7</v>
      </c>
      <c r="F23" s="10">
        <v>228.6</v>
      </c>
      <c r="G23" s="10">
        <f t="shared" si="2"/>
        <v>207.9</v>
      </c>
      <c r="H23" s="10">
        <v>43.2</v>
      </c>
      <c r="I23" s="10">
        <f t="shared" si="0"/>
        <v>22.500000000000004</v>
      </c>
      <c r="J23" s="10">
        <f t="shared" si="3"/>
        <v>185.4</v>
      </c>
      <c r="K23" s="10">
        <f t="shared" si="4"/>
        <v>89.177489177489178</v>
      </c>
      <c r="L23" s="10">
        <f t="shared" si="5"/>
        <v>225.00000000000003</v>
      </c>
      <c r="M23" s="10">
        <f t="shared" si="6"/>
        <v>259.87500000000006</v>
      </c>
      <c r="N23" s="7">
        <f t="shared" si="7"/>
        <v>0.22500000000000003</v>
      </c>
      <c r="O23" s="7">
        <f t="shared" si="8"/>
        <v>0.25875000000000004</v>
      </c>
      <c r="W23" s="10">
        <v>2021</v>
      </c>
      <c r="X23" s="10">
        <v>292</v>
      </c>
      <c r="Y23" s="10" t="s">
        <v>354</v>
      </c>
      <c r="Z23" s="10">
        <v>4</v>
      </c>
      <c r="AA23" s="10">
        <v>7</v>
      </c>
      <c r="AB23" s="7">
        <v>0.22500000000000003</v>
      </c>
      <c r="AC23" s="179">
        <v>9.8000000000000018E-2</v>
      </c>
      <c r="AD23" s="179">
        <v>2.6000000000000009E-2</v>
      </c>
      <c r="AE23" s="7">
        <f t="shared" si="9"/>
        <v>0.34900000000000009</v>
      </c>
      <c r="AF23" s="7">
        <f t="shared" si="10"/>
        <v>64.469914040114602</v>
      </c>
      <c r="AG23" s="7">
        <f t="shared" si="13"/>
        <v>28.08022922636103</v>
      </c>
      <c r="AH23" s="7">
        <f t="shared" si="11"/>
        <v>7.4498567335243555</v>
      </c>
    </row>
    <row r="24" spans="1:34">
      <c r="A24" s="10">
        <v>2021</v>
      </c>
      <c r="B24" s="10">
        <v>292</v>
      </c>
      <c r="C24" s="10" t="s">
        <v>355</v>
      </c>
      <c r="D24" s="10">
        <v>4</v>
      </c>
      <c r="E24" s="10">
        <v>8</v>
      </c>
      <c r="F24" s="10">
        <v>109.2</v>
      </c>
      <c r="G24" s="10">
        <f t="shared" si="2"/>
        <v>88.5</v>
      </c>
      <c r="H24" s="10">
        <v>30.1</v>
      </c>
      <c r="I24" s="10">
        <f t="shared" si="0"/>
        <v>9.4000000000000021</v>
      </c>
      <c r="J24" s="10">
        <f t="shared" si="3"/>
        <v>79.099999999999994</v>
      </c>
      <c r="K24" s="10">
        <f t="shared" si="4"/>
        <v>89.378531073446325</v>
      </c>
      <c r="L24" s="10">
        <f t="shared" si="5"/>
        <v>94.000000000000014</v>
      </c>
      <c r="M24" s="10">
        <f t="shared" si="6"/>
        <v>108.57000000000002</v>
      </c>
      <c r="N24" s="7">
        <f t="shared" si="7"/>
        <v>9.4000000000000014E-2</v>
      </c>
      <c r="O24" s="7">
        <f t="shared" si="8"/>
        <v>0.1081</v>
      </c>
      <c r="W24" s="10">
        <v>2021</v>
      </c>
      <c r="X24" s="10">
        <v>292</v>
      </c>
      <c r="Y24" s="10" t="s">
        <v>355</v>
      </c>
      <c r="Z24" s="10">
        <v>4</v>
      </c>
      <c r="AA24" s="10">
        <v>8</v>
      </c>
      <c r="AB24" s="7">
        <v>9.4000000000000014E-2</v>
      </c>
      <c r="AC24" s="179">
        <v>5.3999999999999992E-2</v>
      </c>
      <c r="AD24" s="179">
        <v>0</v>
      </c>
      <c r="AE24" s="7">
        <f t="shared" si="9"/>
        <v>0.14800000000000002</v>
      </c>
      <c r="AF24" s="7">
        <f t="shared" si="10"/>
        <v>63.513513513513523</v>
      </c>
      <c r="AG24" s="7">
        <f t="shared" si="13"/>
        <v>36.486486486486477</v>
      </c>
      <c r="AH24" s="7">
        <f t="shared" si="11"/>
        <v>0</v>
      </c>
    </row>
    <row r="25" spans="1:34">
      <c r="A25" s="10">
        <v>2021</v>
      </c>
      <c r="B25" s="10">
        <v>292</v>
      </c>
      <c r="C25" s="10" t="s">
        <v>356</v>
      </c>
      <c r="D25" s="10">
        <v>4</v>
      </c>
      <c r="E25" s="10">
        <v>9</v>
      </c>
      <c r="F25" s="10">
        <v>204.2</v>
      </c>
      <c r="G25" s="10">
        <f t="shared" si="2"/>
        <v>183.5</v>
      </c>
      <c r="H25" s="10">
        <v>41.2</v>
      </c>
      <c r="I25" s="10">
        <f t="shared" si="0"/>
        <v>20.500000000000004</v>
      </c>
      <c r="J25" s="10">
        <f t="shared" si="3"/>
        <v>163</v>
      </c>
      <c r="K25" s="10">
        <f t="shared" si="4"/>
        <v>88.828337874659397</v>
      </c>
      <c r="L25" s="10">
        <f t="shared" si="5"/>
        <v>205.00000000000003</v>
      </c>
      <c r="M25" s="10">
        <f t="shared" si="6"/>
        <v>236.77500000000003</v>
      </c>
      <c r="N25" s="7">
        <f t="shared" si="7"/>
        <v>0.20500000000000004</v>
      </c>
      <c r="O25" s="7">
        <f t="shared" si="8"/>
        <v>0.23575000000000004</v>
      </c>
      <c r="W25" s="10">
        <v>2021</v>
      </c>
      <c r="X25" s="10">
        <v>292</v>
      </c>
      <c r="Y25" s="10" t="s">
        <v>356</v>
      </c>
      <c r="Z25" s="10">
        <v>4</v>
      </c>
      <c r="AA25" s="10">
        <v>9</v>
      </c>
      <c r="AB25" s="7">
        <v>0.20500000000000004</v>
      </c>
      <c r="AC25" s="179">
        <v>9.3999999999999986E-2</v>
      </c>
      <c r="AD25" s="179">
        <v>0</v>
      </c>
      <c r="AE25" s="7">
        <f t="shared" si="9"/>
        <v>0.29900000000000004</v>
      </c>
      <c r="AF25" s="7">
        <f t="shared" si="10"/>
        <v>68.561872909699005</v>
      </c>
      <c r="AG25" s="7">
        <f t="shared" si="13"/>
        <v>31.438127090300995</v>
      </c>
      <c r="AH25" s="7">
        <f t="shared" si="11"/>
        <v>0</v>
      </c>
    </row>
    <row r="26" spans="1:34">
      <c r="A26" s="10">
        <v>2021</v>
      </c>
      <c r="B26" s="10">
        <v>292</v>
      </c>
      <c r="C26" s="10" t="s">
        <v>357</v>
      </c>
      <c r="D26" s="10">
        <v>4</v>
      </c>
      <c r="E26" s="10">
        <v>11</v>
      </c>
      <c r="F26" s="10">
        <v>148.1</v>
      </c>
      <c r="G26" s="10">
        <f t="shared" si="2"/>
        <v>127.39999999999999</v>
      </c>
      <c r="H26" s="10">
        <v>34.200000000000003</v>
      </c>
      <c r="I26" s="10">
        <f t="shared" si="0"/>
        <v>13.500000000000004</v>
      </c>
      <c r="J26" s="10">
        <f t="shared" si="3"/>
        <v>113.89999999999999</v>
      </c>
      <c r="K26" s="10">
        <f t="shared" si="4"/>
        <v>89.403453689167975</v>
      </c>
      <c r="L26" s="10">
        <f t="shared" si="5"/>
        <v>135.00000000000003</v>
      </c>
      <c r="M26" s="10">
        <f t="shared" si="6"/>
        <v>155.92500000000004</v>
      </c>
      <c r="N26" s="7">
        <f t="shared" si="7"/>
        <v>0.13500000000000004</v>
      </c>
      <c r="O26" s="7">
        <f t="shared" si="8"/>
        <v>0.15525000000000003</v>
      </c>
      <c r="W26" s="6">
        <v>2021</v>
      </c>
      <c r="X26" s="6">
        <v>292</v>
      </c>
      <c r="Y26" s="6" t="s">
        <v>357</v>
      </c>
      <c r="Z26" s="6">
        <v>4</v>
      </c>
      <c r="AA26" s="6">
        <v>11</v>
      </c>
      <c r="AB26" s="11">
        <v>0.13500000000000004</v>
      </c>
      <c r="AC26" s="181">
        <v>0</v>
      </c>
      <c r="AD26" s="181">
        <v>0</v>
      </c>
      <c r="AE26" s="11">
        <f t="shared" si="9"/>
        <v>0.13500000000000004</v>
      </c>
      <c r="AF26" s="11">
        <f t="shared" si="10"/>
        <v>100</v>
      </c>
      <c r="AG26" s="11">
        <f t="shared" si="13"/>
        <v>0</v>
      </c>
      <c r="AH26" s="11">
        <f t="shared" si="11"/>
        <v>0</v>
      </c>
    </row>
    <row r="27" spans="1:34">
      <c r="A27" s="10">
        <v>2021</v>
      </c>
      <c r="B27" s="10">
        <v>292</v>
      </c>
      <c r="C27" s="10" t="s">
        <v>358</v>
      </c>
      <c r="D27" s="10">
        <v>4</v>
      </c>
      <c r="E27" s="10">
        <v>12</v>
      </c>
      <c r="F27" s="10">
        <v>233</v>
      </c>
      <c r="G27" s="10">
        <f t="shared" si="2"/>
        <v>212.3</v>
      </c>
      <c r="H27" s="10">
        <v>45.1</v>
      </c>
      <c r="I27" s="10">
        <f t="shared" si="0"/>
        <v>24.400000000000002</v>
      </c>
      <c r="J27" s="10">
        <f t="shared" si="3"/>
        <v>187.9</v>
      </c>
      <c r="K27" s="10">
        <f t="shared" si="4"/>
        <v>88.506829957607152</v>
      </c>
      <c r="L27" s="10">
        <f t="shared" si="5"/>
        <v>244</v>
      </c>
      <c r="M27" s="10">
        <f t="shared" si="6"/>
        <v>281.82</v>
      </c>
      <c r="N27" s="7">
        <f t="shared" si="7"/>
        <v>0.24399999999999999</v>
      </c>
      <c r="O27" s="7">
        <f t="shared" si="8"/>
        <v>0.28059999999999996</v>
      </c>
      <c r="W27" s="6">
        <v>2021</v>
      </c>
      <c r="X27" s="6">
        <v>292</v>
      </c>
      <c r="Y27" s="6" t="s">
        <v>358</v>
      </c>
      <c r="Z27" s="6">
        <v>4</v>
      </c>
      <c r="AA27" s="6">
        <v>12</v>
      </c>
      <c r="AB27" s="11">
        <v>0.24399999999999999</v>
      </c>
      <c r="AC27" s="181">
        <v>4.0000000000000036E-3</v>
      </c>
      <c r="AD27" s="181">
        <v>0.01</v>
      </c>
      <c r="AE27" s="11">
        <f t="shared" si="9"/>
        <v>0.25800000000000001</v>
      </c>
      <c r="AF27" s="11">
        <f t="shared" si="10"/>
        <v>94.573643410852696</v>
      </c>
      <c r="AG27" s="11">
        <f t="shared" si="13"/>
        <v>1.5503875968992262</v>
      </c>
      <c r="AH27" s="11">
        <f t="shared" si="11"/>
        <v>3.8759689922480618</v>
      </c>
    </row>
    <row r="28" spans="1:34">
      <c r="A28" s="10">
        <v>2021</v>
      </c>
      <c r="B28" s="10">
        <v>292</v>
      </c>
      <c r="C28" s="10" t="s">
        <v>359</v>
      </c>
      <c r="D28" s="10">
        <v>4</v>
      </c>
      <c r="E28" s="10">
        <v>13</v>
      </c>
      <c r="F28" s="10">
        <v>197.9</v>
      </c>
      <c r="G28" s="10">
        <f t="shared" si="2"/>
        <v>177.20000000000002</v>
      </c>
      <c r="H28" s="10">
        <v>39.5</v>
      </c>
      <c r="I28" s="10">
        <f t="shared" si="0"/>
        <v>18.8</v>
      </c>
      <c r="J28" s="10">
        <f t="shared" si="3"/>
        <v>158.4</v>
      </c>
      <c r="K28" s="10">
        <f t="shared" si="4"/>
        <v>89.390519187358905</v>
      </c>
      <c r="L28" s="10">
        <f t="shared" si="5"/>
        <v>188</v>
      </c>
      <c r="M28" s="10">
        <f t="shared" si="6"/>
        <v>217.14000000000001</v>
      </c>
      <c r="N28" s="7">
        <f t="shared" si="7"/>
        <v>0.188</v>
      </c>
      <c r="O28" s="7">
        <f t="shared" si="8"/>
        <v>0.21619999999999998</v>
      </c>
      <c r="W28" s="6">
        <v>2021</v>
      </c>
      <c r="X28" s="6">
        <v>292</v>
      </c>
      <c r="Y28" s="6" t="s">
        <v>359</v>
      </c>
      <c r="Z28" s="6">
        <v>4</v>
      </c>
      <c r="AA28" s="6">
        <v>13</v>
      </c>
      <c r="AB28" s="11">
        <v>0.188</v>
      </c>
      <c r="AC28" s="181">
        <v>4.4999999999999998E-2</v>
      </c>
      <c r="AD28" s="181">
        <v>3.7999999999999999E-2</v>
      </c>
      <c r="AE28" s="11">
        <f t="shared" si="9"/>
        <v>0.27099999999999996</v>
      </c>
      <c r="AF28" s="11">
        <f t="shared" si="10"/>
        <v>69.372693726937271</v>
      </c>
      <c r="AG28" s="11">
        <f t="shared" si="13"/>
        <v>16.605166051660518</v>
      </c>
      <c r="AH28" s="11">
        <f t="shared" si="11"/>
        <v>14.022140221402216</v>
      </c>
    </row>
    <row r="29" spans="1:34">
      <c r="A29" s="15"/>
      <c r="B29" s="15"/>
      <c r="C29" s="15"/>
      <c r="D29" s="15"/>
      <c r="E29" s="15"/>
      <c r="F29" s="15"/>
      <c r="G29" s="15"/>
      <c r="H29" s="15"/>
      <c r="I29" s="15"/>
      <c r="J29" s="15"/>
      <c r="K29" s="15"/>
      <c r="L29" s="15"/>
      <c r="M29" s="15"/>
    </row>
    <row r="30" spans="1:34" ht="23.25">
      <c r="A30" s="109" t="s">
        <v>635</v>
      </c>
      <c r="B30" s="15"/>
      <c r="C30" s="15"/>
      <c r="D30" s="15"/>
      <c r="E30" s="15" t="s">
        <v>510</v>
      </c>
      <c r="F30" s="15"/>
      <c r="G30" s="15">
        <v>5.3</v>
      </c>
      <c r="H30" s="15"/>
      <c r="I30" s="15"/>
      <c r="J30" s="15"/>
      <c r="K30" s="15"/>
      <c r="L30" s="15"/>
      <c r="M30" s="15"/>
    </row>
    <row r="31" spans="1:34">
      <c r="A31" s="86" t="s">
        <v>64</v>
      </c>
      <c r="B31" s="86" t="s">
        <v>632</v>
      </c>
      <c r="C31" s="86" t="s">
        <v>505</v>
      </c>
      <c r="D31" s="86" t="s">
        <v>66</v>
      </c>
      <c r="E31" s="86" t="s">
        <v>47</v>
      </c>
      <c r="F31" s="86" t="s">
        <v>477</v>
      </c>
      <c r="G31" s="86" t="s">
        <v>656</v>
      </c>
      <c r="H31" s="86" t="s">
        <v>480</v>
      </c>
      <c r="I31" s="86" t="s">
        <v>658</v>
      </c>
      <c r="J31" s="86" t="s">
        <v>640</v>
      </c>
      <c r="K31" s="86" t="s">
        <v>494</v>
      </c>
      <c r="L31" s="86" t="s">
        <v>469</v>
      </c>
      <c r="M31" s="86" t="s">
        <v>665</v>
      </c>
      <c r="N31" s="86" t="s">
        <v>681</v>
      </c>
      <c r="O31" s="86" t="s">
        <v>680</v>
      </c>
      <c r="Q31" s="86" t="s">
        <v>66</v>
      </c>
      <c r="R31" s="86" t="s">
        <v>699</v>
      </c>
      <c r="S31" s="86" t="s">
        <v>708</v>
      </c>
      <c r="T31" s="86" t="s">
        <v>679</v>
      </c>
    </row>
    <row r="32" spans="1:34">
      <c r="A32" s="10">
        <v>2021</v>
      </c>
      <c r="B32" s="10">
        <v>292</v>
      </c>
      <c r="C32" s="173"/>
      <c r="D32" s="173">
        <v>3</v>
      </c>
      <c r="E32" s="173">
        <v>1</v>
      </c>
      <c r="F32" s="173"/>
      <c r="G32" s="173"/>
      <c r="H32" s="173"/>
      <c r="I32" s="173"/>
      <c r="J32" s="173"/>
      <c r="K32" s="173"/>
      <c r="L32" s="173"/>
      <c r="M32" s="173"/>
      <c r="N32" s="4" t="s">
        <v>707</v>
      </c>
      <c r="O32" s="4" t="s">
        <v>707</v>
      </c>
      <c r="Q32" s="179">
        <v>3</v>
      </c>
      <c r="R32" s="7">
        <f>AVERAGE(N32:N40)</f>
        <v>2.0999999999999998E-2</v>
      </c>
      <c r="S32" s="7">
        <f>AVERAGE(O32:O40)</f>
        <v>2.4149999999999998E-2</v>
      </c>
      <c r="T32" s="7">
        <f>STDEV(O32:O40)</f>
        <v>3.0757573593073507E-2</v>
      </c>
    </row>
    <row r="33" spans="1:20">
      <c r="A33" s="10">
        <v>2021</v>
      </c>
      <c r="B33" s="10">
        <v>292</v>
      </c>
      <c r="C33" s="10" t="s">
        <v>338</v>
      </c>
      <c r="D33" s="10">
        <v>3</v>
      </c>
      <c r="E33" s="10">
        <v>2</v>
      </c>
      <c r="F33" s="10">
        <v>33.6</v>
      </c>
      <c r="G33" s="10">
        <f>F33-5.3</f>
        <v>28.3</v>
      </c>
      <c r="H33" s="10">
        <v>11.4</v>
      </c>
      <c r="I33" s="10">
        <f>H33-5.3</f>
        <v>6.1000000000000005</v>
      </c>
      <c r="J33" s="10">
        <f>G33-I33</f>
        <v>22.2</v>
      </c>
      <c r="K33" s="10">
        <f>(J33/G33)*100</f>
        <v>78.445229681978788</v>
      </c>
      <c r="L33" s="10">
        <f>(I33/1000)/0.0001</f>
        <v>61</v>
      </c>
      <c r="M33" s="10">
        <f>L33*1.155</f>
        <v>70.454999999999998</v>
      </c>
      <c r="N33" s="7">
        <f t="shared" ref="N33:N55" si="16">L33*(1/1000)</f>
        <v>6.0999999999999999E-2</v>
      </c>
      <c r="O33" s="7">
        <f t="shared" ref="O33:O55" si="17">N33*1.15</f>
        <v>7.014999999999999E-2</v>
      </c>
      <c r="Q33" s="179" t="s">
        <v>672</v>
      </c>
      <c r="R33" s="7">
        <f>AVERAGE(N41:N43)</f>
        <v>7.0000000000000001E-3</v>
      </c>
      <c r="S33" s="7">
        <f>AVERAGE(O41:O43)</f>
        <v>8.0499999999999999E-3</v>
      </c>
      <c r="T33" s="7">
        <f>STDEV(O41:O43)</f>
        <v>5.2699620491992163E-3</v>
      </c>
    </row>
    <row r="34" spans="1:20">
      <c r="A34" s="10">
        <v>2021</v>
      </c>
      <c r="B34" s="10">
        <v>292</v>
      </c>
      <c r="C34" s="10" t="s">
        <v>340</v>
      </c>
      <c r="D34" s="10">
        <v>3</v>
      </c>
      <c r="E34" s="10">
        <v>3</v>
      </c>
      <c r="F34" s="10">
        <v>7.3</v>
      </c>
      <c r="G34" s="10">
        <f t="shared" ref="G34:G55" si="18">F34-5.3</f>
        <v>2</v>
      </c>
      <c r="H34" s="10">
        <v>6.1</v>
      </c>
      <c r="I34" s="10">
        <f t="shared" ref="I34:I55" si="19">H34-5.3</f>
        <v>0.79999999999999982</v>
      </c>
      <c r="J34" s="10">
        <f t="shared" ref="J34:J55" si="20">G34-I34</f>
        <v>1.2000000000000002</v>
      </c>
      <c r="K34" s="10">
        <f t="shared" ref="K34:K55" si="21">(J34/G34)*100</f>
        <v>60.000000000000007</v>
      </c>
      <c r="L34" s="10">
        <f t="shared" ref="L34:L55" si="22">(I34/1000)/0.0001</f>
        <v>7.9999999999999982</v>
      </c>
      <c r="M34" s="10">
        <f t="shared" ref="M34:M55" si="23">L34*1.155</f>
        <v>9.2399999999999984</v>
      </c>
      <c r="N34" s="7">
        <f t="shared" si="16"/>
        <v>7.9999999999999984E-3</v>
      </c>
      <c r="O34" s="7">
        <f t="shared" si="17"/>
        <v>9.1999999999999981E-3</v>
      </c>
      <c r="Q34" s="179">
        <v>4</v>
      </c>
      <c r="R34" s="7">
        <f>AVERAGE(N44:N52)</f>
        <v>5.2400000000000002E-2</v>
      </c>
      <c r="S34" s="7">
        <f>AVERAGE(O44:O52)</f>
        <v>6.0260000000000001E-2</v>
      </c>
      <c r="T34" s="7">
        <f>STDEV(O44:O52)</f>
        <v>5.0662688440310778E-2</v>
      </c>
    </row>
    <row r="35" spans="1:20">
      <c r="A35" s="10">
        <v>2021</v>
      </c>
      <c r="B35" s="10">
        <v>292</v>
      </c>
      <c r="C35" s="173"/>
      <c r="D35" s="173">
        <v>3</v>
      </c>
      <c r="E35" s="173">
        <v>4</v>
      </c>
      <c r="F35" s="173"/>
      <c r="G35" s="173"/>
      <c r="H35" s="173"/>
      <c r="I35" s="173"/>
      <c r="J35" s="173"/>
      <c r="K35" s="173"/>
      <c r="L35" s="173"/>
      <c r="M35" s="173"/>
      <c r="N35" s="4" t="s">
        <v>707</v>
      </c>
      <c r="O35" s="4" t="s">
        <v>707</v>
      </c>
      <c r="Q35" s="179" t="s">
        <v>673</v>
      </c>
      <c r="R35" s="7">
        <f>AVERAGE(N53:N55)</f>
        <v>2.4500000000000001E-2</v>
      </c>
      <c r="S35" s="7">
        <f>AVERAGE(O53:O55)</f>
        <v>2.8174999999999999E-2</v>
      </c>
      <c r="T35" s="7">
        <f>STDEV(O53:O55)</f>
        <v>3.3340084732945717E-2</v>
      </c>
    </row>
    <row r="36" spans="1:20">
      <c r="A36" s="10">
        <v>2021</v>
      </c>
      <c r="B36" s="10">
        <v>292</v>
      </c>
      <c r="C36" s="173"/>
      <c r="D36" s="173">
        <v>3</v>
      </c>
      <c r="E36" s="173">
        <v>5</v>
      </c>
      <c r="F36" s="173"/>
      <c r="G36" s="173"/>
      <c r="H36" s="173"/>
      <c r="I36" s="173"/>
      <c r="J36" s="173"/>
      <c r="K36" s="173"/>
      <c r="L36" s="173"/>
      <c r="M36" s="173"/>
      <c r="N36" s="4" t="s">
        <v>707</v>
      </c>
      <c r="O36" s="4" t="s">
        <v>707</v>
      </c>
    </row>
    <row r="37" spans="1:20">
      <c r="A37" s="10">
        <v>2021</v>
      </c>
      <c r="B37" s="10">
        <v>292</v>
      </c>
      <c r="C37" s="10" t="s">
        <v>342</v>
      </c>
      <c r="D37" s="10">
        <v>3</v>
      </c>
      <c r="E37" s="10">
        <v>6</v>
      </c>
      <c r="F37" s="10">
        <v>7.5</v>
      </c>
      <c r="G37" s="10">
        <f t="shared" si="18"/>
        <v>2.2000000000000002</v>
      </c>
      <c r="H37" s="10">
        <v>6.3</v>
      </c>
      <c r="I37" s="10">
        <f t="shared" si="19"/>
        <v>1</v>
      </c>
      <c r="J37" s="10">
        <f t="shared" si="20"/>
        <v>1.2000000000000002</v>
      </c>
      <c r="K37" s="10">
        <f t="shared" si="21"/>
        <v>54.545454545454554</v>
      </c>
      <c r="L37" s="10">
        <f t="shared" si="22"/>
        <v>10</v>
      </c>
      <c r="M37" s="10">
        <f t="shared" si="23"/>
        <v>11.55</v>
      </c>
      <c r="N37" s="7">
        <f t="shared" si="16"/>
        <v>0.01</v>
      </c>
      <c r="O37" s="7">
        <f t="shared" si="17"/>
        <v>1.15E-2</v>
      </c>
    </row>
    <row r="38" spans="1:20">
      <c r="A38" s="10">
        <v>2021</v>
      </c>
      <c r="B38" s="10">
        <v>292</v>
      </c>
      <c r="C38" s="173"/>
      <c r="D38" s="173">
        <v>3</v>
      </c>
      <c r="E38" s="173">
        <v>7</v>
      </c>
      <c r="F38" s="173"/>
      <c r="G38" s="173"/>
      <c r="H38" s="173"/>
      <c r="I38" s="173"/>
      <c r="J38" s="173"/>
      <c r="K38" s="173"/>
      <c r="L38" s="173"/>
      <c r="M38" s="173"/>
      <c r="N38" s="4" t="s">
        <v>707</v>
      </c>
      <c r="O38" s="4" t="s">
        <v>707</v>
      </c>
    </row>
    <row r="39" spans="1:20">
      <c r="A39" s="10">
        <v>2021</v>
      </c>
      <c r="B39" s="10">
        <v>292</v>
      </c>
      <c r="C39" s="173"/>
      <c r="D39" s="173">
        <v>3</v>
      </c>
      <c r="E39" s="173">
        <v>8</v>
      </c>
      <c r="F39" s="173"/>
      <c r="G39" s="173"/>
      <c r="H39" s="173"/>
      <c r="I39" s="173"/>
      <c r="J39" s="173"/>
      <c r="K39" s="173"/>
      <c r="L39" s="173"/>
      <c r="M39" s="173"/>
      <c r="N39" s="4" t="s">
        <v>707</v>
      </c>
      <c r="O39" s="4" t="s">
        <v>707</v>
      </c>
    </row>
    <row r="40" spans="1:20">
      <c r="A40" s="10">
        <v>2021</v>
      </c>
      <c r="B40" s="10">
        <v>292</v>
      </c>
      <c r="C40" s="10" t="s">
        <v>343</v>
      </c>
      <c r="D40" s="10">
        <v>3</v>
      </c>
      <c r="E40" s="10">
        <v>9</v>
      </c>
      <c r="F40" s="10">
        <v>7</v>
      </c>
      <c r="G40" s="10">
        <f t="shared" si="18"/>
        <v>1.7000000000000002</v>
      </c>
      <c r="H40" s="10">
        <v>5.8</v>
      </c>
      <c r="I40" s="10">
        <f t="shared" si="19"/>
        <v>0.5</v>
      </c>
      <c r="J40" s="10">
        <f t="shared" si="20"/>
        <v>1.2000000000000002</v>
      </c>
      <c r="K40" s="10">
        <f t="shared" si="21"/>
        <v>70.588235294117652</v>
      </c>
      <c r="L40" s="10">
        <f t="shared" si="22"/>
        <v>5</v>
      </c>
      <c r="M40" s="10">
        <f t="shared" si="23"/>
        <v>5.7750000000000004</v>
      </c>
      <c r="N40" s="7">
        <f t="shared" si="16"/>
        <v>5.0000000000000001E-3</v>
      </c>
      <c r="O40" s="7">
        <f t="shared" si="17"/>
        <v>5.7499999999999999E-3</v>
      </c>
    </row>
    <row r="41" spans="1:20">
      <c r="A41" s="10">
        <v>2021</v>
      </c>
      <c r="B41" s="10">
        <v>292</v>
      </c>
      <c r="C41" s="10" t="s">
        <v>345</v>
      </c>
      <c r="D41" s="10">
        <v>3</v>
      </c>
      <c r="E41" s="10">
        <v>11</v>
      </c>
      <c r="F41" s="10">
        <v>6.4</v>
      </c>
      <c r="G41" s="10">
        <f t="shared" si="18"/>
        <v>1.1000000000000005</v>
      </c>
      <c r="H41" s="10">
        <v>5.6</v>
      </c>
      <c r="I41" s="10">
        <f t="shared" si="19"/>
        <v>0.29999999999999982</v>
      </c>
      <c r="J41" s="10">
        <f t="shared" si="20"/>
        <v>0.80000000000000071</v>
      </c>
      <c r="K41" s="10">
        <f t="shared" si="21"/>
        <v>72.727272727272748</v>
      </c>
      <c r="L41" s="10">
        <f t="shared" si="22"/>
        <v>2.9999999999999978</v>
      </c>
      <c r="M41" s="10">
        <f t="shared" si="23"/>
        <v>3.4649999999999976</v>
      </c>
      <c r="N41" s="7">
        <f t="shared" si="16"/>
        <v>2.9999999999999979E-3</v>
      </c>
      <c r="O41" s="7">
        <f t="shared" si="17"/>
        <v>3.4499999999999973E-3</v>
      </c>
    </row>
    <row r="42" spans="1:20">
      <c r="A42" s="10">
        <v>2021</v>
      </c>
      <c r="B42" s="10">
        <v>292</v>
      </c>
      <c r="C42" s="10" t="s">
        <v>346</v>
      </c>
      <c r="D42" s="10">
        <v>3</v>
      </c>
      <c r="E42" s="10">
        <v>12</v>
      </c>
      <c r="F42" s="10">
        <v>10.5</v>
      </c>
      <c r="G42" s="10">
        <f t="shared" si="18"/>
        <v>5.2</v>
      </c>
      <c r="H42" s="10">
        <v>6.5</v>
      </c>
      <c r="I42" s="10">
        <f t="shared" si="19"/>
        <v>1.2000000000000002</v>
      </c>
      <c r="J42" s="10">
        <f t="shared" si="20"/>
        <v>4</v>
      </c>
      <c r="K42" s="10">
        <f t="shared" si="21"/>
        <v>76.92307692307692</v>
      </c>
      <c r="L42" s="10">
        <f t="shared" si="22"/>
        <v>12</v>
      </c>
      <c r="M42" s="10">
        <f t="shared" si="23"/>
        <v>13.86</v>
      </c>
      <c r="N42" s="7">
        <f t="shared" si="16"/>
        <v>1.2E-2</v>
      </c>
      <c r="O42" s="7">
        <f t="shared" si="17"/>
        <v>1.38E-2</v>
      </c>
    </row>
    <row r="43" spans="1:20">
      <c r="A43" s="10">
        <v>2021</v>
      </c>
      <c r="B43" s="10">
        <v>292</v>
      </c>
      <c r="C43" s="10" t="s">
        <v>347</v>
      </c>
      <c r="D43" s="10">
        <v>3</v>
      </c>
      <c r="E43" s="10">
        <v>13</v>
      </c>
      <c r="F43" s="10">
        <v>8.1999999999999993</v>
      </c>
      <c r="G43" s="10">
        <f t="shared" si="18"/>
        <v>2.8999999999999995</v>
      </c>
      <c r="H43" s="10">
        <v>5.9</v>
      </c>
      <c r="I43" s="10">
        <f t="shared" si="19"/>
        <v>0.60000000000000053</v>
      </c>
      <c r="J43" s="10">
        <f t="shared" si="20"/>
        <v>2.2999999999999989</v>
      </c>
      <c r="K43" s="10">
        <f t="shared" si="21"/>
        <v>79.310344827586192</v>
      </c>
      <c r="L43" s="10">
        <f t="shared" si="22"/>
        <v>6.0000000000000044</v>
      </c>
      <c r="M43" s="10">
        <f t="shared" si="23"/>
        <v>6.930000000000005</v>
      </c>
      <c r="N43" s="7">
        <f t="shared" si="16"/>
        <v>6.0000000000000045E-3</v>
      </c>
      <c r="O43" s="7">
        <f t="shared" si="17"/>
        <v>6.9000000000000042E-3</v>
      </c>
    </row>
    <row r="44" spans="1:20">
      <c r="A44" s="10">
        <v>2021</v>
      </c>
      <c r="B44" s="10">
        <v>292</v>
      </c>
      <c r="C44" s="173"/>
      <c r="D44" s="173">
        <v>4</v>
      </c>
      <c r="E44" s="173">
        <v>1</v>
      </c>
      <c r="F44" s="173"/>
      <c r="G44" s="173"/>
      <c r="H44" s="173"/>
      <c r="I44" s="173"/>
      <c r="J44" s="173"/>
      <c r="K44" s="173"/>
      <c r="L44" s="173"/>
      <c r="M44" s="173"/>
      <c r="N44" s="4" t="s">
        <v>707</v>
      </c>
      <c r="O44" s="4" t="s">
        <v>707</v>
      </c>
    </row>
    <row r="45" spans="1:20">
      <c r="A45" s="10">
        <v>2021</v>
      </c>
      <c r="B45" s="10">
        <v>292</v>
      </c>
      <c r="C45" s="10" t="s">
        <v>361</v>
      </c>
      <c r="D45" s="10">
        <v>4</v>
      </c>
      <c r="E45" s="10">
        <v>2</v>
      </c>
      <c r="F45" s="10">
        <v>6.8</v>
      </c>
      <c r="G45" s="10">
        <f t="shared" si="18"/>
        <v>1.5</v>
      </c>
      <c r="H45" s="10">
        <v>5.9</v>
      </c>
      <c r="I45" s="10">
        <f t="shared" si="19"/>
        <v>0.60000000000000053</v>
      </c>
      <c r="J45" s="10">
        <f t="shared" si="20"/>
        <v>0.89999999999999947</v>
      </c>
      <c r="K45" s="10">
        <f t="shared" si="21"/>
        <v>59.999999999999964</v>
      </c>
      <c r="L45" s="10">
        <f t="shared" si="22"/>
        <v>6.0000000000000044</v>
      </c>
      <c r="M45" s="10">
        <f t="shared" si="23"/>
        <v>6.930000000000005</v>
      </c>
      <c r="N45" s="7">
        <f t="shared" si="16"/>
        <v>6.0000000000000045E-3</v>
      </c>
      <c r="O45" s="7">
        <f t="shared" si="17"/>
        <v>6.9000000000000042E-3</v>
      </c>
    </row>
    <row r="46" spans="1:20">
      <c r="A46" s="10">
        <v>2021</v>
      </c>
      <c r="B46" s="10">
        <v>292</v>
      </c>
      <c r="C46" s="173"/>
      <c r="D46" s="173">
        <v>4</v>
      </c>
      <c r="E46" s="173">
        <v>3</v>
      </c>
      <c r="F46" s="173"/>
      <c r="G46" s="173"/>
      <c r="H46" s="173"/>
      <c r="I46" s="173"/>
      <c r="J46" s="173"/>
      <c r="K46" s="173"/>
      <c r="L46" s="173"/>
      <c r="M46" s="173"/>
      <c r="N46" s="4" t="s">
        <v>707</v>
      </c>
      <c r="O46" s="4" t="s">
        <v>707</v>
      </c>
    </row>
    <row r="47" spans="1:20">
      <c r="A47" s="10">
        <v>2021</v>
      </c>
      <c r="B47" s="10">
        <v>292</v>
      </c>
      <c r="C47" s="173"/>
      <c r="D47" s="173">
        <v>4</v>
      </c>
      <c r="E47" s="173">
        <v>4</v>
      </c>
      <c r="F47" s="173"/>
      <c r="G47" s="173"/>
      <c r="H47" s="173"/>
      <c r="I47" s="173"/>
      <c r="J47" s="173"/>
      <c r="K47" s="173"/>
      <c r="L47" s="173"/>
      <c r="M47" s="173"/>
      <c r="N47" s="4" t="s">
        <v>707</v>
      </c>
      <c r="O47" s="4" t="s">
        <v>707</v>
      </c>
    </row>
    <row r="48" spans="1:20">
      <c r="A48" s="10">
        <v>2021</v>
      </c>
      <c r="B48" s="10">
        <v>292</v>
      </c>
      <c r="C48" s="10" t="s">
        <v>364</v>
      </c>
      <c r="D48" s="10">
        <v>4</v>
      </c>
      <c r="E48" s="10">
        <v>5</v>
      </c>
      <c r="F48" s="10">
        <v>9.3000000000000007</v>
      </c>
      <c r="G48" s="10">
        <f t="shared" si="18"/>
        <v>4.0000000000000009</v>
      </c>
      <c r="H48" s="10">
        <v>6.3</v>
      </c>
      <c r="I48" s="10">
        <f t="shared" si="19"/>
        <v>1</v>
      </c>
      <c r="J48" s="10">
        <f t="shared" si="20"/>
        <v>3.0000000000000009</v>
      </c>
      <c r="K48" s="10">
        <f t="shared" si="21"/>
        <v>75</v>
      </c>
      <c r="L48" s="10">
        <f t="shared" si="22"/>
        <v>10</v>
      </c>
      <c r="M48" s="10">
        <f t="shared" si="23"/>
        <v>11.55</v>
      </c>
      <c r="N48" s="7">
        <f t="shared" si="16"/>
        <v>0.01</v>
      </c>
      <c r="O48" s="7">
        <f t="shared" si="17"/>
        <v>1.15E-2</v>
      </c>
    </row>
    <row r="49" spans="1:20">
      <c r="A49" s="10">
        <v>2021</v>
      </c>
      <c r="B49" s="10">
        <v>292</v>
      </c>
      <c r="C49" s="173"/>
      <c r="D49" s="173">
        <v>4</v>
      </c>
      <c r="E49" s="173">
        <v>6</v>
      </c>
      <c r="F49" s="173"/>
      <c r="G49" s="173"/>
      <c r="H49" s="173"/>
      <c r="I49" s="173"/>
      <c r="J49" s="173"/>
      <c r="K49" s="173"/>
      <c r="L49" s="173"/>
      <c r="M49" s="173"/>
      <c r="N49" s="4" t="s">
        <v>707</v>
      </c>
      <c r="O49" s="4" t="s">
        <v>707</v>
      </c>
    </row>
    <row r="50" spans="1:20">
      <c r="A50" s="10">
        <v>2021</v>
      </c>
      <c r="B50" s="10">
        <v>292</v>
      </c>
      <c r="C50" s="10" t="s">
        <v>366</v>
      </c>
      <c r="D50" s="10">
        <v>4</v>
      </c>
      <c r="E50" s="10">
        <v>7</v>
      </c>
      <c r="F50" s="10">
        <v>45</v>
      </c>
      <c r="G50" s="10">
        <f t="shared" si="18"/>
        <v>39.700000000000003</v>
      </c>
      <c r="H50" s="10">
        <v>15.1</v>
      </c>
      <c r="I50" s="10">
        <f t="shared" si="19"/>
        <v>9.8000000000000007</v>
      </c>
      <c r="J50" s="10">
        <f t="shared" si="20"/>
        <v>29.900000000000002</v>
      </c>
      <c r="K50" s="10">
        <f t="shared" si="21"/>
        <v>75.314861460957189</v>
      </c>
      <c r="L50" s="10">
        <f t="shared" si="22"/>
        <v>98.000000000000014</v>
      </c>
      <c r="M50" s="10">
        <f t="shared" si="23"/>
        <v>113.19000000000001</v>
      </c>
      <c r="N50" s="7">
        <f t="shared" si="16"/>
        <v>9.8000000000000018E-2</v>
      </c>
      <c r="O50" s="7">
        <f t="shared" si="17"/>
        <v>0.11270000000000001</v>
      </c>
    </row>
    <row r="51" spans="1:20">
      <c r="A51" s="10">
        <v>2021</v>
      </c>
      <c r="B51" s="10">
        <v>292</v>
      </c>
      <c r="C51" s="10" t="s">
        <v>368</v>
      </c>
      <c r="D51" s="10">
        <v>4</v>
      </c>
      <c r="E51" s="10">
        <v>8</v>
      </c>
      <c r="F51" s="10">
        <v>27.8</v>
      </c>
      <c r="G51" s="10">
        <f t="shared" si="18"/>
        <v>22.5</v>
      </c>
      <c r="H51" s="10">
        <v>10.7</v>
      </c>
      <c r="I51" s="10">
        <f t="shared" si="19"/>
        <v>5.3999999999999995</v>
      </c>
      <c r="J51" s="10">
        <f t="shared" si="20"/>
        <v>17.100000000000001</v>
      </c>
      <c r="K51" s="10">
        <f t="shared" si="21"/>
        <v>76</v>
      </c>
      <c r="L51" s="10">
        <f t="shared" si="22"/>
        <v>53.999999999999993</v>
      </c>
      <c r="M51" s="10">
        <f t="shared" si="23"/>
        <v>62.36999999999999</v>
      </c>
      <c r="N51" s="7">
        <f t="shared" si="16"/>
        <v>5.3999999999999992E-2</v>
      </c>
      <c r="O51" s="7">
        <f t="shared" si="17"/>
        <v>6.2099999999999989E-2</v>
      </c>
    </row>
    <row r="52" spans="1:20">
      <c r="A52" s="10">
        <v>2021</v>
      </c>
      <c r="B52" s="10">
        <v>292</v>
      </c>
      <c r="C52" s="10" t="s">
        <v>369</v>
      </c>
      <c r="D52" s="10">
        <v>4</v>
      </c>
      <c r="E52" s="10">
        <v>9</v>
      </c>
      <c r="F52" s="10">
        <v>47.7</v>
      </c>
      <c r="G52" s="10">
        <f t="shared" si="18"/>
        <v>42.400000000000006</v>
      </c>
      <c r="H52" s="10">
        <v>14.7</v>
      </c>
      <c r="I52" s="10">
        <f t="shared" si="19"/>
        <v>9.3999999999999986</v>
      </c>
      <c r="J52" s="10">
        <f t="shared" si="20"/>
        <v>33.000000000000007</v>
      </c>
      <c r="K52" s="10">
        <f t="shared" si="21"/>
        <v>77.830188679245296</v>
      </c>
      <c r="L52" s="10">
        <f t="shared" si="22"/>
        <v>93.999999999999986</v>
      </c>
      <c r="M52" s="10">
        <f t="shared" si="23"/>
        <v>108.57</v>
      </c>
      <c r="N52" s="7">
        <f t="shared" si="16"/>
        <v>9.3999999999999986E-2</v>
      </c>
      <c r="O52" s="7">
        <f t="shared" si="17"/>
        <v>0.10809999999999997</v>
      </c>
    </row>
    <row r="53" spans="1:20">
      <c r="A53" s="10">
        <v>2021</v>
      </c>
      <c r="B53" s="10">
        <v>292</v>
      </c>
      <c r="C53" s="173"/>
      <c r="D53" s="173">
        <v>4</v>
      </c>
      <c r="E53" s="173">
        <v>11</v>
      </c>
      <c r="F53" s="173"/>
      <c r="G53" s="173"/>
      <c r="H53" s="173"/>
      <c r="I53" s="173"/>
      <c r="J53" s="173"/>
      <c r="K53" s="173"/>
      <c r="L53" s="173"/>
      <c r="M53" s="173"/>
      <c r="N53" s="4" t="s">
        <v>707</v>
      </c>
      <c r="O53" s="4" t="s">
        <v>707</v>
      </c>
    </row>
    <row r="54" spans="1:20">
      <c r="A54" s="10">
        <v>2021</v>
      </c>
      <c r="B54" s="10">
        <v>292</v>
      </c>
      <c r="C54" s="10" t="s">
        <v>370</v>
      </c>
      <c r="D54" s="10">
        <v>4</v>
      </c>
      <c r="E54" s="10">
        <v>12</v>
      </c>
      <c r="F54" s="10">
        <v>6.1</v>
      </c>
      <c r="G54" s="10">
        <f t="shared" si="18"/>
        <v>0.79999999999999982</v>
      </c>
      <c r="H54" s="10">
        <v>5.7</v>
      </c>
      <c r="I54" s="10">
        <f t="shared" si="19"/>
        <v>0.40000000000000036</v>
      </c>
      <c r="J54" s="10">
        <f t="shared" si="20"/>
        <v>0.39999999999999947</v>
      </c>
      <c r="K54" s="10">
        <f t="shared" si="21"/>
        <v>49.999999999999943</v>
      </c>
      <c r="L54" s="10">
        <f t="shared" si="22"/>
        <v>4.0000000000000036</v>
      </c>
      <c r="M54" s="10">
        <f t="shared" si="23"/>
        <v>4.6200000000000045</v>
      </c>
      <c r="N54" s="7">
        <f t="shared" si="16"/>
        <v>4.0000000000000036E-3</v>
      </c>
      <c r="O54" s="7">
        <f t="shared" si="17"/>
        <v>4.6000000000000034E-3</v>
      </c>
    </row>
    <row r="55" spans="1:20">
      <c r="A55" s="10">
        <v>2021</v>
      </c>
      <c r="B55" s="10">
        <v>292</v>
      </c>
      <c r="C55" s="10" t="s">
        <v>372</v>
      </c>
      <c r="D55" s="10">
        <v>4</v>
      </c>
      <c r="E55" s="10">
        <v>13</v>
      </c>
      <c r="F55" s="10">
        <v>27.2</v>
      </c>
      <c r="G55" s="10">
        <f t="shared" si="18"/>
        <v>21.9</v>
      </c>
      <c r="H55" s="10">
        <v>9.8000000000000007</v>
      </c>
      <c r="I55" s="10">
        <f t="shared" si="19"/>
        <v>4.5000000000000009</v>
      </c>
      <c r="J55" s="10">
        <f t="shared" si="20"/>
        <v>17.399999999999999</v>
      </c>
      <c r="K55" s="10">
        <f t="shared" si="21"/>
        <v>79.452054794520549</v>
      </c>
      <c r="L55" s="10">
        <f t="shared" si="22"/>
        <v>45</v>
      </c>
      <c r="M55" s="10">
        <f t="shared" si="23"/>
        <v>51.975000000000001</v>
      </c>
      <c r="N55" s="7">
        <f t="shared" si="16"/>
        <v>4.4999999999999998E-2</v>
      </c>
      <c r="O55" s="7">
        <f t="shared" si="17"/>
        <v>5.1749999999999997E-2</v>
      </c>
    </row>
    <row r="56" spans="1:20">
      <c r="A56" s="15"/>
      <c r="B56" s="15"/>
      <c r="C56" s="15"/>
      <c r="D56" s="15"/>
      <c r="E56" s="15"/>
      <c r="F56" s="15"/>
      <c r="G56" s="15"/>
      <c r="H56" s="15"/>
      <c r="I56" s="15"/>
      <c r="J56" s="15"/>
      <c r="K56" s="15"/>
      <c r="L56" s="15"/>
      <c r="M56" s="15"/>
    </row>
    <row r="57" spans="1:20" ht="23.25">
      <c r="A57" s="125" t="s">
        <v>634</v>
      </c>
      <c r="B57" s="15"/>
      <c r="C57" s="15"/>
      <c r="D57" s="15"/>
      <c r="E57" s="15" t="s">
        <v>510</v>
      </c>
      <c r="F57" s="15"/>
      <c r="G57" s="15">
        <v>5.3</v>
      </c>
      <c r="H57" s="15"/>
      <c r="I57" s="15"/>
      <c r="J57" s="15"/>
      <c r="K57" s="15"/>
      <c r="L57" s="15"/>
      <c r="M57" s="15"/>
    </row>
    <row r="58" spans="1:20">
      <c r="A58" s="86" t="s">
        <v>64</v>
      </c>
      <c r="B58" s="86" t="s">
        <v>475</v>
      </c>
      <c r="C58" s="86" t="s">
        <v>505</v>
      </c>
      <c r="D58" s="86" t="s">
        <v>66</v>
      </c>
      <c r="E58" s="86" t="s">
        <v>47</v>
      </c>
      <c r="F58" s="86" t="s">
        <v>478</v>
      </c>
      <c r="G58" s="86" t="s">
        <v>654</v>
      </c>
      <c r="H58" s="86" t="s">
        <v>481</v>
      </c>
      <c r="I58" s="86" t="s">
        <v>655</v>
      </c>
      <c r="J58" s="86" t="s">
        <v>640</v>
      </c>
      <c r="K58" s="86" t="s">
        <v>494</v>
      </c>
      <c r="L58" s="86" t="s">
        <v>469</v>
      </c>
      <c r="M58" s="86" t="s">
        <v>665</v>
      </c>
      <c r="N58" s="86" t="s">
        <v>681</v>
      </c>
      <c r="O58" s="86" t="s">
        <v>680</v>
      </c>
      <c r="Q58" s="86" t="s">
        <v>66</v>
      </c>
      <c r="R58" s="86" t="s">
        <v>699</v>
      </c>
      <c r="S58" s="86" t="s">
        <v>708</v>
      </c>
      <c r="T58" s="86" t="s">
        <v>679</v>
      </c>
    </row>
    <row r="59" spans="1:20">
      <c r="A59" s="10">
        <v>2021</v>
      </c>
      <c r="B59" s="10">
        <v>292</v>
      </c>
      <c r="C59" s="10" t="s">
        <v>337</v>
      </c>
      <c r="D59" s="10">
        <v>3</v>
      </c>
      <c r="E59" s="10">
        <v>1</v>
      </c>
      <c r="F59" s="10">
        <v>93.9</v>
      </c>
      <c r="G59" s="10">
        <f>F59-5.3</f>
        <v>88.600000000000009</v>
      </c>
      <c r="H59" s="10">
        <v>33</v>
      </c>
      <c r="I59" s="10">
        <f>H59-5.3</f>
        <v>27.7</v>
      </c>
      <c r="J59" s="10">
        <f>G59-I59</f>
        <v>60.900000000000006</v>
      </c>
      <c r="K59" s="10">
        <f>(J59/G59)*100</f>
        <v>68.735891647855524</v>
      </c>
      <c r="L59" s="10">
        <f>(I59/1000)/0.0001</f>
        <v>277</v>
      </c>
      <c r="M59" s="10">
        <f>L59*1.155</f>
        <v>319.935</v>
      </c>
      <c r="N59" s="7">
        <f t="shared" ref="N59:N82" si="24">L59*(1/1000)</f>
        <v>0.27700000000000002</v>
      </c>
      <c r="O59" s="7">
        <f>N59*1.15</f>
        <v>0.31855</v>
      </c>
      <c r="Q59" s="179">
        <v>3</v>
      </c>
      <c r="R59" s="7">
        <f>AVERAGE(N59:N67)</f>
        <v>9.0500000000000011E-2</v>
      </c>
      <c r="S59" s="7">
        <f>AVERAGE(O59:O67)</f>
        <v>0.104075</v>
      </c>
      <c r="T59" s="7">
        <f>STDEV(O59:O67)</f>
        <v>0.14498059927682277</v>
      </c>
    </row>
    <row r="60" spans="1:20">
      <c r="A60" s="10">
        <v>2021</v>
      </c>
      <c r="B60" s="10">
        <v>292</v>
      </c>
      <c r="C60" s="10" t="s">
        <v>339</v>
      </c>
      <c r="D60" s="10">
        <v>3</v>
      </c>
      <c r="E60" s="10">
        <v>2</v>
      </c>
      <c r="F60" s="10">
        <v>11.3</v>
      </c>
      <c r="G60" s="10">
        <f t="shared" ref="G60:G82" si="25">F60-5.3</f>
        <v>6.0000000000000009</v>
      </c>
      <c r="H60" s="10">
        <v>7.3</v>
      </c>
      <c r="I60" s="10">
        <f t="shared" ref="I60:I82" si="26">H60-5.3</f>
        <v>2</v>
      </c>
      <c r="J60" s="10">
        <f t="shared" ref="J60:J82" si="27">G60-I60</f>
        <v>4.0000000000000009</v>
      </c>
      <c r="K60" s="10">
        <f t="shared" ref="K60:K82" si="28">(J60/G60)*100</f>
        <v>66.666666666666671</v>
      </c>
      <c r="L60" s="10">
        <f t="shared" ref="L60:L82" si="29">(I60/1000)/0.0001</f>
        <v>20</v>
      </c>
      <c r="M60" s="10">
        <f t="shared" ref="M60:M82" si="30">L60*1.155</f>
        <v>23.1</v>
      </c>
      <c r="N60" s="7">
        <f t="shared" si="24"/>
        <v>0.02</v>
      </c>
      <c r="O60" s="7">
        <f t="shared" ref="O60:O82" si="31">N60*1.15</f>
        <v>2.3E-2</v>
      </c>
      <c r="Q60" s="179" t="s">
        <v>672</v>
      </c>
      <c r="R60" s="10" t="s">
        <v>707</v>
      </c>
      <c r="S60" s="10" t="s">
        <v>707</v>
      </c>
      <c r="T60" s="10" t="s">
        <v>707</v>
      </c>
    </row>
    <row r="61" spans="1:20">
      <c r="A61" s="10">
        <v>2021</v>
      </c>
      <c r="B61" s="10">
        <v>292</v>
      </c>
      <c r="C61" s="10" t="s">
        <v>341</v>
      </c>
      <c r="D61" s="10">
        <v>3</v>
      </c>
      <c r="E61" s="10">
        <v>3</v>
      </c>
      <c r="F61" s="10">
        <v>7.1</v>
      </c>
      <c r="G61" s="10">
        <f t="shared" si="25"/>
        <v>1.7999999999999998</v>
      </c>
      <c r="H61" s="10">
        <v>6.1</v>
      </c>
      <c r="I61" s="10">
        <f t="shared" si="26"/>
        <v>0.79999999999999982</v>
      </c>
      <c r="J61" s="10">
        <f t="shared" si="27"/>
        <v>1</v>
      </c>
      <c r="K61" s="10">
        <f t="shared" si="28"/>
        <v>55.555555555555557</v>
      </c>
      <c r="L61" s="10">
        <f t="shared" si="29"/>
        <v>7.9999999999999982</v>
      </c>
      <c r="M61" s="10">
        <f t="shared" si="30"/>
        <v>9.2399999999999984</v>
      </c>
      <c r="N61" s="7">
        <f t="shared" si="24"/>
        <v>7.9999999999999984E-3</v>
      </c>
      <c r="O61" s="7">
        <f t="shared" si="31"/>
        <v>9.1999999999999981E-3</v>
      </c>
      <c r="Q61" s="179">
        <v>4</v>
      </c>
      <c r="R61" s="7">
        <f>AVERAGE(N71:N79)</f>
        <v>1.9800000000000005E-2</v>
      </c>
      <c r="S61" s="7">
        <f>AVERAGE(O71:O79)</f>
        <v>2.2770000000000006E-2</v>
      </c>
      <c r="T61" s="7">
        <f>STDEV(O71:O79)</f>
        <v>2.8079788104613611E-2</v>
      </c>
    </row>
    <row r="62" spans="1:20">
      <c r="A62" s="10">
        <v>2021</v>
      </c>
      <c r="B62" s="10">
        <v>292</v>
      </c>
      <c r="C62" s="173"/>
      <c r="D62" s="173">
        <v>3</v>
      </c>
      <c r="E62" s="173">
        <v>4</v>
      </c>
      <c r="F62" s="173"/>
      <c r="G62" s="173"/>
      <c r="H62" s="173"/>
      <c r="I62" s="173"/>
      <c r="J62" s="173"/>
      <c r="K62" s="173"/>
      <c r="L62" s="173"/>
      <c r="M62" s="173"/>
      <c r="N62" s="4" t="s">
        <v>707</v>
      </c>
      <c r="O62" s="4" t="s">
        <v>707</v>
      </c>
      <c r="Q62" s="179" t="s">
        <v>673</v>
      </c>
      <c r="R62" s="7">
        <f>AVERAGE(N80:N82)</f>
        <v>2.4E-2</v>
      </c>
      <c r="S62" s="7">
        <f>AVERAGE(O80:O82)</f>
        <v>2.76E-2</v>
      </c>
      <c r="T62" s="7">
        <f>STDEV(O80:O82)</f>
        <v>2.2768838354206827E-2</v>
      </c>
    </row>
    <row r="63" spans="1:20">
      <c r="A63" s="10">
        <v>2021</v>
      </c>
      <c r="B63" s="10">
        <v>292</v>
      </c>
      <c r="C63" s="173"/>
      <c r="D63" s="173">
        <v>3</v>
      </c>
      <c r="E63" s="173">
        <v>5</v>
      </c>
      <c r="F63" s="173"/>
      <c r="G63" s="173"/>
      <c r="H63" s="173"/>
      <c r="I63" s="173"/>
      <c r="J63" s="173"/>
      <c r="K63" s="173"/>
      <c r="L63" s="173"/>
      <c r="M63" s="173"/>
      <c r="N63" s="4" t="s">
        <v>707</v>
      </c>
      <c r="O63" s="4" t="s">
        <v>707</v>
      </c>
    </row>
    <row r="64" spans="1:20">
      <c r="A64" s="10">
        <v>2021</v>
      </c>
      <c r="B64" s="10">
        <v>292</v>
      </c>
      <c r="C64" s="173"/>
      <c r="D64" s="173">
        <v>3</v>
      </c>
      <c r="E64" s="173">
        <v>6</v>
      </c>
      <c r="F64" s="173"/>
      <c r="G64" s="173"/>
      <c r="H64" s="173"/>
      <c r="I64" s="173"/>
      <c r="J64" s="173"/>
      <c r="K64" s="173"/>
      <c r="L64" s="173"/>
      <c r="M64" s="173"/>
      <c r="N64" s="4" t="s">
        <v>707</v>
      </c>
      <c r="O64" s="4" t="s">
        <v>707</v>
      </c>
    </row>
    <row r="65" spans="1:15">
      <c r="A65" s="10">
        <v>2021</v>
      </c>
      <c r="B65" s="10">
        <v>292</v>
      </c>
      <c r="C65" s="173"/>
      <c r="D65" s="173">
        <v>3</v>
      </c>
      <c r="E65" s="173">
        <v>7</v>
      </c>
      <c r="F65" s="173"/>
      <c r="G65" s="173"/>
      <c r="H65" s="173"/>
      <c r="I65" s="173"/>
      <c r="J65" s="173"/>
      <c r="K65" s="173"/>
      <c r="L65" s="173"/>
      <c r="M65" s="173"/>
      <c r="N65" s="4" t="s">
        <v>707</v>
      </c>
      <c r="O65" s="4" t="s">
        <v>707</v>
      </c>
    </row>
    <row r="66" spans="1:15">
      <c r="A66" s="10">
        <v>2021</v>
      </c>
      <c r="B66" s="10">
        <v>292</v>
      </c>
      <c r="C66" s="173"/>
      <c r="D66" s="173">
        <v>3</v>
      </c>
      <c r="E66" s="173">
        <v>8</v>
      </c>
      <c r="F66" s="173"/>
      <c r="G66" s="173"/>
      <c r="H66" s="173"/>
      <c r="I66" s="173"/>
      <c r="J66" s="173"/>
      <c r="K66" s="173"/>
      <c r="L66" s="173"/>
      <c r="M66" s="173"/>
      <c r="N66" s="4" t="s">
        <v>707</v>
      </c>
      <c r="O66" s="4" t="s">
        <v>707</v>
      </c>
    </row>
    <row r="67" spans="1:15">
      <c r="A67" s="10">
        <v>2021</v>
      </c>
      <c r="B67" s="10">
        <v>292</v>
      </c>
      <c r="C67" s="10" t="s">
        <v>344</v>
      </c>
      <c r="D67" s="10">
        <v>3</v>
      </c>
      <c r="E67" s="10">
        <v>9</v>
      </c>
      <c r="F67" s="10">
        <v>41</v>
      </c>
      <c r="G67" s="10">
        <f t="shared" si="25"/>
        <v>35.700000000000003</v>
      </c>
      <c r="H67" s="10">
        <v>11</v>
      </c>
      <c r="I67" s="10">
        <f t="shared" si="26"/>
        <v>5.7</v>
      </c>
      <c r="J67" s="10">
        <f t="shared" si="27"/>
        <v>30.000000000000004</v>
      </c>
      <c r="K67" s="10">
        <f t="shared" si="28"/>
        <v>84.033613445378151</v>
      </c>
      <c r="L67" s="10">
        <f t="shared" si="29"/>
        <v>57</v>
      </c>
      <c r="M67" s="10">
        <f t="shared" si="30"/>
        <v>65.835000000000008</v>
      </c>
      <c r="N67" s="7">
        <f t="shared" si="24"/>
        <v>5.7000000000000002E-2</v>
      </c>
      <c r="O67" s="7">
        <f t="shared" si="31"/>
        <v>6.5549999999999997E-2</v>
      </c>
    </row>
    <row r="68" spans="1:15">
      <c r="A68" s="10">
        <v>2021</v>
      </c>
      <c r="B68" s="10">
        <v>292</v>
      </c>
      <c r="C68" s="173"/>
      <c r="D68" s="173">
        <v>3</v>
      </c>
      <c r="E68" s="173">
        <v>11</v>
      </c>
      <c r="F68" s="173"/>
      <c r="G68" s="173"/>
      <c r="H68" s="173"/>
      <c r="I68" s="173"/>
      <c r="J68" s="173"/>
      <c r="K68" s="173"/>
      <c r="L68" s="173"/>
      <c r="M68" s="173"/>
      <c r="N68" s="4" t="s">
        <v>707</v>
      </c>
      <c r="O68" s="4" t="s">
        <v>707</v>
      </c>
    </row>
    <row r="69" spans="1:15">
      <c r="A69" s="10">
        <v>2021</v>
      </c>
      <c r="B69" s="10">
        <v>292</v>
      </c>
      <c r="C69" s="173"/>
      <c r="D69" s="173">
        <v>3</v>
      </c>
      <c r="E69" s="173">
        <v>12</v>
      </c>
      <c r="F69" s="173"/>
      <c r="G69" s="173"/>
      <c r="H69" s="173"/>
      <c r="I69" s="173"/>
      <c r="J69" s="173"/>
      <c r="K69" s="173"/>
      <c r="L69" s="173"/>
      <c r="M69" s="173"/>
      <c r="N69" s="4" t="s">
        <v>707</v>
      </c>
      <c r="O69" s="4" t="s">
        <v>707</v>
      </c>
    </row>
    <row r="70" spans="1:15">
      <c r="A70" s="10">
        <v>2021</v>
      </c>
      <c r="B70" s="10">
        <v>292</v>
      </c>
      <c r="C70" s="173"/>
      <c r="D70" s="173">
        <v>3</v>
      </c>
      <c r="E70" s="173">
        <v>13</v>
      </c>
      <c r="F70" s="173"/>
      <c r="G70" s="173"/>
      <c r="H70" s="173"/>
      <c r="I70" s="173"/>
      <c r="J70" s="173"/>
      <c r="K70" s="173"/>
      <c r="L70" s="173"/>
      <c r="M70" s="173"/>
      <c r="N70" s="4" t="s">
        <v>707</v>
      </c>
      <c r="O70" s="4" t="s">
        <v>707</v>
      </c>
    </row>
    <row r="71" spans="1:15">
      <c r="A71" s="10">
        <v>2021</v>
      </c>
      <c r="B71" s="10">
        <v>292</v>
      </c>
      <c r="C71" s="10" t="s">
        <v>360</v>
      </c>
      <c r="D71" s="10">
        <v>4</v>
      </c>
      <c r="E71" s="10">
        <v>1</v>
      </c>
      <c r="F71" s="10">
        <v>7.1</v>
      </c>
      <c r="G71" s="10">
        <f t="shared" si="25"/>
        <v>1.7999999999999998</v>
      </c>
      <c r="H71" s="10">
        <v>6</v>
      </c>
      <c r="I71" s="10">
        <f t="shared" si="26"/>
        <v>0.70000000000000018</v>
      </c>
      <c r="J71" s="10">
        <f t="shared" si="27"/>
        <v>1.0999999999999996</v>
      </c>
      <c r="K71" s="10">
        <f t="shared" si="28"/>
        <v>61.111111111111093</v>
      </c>
      <c r="L71" s="10">
        <f t="shared" si="29"/>
        <v>7.0000000000000018</v>
      </c>
      <c r="M71" s="10">
        <f t="shared" si="30"/>
        <v>8.0850000000000026</v>
      </c>
      <c r="N71" s="7">
        <f t="shared" si="24"/>
        <v>7.0000000000000019E-3</v>
      </c>
      <c r="O71" s="7">
        <f t="shared" si="31"/>
        <v>8.0500000000000016E-3</v>
      </c>
    </row>
    <row r="72" spans="1:15">
      <c r="A72" s="10">
        <v>2021</v>
      </c>
      <c r="B72" s="10">
        <v>292</v>
      </c>
      <c r="C72" s="10" t="s">
        <v>362</v>
      </c>
      <c r="D72" s="10">
        <v>4</v>
      </c>
      <c r="E72" s="10">
        <v>2</v>
      </c>
      <c r="F72" s="10">
        <v>6.6</v>
      </c>
      <c r="G72" s="10">
        <f t="shared" si="25"/>
        <v>1.2999999999999998</v>
      </c>
      <c r="H72" s="10">
        <v>5.7</v>
      </c>
      <c r="I72" s="10">
        <f t="shared" si="26"/>
        <v>0.40000000000000036</v>
      </c>
      <c r="J72" s="10">
        <f t="shared" si="27"/>
        <v>0.89999999999999947</v>
      </c>
      <c r="K72" s="10">
        <f t="shared" si="28"/>
        <v>69.230769230769198</v>
      </c>
      <c r="L72" s="10">
        <f t="shared" si="29"/>
        <v>4.0000000000000036</v>
      </c>
      <c r="M72" s="10">
        <f t="shared" si="30"/>
        <v>4.6200000000000045</v>
      </c>
      <c r="N72" s="7">
        <f t="shared" si="24"/>
        <v>4.0000000000000036E-3</v>
      </c>
      <c r="O72" s="7">
        <f t="shared" si="31"/>
        <v>4.6000000000000034E-3</v>
      </c>
    </row>
    <row r="73" spans="1:15">
      <c r="A73" s="10">
        <v>2021</v>
      </c>
      <c r="B73" s="10">
        <v>292</v>
      </c>
      <c r="C73" s="10" t="s">
        <v>363</v>
      </c>
      <c r="D73" s="10">
        <v>4</v>
      </c>
      <c r="E73" s="10">
        <v>3</v>
      </c>
      <c r="F73" s="10">
        <v>5.8</v>
      </c>
      <c r="G73" s="10">
        <f t="shared" si="25"/>
        <v>0.5</v>
      </c>
      <c r="H73" s="10">
        <v>5.5</v>
      </c>
      <c r="I73" s="10">
        <f t="shared" si="26"/>
        <v>0.20000000000000018</v>
      </c>
      <c r="J73" s="10">
        <f t="shared" si="27"/>
        <v>0.29999999999999982</v>
      </c>
      <c r="K73" s="10">
        <f t="shared" si="28"/>
        <v>59.999999999999964</v>
      </c>
      <c r="L73" s="10">
        <f t="shared" si="29"/>
        <v>2.0000000000000018</v>
      </c>
      <c r="M73" s="10">
        <f t="shared" si="30"/>
        <v>2.3100000000000023</v>
      </c>
      <c r="N73" s="7">
        <f t="shared" si="24"/>
        <v>2.0000000000000018E-3</v>
      </c>
      <c r="O73" s="7">
        <f t="shared" si="31"/>
        <v>2.3000000000000017E-3</v>
      </c>
    </row>
    <row r="74" spans="1:15">
      <c r="A74" s="10">
        <v>2021</v>
      </c>
      <c r="B74" s="10">
        <v>292</v>
      </c>
      <c r="C74" s="173"/>
      <c r="D74" s="173">
        <v>4</v>
      </c>
      <c r="E74" s="173">
        <v>4</v>
      </c>
      <c r="F74" s="173"/>
      <c r="G74" s="173"/>
      <c r="H74" s="173"/>
      <c r="I74" s="173"/>
      <c r="J74" s="173"/>
      <c r="K74" s="173"/>
      <c r="L74" s="173"/>
      <c r="M74" s="173"/>
      <c r="N74" s="4" t="s">
        <v>707</v>
      </c>
      <c r="O74" s="4" t="s">
        <v>707</v>
      </c>
    </row>
    <row r="75" spans="1:15">
      <c r="A75" s="10">
        <v>2021</v>
      </c>
      <c r="B75" s="10">
        <v>292</v>
      </c>
      <c r="C75" s="173"/>
      <c r="D75" s="173">
        <v>4</v>
      </c>
      <c r="E75" s="173">
        <v>5</v>
      </c>
      <c r="F75" s="173"/>
      <c r="G75" s="173"/>
      <c r="H75" s="173"/>
      <c r="I75" s="173"/>
      <c r="J75" s="173"/>
      <c r="K75" s="173"/>
      <c r="L75" s="173"/>
      <c r="M75" s="173"/>
      <c r="N75" s="4" t="s">
        <v>707</v>
      </c>
      <c r="O75" s="4" t="s">
        <v>707</v>
      </c>
    </row>
    <row r="76" spans="1:15">
      <c r="A76" s="10">
        <v>2021</v>
      </c>
      <c r="B76" s="10">
        <v>292</v>
      </c>
      <c r="C76" s="10" t="s">
        <v>365</v>
      </c>
      <c r="D76" s="10">
        <v>4</v>
      </c>
      <c r="E76" s="10">
        <v>6</v>
      </c>
      <c r="F76" s="10">
        <v>33.799999999999997</v>
      </c>
      <c r="G76" s="10">
        <f t="shared" si="25"/>
        <v>28.499999999999996</v>
      </c>
      <c r="H76" s="10">
        <v>11.3</v>
      </c>
      <c r="I76" s="10">
        <f t="shared" si="26"/>
        <v>6.0000000000000009</v>
      </c>
      <c r="J76" s="10">
        <f t="shared" si="27"/>
        <v>22.499999999999996</v>
      </c>
      <c r="K76" s="10">
        <f t="shared" si="28"/>
        <v>78.94736842105263</v>
      </c>
      <c r="L76" s="10">
        <f t="shared" si="29"/>
        <v>60.000000000000007</v>
      </c>
      <c r="M76" s="10">
        <f t="shared" si="30"/>
        <v>69.300000000000011</v>
      </c>
      <c r="N76" s="7">
        <f t="shared" si="24"/>
        <v>6.0000000000000012E-2</v>
      </c>
      <c r="O76" s="7">
        <f t="shared" si="31"/>
        <v>6.9000000000000006E-2</v>
      </c>
    </row>
    <row r="77" spans="1:15">
      <c r="A77" s="10">
        <v>2021</v>
      </c>
      <c r="B77" s="10">
        <v>292</v>
      </c>
      <c r="C77" s="10" t="s">
        <v>367</v>
      </c>
      <c r="D77" s="10">
        <v>4</v>
      </c>
      <c r="E77" s="10">
        <v>7</v>
      </c>
      <c r="F77" s="10">
        <v>15</v>
      </c>
      <c r="G77" s="10">
        <f t="shared" si="25"/>
        <v>9.6999999999999993</v>
      </c>
      <c r="H77" s="10">
        <v>7.9</v>
      </c>
      <c r="I77" s="10">
        <f t="shared" si="26"/>
        <v>2.6000000000000005</v>
      </c>
      <c r="J77" s="10">
        <f t="shared" si="27"/>
        <v>7.0999999999999988</v>
      </c>
      <c r="K77" s="10">
        <f t="shared" si="28"/>
        <v>73.19587628865979</v>
      </c>
      <c r="L77" s="10">
        <f t="shared" si="29"/>
        <v>26.000000000000007</v>
      </c>
      <c r="M77" s="10">
        <f t="shared" si="30"/>
        <v>30.030000000000008</v>
      </c>
      <c r="N77" s="7">
        <f t="shared" si="24"/>
        <v>2.6000000000000009E-2</v>
      </c>
      <c r="O77" s="7">
        <f t="shared" si="31"/>
        <v>2.990000000000001E-2</v>
      </c>
    </row>
    <row r="78" spans="1:15">
      <c r="A78" s="10">
        <v>2021</v>
      </c>
      <c r="B78" s="10">
        <v>292</v>
      </c>
      <c r="C78" s="173"/>
      <c r="D78" s="173">
        <v>4</v>
      </c>
      <c r="E78" s="173">
        <v>8</v>
      </c>
      <c r="F78" s="173"/>
      <c r="G78" s="173"/>
      <c r="H78" s="173"/>
      <c r="I78" s="173"/>
      <c r="J78" s="173"/>
      <c r="K78" s="173"/>
      <c r="L78" s="173"/>
      <c r="M78" s="173"/>
      <c r="N78" s="4" t="s">
        <v>707</v>
      </c>
      <c r="O78" s="4" t="s">
        <v>707</v>
      </c>
    </row>
    <row r="79" spans="1:15">
      <c r="A79" s="10">
        <v>2021</v>
      </c>
      <c r="B79" s="10">
        <v>292</v>
      </c>
      <c r="C79" s="173"/>
      <c r="D79" s="173">
        <v>4</v>
      </c>
      <c r="E79" s="173">
        <v>9</v>
      </c>
      <c r="F79" s="173"/>
      <c r="G79" s="173"/>
      <c r="H79" s="173"/>
      <c r="I79" s="173"/>
      <c r="J79" s="173"/>
      <c r="K79" s="173"/>
      <c r="L79" s="173"/>
      <c r="M79" s="173"/>
      <c r="N79" s="4" t="s">
        <v>707</v>
      </c>
      <c r="O79" s="4" t="s">
        <v>707</v>
      </c>
    </row>
    <row r="80" spans="1:15">
      <c r="A80" s="10">
        <v>2021</v>
      </c>
      <c r="B80" s="10">
        <v>292</v>
      </c>
      <c r="C80" s="173"/>
      <c r="D80" s="173">
        <v>4</v>
      </c>
      <c r="E80" s="173">
        <v>11</v>
      </c>
      <c r="F80" s="173"/>
      <c r="G80" s="173"/>
      <c r="H80" s="173"/>
      <c r="I80" s="173"/>
      <c r="J80" s="173"/>
      <c r="K80" s="173"/>
      <c r="L80" s="173"/>
      <c r="M80" s="173"/>
      <c r="N80" s="4" t="s">
        <v>707</v>
      </c>
      <c r="O80" s="4" t="s">
        <v>707</v>
      </c>
    </row>
    <row r="81" spans="1:15">
      <c r="A81" s="10">
        <v>2021</v>
      </c>
      <c r="B81" s="10">
        <v>292</v>
      </c>
      <c r="C81" s="10" t="s">
        <v>371</v>
      </c>
      <c r="D81" s="10">
        <v>4</v>
      </c>
      <c r="E81" s="10">
        <v>12</v>
      </c>
      <c r="F81" s="10">
        <v>9.3000000000000007</v>
      </c>
      <c r="G81" s="10">
        <f t="shared" si="25"/>
        <v>4.0000000000000009</v>
      </c>
      <c r="H81" s="10">
        <v>6.3</v>
      </c>
      <c r="I81" s="10">
        <f t="shared" si="26"/>
        <v>1</v>
      </c>
      <c r="J81" s="10">
        <f t="shared" si="27"/>
        <v>3.0000000000000009</v>
      </c>
      <c r="K81" s="10">
        <f t="shared" si="28"/>
        <v>75</v>
      </c>
      <c r="L81" s="10">
        <f t="shared" si="29"/>
        <v>10</v>
      </c>
      <c r="M81" s="10">
        <f t="shared" si="30"/>
        <v>11.55</v>
      </c>
      <c r="N81" s="7">
        <f t="shared" si="24"/>
        <v>0.01</v>
      </c>
      <c r="O81" s="7">
        <f t="shared" si="31"/>
        <v>1.15E-2</v>
      </c>
    </row>
    <row r="82" spans="1:15">
      <c r="A82" s="10">
        <v>2021</v>
      </c>
      <c r="B82" s="10">
        <v>292</v>
      </c>
      <c r="C82" s="10" t="s">
        <v>373</v>
      </c>
      <c r="D82" s="10">
        <v>4</v>
      </c>
      <c r="E82" s="10">
        <v>13</v>
      </c>
      <c r="F82" s="10">
        <v>19.7</v>
      </c>
      <c r="G82" s="10">
        <f t="shared" si="25"/>
        <v>14.399999999999999</v>
      </c>
      <c r="H82" s="10">
        <v>9.1</v>
      </c>
      <c r="I82" s="10">
        <f t="shared" si="26"/>
        <v>3.8</v>
      </c>
      <c r="J82" s="10">
        <f t="shared" si="27"/>
        <v>10.599999999999998</v>
      </c>
      <c r="K82" s="10">
        <f t="shared" si="28"/>
        <v>73.6111111111111</v>
      </c>
      <c r="L82" s="10">
        <f t="shared" si="29"/>
        <v>38</v>
      </c>
      <c r="M82" s="10">
        <f t="shared" si="30"/>
        <v>43.89</v>
      </c>
      <c r="N82" s="7">
        <f t="shared" si="24"/>
        <v>3.7999999999999999E-2</v>
      </c>
      <c r="O82" s="7">
        <f t="shared" si="31"/>
        <v>4.3699999999999996E-2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55693-C099-CD45-8BC9-D91E2911DB5B}">
  <dimension ref="A2:Q10"/>
  <sheetViews>
    <sheetView topLeftCell="D7" zoomScale="134" workbookViewId="0">
      <selection activeCell="E11" sqref="E11"/>
    </sheetView>
  </sheetViews>
  <sheetFormatPr defaultColWidth="11" defaultRowHeight="15.75"/>
  <cols>
    <col min="1" max="1" width="21.125" customWidth="1"/>
    <col min="2" max="2" width="21.875" customWidth="1"/>
    <col min="3" max="3" width="18.375" customWidth="1"/>
    <col min="4" max="4" width="23" customWidth="1"/>
    <col min="5" max="5" width="20.625" customWidth="1"/>
    <col min="6" max="6" width="19.5" customWidth="1"/>
    <col min="7" max="7" width="22.625" customWidth="1"/>
    <col min="9" max="9" width="12.625" customWidth="1"/>
    <col min="10" max="10" width="13.5" customWidth="1"/>
    <col min="11" max="11" width="16" customWidth="1"/>
    <col min="12" max="12" width="18.625" customWidth="1"/>
    <col min="13" max="13" width="20.5" customWidth="1"/>
    <col min="16" max="16" width="12.125" customWidth="1"/>
    <col min="17" max="17" width="15.375" customWidth="1"/>
  </cols>
  <sheetData>
    <row r="2" spans="1:17">
      <c r="A2" t="s">
        <v>694</v>
      </c>
      <c r="B2" t="s">
        <v>742</v>
      </c>
      <c r="C2" t="s">
        <v>743</v>
      </c>
      <c r="D2" t="s">
        <v>744</v>
      </c>
      <c r="E2" t="s">
        <v>741</v>
      </c>
      <c r="F2" t="s">
        <v>745</v>
      </c>
      <c r="G2" t="s">
        <v>746</v>
      </c>
      <c r="H2" t="s">
        <v>748</v>
      </c>
      <c r="I2" t="s">
        <v>747</v>
      </c>
      <c r="J2" t="s">
        <v>693</v>
      </c>
      <c r="K2" t="s">
        <v>689</v>
      </c>
      <c r="L2" t="s">
        <v>690</v>
      </c>
      <c r="M2" t="s">
        <v>691</v>
      </c>
      <c r="N2" t="s">
        <v>685</v>
      </c>
      <c r="O2" t="s">
        <v>686</v>
      </c>
      <c r="P2" t="s">
        <v>687</v>
      </c>
      <c r="Q2" t="s">
        <v>688</v>
      </c>
    </row>
    <row r="3" spans="1:17">
      <c r="A3" t="s">
        <v>693</v>
      </c>
      <c r="B3">
        <v>1.5043874999999998</v>
      </c>
      <c r="C3">
        <v>4.0231111111111106</v>
      </c>
      <c r="D3">
        <v>4.4043333333333337</v>
      </c>
      <c r="E3">
        <v>0.10549501812881969</v>
      </c>
      <c r="F3">
        <v>0.32194582014853212</v>
      </c>
      <c r="G3">
        <v>0.50707371259018597</v>
      </c>
      <c r="H3">
        <f>AVERAGE(E3:G3)</f>
        <v>0.31150485028917924</v>
      </c>
      <c r="I3" t="s">
        <v>742</v>
      </c>
      <c r="J3">
        <v>1.5043874999999998</v>
      </c>
      <c r="K3">
        <v>1.08185</v>
      </c>
      <c r="L3">
        <v>1.4539800000000001</v>
      </c>
      <c r="M3">
        <v>1.15577</v>
      </c>
      <c r="N3">
        <v>1.3496816666666667</v>
      </c>
      <c r="O3">
        <v>0.99060499999999996</v>
      </c>
      <c r="P3">
        <v>1.4209066666666665</v>
      </c>
      <c r="Q3">
        <v>0.97366499999999989</v>
      </c>
    </row>
    <row r="4" spans="1:17">
      <c r="A4" t="s">
        <v>689</v>
      </c>
      <c r="B4">
        <v>1.08185</v>
      </c>
      <c r="C4">
        <v>1.9886666666666668</v>
      </c>
      <c r="D4">
        <v>1.795333333333333</v>
      </c>
      <c r="E4">
        <v>3.4656416072640701E-2</v>
      </c>
      <c r="F4">
        <v>0.19774815633358819</v>
      </c>
      <c r="G4">
        <v>0.29831582816426883</v>
      </c>
      <c r="H4">
        <f t="shared" ref="H4:H10" si="0">AVERAGE(E4:G4)</f>
        <v>0.17690680019016591</v>
      </c>
      <c r="I4" t="s">
        <v>743</v>
      </c>
      <c r="J4">
        <v>4.0231111111111106</v>
      </c>
      <c r="K4">
        <v>1.9886666666666668</v>
      </c>
      <c r="L4">
        <v>4.5348888888888892</v>
      </c>
      <c r="M4">
        <v>1.9113333333333331</v>
      </c>
      <c r="N4">
        <v>3.3101111111111114</v>
      </c>
      <c r="O4">
        <v>1.3426666666666665</v>
      </c>
      <c r="P4">
        <v>3.3356666666666666</v>
      </c>
      <c r="Q4">
        <v>1.5763333333333334</v>
      </c>
    </row>
    <row r="5" spans="1:17">
      <c r="A5" t="s">
        <v>690</v>
      </c>
      <c r="B5">
        <v>1.4539800000000001</v>
      </c>
      <c r="C5">
        <v>4.5348888888888892</v>
      </c>
      <c r="D5">
        <v>4.4281111111111109</v>
      </c>
      <c r="E5">
        <v>0.21881324725665022</v>
      </c>
      <c r="F5">
        <v>0.32899560956205937</v>
      </c>
      <c r="G5">
        <v>0.35144040904698359</v>
      </c>
      <c r="H5">
        <f t="shared" si="0"/>
        <v>0.2997497552885644</v>
      </c>
      <c r="I5" t="s">
        <v>744</v>
      </c>
      <c r="J5">
        <v>4.4043333333333337</v>
      </c>
      <c r="K5">
        <v>1.795333333333333</v>
      </c>
      <c r="L5">
        <v>4.4281111111111109</v>
      </c>
      <c r="M5">
        <v>2.0009999999999999</v>
      </c>
      <c r="N5">
        <v>4.0746666666666664</v>
      </c>
      <c r="O5">
        <v>1.5423333333333336</v>
      </c>
      <c r="P5">
        <v>4.4394444444444439</v>
      </c>
      <c r="Q5">
        <v>1.8810000000000002</v>
      </c>
    </row>
    <row r="6" spans="1:17">
      <c r="A6" t="s">
        <v>691</v>
      </c>
      <c r="B6">
        <v>1.15577</v>
      </c>
      <c r="C6">
        <v>1.9113333333333331</v>
      </c>
      <c r="D6">
        <v>2.0009999999999999</v>
      </c>
      <c r="E6">
        <v>7.4534051110884875E-2</v>
      </c>
      <c r="F6">
        <v>0.21241547338490502</v>
      </c>
      <c r="G6">
        <v>0.50350670303383238</v>
      </c>
      <c r="H6">
        <f t="shared" si="0"/>
        <v>0.26348540917654079</v>
      </c>
    </row>
    <row r="7" spans="1:17">
      <c r="A7" t="s">
        <v>685</v>
      </c>
      <c r="B7">
        <v>1.3496816666666667</v>
      </c>
      <c r="C7">
        <v>3.3101111111111114</v>
      </c>
      <c r="D7">
        <v>4.0746666666666664</v>
      </c>
      <c r="E7">
        <v>0.15606729001459557</v>
      </c>
      <c r="F7">
        <v>0.35607563959235999</v>
      </c>
      <c r="G7">
        <v>0.66989943275091479</v>
      </c>
      <c r="H7">
        <f t="shared" si="0"/>
        <v>0.39401412078595682</v>
      </c>
    </row>
    <row r="8" spans="1:17">
      <c r="A8" t="s">
        <v>686</v>
      </c>
      <c r="B8">
        <v>0.99060499999999996</v>
      </c>
      <c r="C8">
        <v>1.3426666666666665</v>
      </c>
      <c r="D8">
        <v>1.5423333333333336</v>
      </c>
      <c r="E8">
        <v>7.7706124758605735E-2</v>
      </c>
      <c r="F8">
        <v>0.1418673088957893</v>
      </c>
      <c r="G8">
        <v>0.24928965749371274</v>
      </c>
      <c r="H8">
        <f t="shared" si="0"/>
        <v>0.15628769704936926</v>
      </c>
    </row>
    <row r="9" spans="1:17">
      <c r="A9" t="s">
        <v>687</v>
      </c>
      <c r="B9">
        <v>1.4209066666666665</v>
      </c>
      <c r="C9">
        <v>3.3356666666666666</v>
      </c>
      <c r="D9">
        <v>4.4394444444444439</v>
      </c>
      <c r="E9">
        <v>0.17733649155630649</v>
      </c>
      <c r="F9">
        <v>0.35498521095955532</v>
      </c>
      <c r="G9">
        <v>0.18753207133121991</v>
      </c>
      <c r="H9">
        <f t="shared" si="0"/>
        <v>0.23995125794902719</v>
      </c>
    </row>
    <row r="10" spans="1:17">
      <c r="A10" t="s">
        <v>688</v>
      </c>
      <c r="B10">
        <v>0.97366499999999989</v>
      </c>
      <c r="C10">
        <v>1.5763333333333334</v>
      </c>
      <c r="D10">
        <v>1.8810000000000002</v>
      </c>
      <c r="E10">
        <v>0.14390298841580809</v>
      </c>
      <c r="F10">
        <v>0.49778040673908852</v>
      </c>
      <c r="G10">
        <v>0.3767611975774568</v>
      </c>
      <c r="H10">
        <f t="shared" si="0"/>
        <v>0.33948153091078442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FFE6C-31DF-AE42-8D32-6B2C6E194545}">
  <dimension ref="A1:M592"/>
  <sheetViews>
    <sheetView topLeftCell="A46" zoomScale="75" workbookViewId="0">
      <selection activeCell="C21" sqref="C21:C34"/>
    </sheetView>
  </sheetViews>
  <sheetFormatPr defaultColWidth="11" defaultRowHeight="15.75"/>
  <cols>
    <col min="1" max="1" width="13.5" customWidth="1"/>
    <col min="2" max="2" width="14.125" customWidth="1"/>
    <col min="3" max="3" width="17.375" customWidth="1"/>
    <col min="4" max="4" width="13.875" customWidth="1"/>
    <col min="5" max="5" width="17" customWidth="1"/>
    <col min="6" max="6" width="16.5" customWidth="1"/>
    <col min="7" max="7" width="14.375" customWidth="1"/>
    <col min="8" max="8" width="14.625" customWidth="1"/>
    <col min="9" max="9" width="21.375" customWidth="1"/>
    <col min="10" max="10" width="15" customWidth="1"/>
  </cols>
  <sheetData>
    <row r="1" spans="1:13">
      <c r="A1" s="15" t="s">
        <v>63</v>
      </c>
      <c r="B1" s="15" t="s">
        <v>64</v>
      </c>
      <c r="C1" s="15" t="s">
        <v>65</v>
      </c>
      <c r="D1" s="15" t="s">
        <v>66</v>
      </c>
      <c r="E1" s="15" t="s">
        <v>374</v>
      </c>
      <c r="F1" s="15" t="s">
        <v>375</v>
      </c>
      <c r="G1" s="15" t="s">
        <v>63</v>
      </c>
      <c r="H1" s="15" t="s">
        <v>64</v>
      </c>
      <c r="I1" s="15" t="s">
        <v>65</v>
      </c>
      <c r="J1" s="15" t="s">
        <v>66</v>
      </c>
      <c r="K1" s="15"/>
      <c r="L1" s="15"/>
      <c r="M1" s="15"/>
    </row>
    <row r="2" spans="1:13">
      <c r="A2" s="70" t="s">
        <v>67</v>
      </c>
      <c r="B2" s="15">
        <v>2020</v>
      </c>
      <c r="C2" s="15" t="s">
        <v>68</v>
      </c>
      <c r="D2" s="15" t="s">
        <v>69</v>
      </c>
      <c r="E2" s="78"/>
      <c r="F2" s="86"/>
      <c r="G2" s="15" t="s">
        <v>202</v>
      </c>
      <c r="H2" s="15">
        <v>2020</v>
      </c>
      <c r="I2" s="15" t="s">
        <v>68</v>
      </c>
      <c r="J2" s="15" t="s">
        <v>69</v>
      </c>
      <c r="K2" s="15"/>
    </row>
    <row r="3" spans="1:13">
      <c r="A3" s="70" t="s">
        <v>70</v>
      </c>
      <c r="B3" s="15">
        <v>2020</v>
      </c>
      <c r="C3" s="15" t="s">
        <v>68</v>
      </c>
      <c r="D3" s="15" t="s">
        <v>71</v>
      </c>
      <c r="E3" s="78"/>
      <c r="F3" s="86"/>
      <c r="G3" s="15" t="s">
        <v>203</v>
      </c>
      <c r="H3" s="15">
        <v>2020</v>
      </c>
      <c r="I3" s="15" t="s">
        <v>68</v>
      </c>
      <c r="J3" s="15" t="s">
        <v>71</v>
      </c>
      <c r="K3" s="15"/>
    </row>
    <row r="4" spans="1:13">
      <c r="A4" s="70" t="s">
        <v>72</v>
      </c>
      <c r="B4" s="15">
        <v>2020</v>
      </c>
      <c r="C4" s="15" t="s">
        <v>68</v>
      </c>
      <c r="D4" s="15" t="s">
        <v>73</v>
      </c>
      <c r="E4" s="78"/>
      <c r="F4" s="86"/>
      <c r="G4" s="15" t="s">
        <v>204</v>
      </c>
      <c r="H4" s="15">
        <v>2020</v>
      </c>
      <c r="I4" s="15" t="s">
        <v>68</v>
      </c>
      <c r="J4" s="15" t="s">
        <v>73</v>
      </c>
      <c r="K4" s="15"/>
    </row>
    <row r="5" spans="1:13">
      <c r="A5" s="70" t="s">
        <v>74</v>
      </c>
      <c r="B5" s="15">
        <v>2020</v>
      </c>
      <c r="C5" s="15" t="s">
        <v>68</v>
      </c>
      <c r="D5" s="15" t="s">
        <v>75</v>
      </c>
      <c r="E5" s="78"/>
      <c r="F5" s="86"/>
      <c r="G5" s="15" t="s">
        <v>205</v>
      </c>
      <c r="H5" s="15">
        <v>2020</v>
      </c>
      <c r="I5" s="15" t="s">
        <v>68</v>
      </c>
      <c r="J5" s="15" t="s">
        <v>75</v>
      </c>
      <c r="K5" s="15"/>
    </row>
    <row r="6" spans="1:13">
      <c r="A6" s="70" t="s">
        <v>76</v>
      </c>
      <c r="B6" s="15">
        <v>2020</v>
      </c>
      <c r="C6" s="15" t="s">
        <v>68</v>
      </c>
      <c r="D6" s="15" t="s">
        <v>77</v>
      </c>
      <c r="E6" s="78"/>
      <c r="F6" s="86"/>
      <c r="G6" s="15" t="s">
        <v>206</v>
      </c>
      <c r="H6" s="15">
        <v>2020</v>
      </c>
      <c r="I6" s="15" t="s">
        <v>68</v>
      </c>
      <c r="J6" s="15" t="s">
        <v>77</v>
      </c>
      <c r="K6" s="15"/>
    </row>
    <row r="7" spans="1:13">
      <c r="A7" s="70" t="s">
        <v>78</v>
      </c>
      <c r="B7" s="15">
        <v>2020</v>
      </c>
      <c r="C7" s="15" t="s">
        <v>68</v>
      </c>
      <c r="D7" s="15" t="s">
        <v>79</v>
      </c>
      <c r="E7" s="78"/>
      <c r="F7" s="86"/>
      <c r="G7" s="15" t="s">
        <v>207</v>
      </c>
      <c r="H7" s="15">
        <v>2020</v>
      </c>
      <c r="I7" s="15" t="s">
        <v>68</v>
      </c>
      <c r="J7" s="15" t="s">
        <v>79</v>
      </c>
      <c r="K7" s="15"/>
    </row>
    <row r="8" spans="1:13">
      <c r="A8" s="70" t="s">
        <v>80</v>
      </c>
      <c r="B8" s="15">
        <v>2020</v>
      </c>
      <c r="C8" s="15" t="s">
        <v>68</v>
      </c>
      <c r="D8" s="15" t="s">
        <v>81</v>
      </c>
      <c r="E8" s="78"/>
      <c r="F8" s="86"/>
      <c r="G8" s="15" t="s">
        <v>208</v>
      </c>
      <c r="H8" s="15">
        <v>2020</v>
      </c>
      <c r="I8" s="15" t="s">
        <v>68</v>
      </c>
      <c r="J8" s="15" t="s">
        <v>81</v>
      </c>
      <c r="K8" s="15"/>
    </row>
    <row r="9" spans="1:13">
      <c r="A9" s="70" t="s">
        <v>82</v>
      </c>
      <c r="B9" s="15">
        <v>2020</v>
      </c>
      <c r="C9" s="15" t="s">
        <v>68</v>
      </c>
      <c r="D9" s="15" t="s">
        <v>83</v>
      </c>
      <c r="E9" s="78"/>
      <c r="F9" s="86"/>
      <c r="G9" s="15" t="s">
        <v>209</v>
      </c>
      <c r="H9" s="15">
        <v>2020</v>
      </c>
      <c r="I9" s="15" t="s">
        <v>68</v>
      </c>
      <c r="J9" s="15" t="s">
        <v>83</v>
      </c>
      <c r="K9" s="15"/>
    </row>
    <row r="10" spans="1:13">
      <c r="A10" s="70" t="s">
        <v>84</v>
      </c>
      <c r="B10" s="15">
        <v>2020</v>
      </c>
      <c r="C10" s="15" t="s">
        <v>68</v>
      </c>
      <c r="D10" s="15" t="s">
        <v>85</v>
      </c>
      <c r="E10" s="78"/>
      <c r="F10" s="86"/>
      <c r="G10" s="15" t="s">
        <v>210</v>
      </c>
      <c r="H10" s="15">
        <v>2020</v>
      </c>
      <c r="I10" s="15" t="s">
        <v>68</v>
      </c>
      <c r="J10" s="15" t="s">
        <v>85</v>
      </c>
      <c r="K10" s="15"/>
    </row>
    <row r="11" spans="1:13">
      <c r="A11" s="70" t="s">
        <v>86</v>
      </c>
      <c r="B11" s="15">
        <v>2020</v>
      </c>
      <c r="C11" s="15" t="s">
        <v>68</v>
      </c>
      <c r="D11" s="15" t="s">
        <v>87</v>
      </c>
      <c r="E11" s="78"/>
      <c r="F11" s="86"/>
      <c r="G11" s="15" t="s">
        <v>211</v>
      </c>
      <c r="H11" s="15">
        <v>2020</v>
      </c>
      <c r="I11" s="15" t="s">
        <v>68</v>
      </c>
      <c r="J11" s="15" t="s">
        <v>87</v>
      </c>
      <c r="K11" s="15"/>
    </row>
    <row r="12" spans="1:13">
      <c r="A12" s="70" t="s">
        <v>88</v>
      </c>
      <c r="B12" s="15">
        <v>2020</v>
      </c>
      <c r="C12" s="15" t="s">
        <v>68</v>
      </c>
      <c r="D12" s="15" t="s">
        <v>89</v>
      </c>
      <c r="E12" s="78"/>
      <c r="F12" s="86"/>
      <c r="G12" s="15" t="s">
        <v>212</v>
      </c>
      <c r="H12" s="15">
        <v>2020</v>
      </c>
      <c r="I12" s="15" t="s">
        <v>68</v>
      </c>
      <c r="J12" s="15" t="s">
        <v>89</v>
      </c>
      <c r="K12" s="15"/>
    </row>
    <row r="13" spans="1:13">
      <c r="A13" s="70" t="s">
        <v>90</v>
      </c>
      <c r="B13" s="15">
        <v>2020</v>
      </c>
      <c r="C13" s="15" t="s">
        <v>68</v>
      </c>
      <c r="D13" s="15" t="s">
        <v>91</v>
      </c>
      <c r="E13" s="78"/>
      <c r="F13" s="86"/>
      <c r="G13" s="15" t="s">
        <v>213</v>
      </c>
      <c r="H13" s="15">
        <v>2020</v>
      </c>
      <c r="I13" s="15" t="s">
        <v>68</v>
      </c>
      <c r="J13" s="15" t="s">
        <v>91</v>
      </c>
      <c r="K13" s="15"/>
    </row>
    <row r="14" spans="1:13">
      <c r="A14" s="70" t="s">
        <v>92</v>
      </c>
      <c r="B14" s="15">
        <v>2020</v>
      </c>
      <c r="C14" s="15" t="s">
        <v>68</v>
      </c>
      <c r="D14" s="15" t="s">
        <v>93</v>
      </c>
      <c r="E14" s="78"/>
      <c r="F14" s="86"/>
      <c r="G14" s="15" t="s">
        <v>214</v>
      </c>
      <c r="H14" s="15">
        <v>2020</v>
      </c>
      <c r="I14" s="15" t="s">
        <v>68</v>
      </c>
      <c r="J14" s="15" t="s">
        <v>93</v>
      </c>
      <c r="K14" s="15"/>
    </row>
    <row r="15" spans="1:13">
      <c r="A15" s="70" t="s">
        <v>94</v>
      </c>
      <c r="B15" s="15">
        <v>2020</v>
      </c>
      <c r="C15" s="15" t="s">
        <v>68</v>
      </c>
      <c r="D15" s="15" t="s">
        <v>95</v>
      </c>
      <c r="E15" s="78"/>
      <c r="F15" s="86"/>
      <c r="G15" s="15" t="s">
        <v>215</v>
      </c>
      <c r="H15" s="15">
        <v>2020</v>
      </c>
      <c r="I15" s="15" t="s">
        <v>68</v>
      </c>
      <c r="J15" s="15" t="s">
        <v>95</v>
      </c>
      <c r="K15" s="15"/>
    </row>
    <row r="16" spans="1:13">
      <c r="A16" s="70" t="s">
        <v>96</v>
      </c>
      <c r="B16" s="15">
        <v>2020</v>
      </c>
      <c r="C16" s="15" t="s">
        <v>68</v>
      </c>
      <c r="D16" s="15" t="s">
        <v>97</v>
      </c>
      <c r="E16" s="78"/>
      <c r="F16" s="86"/>
      <c r="G16" s="15" t="s">
        <v>216</v>
      </c>
      <c r="H16" s="15">
        <v>2020</v>
      </c>
      <c r="I16" s="15" t="s">
        <v>68</v>
      </c>
      <c r="J16" s="15" t="s">
        <v>97</v>
      </c>
      <c r="K16" s="15"/>
    </row>
    <row r="17" spans="1:11">
      <c r="A17" s="70" t="s">
        <v>98</v>
      </c>
      <c r="B17" s="15">
        <v>2020</v>
      </c>
      <c r="C17" s="15" t="s">
        <v>68</v>
      </c>
      <c r="D17" s="15" t="s">
        <v>99</v>
      </c>
      <c r="E17" s="78"/>
      <c r="F17" s="86"/>
      <c r="G17" s="15" t="s">
        <v>217</v>
      </c>
      <c r="H17" s="15">
        <v>2020</v>
      </c>
      <c r="I17" s="15" t="s">
        <v>68</v>
      </c>
      <c r="J17" s="15" t="s">
        <v>99</v>
      </c>
      <c r="K17" s="15"/>
    </row>
    <row r="18" spans="1:11">
      <c r="A18" s="70" t="s">
        <v>100</v>
      </c>
      <c r="B18" s="15">
        <v>2020</v>
      </c>
      <c r="C18" s="15" t="s">
        <v>68</v>
      </c>
      <c r="D18" s="15" t="s">
        <v>101</v>
      </c>
      <c r="E18" s="78"/>
      <c r="F18" s="86"/>
      <c r="G18" s="15" t="s">
        <v>218</v>
      </c>
      <c r="H18" s="15">
        <v>2020</v>
      </c>
      <c r="I18" s="15" t="s">
        <v>68</v>
      </c>
      <c r="J18" s="15" t="s">
        <v>101</v>
      </c>
      <c r="K18" s="15"/>
    </row>
    <row r="19" spans="1:11">
      <c r="A19" s="70" t="s">
        <v>102</v>
      </c>
      <c r="B19" s="15">
        <v>2020</v>
      </c>
      <c r="C19" s="15" t="s">
        <v>68</v>
      </c>
      <c r="D19" s="15" t="s">
        <v>103</v>
      </c>
      <c r="E19" s="78"/>
      <c r="F19" s="86"/>
      <c r="G19" s="15" t="s">
        <v>219</v>
      </c>
      <c r="H19" s="15">
        <v>2020</v>
      </c>
      <c r="I19" s="15" t="s">
        <v>68</v>
      </c>
      <c r="J19" s="15" t="s">
        <v>103</v>
      </c>
      <c r="K19" s="15"/>
    </row>
    <row r="20" spans="1:11">
      <c r="A20" s="70" t="s">
        <v>104</v>
      </c>
      <c r="B20" s="15">
        <v>2020</v>
      </c>
      <c r="C20" s="15" t="s">
        <v>105</v>
      </c>
      <c r="D20" s="15" t="s">
        <v>106</v>
      </c>
      <c r="E20" s="78"/>
      <c r="F20" s="86"/>
      <c r="G20" s="15" t="s">
        <v>220</v>
      </c>
      <c r="H20" s="15">
        <v>2020</v>
      </c>
      <c r="I20" s="15" t="s">
        <v>105</v>
      </c>
      <c r="J20" s="15" t="s">
        <v>106</v>
      </c>
      <c r="K20" s="15"/>
    </row>
    <row r="21" spans="1:11">
      <c r="A21" s="70" t="s">
        <v>107</v>
      </c>
      <c r="B21" s="15">
        <v>2020</v>
      </c>
      <c r="C21" s="15" t="s">
        <v>105</v>
      </c>
      <c r="D21" s="15" t="s">
        <v>108</v>
      </c>
      <c r="E21" s="78"/>
      <c r="F21" s="86"/>
      <c r="G21" s="15" t="s">
        <v>221</v>
      </c>
      <c r="H21" s="15">
        <v>2020</v>
      </c>
      <c r="I21" s="15" t="s">
        <v>105</v>
      </c>
      <c r="J21" s="15" t="s">
        <v>108</v>
      </c>
      <c r="K21" s="15"/>
    </row>
    <row r="22" spans="1:11">
      <c r="A22" s="70" t="s">
        <v>109</v>
      </c>
      <c r="B22" s="15">
        <v>2020</v>
      </c>
      <c r="C22" s="15" t="s">
        <v>105</v>
      </c>
      <c r="D22" s="15" t="s">
        <v>110</v>
      </c>
      <c r="E22" s="78"/>
      <c r="F22" s="86"/>
      <c r="G22" s="15" t="s">
        <v>222</v>
      </c>
      <c r="H22" s="15">
        <v>2020</v>
      </c>
      <c r="I22" s="15" t="s">
        <v>105</v>
      </c>
      <c r="J22" s="15" t="s">
        <v>110</v>
      </c>
      <c r="K22" s="15"/>
    </row>
    <row r="23" spans="1:11">
      <c r="A23" s="70" t="s">
        <v>111</v>
      </c>
      <c r="B23" s="15">
        <v>2020</v>
      </c>
      <c r="C23" s="15" t="s">
        <v>105</v>
      </c>
      <c r="D23" s="15" t="s">
        <v>112</v>
      </c>
      <c r="E23" s="78"/>
      <c r="F23" s="86"/>
      <c r="G23" s="15" t="s">
        <v>223</v>
      </c>
      <c r="H23" s="15">
        <v>2020</v>
      </c>
      <c r="I23" s="15" t="s">
        <v>105</v>
      </c>
      <c r="J23" s="15" t="s">
        <v>112</v>
      </c>
      <c r="K23" s="15"/>
    </row>
    <row r="24" spans="1:11">
      <c r="A24" s="70" t="s">
        <v>113</v>
      </c>
      <c r="B24" s="15">
        <v>2020</v>
      </c>
      <c r="C24" s="15" t="s">
        <v>105</v>
      </c>
      <c r="D24" s="15" t="s">
        <v>114</v>
      </c>
      <c r="E24" s="78"/>
      <c r="F24" s="86"/>
      <c r="G24" s="15" t="s">
        <v>224</v>
      </c>
      <c r="H24" s="15">
        <v>2020</v>
      </c>
      <c r="I24" s="15" t="s">
        <v>105</v>
      </c>
      <c r="J24" s="15" t="s">
        <v>114</v>
      </c>
      <c r="K24" s="15"/>
    </row>
    <row r="25" spans="1:11">
      <c r="A25" s="70" t="s">
        <v>115</v>
      </c>
      <c r="B25" s="15">
        <v>2020</v>
      </c>
      <c r="C25" s="15" t="s">
        <v>105</v>
      </c>
      <c r="D25" s="15" t="s">
        <v>116</v>
      </c>
      <c r="E25" s="78"/>
      <c r="F25" s="86"/>
      <c r="G25" s="15" t="s">
        <v>225</v>
      </c>
      <c r="H25" s="15">
        <v>2020</v>
      </c>
      <c r="I25" s="15" t="s">
        <v>105</v>
      </c>
      <c r="J25" s="15" t="s">
        <v>116</v>
      </c>
      <c r="K25" s="15"/>
    </row>
    <row r="26" spans="1:11">
      <c r="A26" s="70" t="s">
        <v>117</v>
      </c>
      <c r="B26" s="15">
        <v>2020</v>
      </c>
      <c r="C26" s="15" t="s">
        <v>105</v>
      </c>
      <c r="D26" s="15" t="s">
        <v>118</v>
      </c>
      <c r="E26" s="78"/>
      <c r="F26" s="86"/>
      <c r="G26" s="15" t="s">
        <v>226</v>
      </c>
      <c r="H26" s="15">
        <v>2020</v>
      </c>
      <c r="I26" s="15" t="s">
        <v>105</v>
      </c>
      <c r="J26" s="15" t="s">
        <v>118</v>
      </c>
      <c r="K26" s="15"/>
    </row>
    <row r="27" spans="1:11">
      <c r="A27" s="70" t="s">
        <v>119</v>
      </c>
      <c r="B27" s="15">
        <v>2020</v>
      </c>
      <c r="C27" s="15" t="s">
        <v>105</v>
      </c>
      <c r="D27" s="15" t="s">
        <v>120</v>
      </c>
      <c r="E27" s="78"/>
      <c r="F27" s="86"/>
      <c r="G27" s="15" t="s">
        <v>227</v>
      </c>
      <c r="H27" s="15">
        <v>2020</v>
      </c>
      <c r="I27" s="15" t="s">
        <v>105</v>
      </c>
      <c r="J27" s="15" t="s">
        <v>120</v>
      </c>
      <c r="K27" s="15"/>
    </row>
    <row r="28" spans="1:11">
      <c r="A28" s="70" t="s">
        <v>121</v>
      </c>
      <c r="B28" s="15">
        <v>2020</v>
      </c>
      <c r="C28" s="15" t="s">
        <v>105</v>
      </c>
      <c r="D28" s="15" t="s">
        <v>122</v>
      </c>
      <c r="E28" s="78"/>
      <c r="F28" s="86"/>
      <c r="G28" s="15" t="s">
        <v>228</v>
      </c>
      <c r="H28" s="15">
        <v>2020</v>
      </c>
      <c r="I28" s="15" t="s">
        <v>105</v>
      </c>
      <c r="J28" s="15" t="s">
        <v>122</v>
      </c>
      <c r="K28" s="15"/>
    </row>
    <row r="29" spans="1:11">
      <c r="A29" s="70" t="s">
        <v>123</v>
      </c>
      <c r="B29" s="15">
        <v>2020</v>
      </c>
      <c r="C29" s="15" t="s">
        <v>105</v>
      </c>
      <c r="D29" s="15" t="s">
        <v>124</v>
      </c>
      <c r="E29" s="78"/>
      <c r="F29" s="86"/>
      <c r="G29" s="15" t="s">
        <v>229</v>
      </c>
      <c r="H29" s="15">
        <v>2020</v>
      </c>
      <c r="I29" s="15" t="s">
        <v>105</v>
      </c>
      <c r="J29" s="15" t="s">
        <v>124</v>
      </c>
      <c r="K29" s="15"/>
    </row>
    <row r="30" spans="1:11">
      <c r="A30" s="70" t="s">
        <v>125</v>
      </c>
      <c r="B30" s="15">
        <v>2020</v>
      </c>
      <c r="C30" s="15" t="s">
        <v>105</v>
      </c>
      <c r="D30" s="15" t="s">
        <v>126</v>
      </c>
      <c r="E30" s="78"/>
      <c r="F30" s="86"/>
      <c r="G30" s="15" t="s">
        <v>230</v>
      </c>
      <c r="H30" s="15">
        <v>2020</v>
      </c>
      <c r="I30" s="15" t="s">
        <v>105</v>
      </c>
      <c r="J30" s="15" t="s">
        <v>126</v>
      </c>
      <c r="K30" s="15"/>
    </row>
    <row r="31" spans="1:11">
      <c r="A31" s="70" t="s">
        <v>127</v>
      </c>
      <c r="B31" s="15">
        <v>2020</v>
      </c>
      <c r="C31" s="15" t="s">
        <v>105</v>
      </c>
      <c r="D31" s="15" t="s">
        <v>128</v>
      </c>
      <c r="E31" s="78"/>
      <c r="F31" s="86"/>
      <c r="G31" s="15" t="s">
        <v>231</v>
      </c>
      <c r="H31" s="15">
        <v>2020</v>
      </c>
      <c r="I31" s="15" t="s">
        <v>105</v>
      </c>
      <c r="J31" s="15" t="s">
        <v>128</v>
      </c>
      <c r="K31" s="15"/>
    </row>
    <row r="32" spans="1:11">
      <c r="A32" s="70" t="s">
        <v>129</v>
      </c>
      <c r="B32" s="15">
        <v>2020</v>
      </c>
      <c r="C32" s="15" t="s">
        <v>105</v>
      </c>
      <c r="D32" s="15" t="s">
        <v>130</v>
      </c>
      <c r="E32" s="78"/>
      <c r="F32" s="86"/>
      <c r="G32" s="15" t="s">
        <v>232</v>
      </c>
      <c r="H32" s="15">
        <v>2020</v>
      </c>
      <c r="I32" s="15" t="s">
        <v>105</v>
      </c>
      <c r="J32" s="15" t="s">
        <v>130</v>
      </c>
      <c r="K32" s="15"/>
    </row>
    <row r="33" spans="1:11">
      <c r="A33" s="70" t="s">
        <v>131</v>
      </c>
      <c r="B33" s="15">
        <v>2020</v>
      </c>
      <c r="C33" s="15" t="s">
        <v>105</v>
      </c>
      <c r="D33" s="15" t="s">
        <v>132</v>
      </c>
      <c r="E33" s="78"/>
      <c r="F33" s="86"/>
      <c r="G33" s="15" t="s">
        <v>233</v>
      </c>
      <c r="H33" s="15">
        <v>2020</v>
      </c>
      <c r="I33" s="15" t="s">
        <v>105</v>
      </c>
      <c r="J33" s="15" t="s">
        <v>132</v>
      </c>
      <c r="K33" s="15"/>
    </row>
    <row r="34" spans="1:11">
      <c r="A34" s="70" t="s">
        <v>133</v>
      </c>
      <c r="B34" s="15">
        <v>2020</v>
      </c>
      <c r="C34" s="15" t="s">
        <v>105</v>
      </c>
      <c r="D34" s="15" t="s">
        <v>134</v>
      </c>
      <c r="E34" s="78"/>
      <c r="F34" s="86"/>
      <c r="G34" s="15" t="s">
        <v>234</v>
      </c>
      <c r="H34" s="15">
        <v>2020</v>
      </c>
      <c r="I34" s="15" t="s">
        <v>105</v>
      </c>
      <c r="J34" s="15" t="s">
        <v>134</v>
      </c>
      <c r="K34" s="15"/>
    </row>
    <row r="35" spans="1:11">
      <c r="A35" s="70" t="s">
        <v>135</v>
      </c>
      <c r="B35" s="15">
        <v>2020</v>
      </c>
      <c r="C35" s="15" t="s">
        <v>105</v>
      </c>
      <c r="D35" s="15" t="s">
        <v>136</v>
      </c>
      <c r="E35" s="78"/>
      <c r="F35" s="86"/>
      <c r="G35" s="15" t="s">
        <v>235</v>
      </c>
      <c r="H35" s="15">
        <v>2020</v>
      </c>
      <c r="I35" s="15" t="s">
        <v>105</v>
      </c>
      <c r="J35" s="15" t="s">
        <v>136</v>
      </c>
      <c r="K35" s="15"/>
    </row>
    <row r="36" spans="1:11">
      <c r="A36" s="70" t="s">
        <v>137</v>
      </c>
      <c r="B36" s="15">
        <v>2020</v>
      </c>
      <c r="C36" s="15" t="s">
        <v>105</v>
      </c>
      <c r="D36" s="15" t="s">
        <v>138</v>
      </c>
      <c r="E36" s="78"/>
      <c r="F36" s="86"/>
      <c r="G36" s="15" t="s">
        <v>236</v>
      </c>
      <c r="H36" s="15">
        <v>2020</v>
      </c>
      <c r="I36" s="15" t="s">
        <v>105</v>
      </c>
      <c r="J36" s="15" t="s">
        <v>138</v>
      </c>
      <c r="K36" s="15"/>
    </row>
    <row r="37" spans="1:11">
      <c r="A37" s="70" t="s">
        <v>139</v>
      </c>
      <c r="B37" s="15">
        <v>2020</v>
      </c>
      <c r="C37" s="15" t="s">
        <v>105</v>
      </c>
      <c r="D37" s="15" t="s">
        <v>140</v>
      </c>
      <c r="E37" s="78"/>
      <c r="F37" s="86"/>
      <c r="G37" s="15" t="s">
        <v>237</v>
      </c>
      <c r="H37" s="15">
        <v>2020</v>
      </c>
      <c r="I37" s="15" t="s">
        <v>105</v>
      </c>
      <c r="J37" s="15" t="s">
        <v>140</v>
      </c>
      <c r="K37" s="15"/>
    </row>
    <row r="38" spans="1:11">
      <c r="A38" s="70" t="s">
        <v>515</v>
      </c>
      <c r="B38" s="15">
        <v>2021</v>
      </c>
      <c r="C38" s="15" t="s">
        <v>142</v>
      </c>
      <c r="D38" s="15" t="s">
        <v>69</v>
      </c>
      <c r="E38" s="78"/>
      <c r="F38" s="86"/>
      <c r="G38" s="15" t="s">
        <v>238</v>
      </c>
      <c r="H38" s="15">
        <v>2020</v>
      </c>
      <c r="I38" s="15" t="s">
        <v>239</v>
      </c>
      <c r="J38" s="15" t="s">
        <v>106</v>
      </c>
      <c r="K38" s="15"/>
    </row>
    <row r="39" spans="1:11">
      <c r="A39" s="70" t="s">
        <v>516</v>
      </c>
      <c r="B39" s="15">
        <v>2021</v>
      </c>
      <c r="C39" s="15" t="s">
        <v>142</v>
      </c>
      <c r="D39" s="15" t="s">
        <v>71</v>
      </c>
      <c r="E39" s="78"/>
      <c r="F39" s="86"/>
      <c r="G39" s="15" t="s">
        <v>240</v>
      </c>
      <c r="H39" s="15">
        <v>2020</v>
      </c>
      <c r="I39" s="15" t="s">
        <v>239</v>
      </c>
      <c r="J39" s="15" t="s">
        <v>108</v>
      </c>
      <c r="K39" s="15"/>
    </row>
    <row r="40" spans="1:11">
      <c r="A40" s="70" t="s">
        <v>517</v>
      </c>
      <c r="B40" s="15">
        <v>2021</v>
      </c>
      <c r="C40" s="15" t="s">
        <v>142</v>
      </c>
      <c r="D40" s="15" t="s">
        <v>73</v>
      </c>
      <c r="E40" s="78"/>
      <c r="F40" s="86"/>
      <c r="G40" s="15" t="s">
        <v>241</v>
      </c>
      <c r="H40" s="15">
        <v>2020</v>
      </c>
      <c r="I40" s="15" t="s">
        <v>239</v>
      </c>
      <c r="J40" s="15" t="s">
        <v>110</v>
      </c>
      <c r="K40" s="15"/>
    </row>
    <row r="41" spans="1:11">
      <c r="A41" s="70" t="s">
        <v>518</v>
      </c>
      <c r="B41" s="15">
        <v>2021</v>
      </c>
      <c r="C41" s="15" t="s">
        <v>142</v>
      </c>
      <c r="D41" s="15" t="s">
        <v>75</v>
      </c>
      <c r="E41" s="78"/>
      <c r="F41" s="86"/>
      <c r="G41" s="15" t="s">
        <v>242</v>
      </c>
      <c r="H41" s="15">
        <v>2020</v>
      </c>
      <c r="I41" s="15" t="s">
        <v>239</v>
      </c>
      <c r="J41" s="15" t="s">
        <v>112</v>
      </c>
      <c r="K41" s="15"/>
    </row>
    <row r="42" spans="1:11">
      <c r="A42" s="70" t="s">
        <v>519</v>
      </c>
      <c r="B42" s="15">
        <v>2021</v>
      </c>
      <c r="C42" s="15" t="s">
        <v>142</v>
      </c>
      <c r="D42" s="15" t="s">
        <v>77</v>
      </c>
      <c r="E42" s="78"/>
      <c r="F42" s="86"/>
      <c r="G42" s="15" t="s">
        <v>243</v>
      </c>
      <c r="H42" s="15">
        <v>2020</v>
      </c>
      <c r="I42" s="15" t="s">
        <v>239</v>
      </c>
      <c r="J42" s="15" t="s">
        <v>114</v>
      </c>
      <c r="K42" s="15"/>
    </row>
    <row r="43" spans="1:11">
      <c r="A43" s="70" t="s">
        <v>520</v>
      </c>
      <c r="B43" s="15">
        <v>2021</v>
      </c>
      <c r="C43" s="15" t="s">
        <v>142</v>
      </c>
      <c r="D43" s="15" t="s">
        <v>79</v>
      </c>
      <c r="E43" s="78"/>
      <c r="F43" s="86"/>
      <c r="G43" s="15" t="s">
        <v>244</v>
      </c>
      <c r="H43" s="15">
        <v>2020</v>
      </c>
      <c r="I43" s="15" t="s">
        <v>239</v>
      </c>
      <c r="J43" s="15" t="s">
        <v>116</v>
      </c>
      <c r="K43" s="15"/>
    </row>
    <row r="44" spans="1:11">
      <c r="A44" s="70" t="s">
        <v>521</v>
      </c>
      <c r="B44" s="15">
        <v>2021</v>
      </c>
      <c r="C44" s="15" t="s">
        <v>142</v>
      </c>
      <c r="D44" s="15" t="s">
        <v>81</v>
      </c>
      <c r="E44" s="78"/>
      <c r="F44" s="86"/>
      <c r="G44" s="15" t="s">
        <v>245</v>
      </c>
      <c r="H44" s="15">
        <v>2020</v>
      </c>
      <c r="I44" s="15" t="s">
        <v>239</v>
      </c>
      <c r="J44" s="15" t="s">
        <v>118</v>
      </c>
      <c r="K44" s="15"/>
    </row>
    <row r="45" spans="1:11">
      <c r="A45" s="70" t="s">
        <v>522</v>
      </c>
      <c r="B45" s="15">
        <v>2021</v>
      </c>
      <c r="C45" s="15" t="s">
        <v>142</v>
      </c>
      <c r="D45" s="15" t="s">
        <v>83</v>
      </c>
      <c r="E45" s="78"/>
      <c r="F45" s="86"/>
      <c r="G45" s="15" t="s">
        <v>246</v>
      </c>
      <c r="H45" s="15">
        <v>2020</v>
      </c>
      <c r="I45" s="15" t="s">
        <v>239</v>
      </c>
      <c r="J45" s="15" t="s">
        <v>120</v>
      </c>
      <c r="K45" s="15"/>
    </row>
    <row r="46" spans="1:11">
      <c r="A46" s="70" t="s">
        <v>523</v>
      </c>
      <c r="B46" s="15">
        <v>2021</v>
      </c>
      <c r="C46" s="15" t="s">
        <v>142</v>
      </c>
      <c r="D46" s="15" t="s">
        <v>85</v>
      </c>
      <c r="E46" s="78"/>
      <c r="F46" s="86"/>
      <c r="G46" s="15" t="s">
        <v>247</v>
      </c>
      <c r="H46" s="15">
        <v>2020</v>
      </c>
      <c r="I46" s="15" t="s">
        <v>239</v>
      </c>
      <c r="J46" s="15" t="s">
        <v>122</v>
      </c>
      <c r="K46" s="15"/>
    </row>
    <row r="47" spans="1:11">
      <c r="A47" s="70" t="s">
        <v>524</v>
      </c>
      <c r="B47" s="15">
        <v>2021</v>
      </c>
      <c r="C47" s="15" t="s">
        <v>142</v>
      </c>
      <c r="D47" s="15" t="s">
        <v>152</v>
      </c>
      <c r="E47" s="78"/>
      <c r="F47" s="86"/>
      <c r="G47" s="15" t="s">
        <v>248</v>
      </c>
      <c r="H47" s="15">
        <v>2020</v>
      </c>
      <c r="I47" s="15" t="s">
        <v>239</v>
      </c>
      <c r="J47" s="15" t="s">
        <v>124</v>
      </c>
      <c r="K47" s="15"/>
    </row>
    <row r="48" spans="1:11">
      <c r="A48" s="70" t="s">
        <v>525</v>
      </c>
      <c r="B48" s="15">
        <v>2021</v>
      </c>
      <c r="C48" s="15" t="s">
        <v>142</v>
      </c>
      <c r="D48" s="15" t="s">
        <v>154</v>
      </c>
      <c r="E48" s="78"/>
      <c r="F48" s="86"/>
      <c r="G48" s="15" t="s">
        <v>249</v>
      </c>
      <c r="H48" s="15">
        <v>2020</v>
      </c>
      <c r="I48" s="15" t="s">
        <v>239</v>
      </c>
      <c r="J48" s="15" t="s">
        <v>126</v>
      </c>
      <c r="K48" s="15"/>
    </row>
    <row r="49" spans="1:11">
      <c r="A49" s="70" t="s">
        <v>526</v>
      </c>
      <c r="B49" s="15">
        <v>2021</v>
      </c>
      <c r="C49" s="15" t="s">
        <v>142</v>
      </c>
      <c r="D49" s="15" t="s">
        <v>156</v>
      </c>
      <c r="E49" s="78"/>
      <c r="F49" s="86"/>
      <c r="G49" s="15" t="s">
        <v>250</v>
      </c>
      <c r="H49" s="15">
        <v>2020</v>
      </c>
      <c r="I49" s="15" t="s">
        <v>239</v>
      </c>
      <c r="J49" s="15" t="s">
        <v>128</v>
      </c>
      <c r="K49" s="15"/>
    </row>
    <row r="50" spans="1:11">
      <c r="A50" s="70" t="s">
        <v>527</v>
      </c>
      <c r="B50" s="15">
        <v>2021</v>
      </c>
      <c r="C50" s="15" t="s">
        <v>142</v>
      </c>
      <c r="D50" s="15" t="s">
        <v>87</v>
      </c>
      <c r="E50" s="78"/>
      <c r="F50" s="86"/>
      <c r="G50" s="15" t="s">
        <v>251</v>
      </c>
      <c r="H50" s="15">
        <v>2020</v>
      </c>
      <c r="I50" s="15" t="s">
        <v>239</v>
      </c>
      <c r="J50" s="15" t="s">
        <v>130</v>
      </c>
      <c r="K50" s="15"/>
    </row>
    <row r="51" spans="1:11">
      <c r="A51" s="70" t="s">
        <v>528</v>
      </c>
      <c r="B51" s="15">
        <v>2021</v>
      </c>
      <c r="C51" s="15" t="s">
        <v>142</v>
      </c>
      <c r="D51" s="15" t="s">
        <v>89</v>
      </c>
      <c r="E51" s="78"/>
      <c r="F51" s="86"/>
      <c r="G51" s="15" t="s">
        <v>252</v>
      </c>
      <c r="H51" s="15">
        <v>2020</v>
      </c>
      <c r="I51" s="15" t="s">
        <v>239</v>
      </c>
      <c r="J51" s="15" t="s">
        <v>132</v>
      </c>
      <c r="K51" s="15"/>
    </row>
    <row r="52" spans="1:11">
      <c r="A52" s="70" t="s">
        <v>529</v>
      </c>
      <c r="B52" s="15">
        <v>2021</v>
      </c>
      <c r="C52" s="15" t="s">
        <v>142</v>
      </c>
      <c r="D52" s="15" t="s">
        <v>91</v>
      </c>
      <c r="E52" s="78"/>
      <c r="F52" s="86"/>
      <c r="G52" s="15" t="s">
        <v>253</v>
      </c>
      <c r="H52" s="15">
        <v>2020</v>
      </c>
      <c r="I52" s="15" t="s">
        <v>239</v>
      </c>
      <c r="J52" s="15" t="s">
        <v>134</v>
      </c>
      <c r="K52" s="15"/>
    </row>
    <row r="53" spans="1:11">
      <c r="A53" s="70" t="s">
        <v>530</v>
      </c>
      <c r="B53" s="15">
        <v>2021</v>
      </c>
      <c r="C53" s="15" t="s">
        <v>142</v>
      </c>
      <c r="D53" s="15" t="s">
        <v>93</v>
      </c>
      <c r="E53" s="78"/>
      <c r="F53" s="86"/>
      <c r="G53" s="15" t="s">
        <v>254</v>
      </c>
      <c r="H53" s="15">
        <v>2020</v>
      </c>
      <c r="I53" s="15" t="s">
        <v>239</v>
      </c>
      <c r="J53" s="15" t="s">
        <v>136</v>
      </c>
      <c r="K53" s="15"/>
    </row>
    <row r="54" spans="1:11">
      <c r="A54" s="70" t="s">
        <v>531</v>
      </c>
      <c r="B54" s="15">
        <v>2021</v>
      </c>
      <c r="C54" s="15" t="s">
        <v>142</v>
      </c>
      <c r="D54" s="15" t="s">
        <v>95</v>
      </c>
      <c r="E54" s="78"/>
      <c r="F54" s="86"/>
      <c r="G54" s="15" t="s">
        <v>255</v>
      </c>
      <c r="H54" s="15">
        <v>2020</v>
      </c>
      <c r="I54" s="15" t="s">
        <v>239</v>
      </c>
      <c r="J54" s="15" t="s">
        <v>138</v>
      </c>
      <c r="K54" s="15"/>
    </row>
    <row r="55" spans="1:11">
      <c r="A55" s="70" t="s">
        <v>532</v>
      </c>
      <c r="B55" s="15">
        <v>2021</v>
      </c>
      <c r="C55" s="15" t="s">
        <v>142</v>
      </c>
      <c r="D55" s="15" t="s">
        <v>97</v>
      </c>
      <c r="E55" s="78"/>
      <c r="F55" s="86"/>
      <c r="G55" s="15" t="s">
        <v>256</v>
      </c>
      <c r="H55" s="15">
        <v>2020</v>
      </c>
      <c r="I55" s="15" t="s">
        <v>239</v>
      </c>
      <c r="J55" s="15" t="s">
        <v>140</v>
      </c>
      <c r="K55" s="15"/>
    </row>
    <row r="56" spans="1:11">
      <c r="A56" s="70" t="s">
        <v>533</v>
      </c>
      <c r="B56" s="15">
        <v>2021</v>
      </c>
      <c r="C56" s="15" t="s">
        <v>142</v>
      </c>
      <c r="D56" s="15" t="s">
        <v>99</v>
      </c>
      <c r="E56" s="78"/>
      <c r="F56" s="86"/>
      <c r="G56" s="15" t="s">
        <v>257</v>
      </c>
      <c r="H56" s="15">
        <v>2020</v>
      </c>
      <c r="I56" s="15" t="s">
        <v>258</v>
      </c>
      <c r="J56" s="15" t="s">
        <v>124</v>
      </c>
      <c r="K56" s="15"/>
    </row>
    <row r="57" spans="1:11">
      <c r="A57" s="70" t="s">
        <v>534</v>
      </c>
      <c r="B57" s="15">
        <v>2021</v>
      </c>
      <c r="C57" s="15" t="s">
        <v>142</v>
      </c>
      <c r="D57" s="15" t="s">
        <v>101</v>
      </c>
      <c r="E57" s="78"/>
      <c r="F57" s="86"/>
      <c r="G57" s="15" t="s">
        <v>259</v>
      </c>
      <c r="H57" s="15">
        <v>2020</v>
      </c>
      <c r="I57" s="15" t="s">
        <v>258</v>
      </c>
      <c r="J57" s="15" t="s">
        <v>124</v>
      </c>
      <c r="K57" s="15"/>
    </row>
    <row r="58" spans="1:11">
      <c r="A58" s="70" t="s">
        <v>535</v>
      </c>
      <c r="B58" s="15">
        <v>2021</v>
      </c>
      <c r="C58" s="15" t="s">
        <v>142</v>
      </c>
      <c r="D58" s="15" t="s">
        <v>103</v>
      </c>
      <c r="E58" s="78"/>
      <c r="F58" s="86"/>
      <c r="G58" s="15" t="s">
        <v>260</v>
      </c>
      <c r="H58" s="15">
        <v>2020</v>
      </c>
      <c r="I58" s="15" t="s">
        <v>258</v>
      </c>
      <c r="J58" s="15" t="s">
        <v>126</v>
      </c>
      <c r="K58" s="15"/>
    </row>
    <row r="59" spans="1:11">
      <c r="A59" s="70" t="s">
        <v>536</v>
      </c>
      <c r="B59" s="15">
        <v>2021</v>
      </c>
      <c r="C59" s="15" t="s">
        <v>142</v>
      </c>
      <c r="D59" s="15" t="s">
        <v>167</v>
      </c>
      <c r="E59" s="78"/>
      <c r="F59" s="86"/>
      <c r="G59" s="15" t="s">
        <v>261</v>
      </c>
      <c r="H59" s="15">
        <v>2020</v>
      </c>
      <c r="I59" s="15" t="s">
        <v>258</v>
      </c>
      <c r="J59" s="15" t="s">
        <v>126</v>
      </c>
      <c r="K59" s="15"/>
    </row>
    <row r="60" spans="1:11">
      <c r="A60" s="70" t="s">
        <v>537</v>
      </c>
      <c r="B60" s="15">
        <v>2021</v>
      </c>
      <c r="C60" s="15" t="s">
        <v>142</v>
      </c>
      <c r="D60" s="15" t="s">
        <v>169</v>
      </c>
      <c r="E60" s="78"/>
      <c r="F60" s="86"/>
      <c r="G60" s="15" t="s">
        <v>262</v>
      </c>
      <c r="H60" s="15">
        <v>2020</v>
      </c>
      <c r="I60" s="15" t="s">
        <v>258</v>
      </c>
      <c r="J60" s="15" t="s">
        <v>128</v>
      </c>
      <c r="K60" s="15"/>
    </row>
    <row r="61" spans="1:11">
      <c r="A61" s="70" t="s">
        <v>538</v>
      </c>
      <c r="B61" s="15">
        <v>2021</v>
      </c>
      <c r="C61" s="15" t="s">
        <v>142</v>
      </c>
      <c r="D61" s="15" t="s">
        <v>171</v>
      </c>
      <c r="E61" s="78"/>
      <c r="F61" s="86"/>
      <c r="G61" s="15" t="s">
        <v>263</v>
      </c>
      <c r="H61" s="15">
        <v>2020</v>
      </c>
      <c r="I61" s="15" t="s">
        <v>258</v>
      </c>
      <c r="J61" s="15" t="s">
        <v>128</v>
      </c>
      <c r="K61" s="15"/>
    </row>
    <row r="62" spans="1:11">
      <c r="A62" s="70" t="s">
        <v>539</v>
      </c>
      <c r="B62" s="15">
        <v>2021</v>
      </c>
      <c r="C62" s="15" t="s">
        <v>142</v>
      </c>
      <c r="D62" s="15" t="s">
        <v>106</v>
      </c>
      <c r="E62" s="78"/>
      <c r="F62" s="86"/>
      <c r="G62" s="15" t="s">
        <v>264</v>
      </c>
      <c r="H62" s="15">
        <v>2020</v>
      </c>
      <c r="I62" s="15" t="s">
        <v>258</v>
      </c>
      <c r="J62" s="15" t="s">
        <v>118</v>
      </c>
      <c r="K62" s="15"/>
    </row>
    <row r="63" spans="1:11">
      <c r="A63" s="70" t="s">
        <v>540</v>
      </c>
      <c r="B63" s="15">
        <v>2021</v>
      </c>
      <c r="C63" s="15" t="s">
        <v>142</v>
      </c>
      <c r="D63" s="15" t="s">
        <v>108</v>
      </c>
      <c r="E63" s="78"/>
      <c r="F63" s="86"/>
      <c r="G63" s="15" t="s">
        <v>265</v>
      </c>
      <c r="H63" s="15">
        <v>2020</v>
      </c>
      <c r="I63" s="15" t="s">
        <v>258</v>
      </c>
      <c r="J63" s="15" t="s">
        <v>118</v>
      </c>
      <c r="K63" s="15"/>
    </row>
    <row r="64" spans="1:11">
      <c r="A64" s="70" t="s">
        <v>541</v>
      </c>
      <c r="B64" s="15">
        <v>2021</v>
      </c>
      <c r="C64" s="15" t="s">
        <v>142</v>
      </c>
      <c r="D64" s="15" t="s">
        <v>110</v>
      </c>
      <c r="E64" s="78"/>
      <c r="F64" s="86"/>
      <c r="G64" s="15" t="s">
        <v>266</v>
      </c>
      <c r="H64" s="15">
        <v>2020</v>
      </c>
      <c r="I64" s="15" t="s">
        <v>258</v>
      </c>
      <c r="J64" s="15" t="s">
        <v>120</v>
      </c>
      <c r="K64" s="15"/>
    </row>
    <row r="65" spans="1:11">
      <c r="A65" s="70" t="s">
        <v>542</v>
      </c>
      <c r="B65" s="15">
        <v>2021</v>
      </c>
      <c r="C65" s="15" t="s">
        <v>142</v>
      </c>
      <c r="D65" s="15" t="s">
        <v>112</v>
      </c>
      <c r="E65" s="78"/>
      <c r="F65" s="86"/>
      <c r="G65" s="15" t="s">
        <v>267</v>
      </c>
      <c r="H65" s="15">
        <v>2020</v>
      </c>
      <c r="I65" s="15" t="s">
        <v>258</v>
      </c>
      <c r="J65" s="15" t="s">
        <v>120</v>
      </c>
      <c r="K65" s="15"/>
    </row>
    <row r="66" spans="1:11">
      <c r="A66" s="70" t="s">
        <v>543</v>
      </c>
      <c r="B66" s="15">
        <v>2021</v>
      </c>
      <c r="C66" s="15" t="s">
        <v>142</v>
      </c>
      <c r="D66" s="15" t="s">
        <v>114</v>
      </c>
      <c r="E66" s="78"/>
      <c r="F66" s="86"/>
      <c r="G66" s="15" t="s">
        <v>268</v>
      </c>
      <c r="H66" s="15">
        <v>2020</v>
      </c>
      <c r="I66" s="15" t="s">
        <v>258</v>
      </c>
      <c r="J66" s="15" t="s">
        <v>122</v>
      </c>
      <c r="K66" s="15"/>
    </row>
    <row r="67" spans="1:11">
      <c r="A67" s="70" t="s">
        <v>544</v>
      </c>
      <c r="B67" s="15">
        <v>2021</v>
      </c>
      <c r="C67" s="15" t="s">
        <v>142</v>
      </c>
      <c r="D67" s="15" t="s">
        <v>116</v>
      </c>
      <c r="E67" s="78"/>
      <c r="F67" s="86"/>
      <c r="G67" s="15" t="s">
        <v>269</v>
      </c>
      <c r="H67" s="15">
        <v>2020</v>
      </c>
      <c r="I67" s="15" t="s">
        <v>258</v>
      </c>
      <c r="J67" s="15" t="s">
        <v>122</v>
      </c>
      <c r="K67" s="15"/>
    </row>
    <row r="68" spans="1:11">
      <c r="A68" s="70" t="s">
        <v>545</v>
      </c>
      <c r="B68" s="15">
        <v>2021</v>
      </c>
      <c r="C68" s="15" t="s">
        <v>142</v>
      </c>
      <c r="D68" s="15" t="s">
        <v>118</v>
      </c>
      <c r="E68" s="78"/>
      <c r="F68" s="86"/>
      <c r="G68" s="15" t="s">
        <v>270</v>
      </c>
      <c r="H68" s="15">
        <v>2020</v>
      </c>
      <c r="I68" s="15" t="s">
        <v>258</v>
      </c>
      <c r="J68" s="15" t="s">
        <v>124</v>
      </c>
      <c r="K68" s="15"/>
    </row>
    <row r="69" spans="1:11">
      <c r="A69" s="70" t="s">
        <v>546</v>
      </c>
      <c r="B69" s="15">
        <v>2021</v>
      </c>
      <c r="C69" s="15" t="s">
        <v>142</v>
      </c>
      <c r="D69" s="15" t="s">
        <v>120</v>
      </c>
      <c r="E69" s="78"/>
      <c r="F69" s="86"/>
      <c r="G69" s="15" t="s">
        <v>271</v>
      </c>
      <c r="H69" s="15">
        <v>2020</v>
      </c>
      <c r="I69" s="15" t="s">
        <v>258</v>
      </c>
      <c r="J69" s="15" t="s">
        <v>124</v>
      </c>
      <c r="K69" s="15"/>
    </row>
    <row r="70" spans="1:11">
      <c r="A70" s="70" t="s">
        <v>547</v>
      </c>
      <c r="B70" s="15">
        <v>2021</v>
      </c>
      <c r="C70" s="15" t="s">
        <v>142</v>
      </c>
      <c r="D70" s="15" t="s">
        <v>122</v>
      </c>
      <c r="E70" s="78"/>
      <c r="F70" s="86"/>
      <c r="G70" s="15" t="s">
        <v>272</v>
      </c>
      <c r="H70" s="15">
        <v>2020</v>
      </c>
      <c r="I70" s="15" t="s">
        <v>258</v>
      </c>
      <c r="J70" s="15" t="s">
        <v>126</v>
      </c>
      <c r="K70" s="15"/>
    </row>
    <row r="71" spans="1:11">
      <c r="A71" s="70" t="s">
        <v>548</v>
      </c>
      <c r="B71" s="15">
        <v>2021</v>
      </c>
      <c r="C71" s="15" t="s">
        <v>142</v>
      </c>
      <c r="D71" s="15" t="s">
        <v>182</v>
      </c>
      <c r="E71" s="78"/>
      <c r="F71" s="86"/>
      <c r="G71" s="15" t="s">
        <v>273</v>
      </c>
      <c r="H71" s="15">
        <v>2020</v>
      </c>
      <c r="I71" s="15" t="s">
        <v>258</v>
      </c>
      <c r="J71" s="15" t="s">
        <v>126</v>
      </c>
      <c r="K71" s="15"/>
    </row>
    <row r="72" spans="1:11">
      <c r="A72" s="70" t="s">
        <v>549</v>
      </c>
      <c r="B72" s="15">
        <v>2021</v>
      </c>
      <c r="C72" s="15" t="s">
        <v>142</v>
      </c>
      <c r="D72" s="15" t="s">
        <v>184</v>
      </c>
      <c r="E72" s="78"/>
      <c r="F72" s="86"/>
      <c r="G72" s="15" t="s">
        <v>274</v>
      </c>
      <c r="H72" s="15">
        <v>2020</v>
      </c>
      <c r="I72" s="15" t="s">
        <v>258</v>
      </c>
      <c r="J72" s="15" t="s">
        <v>128</v>
      </c>
      <c r="K72" s="15"/>
    </row>
    <row r="73" spans="1:11">
      <c r="A73" s="70" t="s">
        <v>550</v>
      </c>
      <c r="B73" s="15">
        <v>2021</v>
      </c>
      <c r="C73" s="15" t="s">
        <v>142</v>
      </c>
      <c r="D73" s="15" t="s">
        <v>186</v>
      </c>
      <c r="E73" s="78"/>
      <c r="F73" s="86"/>
      <c r="G73" s="15" t="s">
        <v>275</v>
      </c>
      <c r="H73" s="15">
        <v>2020</v>
      </c>
      <c r="I73" s="15" t="s">
        <v>258</v>
      </c>
      <c r="J73" s="15" t="s">
        <v>128</v>
      </c>
      <c r="K73" s="15"/>
    </row>
    <row r="74" spans="1:11">
      <c r="A74" s="70" t="s">
        <v>141</v>
      </c>
      <c r="B74" s="15">
        <v>2021</v>
      </c>
      <c r="C74" s="15" t="s">
        <v>142</v>
      </c>
      <c r="D74" s="15" t="s">
        <v>124</v>
      </c>
      <c r="E74" s="78"/>
      <c r="F74" s="86"/>
      <c r="G74" s="15" t="s">
        <v>276</v>
      </c>
      <c r="H74" s="15">
        <v>2020</v>
      </c>
      <c r="I74" s="15" t="s">
        <v>258</v>
      </c>
      <c r="J74" s="15" t="s">
        <v>118</v>
      </c>
      <c r="K74" s="15"/>
    </row>
    <row r="75" spans="1:11">
      <c r="A75" s="70" t="s">
        <v>143</v>
      </c>
      <c r="B75" s="15">
        <v>2021</v>
      </c>
      <c r="C75" s="15" t="s">
        <v>142</v>
      </c>
      <c r="D75" s="15" t="s">
        <v>126</v>
      </c>
      <c r="E75" s="78"/>
      <c r="F75" s="86"/>
      <c r="G75" s="15" t="s">
        <v>277</v>
      </c>
      <c r="H75" s="15">
        <v>2020</v>
      </c>
      <c r="I75" s="15" t="s">
        <v>258</v>
      </c>
      <c r="J75" s="15" t="s">
        <v>118</v>
      </c>
      <c r="K75" s="15"/>
    </row>
    <row r="76" spans="1:11">
      <c r="A76" s="70" t="s">
        <v>144</v>
      </c>
      <c r="B76" s="15">
        <v>2021</v>
      </c>
      <c r="C76" s="15" t="s">
        <v>142</v>
      </c>
      <c r="D76" s="15" t="s">
        <v>128</v>
      </c>
      <c r="E76" s="78"/>
      <c r="F76" s="86"/>
      <c r="G76" s="15" t="s">
        <v>278</v>
      </c>
      <c r="H76" s="15">
        <v>2020</v>
      </c>
      <c r="I76" s="15" t="s">
        <v>258</v>
      </c>
      <c r="J76" s="15" t="s">
        <v>120</v>
      </c>
      <c r="K76" s="15"/>
    </row>
    <row r="77" spans="1:11">
      <c r="A77" s="70" t="s">
        <v>145</v>
      </c>
      <c r="B77" s="15">
        <v>2021</v>
      </c>
      <c r="C77" s="15" t="s">
        <v>142</v>
      </c>
      <c r="D77" s="15" t="s">
        <v>130</v>
      </c>
      <c r="E77" s="78"/>
      <c r="F77" s="86"/>
      <c r="G77" s="15" t="s">
        <v>279</v>
      </c>
      <c r="H77" s="15">
        <v>2020</v>
      </c>
      <c r="I77" s="15" t="s">
        <v>258</v>
      </c>
      <c r="J77" s="15" t="s">
        <v>120</v>
      </c>
      <c r="K77" s="15"/>
    </row>
    <row r="78" spans="1:11">
      <c r="A78" s="70" t="s">
        <v>146</v>
      </c>
      <c r="B78" s="15">
        <v>2021</v>
      </c>
      <c r="C78" s="15" t="s">
        <v>142</v>
      </c>
      <c r="D78" s="15" t="s">
        <v>132</v>
      </c>
      <c r="E78" s="78"/>
      <c r="F78" s="86"/>
      <c r="G78" s="15" t="s">
        <v>280</v>
      </c>
      <c r="H78" s="15">
        <v>2020</v>
      </c>
      <c r="I78" s="15" t="s">
        <v>258</v>
      </c>
      <c r="J78" s="15" t="s">
        <v>122</v>
      </c>
      <c r="K78" s="15"/>
    </row>
    <row r="79" spans="1:11">
      <c r="A79" s="70" t="s">
        <v>147</v>
      </c>
      <c r="B79" s="15">
        <v>2021</v>
      </c>
      <c r="C79" s="15" t="s">
        <v>142</v>
      </c>
      <c r="D79" s="15" t="s">
        <v>134</v>
      </c>
      <c r="E79" s="78"/>
      <c r="F79" s="86"/>
      <c r="G79" s="15" t="s">
        <v>281</v>
      </c>
      <c r="H79" s="15">
        <v>2020</v>
      </c>
      <c r="I79" s="15" t="s">
        <v>258</v>
      </c>
      <c r="J79" s="15" t="s">
        <v>122</v>
      </c>
      <c r="K79" s="15"/>
    </row>
    <row r="80" spans="1:11">
      <c r="A80" s="70" t="s">
        <v>148</v>
      </c>
      <c r="B80" s="15">
        <v>2021</v>
      </c>
      <c r="C80" s="15" t="s">
        <v>142</v>
      </c>
      <c r="D80" s="15" t="s">
        <v>136</v>
      </c>
      <c r="E80" s="78"/>
      <c r="F80" s="86"/>
      <c r="G80" s="15" t="s">
        <v>157</v>
      </c>
      <c r="H80" s="15">
        <v>2021</v>
      </c>
      <c r="I80" s="15" t="s">
        <v>239</v>
      </c>
      <c r="J80" s="15" t="s">
        <v>282</v>
      </c>
      <c r="K80" s="15"/>
    </row>
    <row r="81" spans="1:11">
      <c r="A81" s="70" t="s">
        <v>149</v>
      </c>
      <c r="B81" s="15">
        <v>2021</v>
      </c>
      <c r="C81" s="15" t="s">
        <v>142</v>
      </c>
      <c r="D81" s="15" t="s">
        <v>138</v>
      </c>
      <c r="E81" s="78"/>
      <c r="F81" s="86"/>
      <c r="G81" s="15" t="s">
        <v>158</v>
      </c>
      <c r="H81" s="15">
        <v>2021</v>
      </c>
      <c r="I81" s="15" t="s">
        <v>239</v>
      </c>
      <c r="J81" s="15" t="s">
        <v>283</v>
      </c>
      <c r="K81" s="15"/>
    </row>
    <row r="82" spans="1:11">
      <c r="A82" s="70" t="s">
        <v>150</v>
      </c>
      <c r="B82" s="15">
        <v>2021</v>
      </c>
      <c r="C82" s="15" t="s">
        <v>142</v>
      </c>
      <c r="D82" s="15" t="s">
        <v>140</v>
      </c>
      <c r="E82" s="78"/>
      <c r="F82" s="86"/>
      <c r="G82" s="15" t="s">
        <v>159</v>
      </c>
      <c r="H82" s="15">
        <v>2021</v>
      </c>
      <c r="I82" s="15" t="s">
        <v>239</v>
      </c>
      <c r="J82" s="15" t="s">
        <v>284</v>
      </c>
      <c r="K82" s="15"/>
    </row>
    <row r="83" spans="1:11">
      <c r="A83" s="70" t="s">
        <v>151</v>
      </c>
      <c r="B83" s="15">
        <v>2021</v>
      </c>
      <c r="C83" s="15" t="s">
        <v>142</v>
      </c>
      <c r="D83" s="15" t="s">
        <v>197</v>
      </c>
      <c r="E83" s="78"/>
      <c r="F83" s="86"/>
      <c r="G83" s="15" t="s">
        <v>160</v>
      </c>
      <c r="H83" s="15">
        <v>2021</v>
      </c>
      <c r="I83" s="15" t="s">
        <v>239</v>
      </c>
      <c r="J83" s="15" t="s">
        <v>285</v>
      </c>
      <c r="K83" s="15"/>
    </row>
    <row r="84" spans="1:11">
      <c r="A84" s="70" t="s">
        <v>153</v>
      </c>
      <c r="B84" s="15">
        <v>2021</v>
      </c>
      <c r="C84" s="15" t="s">
        <v>142</v>
      </c>
      <c r="D84" s="15" t="s">
        <v>199</v>
      </c>
      <c r="E84" s="78"/>
      <c r="F84" s="86"/>
      <c r="G84" s="15" t="s">
        <v>161</v>
      </c>
      <c r="H84" s="15">
        <v>2021</v>
      </c>
      <c r="I84" s="15" t="s">
        <v>239</v>
      </c>
      <c r="J84" s="15" t="s">
        <v>286</v>
      </c>
      <c r="K84" s="15"/>
    </row>
    <row r="85" spans="1:11">
      <c r="A85" s="70" t="s">
        <v>155</v>
      </c>
      <c r="B85" s="15">
        <v>2021</v>
      </c>
      <c r="C85" s="15" t="s">
        <v>142</v>
      </c>
      <c r="D85" s="15" t="s">
        <v>201</v>
      </c>
      <c r="E85" s="78"/>
      <c r="F85" s="86"/>
      <c r="G85" s="15" t="s">
        <v>162</v>
      </c>
      <c r="H85" s="15">
        <v>2021</v>
      </c>
      <c r="I85" s="15" t="s">
        <v>239</v>
      </c>
      <c r="J85" s="15" t="s">
        <v>287</v>
      </c>
      <c r="K85" s="15"/>
    </row>
    <row r="86" spans="1:11">
      <c r="A86" s="15"/>
      <c r="B86" s="15"/>
      <c r="C86" s="15"/>
      <c r="D86" s="15"/>
      <c r="E86" s="15"/>
      <c r="F86" s="86"/>
      <c r="G86" s="15" t="s">
        <v>163</v>
      </c>
      <c r="H86" s="15">
        <v>2021</v>
      </c>
      <c r="I86" s="15" t="s">
        <v>239</v>
      </c>
      <c r="J86" s="15" t="s">
        <v>289</v>
      </c>
      <c r="K86" s="15"/>
    </row>
    <row r="87" spans="1:11">
      <c r="A87" s="15"/>
      <c r="B87" s="15"/>
      <c r="C87" s="15"/>
      <c r="D87" s="15"/>
      <c r="E87" s="15"/>
      <c r="F87" s="86"/>
      <c r="G87" s="15" t="s">
        <v>164</v>
      </c>
      <c r="H87" s="15">
        <v>2021</v>
      </c>
      <c r="I87" s="15" t="s">
        <v>239</v>
      </c>
      <c r="J87" s="15" t="s">
        <v>291</v>
      </c>
      <c r="K87" s="15"/>
    </row>
    <row r="88" spans="1:11">
      <c r="A88" s="15"/>
      <c r="B88" s="15"/>
      <c r="C88" s="15"/>
      <c r="D88" s="15"/>
      <c r="E88" s="15"/>
      <c r="F88" s="86"/>
      <c r="G88" s="15" t="s">
        <v>165</v>
      </c>
      <c r="H88" s="15">
        <v>2021</v>
      </c>
      <c r="I88" s="15" t="s">
        <v>239</v>
      </c>
      <c r="J88" s="15" t="s">
        <v>293</v>
      </c>
      <c r="K88" s="15"/>
    </row>
    <row r="89" spans="1:11">
      <c r="A89" s="15"/>
      <c r="B89" s="15"/>
      <c r="C89" s="15"/>
      <c r="D89" s="15"/>
      <c r="E89" s="15"/>
      <c r="F89" s="86"/>
      <c r="G89" s="15" t="s">
        <v>166</v>
      </c>
      <c r="H89" s="15">
        <v>2021</v>
      </c>
      <c r="I89" s="15" t="s">
        <v>295</v>
      </c>
      <c r="J89" s="15" t="s">
        <v>69</v>
      </c>
      <c r="K89" s="15"/>
    </row>
    <row r="90" spans="1:11">
      <c r="A90" s="15"/>
      <c r="B90" s="15"/>
      <c r="C90" s="15"/>
      <c r="D90" s="15"/>
      <c r="E90" s="15"/>
      <c r="F90" s="86"/>
      <c r="G90" s="15" t="s">
        <v>168</v>
      </c>
      <c r="H90" s="15">
        <v>2021</v>
      </c>
      <c r="I90" s="15" t="s">
        <v>295</v>
      </c>
      <c r="J90" s="15" t="s">
        <v>71</v>
      </c>
      <c r="K90" s="15"/>
    </row>
    <row r="91" spans="1:11">
      <c r="A91" s="15"/>
      <c r="B91" s="15"/>
      <c r="C91" s="15"/>
      <c r="D91" s="15"/>
      <c r="E91" s="15"/>
      <c r="F91" s="86"/>
      <c r="G91" s="15" t="s">
        <v>170</v>
      </c>
      <c r="H91" s="15">
        <v>2021</v>
      </c>
      <c r="I91" s="15" t="s">
        <v>295</v>
      </c>
      <c r="J91" s="15" t="s">
        <v>73</v>
      </c>
      <c r="K91" s="15"/>
    </row>
    <row r="92" spans="1:11">
      <c r="A92" s="15"/>
      <c r="B92" s="15"/>
      <c r="C92" s="15"/>
      <c r="D92" s="15"/>
      <c r="E92" s="15"/>
      <c r="F92" s="86"/>
      <c r="G92" s="15" t="s">
        <v>172</v>
      </c>
      <c r="H92" s="15">
        <v>2021</v>
      </c>
      <c r="I92" s="15" t="s">
        <v>295</v>
      </c>
      <c r="J92" s="15" t="s">
        <v>75</v>
      </c>
      <c r="K92" s="15"/>
    </row>
    <row r="93" spans="1:11">
      <c r="A93" s="15"/>
      <c r="B93" s="15"/>
      <c r="C93" s="15"/>
      <c r="D93" s="15"/>
      <c r="E93" s="15"/>
      <c r="F93" s="86"/>
      <c r="G93" s="15" t="s">
        <v>173</v>
      </c>
      <c r="H93" s="15">
        <v>2021</v>
      </c>
      <c r="I93" s="15" t="s">
        <v>295</v>
      </c>
      <c r="J93" s="15" t="s">
        <v>77</v>
      </c>
      <c r="K93" s="15"/>
    </row>
    <row r="94" spans="1:11">
      <c r="A94" s="15"/>
      <c r="B94" s="15"/>
      <c r="C94" s="15"/>
      <c r="D94" s="15"/>
      <c r="E94" s="15"/>
      <c r="F94" s="86"/>
      <c r="G94" s="15" t="s">
        <v>174</v>
      </c>
      <c r="H94" s="15">
        <v>2021</v>
      </c>
      <c r="I94" s="15" t="s">
        <v>295</v>
      </c>
      <c r="J94" s="15" t="s">
        <v>79</v>
      </c>
      <c r="K94" s="15"/>
    </row>
    <row r="95" spans="1:11">
      <c r="A95" s="15"/>
      <c r="B95" s="15"/>
      <c r="C95" s="15"/>
      <c r="D95" s="15"/>
      <c r="E95" s="15"/>
      <c r="F95" s="86"/>
      <c r="G95" s="15" t="s">
        <v>175</v>
      </c>
      <c r="H95" s="15">
        <v>2021</v>
      </c>
      <c r="I95" s="15" t="s">
        <v>295</v>
      </c>
      <c r="J95" s="15" t="s">
        <v>81</v>
      </c>
      <c r="K95" s="15"/>
    </row>
    <row r="96" spans="1:11">
      <c r="A96" s="15"/>
      <c r="B96" s="15"/>
      <c r="C96" s="15"/>
      <c r="D96" s="15"/>
      <c r="E96" s="15"/>
      <c r="F96" s="86"/>
      <c r="G96" s="15" t="s">
        <v>176</v>
      </c>
      <c r="H96" s="15">
        <v>2021</v>
      </c>
      <c r="I96" s="15" t="s">
        <v>295</v>
      </c>
      <c r="J96" s="15" t="s">
        <v>83</v>
      </c>
      <c r="K96" s="15"/>
    </row>
    <row r="97" spans="1:11">
      <c r="A97" s="15"/>
      <c r="B97" s="15"/>
      <c r="C97" s="15"/>
      <c r="D97" s="15"/>
      <c r="E97" s="15"/>
      <c r="F97" s="86"/>
      <c r="G97" s="15" t="s">
        <v>177</v>
      </c>
      <c r="H97" s="15">
        <v>2021</v>
      </c>
      <c r="I97" s="15" t="s">
        <v>295</v>
      </c>
      <c r="J97" s="15" t="s">
        <v>85</v>
      </c>
      <c r="K97" s="15"/>
    </row>
    <row r="98" spans="1:11">
      <c r="A98" s="15"/>
      <c r="B98" s="15"/>
      <c r="C98" s="15"/>
      <c r="D98" s="15"/>
      <c r="E98" s="15"/>
      <c r="F98" s="86"/>
      <c r="G98" s="15" t="s">
        <v>178</v>
      </c>
      <c r="H98" s="15">
        <v>2021</v>
      </c>
      <c r="I98" s="15" t="s">
        <v>295</v>
      </c>
      <c r="J98" s="15" t="s">
        <v>152</v>
      </c>
      <c r="K98" s="15"/>
    </row>
    <row r="99" spans="1:11">
      <c r="A99" s="15"/>
      <c r="B99" s="15"/>
      <c r="C99" s="15"/>
      <c r="D99" s="15"/>
      <c r="E99" s="15"/>
      <c r="F99" s="86"/>
      <c r="G99" s="15" t="s">
        <v>179</v>
      </c>
      <c r="H99" s="15">
        <v>2021</v>
      </c>
      <c r="I99" s="15" t="s">
        <v>295</v>
      </c>
      <c r="J99" s="15" t="s">
        <v>154</v>
      </c>
      <c r="K99" s="15"/>
    </row>
    <row r="100" spans="1:11">
      <c r="A100" s="15"/>
      <c r="B100" s="15"/>
      <c r="C100" s="15"/>
      <c r="D100" s="15"/>
      <c r="E100" s="15"/>
      <c r="F100" s="86"/>
      <c r="G100" s="15" t="s">
        <v>180</v>
      </c>
      <c r="H100" s="15">
        <v>2021</v>
      </c>
      <c r="I100" s="15" t="s">
        <v>295</v>
      </c>
      <c r="J100" s="15" t="s">
        <v>156</v>
      </c>
      <c r="K100" s="15"/>
    </row>
    <row r="101" spans="1:11">
      <c r="A101" s="15"/>
      <c r="B101" s="15"/>
      <c r="C101" s="15"/>
      <c r="D101" s="15"/>
      <c r="E101" s="15"/>
      <c r="F101" s="86"/>
      <c r="G101" s="15" t="s">
        <v>181</v>
      </c>
      <c r="H101" s="15">
        <v>2021</v>
      </c>
      <c r="I101" s="15" t="s">
        <v>295</v>
      </c>
      <c r="J101" s="15" t="s">
        <v>87</v>
      </c>
      <c r="K101" s="15"/>
    </row>
    <row r="102" spans="1:11">
      <c r="A102" s="15"/>
      <c r="B102" s="15"/>
      <c r="C102" s="15"/>
      <c r="D102" s="15"/>
      <c r="E102" s="15"/>
      <c r="F102" s="86"/>
      <c r="G102" s="15" t="s">
        <v>183</v>
      </c>
      <c r="H102" s="15">
        <v>2021</v>
      </c>
      <c r="I102" s="15" t="s">
        <v>295</v>
      </c>
      <c r="J102" s="15" t="s">
        <v>89</v>
      </c>
      <c r="K102" s="15"/>
    </row>
    <row r="103" spans="1:11">
      <c r="A103" s="15"/>
      <c r="B103" s="15"/>
      <c r="C103" s="15"/>
      <c r="D103" s="15"/>
      <c r="E103" s="15"/>
      <c r="F103" s="86"/>
      <c r="G103" s="15" t="s">
        <v>185</v>
      </c>
      <c r="H103" s="15">
        <v>2021</v>
      </c>
      <c r="I103" s="15" t="s">
        <v>295</v>
      </c>
      <c r="J103" s="15" t="s">
        <v>91</v>
      </c>
      <c r="K103" s="15"/>
    </row>
    <row r="104" spans="1:11">
      <c r="A104" s="15"/>
      <c r="B104" s="15"/>
      <c r="C104" s="15"/>
      <c r="D104" s="15"/>
      <c r="E104" s="15"/>
      <c r="F104" s="86"/>
      <c r="G104" s="15" t="s">
        <v>187</v>
      </c>
      <c r="H104" s="15">
        <v>2021</v>
      </c>
      <c r="I104" s="15" t="s">
        <v>295</v>
      </c>
      <c r="J104" s="15" t="s">
        <v>93</v>
      </c>
      <c r="K104" s="15"/>
    </row>
    <row r="105" spans="1:11">
      <c r="A105" s="15"/>
      <c r="B105" s="15"/>
      <c r="C105" s="15"/>
      <c r="D105" s="15"/>
      <c r="E105" s="15"/>
      <c r="F105" s="86"/>
      <c r="G105" s="15" t="s">
        <v>188</v>
      </c>
      <c r="H105" s="15">
        <v>2021</v>
      </c>
      <c r="I105" s="15" t="s">
        <v>295</v>
      </c>
      <c r="J105" s="15" t="s">
        <v>95</v>
      </c>
      <c r="K105" s="15"/>
    </row>
    <row r="106" spans="1:11">
      <c r="A106" s="15"/>
      <c r="B106" s="15"/>
      <c r="C106" s="15"/>
      <c r="D106" s="15"/>
      <c r="E106" s="15"/>
      <c r="F106" s="86"/>
      <c r="G106" s="15" t="s">
        <v>189</v>
      </c>
      <c r="H106" s="15">
        <v>2021</v>
      </c>
      <c r="I106" s="15" t="s">
        <v>295</v>
      </c>
      <c r="J106" s="15" t="s">
        <v>97</v>
      </c>
      <c r="K106" s="15"/>
    </row>
    <row r="107" spans="1:11">
      <c r="A107" s="15"/>
      <c r="B107" s="15"/>
      <c r="C107" s="15"/>
      <c r="D107" s="15"/>
      <c r="E107" s="15"/>
      <c r="F107" s="86"/>
      <c r="G107" s="15" t="s">
        <v>190</v>
      </c>
      <c r="H107" s="15">
        <v>2021</v>
      </c>
      <c r="I107" s="15" t="s">
        <v>295</v>
      </c>
      <c r="J107" s="15" t="s">
        <v>99</v>
      </c>
      <c r="K107" s="15"/>
    </row>
    <row r="108" spans="1:11">
      <c r="A108" s="15"/>
      <c r="B108" s="15"/>
      <c r="C108" s="15"/>
      <c r="D108" s="15"/>
      <c r="E108" s="15"/>
      <c r="F108" s="86"/>
      <c r="G108" s="15" t="s">
        <v>191</v>
      </c>
      <c r="H108" s="15">
        <v>2021</v>
      </c>
      <c r="I108" s="15" t="s">
        <v>295</v>
      </c>
      <c r="J108" s="15" t="s">
        <v>101</v>
      </c>
      <c r="K108" s="15"/>
    </row>
    <row r="109" spans="1:11">
      <c r="A109" s="15"/>
      <c r="B109" s="15"/>
      <c r="C109" s="15"/>
      <c r="D109" s="15"/>
      <c r="E109" s="15"/>
      <c r="F109" s="86"/>
      <c r="G109" s="15" t="s">
        <v>192</v>
      </c>
      <c r="H109" s="15">
        <v>2021</v>
      </c>
      <c r="I109" s="15" t="s">
        <v>295</v>
      </c>
      <c r="J109" s="15" t="s">
        <v>103</v>
      </c>
      <c r="K109" s="15"/>
    </row>
    <row r="110" spans="1:11">
      <c r="A110" s="15"/>
      <c r="B110" s="15"/>
      <c r="C110" s="15"/>
      <c r="D110" s="15"/>
      <c r="E110" s="15"/>
      <c r="F110" s="86"/>
      <c r="G110" s="15" t="s">
        <v>193</v>
      </c>
      <c r="H110" s="15">
        <v>2021</v>
      </c>
      <c r="I110" s="15" t="s">
        <v>295</v>
      </c>
      <c r="J110" s="15" t="s">
        <v>167</v>
      </c>
      <c r="K110" s="15"/>
    </row>
    <row r="111" spans="1:11">
      <c r="A111" s="15"/>
      <c r="B111" s="15"/>
      <c r="C111" s="15"/>
      <c r="D111" s="15"/>
      <c r="E111" s="15"/>
      <c r="F111" s="86"/>
      <c r="G111" s="15" t="s">
        <v>194</v>
      </c>
      <c r="H111" s="15">
        <v>2021</v>
      </c>
      <c r="I111" s="15" t="s">
        <v>295</v>
      </c>
      <c r="J111" s="15" t="s">
        <v>169</v>
      </c>
      <c r="K111" s="15"/>
    </row>
    <row r="112" spans="1:11">
      <c r="A112" s="15"/>
      <c r="B112" s="15"/>
      <c r="C112" s="15"/>
      <c r="D112" s="15"/>
      <c r="E112" s="15"/>
      <c r="F112" s="86"/>
      <c r="G112" s="15" t="s">
        <v>195</v>
      </c>
      <c r="H112" s="15">
        <v>2021</v>
      </c>
      <c r="I112" s="15" t="s">
        <v>295</v>
      </c>
      <c r="J112" s="15" t="s">
        <v>171</v>
      </c>
      <c r="K112" s="15"/>
    </row>
    <row r="113" spans="1:11">
      <c r="A113" s="15"/>
      <c r="B113" s="15"/>
      <c r="C113" s="15"/>
      <c r="D113" s="15"/>
      <c r="E113" s="15"/>
      <c r="F113" s="86"/>
      <c r="G113" s="15" t="s">
        <v>196</v>
      </c>
      <c r="H113" s="15">
        <v>2021</v>
      </c>
      <c r="I113" s="15" t="s">
        <v>295</v>
      </c>
      <c r="J113" s="15" t="s">
        <v>106</v>
      </c>
      <c r="K113" s="15"/>
    </row>
    <row r="114" spans="1:11">
      <c r="A114" s="15"/>
      <c r="B114" s="15"/>
      <c r="C114" s="15"/>
      <c r="D114" s="15"/>
      <c r="E114" s="15"/>
      <c r="F114" s="86"/>
      <c r="G114" s="15" t="s">
        <v>198</v>
      </c>
      <c r="H114" s="15">
        <v>2021</v>
      </c>
      <c r="I114" s="15" t="s">
        <v>295</v>
      </c>
      <c r="J114" s="15" t="s">
        <v>108</v>
      </c>
      <c r="K114" s="15"/>
    </row>
    <row r="115" spans="1:11">
      <c r="A115" s="15"/>
      <c r="B115" s="15"/>
      <c r="C115" s="15"/>
      <c r="D115" s="15"/>
      <c r="E115" s="15"/>
      <c r="F115" s="86"/>
      <c r="G115" s="15" t="s">
        <v>200</v>
      </c>
      <c r="H115" s="15">
        <v>2021</v>
      </c>
      <c r="I115" s="15" t="s">
        <v>295</v>
      </c>
      <c r="J115" s="15" t="s">
        <v>110</v>
      </c>
      <c r="K115" s="15"/>
    </row>
    <row r="116" spans="1:11">
      <c r="A116" s="15"/>
      <c r="B116" s="15"/>
      <c r="C116" s="15"/>
      <c r="D116" s="15"/>
      <c r="E116" s="15"/>
      <c r="F116" s="86"/>
      <c r="G116" s="15" t="s">
        <v>551</v>
      </c>
      <c r="H116" s="15">
        <v>2021</v>
      </c>
      <c r="I116" s="15" t="s">
        <v>295</v>
      </c>
      <c r="J116" s="15" t="s">
        <v>112</v>
      </c>
      <c r="K116" s="15"/>
    </row>
    <row r="117" spans="1:11">
      <c r="A117" s="15"/>
      <c r="B117" s="15"/>
      <c r="C117" s="15"/>
      <c r="D117" s="15"/>
      <c r="E117" s="15"/>
      <c r="F117" s="86"/>
      <c r="G117" s="15" t="s">
        <v>552</v>
      </c>
      <c r="H117" s="15">
        <v>2021</v>
      </c>
      <c r="I117" s="15" t="s">
        <v>295</v>
      </c>
      <c r="J117" s="15" t="s">
        <v>114</v>
      </c>
      <c r="K117" s="15"/>
    </row>
    <row r="118" spans="1:11">
      <c r="A118" s="15"/>
      <c r="B118" s="15"/>
      <c r="C118" s="15"/>
      <c r="D118" s="15"/>
      <c r="E118" s="15"/>
      <c r="F118" s="86"/>
      <c r="G118" s="15" t="s">
        <v>553</v>
      </c>
      <c r="H118" s="15">
        <v>2021</v>
      </c>
      <c r="I118" s="15" t="s">
        <v>295</v>
      </c>
      <c r="J118" s="15" t="s">
        <v>116</v>
      </c>
      <c r="K118" s="15"/>
    </row>
    <row r="119" spans="1:11">
      <c r="A119" s="15"/>
      <c r="B119" s="15"/>
      <c r="C119" s="15"/>
      <c r="D119" s="15"/>
      <c r="E119" s="15"/>
      <c r="F119" s="86"/>
      <c r="G119" s="15" t="s">
        <v>554</v>
      </c>
      <c r="H119" s="15">
        <v>2021</v>
      </c>
      <c r="I119" s="15" t="s">
        <v>295</v>
      </c>
      <c r="J119" s="15" t="s">
        <v>118</v>
      </c>
      <c r="K119" s="15"/>
    </row>
    <row r="120" spans="1:11">
      <c r="A120" s="15"/>
      <c r="B120" s="15"/>
      <c r="C120" s="15"/>
      <c r="D120" s="15"/>
      <c r="E120" s="15"/>
      <c r="F120" s="86"/>
      <c r="G120" s="15" t="s">
        <v>555</v>
      </c>
      <c r="H120" s="15">
        <v>2021</v>
      </c>
      <c r="I120" s="15" t="s">
        <v>295</v>
      </c>
      <c r="J120" s="15" t="s">
        <v>120</v>
      </c>
      <c r="K120" s="15"/>
    </row>
    <row r="121" spans="1:11">
      <c r="A121" s="15"/>
      <c r="B121" s="15"/>
      <c r="C121" s="15"/>
      <c r="D121" s="15"/>
      <c r="E121" s="15"/>
      <c r="F121" s="86"/>
      <c r="G121" s="15" t="s">
        <v>556</v>
      </c>
      <c r="H121" s="15">
        <v>2021</v>
      </c>
      <c r="I121" s="15" t="s">
        <v>295</v>
      </c>
      <c r="J121" s="15" t="s">
        <v>122</v>
      </c>
      <c r="K121" s="15"/>
    </row>
    <row r="122" spans="1:11">
      <c r="A122" s="15"/>
      <c r="B122" s="15"/>
      <c r="C122" s="15"/>
      <c r="D122" s="15"/>
      <c r="E122" s="15"/>
      <c r="F122" s="86"/>
      <c r="G122" s="15" t="s">
        <v>557</v>
      </c>
      <c r="H122" s="15">
        <v>2021</v>
      </c>
      <c r="I122" s="15" t="s">
        <v>295</v>
      </c>
      <c r="J122" s="15" t="s">
        <v>182</v>
      </c>
      <c r="K122" s="15"/>
    </row>
    <row r="123" spans="1:11">
      <c r="A123" s="15"/>
      <c r="B123" s="15"/>
      <c r="C123" s="15"/>
      <c r="D123" s="15"/>
      <c r="E123" s="15"/>
      <c r="F123" s="86"/>
      <c r="G123" s="15" t="s">
        <v>558</v>
      </c>
      <c r="H123" s="15">
        <v>2021</v>
      </c>
      <c r="I123" s="15" t="s">
        <v>295</v>
      </c>
      <c r="J123" s="15" t="s">
        <v>184</v>
      </c>
      <c r="K123" s="15"/>
    </row>
    <row r="124" spans="1:11">
      <c r="A124" s="15"/>
      <c r="B124" s="15"/>
      <c r="C124" s="15"/>
      <c r="D124" s="15"/>
      <c r="E124" s="15"/>
      <c r="F124" s="86"/>
      <c r="G124" s="15" t="s">
        <v>559</v>
      </c>
      <c r="H124" s="15">
        <v>2021</v>
      </c>
      <c r="I124" s="15" t="s">
        <v>295</v>
      </c>
      <c r="J124" s="15" t="s">
        <v>186</v>
      </c>
      <c r="K124" s="15"/>
    </row>
    <row r="125" spans="1:11">
      <c r="A125" s="15"/>
      <c r="B125" s="15"/>
      <c r="C125" s="15"/>
      <c r="D125" s="15"/>
      <c r="E125" s="15"/>
      <c r="F125" s="86"/>
      <c r="G125" s="15" t="s">
        <v>560</v>
      </c>
      <c r="H125" s="15">
        <v>2021</v>
      </c>
      <c r="I125" s="15" t="s">
        <v>295</v>
      </c>
      <c r="J125" s="15" t="s">
        <v>124</v>
      </c>
      <c r="K125" s="15"/>
    </row>
    <row r="126" spans="1:11">
      <c r="A126" s="15"/>
      <c r="B126" s="15"/>
      <c r="C126" s="15"/>
      <c r="D126" s="15"/>
      <c r="E126" s="15"/>
      <c r="F126" s="86"/>
      <c r="G126" s="15" t="s">
        <v>561</v>
      </c>
      <c r="H126" s="15">
        <v>2021</v>
      </c>
      <c r="I126" s="15" t="s">
        <v>295</v>
      </c>
      <c r="J126" s="15" t="s">
        <v>126</v>
      </c>
      <c r="K126" s="15"/>
    </row>
    <row r="127" spans="1:11">
      <c r="A127" s="15"/>
      <c r="B127" s="15"/>
      <c r="C127" s="15"/>
      <c r="D127" s="15"/>
      <c r="E127" s="15"/>
      <c r="F127" s="86"/>
      <c r="G127" s="15" t="s">
        <v>562</v>
      </c>
      <c r="H127" s="15">
        <v>2021</v>
      </c>
      <c r="I127" s="15" t="s">
        <v>295</v>
      </c>
      <c r="J127" s="15" t="s">
        <v>128</v>
      </c>
      <c r="K127" s="15"/>
    </row>
    <row r="128" spans="1:11">
      <c r="A128" s="15"/>
      <c r="B128" s="15"/>
      <c r="C128" s="15"/>
      <c r="D128" s="15"/>
      <c r="E128" s="15"/>
      <c r="F128" s="86"/>
      <c r="G128" s="15" t="s">
        <v>563</v>
      </c>
      <c r="H128" s="15">
        <v>2021</v>
      </c>
      <c r="I128" s="15" t="s">
        <v>295</v>
      </c>
      <c r="J128" s="15" t="s">
        <v>130</v>
      </c>
      <c r="K128" s="15"/>
    </row>
    <row r="129" spans="1:11">
      <c r="A129" s="15"/>
      <c r="B129" s="15"/>
      <c r="C129" s="15"/>
      <c r="D129" s="15"/>
      <c r="E129" s="15"/>
      <c r="F129" s="86"/>
      <c r="G129" s="15" t="s">
        <v>564</v>
      </c>
      <c r="H129" s="15">
        <v>2021</v>
      </c>
      <c r="I129" s="15" t="s">
        <v>295</v>
      </c>
      <c r="J129" s="15" t="s">
        <v>132</v>
      </c>
      <c r="K129" s="15"/>
    </row>
    <row r="130" spans="1:11">
      <c r="A130" s="15"/>
      <c r="B130" s="15"/>
      <c r="C130" s="15"/>
      <c r="D130" s="15"/>
      <c r="E130" s="15"/>
      <c r="F130" s="86"/>
      <c r="G130" s="15" t="s">
        <v>565</v>
      </c>
      <c r="H130" s="15">
        <v>2021</v>
      </c>
      <c r="I130" s="15" t="s">
        <v>295</v>
      </c>
      <c r="J130" s="15" t="s">
        <v>134</v>
      </c>
      <c r="K130" s="15"/>
    </row>
    <row r="131" spans="1:11">
      <c r="A131" s="15"/>
      <c r="B131" s="15"/>
      <c r="C131" s="15"/>
      <c r="D131" s="15"/>
      <c r="E131" s="15"/>
      <c r="F131" s="86"/>
      <c r="G131" s="15" t="s">
        <v>566</v>
      </c>
      <c r="H131" s="15">
        <v>2021</v>
      </c>
      <c r="I131" s="15" t="s">
        <v>295</v>
      </c>
      <c r="J131" s="15" t="s">
        <v>136</v>
      </c>
      <c r="K131" s="15"/>
    </row>
    <row r="132" spans="1:11">
      <c r="A132" s="15"/>
      <c r="B132" s="15"/>
      <c r="C132" s="15"/>
      <c r="D132" s="15"/>
      <c r="E132" s="15"/>
      <c r="F132" s="86"/>
      <c r="G132" s="15" t="s">
        <v>567</v>
      </c>
      <c r="H132" s="15">
        <v>2021</v>
      </c>
      <c r="I132" s="15" t="s">
        <v>295</v>
      </c>
      <c r="J132" s="15" t="s">
        <v>138</v>
      </c>
      <c r="K132" s="15"/>
    </row>
    <row r="133" spans="1:11">
      <c r="A133" s="15"/>
      <c r="B133" s="15"/>
      <c r="C133" s="15"/>
      <c r="D133" s="15"/>
      <c r="E133" s="15"/>
      <c r="F133" s="86"/>
      <c r="G133" s="15" t="s">
        <v>568</v>
      </c>
      <c r="H133" s="15">
        <v>2021</v>
      </c>
      <c r="I133" s="15" t="s">
        <v>295</v>
      </c>
      <c r="J133" s="15" t="s">
        <v>140</v>
      </c>
      <c r="K133" s="15"/>
    </row>
    <row r="134" spans="1:11">
      <c r="A134" s="15"/>
      <c r="B134" s="15"/>
      <c r="C134" s="15"/>
      <c r="D134" s="15"/>
      <c r="E134" s="15"/>
      <c r="F134" s="86"/>
      <c r="G134" s="15" t="s">
        <v>569</v>
      </c>
      <c r="H134" s="15">
        <v>2021</v>
      </c>
      <c r="I134" s="15" t="s">
        <v>295</v>
      </c>
      <c r="J134" s="15" t="s">
        <v>197</v>
      </c>
      <c r="K134" s="15"/>
    </row>
    <row r="135" spans="1:11">
      <c r="A135" s="15"/>
      <c r="B135" s="15"/>
      <c r="C135" s="15"/>
      <c r="D135" s="15"/>
      <c r="E135" s="15"/>
      <c r="F135" s="86"/>
      <c r="G135" s="15" t="s">
        <v>570</v>
      </c>
      <c r="H135" s="15">
        <v>2021</v>
      </c>
      <c r="I135" s="15" t="s">
        <v>295</v>
      </c>
      <c r="J135" s="15" t="s">
        <v>199</v>
      </c>
      <c r="K135" s="15"/>
    </row>
    <row r="136" spans="1:11">
      <c r="A136" s="15"/>
      <c r="B136" s="15"/>
      <c r="C136" s="15"/>
      <c r="D136" s="15"/>
      <c r="E136" s="15"/>
      <c r="F136" s="86"/>
      <c r="G136" s="15" t="s">
        <v>571</v>
      </c>
      <c r="H136" s="15">
        <v>2021</v>
      </c>
      <c r="I136" s="15" t="s">
        <v>295</v>
      </c>
      <c r="J136" s="15" t="s">
        <v>201</v>
      </c>
      <c r="K136" s="15"/>
    </row>
    <row r="137" spans="1:11">
      <c r="A137" s="15"/>
      <c r="B137" s="15"/>
      <c r="C137" s="15"/>
      <c r="D137" s="15"/>
      <c r="E137" s="15"/>
      <c r="F137" s="86"/>
      <c r="G137" s="15" t="s">
        <v>572</v>
      </c>
      <c r="H137" s="15">
        <v>2021</v>
      </c>
      <c r="I137" s="15" t="s">
        <v>295</v>
      </c>
      <c r="J137" s="15" t="s">
        <v>69</v>
      </c>
      <c r="K137" s="15"/>
    </row>
    <row r="138" spans="1:11">
      <c r="A138" s="15"/>
      <c r="B138" s="15"/>
      <c r="C138" s="15"/>
      <c r="D138" s="15"/>
      <c r="E138" s="15"/>
      <c r="F138" s="86"/>
      <c r="G138" s="15" t="s">
        <v>573</v>
      </c>
      <c r="H138" s="15">
        <v>2021</v>
      </c>
      <c r="I138" s="15" t="s">
        <v>295</v>
      </c>
      <c r="J138" s="15" t="s">
        <v>71</v>
      </c>
      <c r="K138" s="15"/>
    </row>
    <row r="139" spans="1:11">
      <c r="A139" s="15"/>
      <c r="B139" s="15"/>
      <c r="C139" s="15"/>
      <c r="D139" s="15"/>
      <c r="E139" s="15"/>
      <c r="F139" s="86"/>
      <c r="G139" s="15" t="s">
        <v>574</v>
      </c>
      <c r="H139" s="15">
        <v>2021</v>
      </c>
      <c r="I139" s="15" t="s">
        <v>295</v>
      </c>
      <c r="J139" s="15" t="s">
        <v>73</v>
      </c>
      <c r="K139" s="15"/>
    </row>
    <row r="140" spans="1:11">
      <c r="A140" s="15"/>
      <c r="B140" s="15"/>
      <c r="C140" s="15"/>
      <c r="D140" s="15"/>
      <c r="E140" s="15"/>
      <c r="F140" s="86"/>
      <c r="G140" s="15" t="s">
        <v>575</v>
      </c>
      <c r="H140" s="15">
        <v>2021</v>
      </c>
      <c r="I140" s="15" t="s">
        <v>295</v>
      </c>
      <c r="J140" s="15" t="s">
        <v>75</v>
      </c>
      <c r="K140" s="15"/>
    </row>
    <row r="141" spans="1:11">
      <c r="A141" s="15"/>
      <c r="B141" s="15"/>
      <c r="C141" s="15"/>
      <c r="D141" s="15"/>
      <c r="E141" s="15"/>
      <c r="F141" s="86"/>
      <c r="G141" s="15" t="s">
        <v>576</v>
      </c>
      <c r="H141" s="15">
        <v>2021</v>
      </c>
      <c r="I141" s="15" t="s">
        <v>295</v>
      </c>
      <c r="J141" s="15" t="s">
        <v>77</v>
      </c>
      <c r="K141" s="15"/>
    </row>
    <row r="142" spans="1:11">
      <c r="A142" s="15"/>
      <c r="B142" s="15"/>
      <c r="C142" s="15"/>
      <c r="D142" s="15"/>
      <c r="E142" s="15"/>
      <c r="F142" s="86"/>
      <c r="G142" s="15" t="s">
        <v>577</v>
      </c>
      <c r="H142" s="15">
        <v>2021</v>
      </c>
      <c r="I142" s="15" t="s">
        <v>295</v>
      </c>
      <c r="J142" s="15" t="s">
        <v>79</v>
      </c>
      <c r="K142" s="15"/>
    </row>
    <row r="143" spans="1:11">
      <c r="A143" s="15"/>
      <c r="B143" s="15"/>
      <c r="C143" s="15"/>
      <c r="D143" s="15"/>
      <c r="E143" s="15"/>
      <c r="F143" s="86"/>
      <c r="G143" s="15" t="s">
        <v>578</v>
      </c>
      <c r="H143" s="15">
        <v>2021</v>
      </c>
      <c r="I143" s="15" t="s">
        <v>295</v>
      </c>
      <c r="J143" s="15" t="s">
        <v>81</v>
      </c>
      <c r="K143" s="15"/>
    </row>
    <row r="144" spans="1:11">
      <c r="A144" s="15"/>
      <c r="B144" s="15"/>
      <c r="C144" s="15"/>
      <c r="D144" s="15"/>
      <c r="E144" s="15"/>
      <c r="F144" s="86"/>
      <c r="G144" s="15" t="s">
        <v>579</v>
      </c>
      <c r="H144" s="15">
        <v>2021</v>
      </c>
      <c r="I144" s="15" t="s">
        <v>295</v>
      </c>
      <c r="J144" s="15" t="s">
        <v>83</v>
      </c>
      <c r="K144" s="15"/>
    </row>
    <row r="145" spans="1:11">
      <c r="A145" s="15"/>
      <c r="B145" s="15"/>
      <c r="C145" s="15"/>
      <c r="D145" s="15"/>
      <c r="E145" s="15"/>
      <c r="F145" s="86"/>
      <c r="G145" s="15" t="s">
        <v>580</v>
      </c>
      <c r="H145" s="15">
        <v>2021</v>
      </c>
      <c r="I145" s="15" t="s">
        <v>295</v>
      </c>
      <c r="J145" s="15" t="s">
        <v>85</v>
      </c>
      <c r="K145" s="15"/>
    </row>
    <row r="146" spans="1:11">
      <c r="A146" s="15"/>
      <c r="B146" s="15"/>
      <c r="C146" s="15"/>
      <c r="D146" s="15"/>
      <c r="E146" s="15"/>
      <c r="F146" s="86"/>
      <c r="G146" s="15" t="s">
        <v>581</v>
      </c>
      <c r="H146" s="15">
        <v>2021</v>
      </c>
      <c r="I146" s="15" t="s">
        <v>295</v>
      </c>
      <c r="J146" s="15" t="s">
        <v>152</v>
      </c>
      <c r="K146" s="15"/>
    </row>
    <row r="147" spans="1:11">
      <c r="A147" s="15"/>
      <c r="B147" s="15"/>
      <c r="C147" s="15"/>
      <c r="D147" s="15"/>
      <c r="E147" s="15"/>
      <c r="F147" s="86"/>
      <c r="G147" s="15" t="s">
        <v>582</v>
      </c>
      <c r="H147" s="15">
        <v>2021</v>
      </c>
      <c r="I147" s="15" t="s">
        <v>295</v>
      </c>
      <c r="J147" s="15" t="s">
        <v>154</v>
      </c>
      <c r="K147" s="15"/>
    </row>
    <row r="148" spans="1:11">
      <c r="A148" s="15"/>
      <c r="B148" s="15"/>
      <c r="C148" s="15"/>
      <c r="D148" s="15"/>
      <c r="E148" s="15"/>
      <c r="F148" s="86"/>
      <c r="G148" s="15" t="s">
        <v>583</v>
      </c>
      <c r="H148" s="15">
        <v>2021</v>
      </c>
      <c r="I148" s="15" t="s">
        <v>295</v>
      </c>
      <c r="J148" s="15" t="s">
        <v>156</v>
      </c>
      <c r="K148" s="15"/>
    </row>
    <row r="149" spans="1:11">
      <c r="A149" s="15"/>
      <c r="B149" s="15"/>
      <c r="C149" s="15"/>
      <c r="D149" s="15"/>
      <c r="E149" s="15"/>
      <c r="F149" s="86"/>
      <c r="G149" s="15" t="s">
        <v>584</v>
      </c>
      <c r="H149" s="15">
        <v>2021</v>
      </c>
      <c r="I149" s="15" t="s">
        <v>295</v>
      </c>
      <c r="J149" s="15" t="s">
        <v>87</v>
      </c>
      <c r="K149" s="15"/>
    </row>
    <row r="150" spans="1:11">
      <c r="A150" s="15"/>
      <c r="B150" s="15"/>
      <c r="C150" s="15"/>
      <c r="D150" s="15"/>
      <c r="E150" s="15"/>
      <c r="F150" s="86"/>
      <c r="G150" s="15" t="s">
        <v>585</v>
      </c>
      <c r="H150" s="15">
        <v>2021</v>
      </c>
      <c r="I150" s="15" t="s">
        <v>295</v>
      </c>
      <c r="J150" s="15" t="s">
        <v>89</v>
      </c>
      <c r="K150" s="15"/>
    </row>
    <row r="151" spans="1:11">
      <c r="A151" s="15"/>
      <c r="B151" s="15"/>
      <c r="C151" s="15"/>
      <c r="D151" s="15"/>
      <c r="E151" s="15"/>
      <c r="F151" s="86"/>
      <c r="G151" s="15" t="s">
        <v>586</v>
      </c>
      <c r="H151" s="15">
        <v>2021</v>
      </c>
      <c r="I151" s="15" t="s">
        <v>295</v>
      </c>
      <c r="J151" s="15" t="s">
        <v>91</v>
      </c>
      <c r="K151" s="15"/>
    </row>
    <row r="152" spans="1:11">
      <c r="A152" s="15"/>
      <c r="B152" s="15"/>
      <c r="C152" s="15"/>
      <c r="D152" s="15"/>
      <c r="E152" s="15"/>
      <c r="F152" s="86"/>
      <c r="G152" s="15" t="s">
        <v>587</v>
      </c>
      <c r="H152" s="15">
        <v>2021</v>
      </c>
      <c r="I152" s="15" t="s">
        <v>295</v>
      </c>
      <c r="J152" s="15" t="s">
        <v>93</v>
      </c>
      <c r="K152" s="15"/>
    </row>
    <row r="153" spans="1:11">
      <c r="A153" s="15"/>
      <c r="B153" s="15"/>
      <c r="C153" s="15"/>
      <c r="D153" s="15"/>
      <c r="E153" s="15"/>
      <c r="F153" s="86"/>
      <c r="G153" s="15" t="s">
        <v>588</v>
      </c>
      <c r="H153" s="15">
        <v>2021</v>
      </c>
      <c r="I153" s="15" t="s">
        <v>295</v>
      </c>
      <c r="J153" s="15" t="s">
        <v>95</v>
      </c>
      <c r="K153" s="15"/>
    </row>
    <row r="154" spans="1:11">
      <c r="A154" s="15"/>
      <c r="B154" s="15"/>
      <c r="C154" s="15"/>
      <c r="D154" s="15"/>
      <c r="E154" s="15"/>
      <c r="F154" s="86"/>
      <c r="G154" s="15" t="s">
        <v>589</v>
      </c>
      <c r="H154" s="15">
        <v>2021</v>
      </c>
      <c r="I154" s="15" t="s">
        <v>295</v>
      </c>
      <c r="J154" s="15" t="s">
        <v>97</v>
      </c>
      <c r="K154" s="15"/>
    </row>
    <row r="155" spans="1:11">
      <c r="A155" s="15"/>
      <c r="B155" s="15"/>
      <c r="C155" s="15"/>
      <c r="D155" s="15"/>
      <c r="E155" s="15"/>
      <c r="F155" s="86"/>
      <c r="G155" s="15" t="s">
        <v>590</v>
      </c>
      <c r="H155" s="15">
        <v>2021</v>
      </c>
      <c r="I155" s="15" t="s">
        <v>295</v>
      </c>
      <c r="J155" s="15" t="s">
        <v>99</v>
      </c>
      <c r="K155" s="15"/>
    </row>
    <row r="156" spans="1:11">
      <c r="A156" s="15"/>
      <c r="B156" s="15"/>
      <c r="C156" s="15"/>
      <c r="D156" s="15"/>
      <c r="E156" s="15"/>
      <c r="F156" s="86"/>
      <c r="G156" s="15" t="s">
        <v>591</v>
      </c>
      <c r="H156" s="15">
        <v>2021</v>
      </c>
      <c r="I156" s="15" t="s">
        <v>295</v>
      </c>
      <c r="J156" s="15" t="s">
        <v>101</v>
      </c>
      <c r="K156" s="15"/>
    </row>
    <row r="157" spans="1:11">
      <c r="A157" s="15"/>
      <c r="B157" s="15"/>
      <c r="C157" s="15"/>
      <c r="D157" s="15"/>
      <c r="E157" s="15"/>
      <c r="F157" s="86"/>
      <c r="G157" s="15" t="s">
        <v>592</v>
      </c>
      <c r="H157" s="15">
        <v>2021</v>
      </c>
      <c r="I157" s="15" t="s">
        <v>295</v>
      </c>
      <c r="J157" s="15" t="s">
        <v>103</v>
      </c>
      <c r="K157" s="15"/>
    </row>
    <row r="158" spans="1:11">
      <c r="A158" s="15"/>
      <c r="B158" s="15"/>
      <c r="C158" s="15"/>
      <c r="D158" s="15"/>
      <c r="E158" s="15"/>
      <c r="F158" s="86"/>
      <c r="G158" s="15" t="s">
        <v>593</v>
      </c>
      <c r="H158" s="15">
        <v>2021</v>
      </c>
      <c r="I158" s="15" t="s">
        <v>295</v>
      </c>
      <c r="J158" s="15" t="s">
        <v>167</v>
      </c>
      <c r="K158" s="15"/>
    </row>
    <row r="159" spans="1:11">
      <c r="A159" s="15"/>
      <c r="B159" s="15"/>
      <c r="C159" s="15"/>
      <c r="D159" s="15"/>
      <c r="E159" s="15"/>
      <c r="F159" s="86"/>
      <c r="G159" s="15" t="s">
        <v>594</v>
      </c>
      <c r="H159" s="15">
        <v>2021</v>
      </c>
      <c r="I159" s="15" t="s">
        <v>295</v>
      </c>
      <c r="J159" s="15" t="s">
        <v>169</v>
      </c>
      <c r="K159" s="15"/>
    </row>
    <row r="160" spans="1:11">
      <c r="A160" s="15"/>
      <c r="B160" s="15"/>
      <c r="C160" s="15"/>
      <c r="D160" s="15"/>
      <c r="E160" s="15"/>
      <c r="F160" s="86"/>
      <c r="G160" s="15" t="s">
        <v>595</v>
      </c>
      <c r="H160" s="15">
        <v>2021</v>
      </c>
      <c r="I160" s="15" t="s">
        <v>295</v>
      </c>
      <c r="J160" s="15" t="s">
        <v>171</v>
      </c>
      <c r="K160" s="15"/>
    </row>
    <row r="161" spans="1:11">
      <c r="A161" s="15"/>
      <c r="B161" s="15"/>
      <c r="C161" s="15"/>
      <c r="D161" s="15"/>
      <c r="E161" s="15"/>
      <c r="F161" s="86"/>
      <c r="G161" s="15" t="s">
        <v>596</v>
      </c>
      <c r="H161" s="15">
        <v>2021</v>
      </c>
      <c r="I161" s="15" t="s">
        <v>295</v>
      </c>
      <c r="J161" s="15" t="s">
        <v>106</v>
      </c>
      <c r="K161" s="15"/>
    </row>
    <row r="162" spans="1:11">
      <c r="A162" s="15"/>
      <c r="B162" s="15"/>
      <c r="C162" s="15"/>
      <c r="D162" s="15"/>
      <c r="E162" s="15"/>
      <c r="F162" s="86"/>
      <c r="G162" s="15" t="s">
        <v>597</v>
      </c>
      <c r="H162" s="15">
        <v>2021</v>
      </c>
      <c r="I162" s="15" t="s">
        <v>295</v>
      </c>
      <c r="J162" s="15" t="s">
        <v>108</v>
      </c>
      <c r="K162" s="15"/>
    </row>
    <row r="163" spans="1:11">
      <c r="A163" s="15"/>
      <c r="B163" s="15"/>
      <c r="C163" s="15"/>
      <c r="D163" s="15"/>
      <c r="E163" s="15"/>
      <c r="F163" s="86"/>
      <c r="G163" s="15" t="s">
        <v>598</v>
      </c>
      <c r="H163" s="15">
        <v>2021</v>
      </c>
      <c r="I163" s="15" t="s">
        <v>295</v>
      </c>
      <c r="J163" s="15" t="s">
        <v>110</v>
      </c>
      <c r="K163" s="15"/>
    </row>
    <row r="164" spans="1:11">
      <c r="A164" s="15"/>
      <c r="B164" s="15"/>
      <c r="C164" s="15"/>
      <c r="D164" s="15"/>
      <c r="E164" s="15"/>
      <c r="F164" s="86"/>
      <c r="G164" s="15" t="s">
        <v>599</v>
      </c>
      <c r="H164" s="15">
        <v>2021</v>
      </c>
      <c r="I164" s="15" t="s">
        <v>295</v>
      </c>
      <c r="J164" s="15" t="s">
        <v>112</v>
      </c>
      <c r="K164" s="15"/>
    </row>
    <row r="165" spans="1:11">
      <c r="A165" s="15"/>
      <c r="B165" s="15"/>
      <c r="C165" s="15"/>
      <c r="D165" s="15"/>
      <c r="E165" s="15"/>
      <c r="F165" s="86"/>
      <c r="G165" s="15" t="s">
        <v>600</v>
      </c>
      <c r="H165" s="15">
        <v>2021</v>
      </c>
      <c r="I165" s="15" t="s">
        <v>295</v>
      </c>
      <c r="J165" s="15" t="s">
        <v>114</v>
      </c>
      <c r="K165" s="15"/>
    </row>
    <row r="166" spans="1:11">
      <c r="A166" s="15"/>
      <c r="B166" s="15"/>
      <c r="C166" s="15"/>
      <c r="D166" s="15"/>
      <c r="E166" s="15"/>
      <c r="F166" s="86"/>
      <c r="G166" s="15" t="s">
        <v>601</v>
      </c>
      <c r="H166" s="15">
        <v>2021</v>
      </c>
      <c r="I166" s="15" t="s">
        <v>295</v>
      </c>
      <c r="J166" s="15" t="s">
        <v>116</v>
      </c>
      <c r="K166" s="15"/>
    </row>
    <row r="167" spans="1:11">
      <c r="A167" s="15"/>
      <c r="B167" s="15"/>
      <c r="C167" s="15"/>
      <c r="D167" s="15"/>
      <c r="E167" s="15"/>
      <c r="F167" s="86"/>
      <c r="G167" s="15" t="s">
        <v>602</v>
      </c>
      <c r="H167" s="15">
        <v>2021</v>
      </c>
      <c r="I167" s="15" t="s">
        <v>295</v>
      </c>
      <c r="J167" s="15" t="s">
        <v>118</v>
      </c>
      <c r="K167" s="15"/>
    </row>
    <row r="168" spans="1:11">
      <c r="A168" s="15"/>
      <c r="B168" s="15"/>
      <c r="C168" s="15"/>
      <c r="D168" s="15"/>
      <c r="E168" s="15"/>
      <c r="F168" s="86"/>
      <c r="G168" s="15" t="s">
        <v>603</v>
      </c>
      <c r="H168" s="15">
        <v>2021</v>
      </c>
      <c r="I168" s="15" t="s">
        <v>295</v>
      </c>
      <c r="J168" s="15" t="s">
        <v>120</v>
      </c>
      <c r="K168" s="15"/>
    </row>
    <row r="169" spans="1:11">
      <c r="A169" s="15"/>
      <c r="B169" s="15"/>
      <c r="C169" s="15"/>
      <c r="D169" s="15"/>
      <c r="E169" s="15"/>
      <c r="F169" s="86"/>
      <c r="G169" s="15" t="s">
        <v>604</v>
      </c>
      <c r="H169" s="15">
        <v>2021</v>
      </c>
      <c r="I169" s="15" t="s">
        <v>295</v>
      </c>
      <c r="J169" s="15" t="s">
        <v>122</v>
      </c>
      <c r="K169" s="15"/>
    </row>
    <row r="170" spans="1:11">
      <c r="A170" s="15"/>
      <c r="B170" s="15"/>
      <c r="C170" s="15"/>
      <c r="D170" s="15"/>
      <c r="E170" s="15"/>
      <c r="F170" s="86"/>
      <c r="G170" s="15" t="s">
        <v>605</v>
      </c>
      <c r="H170" s="15">
        <v>2021</v>
      </c>
      <c r="I170" s="15" t="s">
        <v>295</v>
      </c>
      <c r="J170" s="15" t="s">
        <v>182</v>
      </c>
      <c r="K170" s="15"/>
    </row>
    <row r="171" spans="1:11">
      <c r="A171" s="15"/>
      <c r="B171" s="15"/>
      <c r="C171" s="15"/>
      <c r="D171" s="15"/>
      <c r="E171" s="15"/>
      <c r="F171" s="86"/>
      <c r="G171" s="15" t="s">
        <v>606</v>
      </c>
      <c r="H171" s="15">
        <v>2021</v>
      </c>
      <c r="I171" s="15" t="s">
        <v>295</v>
      </c>
      <c r="J171" s="15" t="s">
        <v>184</v>
      </c>
      <c r="K171" s="15"/>
    </row>
    <row r="172" spans="1:11">
      <c r="A172" s="15"/>
      <c r="B172" s="15"/>
      <c r="C172" s="15"/>
      <c r="D172" s="15"/>
      <c r="E172" s="15"/>
      <c r="F172" s="86"/>
      <c r="G172" s="15" t="s">
        <v>607</v>
      </c>
      <c r="H172" s="15">
        <v>2021</v>
      </c>
      <c r="I172" s="15" t="s">
        <v>295</v>
      </c>
      <c r="J172" s="15" t="s">
        <v>186</v>
      </c>
      <c r="K172" s="15"/>
    </row>
    <row r="173" spans="1:11">
      <c r="A173" s="15"/>
      <c r="B173" s="15"/>
      <c r="C173" s="15"/>
      <c r="D173" s="15"/>
      <c r="E173" s="15"/>
      <c r="F173" s="86"/>
      <c r="G173" s="15" t="s">
        <v>608</v>
      </c>
      <c r="H173" s="15">
        <v>2021</v>
      </c>
      <c r="I173" s="15" t="s">
        <v>295</v>
      </c>
      <c r="J173" s="15" t="s">
        <v>124</v>
      </c>
      <c r="K173" s="15"/>
    </row>
    <row r="174" spans="1:11">
      <c r="A174" s="15"/>
      <c r="B174" s="15"/>
      <c r="C174" s="15"/>
      <c r="D174" s="15"/>
      <c r="E174" s="15"/>
      <c r="F174" s="86"/>
      <c r="G174" s="15" t="s">
        <v>609</v>
      </c>
      <c r="H174" s="15">
        <v>2021</v>
      </c>
      <c r="I174" s="15" t="s">
        <v>295</v>
      </c>
      <c r="J174" s="15" t="s">
        <v>126</v>
      </c>
      <c r="K174" s="15"/>
    </row>
    <row r="175" spans="1:11">
      <c r="A175" s="15"/>
      <c r="B175" s="15"/>
      <c r="C175" s="15"/>
      <c r="D175" s="15"/>
      <c r="E175" s="15"/>
      <c r="F175" s="86"/>
      <c r="G175" s="15" t="s">
        <v>610</v>
      </c>
      <c r="H175" s="15">
        <v>2021</v>
      </c>
      <c r="I175" s="15" t="s">
        <v>295</v>
      </c>
      <c r="J175" s="15" t="s">
        <v>128</v>
      </c>
      <c r="K175" s="15"/>
    </row>
    <row r="176" spans="1:11">
      <c r="A176" s="15"/>
      <c r="B176" s="15"/>
      <c r="C176" s="15"/>
      <c r="D176" s="15"/>
      <c r="E176" s="15"/>
      <c r="F176" s="86"/>
      <c r="G176" s="15" t="s">
        <v>611</v>
      </c>
      <c r="H176" s="15">
        <v>2021</v>
      </c>
      <c r="I176" s="15" t="s">
        <v>295</v>
      </c>
      <c r="J176" s="15" t="s">
        <v>130</v>
      </c>
      <c r="K176" s="15"/>
    </row>
    <row r="177" spans="1:11">
      <c r="A177" s="15"/>
      <c r="B177" s="15"/>
      <c r="C177" s="15"/>
      <c r="D177" s="15"/>
      <c r="E177" s="15"/>
      <c r="F177" s="86"/>
      <c r="G177" s="15" t="s">
        <v>612</v>
      </c>
      <c r="H177" s="15">
        <v>2021</v>
      </c>
      <c r="I177" s="15" t="s">
        <v>295</v>
      </c>
      <c r="J177" s="15" t="s">
        <v>132</v>
      </c>
      <c r="K177" s="15"/>
    </row>
    <row r="178" spans="1:11">
      <c r="A178" s="15"/>
      <c r="B178" s="15"/>
      <c r="C178" s="15"/>
      <c r="D178" s="15"/>
      <c r="E178" s="15"/>
      <c r="F178" s="86"/>
      <c r="G178" s="15" t="s">
        <v>613</v>
      </c>
      <c r="H178" s="15">
        <v>2021</v>
      </c>
      <c r="I178" s="15" t="s">
        <v>295</v>
      </c>
      <c r="J178" s="15" t="s">
        <v>134</v>
      </c>
      <c r="K178" s="15"/>
    </row>
    <row r="179" spans="1:11">
      <c r="A179" s="15"/>
      <c r="B179" s="15"/>
      <c r="C179" s="15"/>
      <c r="D179" s="15"/>
      <c r="E179" s="15"/>
      <c r="F179" s="86"/>
      <c r="G179" s="15" t="s">
        <v>614</v>
      </c>
      <c r="H179" s="15">
        <v>2021</v>
      </c>
      <c r="I179" s="15" t="s">
        <v>295</v>
      </c>
      <c r="J179" s="15" t="s">
        <v>136</v>
      </c>
      <c r="K179" s="15"/>
    </row>
    <row r="180" spans="1:11">
      <c r="A180" s="15"/>
      <c r="B180" s="15"/>
      <c r="C180" s="15"/>
      <c r="D180" s="15"/>
      <c r="E180" s="15"/>
      <c r="F180" s="86"/>
      <c r="G180" s="15" t="s">
        <v>615</v>
      </c>
      <c r="H180" s="15">
        <v>2021</v>
      </c>
      <c r="I180" s="15" t="s">
        <v>295</v>
      </c>
      <c r="J180" s="15" t="s">
        <v>138</v>
      </c>
      <c r="K180" s="15"/>
    </row>
    <row r="181" spans="1:11">
      <c r="A181" s="15"/>
      <c r="B181" s="15"/>
      <c r="C181" s="15"/>
      <c r="D181" s="15"/>
      <c r="E181" s="15"/>
      <c r="F181" s="86"/>
      <c r="G181" s="15" t="s">
        <v>616</v>
      </c>
      <c r="H181" s="15">
        <v>2021</v>
      </c>
      <c r="I181" s="15" t="s">
        <v>295</v>
      </c>
      <c r="J181" s="15" t="s">
        <v>140</v>
      </c>
      <c r="K181" s="15"/>
    </row>
    <row r="182" spans="1:11">
      <c r="A182" s="15"/>
      <c r="B182" s="15"/>
      <c r="C182" s="15"/>
      <c r="D182" s="15"/>
      <c r="E182" s="15"/>
      <c r="F182" s="86"/>
      <c r="G182" s="15" t="s">
        <v>617</v>
      </c>
      <c r="H182" s="15">
        <v>2021</v>
      </c>
      <c r="I182" s="15" t="s">
        <v>295</v>
      </c>
      <c r="J182" s="15" t="s">
        <v>197</v>
      </c>
      <c r="K182" s="15"/>
    </row>
    <row r="183" spans="1:11">
      <c r="A183" s="15"/>
      <c r="B183" s="15"/>
      <c r="C183" s="15"/>
      <c r="D183" s="15"/>
      <c r="E183" s="15"/>
      <c r="F183" s="86"/>
      <c r="G183" s="15" t="s">
        <v>618</v>
      </c>
      <c r="H183" s="15">
        <v>2021</v>
      </c>
      <c r="I183" s="15" t="s">
        <v>295</v>
      </c>
      <c r="J183" s="15" t="s">
        <v>199</v>
      </c>
      <c r="K183" s="15"/>
    </row>
    <row r="184" spans="1:11">
      <c r="A184" s="15"/>
      <c r="B184" s="15"/>
      <c r="C184" s="15"/>
      <c r="D184" s="15"/>
      <c r="E184" s="15"/>
      <c r="F184" s="86"/>
      <c r="G184" s="15" t="s">
        <v>619</v>
      </c>
      <c r="H184" s="15">
        <v>2021</v>
      </c>
      <c r="I184" s="15" t="s">
        <v>295</v>
      </c>
      <c r="J184" s="15" t="s">
        <v>201</v>
      </c>
      <c r="K184" s="15"/>
    </row>
    <row r="185" spans="1:11">
      <c r="A185" s="15"/>
      <c r="B185" s="15"/>
      <c r="C185" s="15"/>
      <c r="D185" s="15"/>
      <c r="E185" s="15"/>
      <c r="F185" s="86"/>
      <c r="G185" s="15" t="s">
        <v>620</v>
      </c>
      <c r="H185" s="15">
        <v>2021</v>
      </c>
      <c r="I185" s="15" t="s">
        <v>295</v>
      </c>
      <c r="J185" s="15" t="s">
        <v>69</v>
      </c>
      <c r="K185" s="15"/>
    </row>
    <row r="186" spans="1:11">
      <c r="A186" s="15"/>
      <c r="B186" s="15"/>
      <c r="C186" s="15"/>
      <c r="D186" s="15"/>
      <c r="E186" s="15"/>
      <c r="F186" s="86"/>
      <c r="G186" s="15" t="s">
        <v>621</v>
      </c>
      <c r="H186" s="15">
        <v>2021</v>
      </c>
      <c r="I186" s="15" t="s">
        <v>295</v>
      </c>
      <c r="J186" s="15" t="s">
        <v>71</v>
      </c>
      <c r="K186" s="15"/>
    </row>
    <row r="187" spans="1:11">
      <c r="A187" s="15"/>
      <c r="B187" s="15"/>
      <c r="C187" s="15"/>
      <c r="D187" s="15"/>
      <c r="E187" s="15"/>
      <c r="F187" s="86"/>
      <c r="G187" s="15" t="s">
        <v>622</v>
      </c>
      <c r="H187" s="15">
        <v>2021</v>
      </c>
      <c r="I187" s="15" t="s">
        <v>295</v>
      </c>
      <c r="J187" s="15" t="s">
        <v>73</v>
      </c>
      <c r="K187" s="15"/>
    </row>
    <row r="188" spans="1:11">
      <c r="A188" s="15"/>
      <c r="B188" s="15"/>
      <c r="C188" s="15"/>
      <c r="D188" s="15"/>
      <c r="E188" s="15"/>
      <c r="F188" s="86"/>
      <c r="G188" s="15" t="s">
        <v>623</v>
      </c>
      <c r="H188" s="15">
        <v>2021</v>
      </c>
      <c r="I188" s="15" t="s">
        <v>295</v>
      </c>
      <c r="J188" s="15" t="s">
        <v>75</v>
      </c>
      <c r="K188" s="15"/>
    </row>
    <row r="189" spans="1:11">
      <c r="A189" s="15"/>
      <c r="B189" s="15"/>
      <c r="C189" s="15"/>
      <c r="D189" s="15"/>
      <c r="E189" s="15"/>
      <c r="F189" s="86"/>
      <c r="G189" s="15" t="s">
        <v>624</v>
      </c>
      <c r="H189" s="15">
        <v>2021</v>
      </c>
      <c r="I189" s="15" t="s">
        <v>295</v>
      </c>
      <c r="J189" s="15" t="s">
        <v>77</v>
      </c>
      <c r="K189" s="15"/>
    </row>
    <row r="190" spans="1:11">
      <c r="A190" s="15"/>
      <c r="B190" s="15"/>
      <c r="C190" s="15"/>
      <c r="D190" s="15"/>
      <c r="E190" s="15"/>
      <c r="F190" s="86"/>
      <c r="G190" s="15" t="s">
        <v>625</v>
      </c>
      <c r="H190" s="15">
        <v>2021</v>
      </c>
      <c r="I190" s="15" t="s">
        <v>295</v>
      </c>
      <c r="J190" s="15" t="s">
        <v>79</v>
      </c>
      <c r="K190" s="15"/>
    </row>
    <row r="191" spans="1:11">
      <c r="A191" s="15"/>
      <c r="B191" s="15"/>
      <c r="C191" s="15"/>
      <c r="D191" s="15"/>
      <c r="E191" s="15"/>
      <c r="F191" s="86"/>
      <c r="G191" s="15" t="s">
        <v>626</v>
      </c>
      <c r="H191" s="15">
        <v>2021</v>
      </c>
      <c r="I191" s="15" t="s">
        <v>295</v>
      </c>
      <c r="J191" s="15" t="s">
        <v>81</v>
      </c>
      <c r="K191" s="15"/>
    </row>
    <row r="192" spans="1:11">
      <c r="A192" s="15"/>
      <c r="B192" s="15"/>
      <c r="C192" s="15"/>
      <c r="D192" s="15"/>
      <c r="E192" s="15"/>
      <c r="F192" s="86"/>
      <c r="G192" s="15" t="s">
        <v>627</v>
      </c>
      <c r="H192" s="15">
        <v>2021</v>
      </c>
      <c r="I192" s="15" t="s">
        <v>295</v>
      </c>
      <c r="J192" s="15" t="s">
        <v>83</v>
      </c>
      <c r="K192" s="15"/>
    </row>
    <row r="193" spans="1:11">
      <c r="A193" s="15"/>
      <c r="B193" s="15"/>
      <c r="C193" s="15"/>
      <c r="D193" s="15"/>
      <c r="E193" s="15"/>
      <c r="F193" s="86"/>
      <c r="G193" s="15" t="s">
        <v>628</v>
      </c>
      <c r="H193" s="15">
        <v>2021</v>
      </c>
      <c r="I193" s="15" t="s">
        <v>295</v>
      </c>
      <c r="J193" s="15" t="s">
        <v>85</v>
      </c>
      <c r="K193" s="15"/>
    </row>
    <row r="194" spans="1:11">
      <c r="A194" s="15"/>
      <c r="B194" s="15"/>
      <c r="C194" s="15"/>
      <c r="D194" s="15"/>
      <c r="E194" s="15"/>
      <c r="F194" s="86"/>
      <c r="G194" s="15" t="s">
        <v>506</v>
      </c>
      <c r="H194" s="15">
        <v>2021</v>
      </c>
      <c r="I194" s="15" t="s">
        <v>295</v>
      </c>
      <c r="J194" s="15" t="s">
        <v>152</v>
      </c>
      <c r="K194" s="15"/>
    </row>
    <row r="195" spans="1:11">
      <c r="A195" s="15"/>
      <c r="B195" s="15"/>
      <c r="C195" s="15"/>
      <c r="D195" s="15"/>
      <c r="E195" s="15"/>
      <c r="F195" s="86"/>
      <c r="G195" s="15" t="s">
        <v>507</v>
      </c>
      <c r="H195" s="15">
        <v>2021</v>
      </c>
      <c r="I195" s="15" t="s">
        <v>295</v>
      </c>
      <c r="J195" s="15" t="s">
        <v>154</v>
      </c>
      <c r="K195" s="15"/>
    </row>
    <row r="196" spans="1:11">
      <c r="A196" s="15"/>
      <c r="B196" s="15"/>
      <c r="C196" s="15"/>
      <c r="D196" s="15"/>
      <c r="E196" s="15"/>
      <c r="F196" s="86"/>
      <c r="G196" s="15" t="s">
        <v>508</v>
      </c>
      <c r="H196" s="15">
        <v>2021</v>
      </c>
      <c r="I196" s="15" t="s">
        <v>295</v>
      </c>
      <c r="J196" s="15" t="s">
        <v>156</v>
      </c>
      <c r="K196" s="15"/>
    </row>
    <row r="197" spans="1:11">
      <c r="A197" s="15"/>
      <c r="B197" s="15"/>
      <c r="C197" s="15"/>
      <c r="D197" s="15"/>
      <c r="E197" s="15"/>
      <c r="F197" s="86"/>
      <c r="G197" s="15" t="s">
        <v>509</v>
      </c>
      <c r="H197" s="15">
        <v>2021</v>
      </c>
      <c r="I197" s="15" t="s">
        <v>295</v>
      </c>
      <c r="J197" s="15" t="s">
        <v>87</v>
      </c>
      <c r="K197" s="15"/>
    </row>
    <row r="198" spans="1:11">
      <c r="A198" s="15"/>
      <c r="B198" s="15"/>
      <c r="C198" s="15"/>
      <c r="D198" s="15"/>
      <c r="E198" s="15"/>
      <c r="F198" s="86"/>
      <c r="G198" s="15" t="s">
        <v>629</v>
      </c>
      <c r="H198" s="15">
        <v>2021</v>
      </c>
      <c r="I198" s="15" t="s">
        <v>295</v>
      </c>
      <c r="J198" s="15" t="s">
        <v>89</v>
      </c>
      <c r="K198" s="15"/>
    </row>
    <row r="199" spans="1:11">
      <c r="A199" s="15"/>
      <c r="B199" s="15"/>
      <c r="C199" s="15"/>
      <c r="D199" s="15"/>
      <c r="E199" s="15"/>
      <c r="F199" s="86"/>
      <c r="G199" s="15" t="s">
        <v>630</v>
      </c>
      <c r="H199" s="15">
        <v>2021</v>
      </c>
      <c r="I199" s="15" t="s">
        <v>295</v>
      </c>
      <c r="J199" s="15" t="s">
        <v>91</v>
      </c>
      <c r="K199" s="15"/>
    </row>
    <row r="200" spans="1:11">
      <c r="A200" s="15"/>
      <c r="B200" s="15"/>
      <c r="C200" s="15"/>
      <c r="D200" s="15"/>
      <c r="E200" s="15"/>
      <c r="F200" s="86"/>
      <c r="G200" s="15" t="s">
        <v>288</v>
      </c>
      <c r="H200" s="15">
        <v>2021</v>
      </c>
      <c r="I200" s="15" t="s">
        <v>295</v>
      </c>
      <c r="J200" s="15" t="s">
        <v>93</v>
      </c>
      <c r="K200" s="15"/>
    </row>
    <row r="201" spans="1:11">
      <c r="A201" s="15"/>
      <c r="B201" s="15"/>
      <c r="C201" s="15"/>
      <c r="D201" s="15"/>
      <c r="E201" s="15"/>
      <c r="F201" s="86"/>
      <c r="G201" s="15" t="s">
        <v>290</v>
      </c>
      <c r="H201" s="15">
        <v>2021</v>
      </c>
      <c r="I201" s="15" t="s">
        <v>295</v>
      </c>
      <c r="J201" s="15" t="s">
        <v>95</v>
      </c>
      <c r="K201" s="15"/>
    </row>
    <row r="202" spans="1:11">
      <c r="A202" s="15"/>
      <c r="B202" s="15"/>
      <c r="C202" s="15"/>
      <c r="D202" s="15"/>
      <c r="E202" s="15"/>
      <c r="F202" s="86"/>
      <c r="G202" s="15" t="s">
        <v>292</v>
      </c>
      <c r="H202" s="15">
        <v>2021</v>
      </c>
      <c r="I202" s="15" t="s">
        <v>295</v>
      </c>
      <c r="J202" s="15" t="s">
        <v>97</v>
      </c>
      <c r="K202" s="15"/>
    </row>
    <row r="203" spans="1:11">
      <c r="A203" s="15"/>
      <c r="B203" s="15"/>
      <c r="C203" s="15"/>
      <c r="D203" s="15"/>
      <c r="E203" s="15"/>
      <c r="F203" s="86"/>
      <c r="G203" s="15" t="s">
        <v>294</v>
      </c>
      <c r="H203" s="15">
        <v>2021</v>
      </c>
      <c r="I203" s="15" t="s">
        <v>295</v>
      </c>
      <c r="J203" s="15" t="s">
        <v>99</v>
      </c>
      <c r="K203" s="15"/>
    </row>
    <row r="204" spans="1:11">
      <c r="A204" s="15"/>
      <c r="B204" s="15"/>
      <c r="C204" s="15"/>
      <c r="D204" s="15"/>
      <c r="E204" s="15"/>
      <c r="F204" s="86"/>
      <c r="G204" s="15" t="s">
        <v>296</v>
      </c>
      <c r="H204" s="15">
        <v>2021</v>
      </c>
      <c r="I204" s="15" t="s">
        <v>295</v>
      </c>
      <c r="J204" s="15" t="s">
        <v>101</v>
      </c>
      <c r="K204" s="15"/>
    </row>
    <row r="205" spans="1:11">
      <c r="A205" s="15"/>
      <c r="B205" s="15"/>
      <c r="C205" s="15"/>
      <c r="D205" s="15"/>
      <c r="E205" s="15"/>
      <c r="F205" s="86"/>
      <c r="G205" s="15" t="s">
        <v>297</v>
      </c>
      <c r="H205" s="15">
        <v>2021</v>
      </c>
      <c r="I205" s="15" t="s">
        <v>295</v>
      </c>
      <c r="J205" s="15" t="s">
        <v>103</v>
      </c>
      <c r="K205" s="15"/>
    </row>
    <row r="206" spans="1:11">
      <c r="A206" s="15"/>
      <c r="B206" s="15"/>
      <c r="C206" s="15"/>
      <c r="D206" s="15"/>
      <c r="E206" s="15"/>
      <c r="F206" s="86"/>
      <c r="G206" s="15" t="s">
        <v>298</v>
      </c>
      <c r="H206" s="15">
        <v>2021</v>
      </c>
      <c r="I206" s="15" t="s">
        <v>295</v>
      </c>
      <c r="J206" s="15" t="s">
        <v>167</v>
      </c>
      <c r="K206" s="15"/>
    </row>
    <row r="207" spans="1:11">
      <c r="A207" s="15"/>
      <c r="B207" s="15"/>
      <c r="C207" s="15"/>
      <c r="D207" s="15"/>
      <c r="E207" s="15"/>
      <c r="F207" s="86"/>
      <c r="G207" s="15" t="s">
        <v>299</v>
      </c>
      <c r="H207" s="15">
        <v>2021</v>
      </c>
      <c r="I207" s="15" t="s">
        <v>295</v>
      </c>
      <c r="J207" s="15" t="s">
        <v>169</v>
      </c>
      <c r="K207" s="15"/>
    </row>
    <row r="208" spans="1:11">
      <c r="A208" s="15"/>
      <c r="B208" s="15"/>
      <c r="C208" s="15"/>
      <c r="D208" s="15"/>
      <c r="E208" s="15"/>
      <c r="F208" s="86"/>
      <c r="G208" s="15" t="s">
        <v>300</v>
      </c>
      <c r="H208" s="15">
        <v>2021</v>
      </c>
      <c r="I208" s="15" t="s">
        <v>295</v>
      </c>
      <c r="J208" s="15" t="s">
        <v>171</v>
      </c>
      <c r="K208" s="15"/>
    </row>
    <row r="209" spans="1:11">
      <c r="A209" s="15"/>
      <c r="B209" s="15"/>
      <c r="C209" s="15"/>
      <c r="D209" s="15"/>
      <c r="E209" s="15"/>
      <c r="F209" s="86"/>
      <c r="G209" s="15" t="s">
        <v>301</v>
      </c>
      <c r="H209" s="15">
        <v>2021</v>
      </c>
      <c r="I209" s="15" t="s">
        <v>295</v>
      </c>
      <c r="J209" s="15" t="s">
        <v>106</v>
      </c>
      <c r="K209" s="15"/>
    </row>
    <row r="210" spans="1:11">
      <c r="A210" s="15"/>
      <c r="B210" s="15"/>
      <c r="C210" s="15"/>
      <c r="D210" s="15"/>
      <c r="E210" s="15"/>
      <c r="F210" s="86"/>
      <c r="G210" s="15" t="s">
        <v>302</v>
      </c>
      <c r="H210" s="15">
        <v>2021</v>
      </c>
      <c r="I210" s="15" t="s">
        <v>295</v>
      </c>
      <c r="J210" s="15" t="s">
        <v>108</v>
      </c>
      <c r="K210" s="15"/>
    </row>
    <row r="211" spans="1:11">
      <c r="A211" s="15"/>
      <c r="B211" s="15"/>
      <c r="C211" s="15"/>
      <c r="D211" s="15"/>
      <c r="E211" s="15"/>
      <c r="F211" s="86"/>
      <c r="G211" s="15" t="s">
        <v>303</v>
      </c>
      <c r="H211" s="15">
        <v>2021</v>
      </c>
      <c r="I211" s="15" t="s">
        <v>295</v>
      </c>
      <c r="J211" s="15" t="s">
        <v>110</v>
      </c>
      <c r="K211" s="15"/>
    </row>
    <row r="212" spans="1:11">
      <c r="A212" s="15"/>
      <c r="B212" s="15"/>
      <c r="C212" s="15"/>
      <c r="D212" s="15"/>
      <c r="E212" s="15"/>
      <c r="F212" s="86"/>
      <c r="G212" s="15" t="s">
        <v>304</v>
      </c>
      <c r="H212" s="15">
        <v>2021</v>
      </c>
      <c r="I212" s="15" t="s">
        <v>295</v>
      </c>
      <c r="J212" s="15" t="s">
        <v>112</v>
      </c>
      <c r="K212" s="15"/>
    </row>
    <row r="213" spans="1:11">
      <c r="A213" s="15"/>
      <c r="B213" s="15"/>
      <c r="C213" s="15"/>
      <c r="D213" s="15"/>
      <c r="E213" s="15"/>
      <c r="F213" s="86"/>
      <c r="G213" s="15" t="s">
        <v>305</v>
      </c>
      <c r="H213" s="15">
        <v>2021</v>
      </c>
      <c r="I213" s="15" t="s">
        <v>295</v>
      </c>
      <c r="J213" s="15" t="s">
        <v>114</v>
      </c>
      <c r="K213" s="15"/>
    </row>
    <row r="214" spans="1:11">
      <c r="A214" s="15"/>
      <c r="B214" s="15"/>
      <c r="C214" s="15"/>
      <c r="D214" s="15"/>
      <c r="E214" s="15"/>
      <c r="F214" s="86"/>
      <c r="G214" s="15" t="s">
        <v>306</v>
      </c>
      <c r="H214" s="15">
        <v>2021</v>
      </c>
      <c r="I214" s="15" t="s">
        <v>295</v>
      </c>
      <c r="J214" s="15" t="s">
        <v>116</v>
      </c>
      <c r="K214" s="15"/>
    </row>
    <row r="215" spans="1:11">
      <c r="A215" s="15"/>
      <c r="B215" s="15"/>
      <c r="C215" s="15"/>
      <c r="D215" s="15"/>
      <c r="E215" s="15"/>
      <c r="F215" s="86"/>
      <c r="G215" s="15" t="s">
        <v>307</v>
      </c>
      <c r="H215" s="15">
        <v>2021</v>
      </c>
      <c r="I215" s="15" t="s">
        <v>295</v>
      </c>
      <c r="J215" s="15" t="s">
        <v>118</v>
      </c>
      <c r="K215" s="15"/>
    </row>
    <row r="216" spans="1:11">
      <c r="A216" s="15"/>
      <c r="B216" s="15"/>
      <c r="C216" s="15"/>
      <c r="D216" s="15"/>
      <c r="E216" s="15"/>
      <c r="F216" s="86"/>
      <c r="G216" s="15" t="s">
        <v>308</v>
      </c>
      <c r="H216" s="15">
        <v>2021</v>
      </c>
      <c r="I216" s="15" t="s">
        <v>295</v>
      </c>
      <c r="J216" s="15" t="s">
        <v>120</v>
      </c>
      <c r="K216" s="15"/>
    </row>
    <row r="217" spans="1:11">
      <c r="A217" s="15"/>
      <c r="B217" s="15"/>
      <c r="C217" s="15"/>
      <c r="D217" s="15"/>
      <c r="E217" s="15"/>
      <c r="F217" s="86"/>
      <c r="G217" s="15" t="s">
        <v>309</v>
      </c>
      <c r="H217" s="15">
        <v>2021</v>
      </c>
      <c r="I217" s="15" t="s">
        <v>295</v>
      </c>
      <c r="J217" s="15" t="s">
        <v>122</v>
      </c>
      <c r="K217" s="15"/>
    </row>
    <row r="218" spans="1:11">
      <c r="A218" s="15"/>
      <c r="B218" s="15"/>
      <c r="C218" s="15"/>
      <c r="D218" s="15"/>
      <c r="E218" s="15"/>
      <c r="F218" s="86"/>
      <c r="G218" s="15" t="s">
        <v>310</v>
      </c>
      <c r="H218" s="15">
        <v>2021</v>
      </c>
      <c r="I218" s="15" t="s">
        <v>295</v>
      </c>
      <c r="J218" s="15" t="s">
        <v>182</v>
      </c>
      <c r="K218" s="15"/>
    </row>
    <row r="219" spans="1:11">
      <c r="A219" s="15"/>
      <c r="B219" s="15"/>
      <c r="C219" s="15"/>
      <c r="D219" s="15"/>
      <c r="E219" s="15"/>
      <c r="F219" s="86"/>
      <c r="G219" s="15" t="s">
        <v>311</v>
      </c>
      <c r="H219" s="15">
        <v>2021</v>
      </c>
      <c r="I219" s="15" t="s">
        <v>295</v>
      </c>
      <c r="J219" s="15" t="s">
        <v>184</v>
      </c>
      <c r="K219" s="15"/>
    </row>
    <row r="220" spans="1:11">
      <c r="A220" s="15"/>
      <c r="B220" s="15"/>
      <c r="C220" s="15"/>
      <c r="D220" s="15"/>
      <c r="E220" s="15"/>
      <c r="F220" s="86"/>
      <c r="G220" s="15" t="s">
        <v>312</v>
      </c>
      <c r="H220" s="15">
        <v>2021</v>
      </c>
      <c r="I220" s="15" t="s">
        <v>295</v>
      </c>
      <c r="J220" s="15" t="s">
        <v>186</v>
      </c>
      <c r="K220" s="15"/>
    </row>
    <row r="221" spans="1:11">
      <c r="A221" s="15"/>
      <c r="B221" s="15"/>
      <c r="C221" s="15"/>
      <c r="D221" s="15"/>
      <c r="E221" s="15"/>
      <c r="F221" s="86"/>
      <c r="G221" s="15" t="s">
        <v>313</v>
      </c>
      <c r="H221" s="15">
        <v>2021</v>
      </c>
      <c r="I221" s="15" t="s">
        <v>295</v>
      </c>
      <c r="J221" s="15" t="s">
        <v>124</v>
      </c>
      <c r="K221" s="15"/>
    </row>
    <row r="222" spans="1:11">
      <c r="A222" s="15"/>
      <c r="B222" s="15"/>
      <c r="C222" s="15"/>
      <c r="D222" s="15"/>
      <c r="E222" s="15"/>
      <c r="F222" s="86"/>
      <c r="G222" s="15" t="s">
        <v>314</v>
      </c>
      <c r="H222" s="15">
        <v>2021</v>
      </c>
      <c r="I222" s="15" t="s">
        <v>295</v>
      </c>
      <c r="J222" s="15" t="s">
        <v>126</v>
      </c>
      <c r="K222" s="15"/>
    </row>
    <row r="223" spans="1:11">
      <c r="A223" s="15"/>
      <c r="B223" s="15"/>
      <c r="C223" s="15"/>
      <c r="D223" s="15"/>
      <c r="E223" s="15"/>
      <c r="F223" s="86"/>
      <c r="G223" s="15" t="s">
        <v>315</v>
      </c>
      <c r="H223" s="15">
        <v>2021</v>
      </c>
      <c r="I223" s="15" t="s">
        <v>295</v>
      </c>
      <c r="J223" s="15" t="s">
        <v>128</v>
      </c>
      <c r="K223" s="15"/>
    </row>
    <row r="224" spans="1:11">
      <c r="A224" s="15"/>
      <c r="B224" s="15"/>
      <c r="C224" s="15"/>
      <c r="D224" s="15"/>
      <c r="E224" s="15"/>
      <c r="F224" s="86"/>
      <c r="G224" s="15" t="s">
        <v>316</v>
      </c>
      <c r="H224" s="15">
        <v>2021</v>
      </c>
      <c r="I224" s="15" t="s">
        <v>295</v>
      </c>
      <c r="J224" s="15" t="s">
        <v>130</v>
      </c>
      <c r="K224" s="15"/>
    </row>
    <row r="225" spans="1:11">
      <c r="A225" s="15"/>
      <c r="B225" s="15"/>
      <c r="C225" s="15"/>
      <c r="D225" s="15"/>
      <c r="E225" s="15"/>
      <c r="F225" s="86"/>
      <c r="G225" s="15" t="s">
        <v>317</v>
      </c>
      <c r="H225" s="15">
        <v>2021</v>
      </c>
      <c r="I225" s="15" t="s">
        <v>295</v>
      </c>
      <c r="J225" s="15" t="s">
        <v>132</v>
      </c>
      <c r="K225" s="15"/>
    </row>
    <row r="226" spans="1:11">
      <c r="A226" s="15"/>
      <c r="B226" s="15"/>
      <c r="C226" s="15"/>
      <c r="D226" s="15"/>
      <c r="E226" s="15"/>
      <c r="F226" s="86"/>
      <c r="G226" s="15" t="s">
        <v>318</v>
      </c>
      <c r="H226" s="15">
        <v>2021</v>
      </c>
      <c r="I226" s="15" t="s">
        <v>295</v>
      </c>
      <c r="J226" s="15" t="s">
        <v>134</v>
      </c>
      <c r="K226" s="15"/>
    </row>
    <row r="227" spans="1:11">
      <c r="A227" s="15"/>
      <c r="B227" s="15"/>
      <c r="C227" s="15"/>
      <c r="D227" s="15"/>
      <c r="E227" s="15"/>
      <c r="F227" s="86"/>
      <c r="G227" s="15" t="s">
        <v>319</v>
      </c>
      <c r="H227" s="15">
        <v>2021</v>
      </c>
      <c r="I227" s="15" t="s">
        <v>295</v>
      </c>
      <c r="J227" s="15" t="s">
        <v>136</v>
      </c>
      <c r="K227" s="15"/>
    </row>
    <row r="228" spans="1:11">
      <c r="A228" s="15"/>
      <c r="B228" s="15"/>
      <c r="C228" s="15"/>
      <c r="D228" s="15"/>
      <c r="E228" s="15"/>
      <c r="F228" s="86"/>
      <c r="G228" s="15" t="s">
        <v>320</v>
      </c>
      <c r="H228" s="15">
        <v>2021</v>
      </c>
      <c r="I228" s="15" t="s">
        <v>295</v>
      </c>
      <c r="J228" s="15" t="s">
        <v>138</v>
      </c>
      <c r="K228" s="15"/>
    </row>
    <row r="229" spans="1:11">
      <c r="A229" s="15"/>
      <c r="B229" s="15"/>
      <c r="C229" s="15"/>
      <c r="D229" s="15"/>
      <c r="E229" s="15"/>
      <c r="F229" s="86"/>
      <c r="G229" s="15" t="s">
        <v>321</v>
      </c>
      <c r="H229" s="15">
        <v>2021</v>
      </c>
      <c r="I229" s="15" t="s">
        <v>295</v>
      </c>
      <c r="J229" s="15" t="s">
        <v>140</v>
      </c>
      <c r="K229" s="15"/>
    </row>
    <row r="230" spans="1:11">
      <c r="A230" s="15"/>
      <c r="B230" s="15"/>
      <c r="C230" s="15"/>
      <c r="D230" s="15"/>
      <c r="E230" s="15"/>
      <c r="F230" s="86"/>
      <c r="G230" s="15" t="s">
        <v>322</v>
      </c>
      <c r="H230" s="15">
        <v>2021</v>
      </c>
      <c r="I230" s="15" t="s">
        <v>295</v>
      </c>
      <c r="J230" s="15" t="s">
        <v>197</v>
      </c>
      <c r="K230" s="15"/>
    </row>
    <row r="231" spans="1:11">
      <c r="A231" s="15"/>
      <c r="B231" s="15"/>
      <c r="C231" s="15"/>
      <c r="D231" s="15"/>
      <c r="E231" s="15"/>
      <c r="F231" s="86"/>
      <c r="G231" s="15" t="s">
        <v>323</v>
      </c>
      <c r="H231" s="15">
        <v>2021</v>
      </c>
      <c r="I231" s="15" t="s">
        <v>295</v>
      </c>
      <c r="J231" s="15" t="s">
        <v>199</v>
      </c>
      <c r="K231" s="15"/>
    </row>
    <row r="232" spans="1:11">
      <c r="A232" s="15"/>
      <c r="B232" s="15"/>
      <c r="C232" s="15"/>
      <c r="D232" s="15"/>
      <c r="E232" s="15"/>
      <c r="F232" s="86"/>
      <c r="G232" s="15" t="s">
        <v>324</v>
      </c>
      <c r="H232" s="15">
        <v>2021</v>
      </c>
      <c r="I232" s="15" t="s">
        <v>295</v>
      </c>
      <c r="J232" s="15" t="s">
        <v>201</v>
      </c>
      <c r="K232" s="15"/>
    </row>
    <row r="233" spans="1:11">
      <c r="A233" s="15"/>
      <c r="B233" s="15"/>
      <c r="C233" s="15"/>
      <c r="D233" s="15"/>
      <c r="E233" s="15"/>
      <c r="F233" s="106"/>
      <c r="G233" s="15" t="s">
        <v>325</v>
      </c>
      <c r="H233" s="15">
        <v>2021</v>
      </c>
      <c r="I233" s="15" t="s">
        <v>513</v>
      </c>
      <c r="J233" s="15" t="s">
        <v>106</v>
      </c>
      <c r="K233" s="15"/>
    </row>
    <row r="234" spans="1:11">
      <c r="A234" s="15"/>
      <c r="B234" s="15"/>
      <c r="C234" s="15"/>
      <c r="D234" s="15"/>
      <c r="E234" s="15"/>
      <c r="F234" s="106"/>
      <c r="G234" s="15" t="s">
        <v>326</v>
      </c>
      <c r="H234" s="15">
        <v>2021</v>
      </c>
      <c r="I234" s="15" t="s">
        <v>513</v>
      </c>
      <c r="J234" s="15" t="s">
        <v>108</v>
      </c>
      <c r="K234" s="15"/>
    </row>
    <row r="235" spans="1:11">
      <c r="A235" s="15"/>
      <c r="B235" s="15"/>
      <c r="C235" s="15"/>
      <c r="D235" s="15"/>
      <c r="E235" s="15"/>
      <c r="F235" s="106"/>
      <c r="G235" s="15" t="s">
        <v>327</v>
      </c>
      <c r="H235" s="15">
        <v>2021</v>
      </c>
      <c r="I235" s="15" t="s">
        <v>513</v>
      </c>
      <c r="J235" s="15" t="s">
        <v>110</v>
      </c>
      <c r="K235" s="15"/>
    </row>
    <row r="236" spans="1:11">
      <c r="A236" s="15"/>
      <c r="B236" s="15"/>
      <c r="C236" s="15"/>
      <c r="D236" s="15"/>
      <c r="E236" s="15"/>
      <c r="F236" s="106"/>
      <c r="G236" s="15" t="s">
        <v>328</v>
      </c>
      <c r="H236" s="15">
        <v>2021</v>
      </c>
      <c r="I236" s="15" t="s">
        <v>513</v>
      </c>
      <c r="J236" s="15" t="s">
        <v>112</v>
      </c>
      <c r="K236" s="15"/>
    </row>
    <row r="237" spans="1:11">
      <c r="A237" s="15"/>
      <c r="B237" s="15"/>
      <c r="C237" s="15"/>
      <c r="D237" s="15"/>
      <c r="E237" s="15"/>
      <c r="F237" s="106"/>
      <c r="G237" s="15" t="s">
        <v>329</v>
      </c>
      <c r="H237" s="15">
        <v>2021</v>
      </c>
      <c r="I237" s="15" t="s">
        <v>513</v>
      </c>
      <c r="J237" s="15" t="s">
        <v>114</v>
      </c>
      <c r="K237" s="15"/>
    </row>
    <row r="238" spans="1:11">
      <c r="A238" s="15"/>
      <c r="B238" s="15"/>
      <c r="C238" s="15"/>
      <c r="D238" s="15"/>
      <c r="E238" s="15"/>
      <c r="F238" s="106"/>
      <c r="G238" s="15" t="s">
        <v>330</v>
      </c>
      <c r="H238" s="15">
        <v>2021</v>
      </c>
      <c r="I238" s="15" t="s">
        <v>513</v>
      </c>
      <c r="J238" s="15" t="s">
        <v>116</v>
      </c>
      <c r="K238" s="15"/>
    </row>
    <row r="239" spans="1:11">
      <c r="A239" s="15"/>
      <c r="B239" s="15"/>
      <c r="C239" s="15"/>
      <c r="D239" s="15"/>
      <c r="E239" s="15"/>
      <c r="F239" s="106"/>
      <c r="G239" s="15" t="s">
        <v>331</v>
      </c>
      <c r="H239" s="15">
        <v>2021</v>
      </c>
      <c r="I239" s="15" t="s">
        <v>513</v>
      </c>
      <c r="J239" s="15" t="s">
        <v>118</v>
      </c>
      <c r="K239" s="15"/>
    </row>
    <row r="240" spans="1:11">
      <c r="A240" s="15"/>
      <c r="B240" s="15"/>
      <c r="C240" s="15"/>
      <c r="D240" s="15"/>
      <c r="E240" s="15"/>
      <c r="F240" s="106"/>
      <c r="G240" s="15" t="s">
        <v>332</v>
      </c>
      <c r="H240" s="15">
        <v>2021</v>
      </c>
      <c r="I240" s="15" t="s">
        <v>513</v>
      </c>
      <c r="J240" s="15" t="s">
        <v>120</v>
      </c>
      <c r="K240" s="15"/>
    </row>
    <row r="241" spans="1:11">
      <c r="A241" s="15"/>
      <c r="B241" s="15"/>
      <c r="C241" s="15"/>
      <c r="D241" s="15"/>
      <c r="E241" s="15"/>
      <c r="F241" s="106"/>
      <c r="G241" s="15" t="s">
        <v>333</v>
      </c>
      <c r="H241" s="15">
        <v>2021</v>
      </c>
      <c r="I241" s="15" t="s">
        <v>513</v>
      </c>
      <c r="J241" s="15" t="s">
        <v>122</v>
      </c>
      <c r="K241" s="15"/>
    </row>
    <row r="242" spans="1:11">
      <c r="A242" s="15"/>
      <c r="B242" s="15"/>
      <c r="C242" s="15"/>
      <c r="D242" s="15"/>
      <c r="E242" s="15"/>
      <c r="F242" s="106"/>
      <c r="G242" s="15" t="s">
        <v>334</v>
      </c>
      <c r="H242" s="15">
        <v>2021</v>
      </c>
      <c r="I242" s="15" t="s">
        <v>513</v>
      </c>
      <c r="J242" s="15" t="s">
        <v>182</v>
      </c>
      <c r="K242" s="15"/>
    </row>
    <row r="243" spans="1:11">
      <c r="A243" s="15"/>
      <c r="B243" s="15"/>
      <c r="C243" s="15"/>
      <c r="D243" s="15"/>
      <c r="E243" s="15"/>
      <c r="F243" s="106"/>
      <c r="G243" s="15" t="s">
        <v>335</v>
      </c>
      <c r="H243" s="15">
        <v>2021</v>
      </c>
      <c r="I243" s="15" t="s">
        <v>513</v>
      </c>
      <c r="J243" s="15" t="s">
        <v>184</v>
      </c>
      <c r="K243" s="15"/>
    </row>
    <row r="244" spans="1:11">
      <c r="A244" s="15"/>
      <c r="B244" s="15"/>
      <c r="C244" s="15"/>
      <c r="D244" s="15"/>
      <c r="E244" s="15"/>
      <c r="F244" s="106"/>
      <c r="G244" s="15" t="s">
        <v>336</v>
      </c>
      <c r="H244" s="15">
        <v>2021</v>
      </c>
      <c r="I244" s="15" t="s">
        <v>513</v>
      </c>
      <c r="J244" s="15" t="s">
        <v>186</v>
      </c>
      <c r="K244" s="15"/>
    </row>
    <row r="245" spans="1:11">
      <c r="A245" s="15"/>
      <c r="B245" s="15"/>
      <c r="C245" s="15"/>
      <c r="D245" s="15"/>
      <c r="E245" s="15"/>
      <c r="F245" s="106"/>
      <c r="G245" s="15" t="s">
        <v>337</v>
      </c>
      <c r="H245" s="15">
        <v>2021</v>
      </c>
      <c r="I245" s="15" t="s">
        <v>511</v>
      </c>
      <c r="J245" s="15" t="s">
        <v>106</v>
      </c>
      <c r="K245" s="15"/>
    </row>
    <row r="246" spans="1:11">
      <c r="A246" s="15"/>
      <c r="B246" s="15"/>
      <c r="C246" s="15"/>
      <c r="D246" s="15"/>
      <c r="E246" s="15"/>
      <c r="F246" s="106"/>
      <c r="G246" s="15" t="s">
        <v>338</v>
      </c>
      <c r="H246" s="15">
        <v>2021</v>
      </c>
      <c r="I246" s="15" t="s">
        <v>512</v>
      </c>
      <c r="J246" s="15" t="s">
        <v>108</v>
      </c>
      <c r="K246" s="15"/>
    </row>
    <row r="247" spans="1:11">
      <c r="A247" s="15"/>
      <c r="B247" s="15"/>
      <c r="C247" s="15"/>
      <c r="D247" s="15"/>
      <c r="E247" s="15"/>
      <c r="F247" s="106"/>
      <c r="G247" s="15" t="s">
        <v>339</v>
      </c>
      <c r="H247" s="15">
        <v>2021</v>
      </c>
      <c r="I247" s="15" t="s">
        <v>511</v>
      </c>
      <c r="J247" s="15" t="s">
        <v>108</v>
      </c>
      <c r="K247" s="15"/>
    </row>
    <row r="248" spans="1:11">
      <c r="A248" s="15"/>
      <c r="B248" s="15"/>
      <c r="C248" s="15"/>
      <c r="D248" s="15"/>
      <c r="E248" s="15"/>
      <c r="F248" s="106"/>
      <c r="G248" s="15" t="s">
        <v>340</v>
      </c>
      <c r="H248" s="15">
        <v>2021</v>
      </c>
      <c r="I248" s="15" t="s">
        <v>512</v>
      </c>
      <c r="J248" s="15" t="s">
        <v>110</v>
      </c>
      <c r="K248" s="15"/>
    </row>
    <row r="249" spans="1:11">
      <c r="A249" s="15"/>
      <c r="B249" s="15"/>
      <c r="C249" s="15"/>
      <c r="D249" s="15"/>
      <c r="E249" s="15"/>
      <c r="F249" s="106"/>
      <c r="G249" s="15" t="s">
        <v>341</v>
      </c>
      <c r="H249" s="15">
        <v>2021</v>
      </c>
      <c r="I249" s="15" t="s">
        <v>511</v>
      </c>
      <c r="J249" s="15" t="s">
        <v>110</v>
      </c>
      <c r="K249" s="15"/>
    </row>
    <row r="250" spans="1:11">
      <c r="A250" s="15"/>
      <c r="B250" s="15"/>
      <c r="C250" s="15"/>
      <c r="D250" s="15"/>
      <c r="E250" s="15"/>
      <c r="F250" s="106"/>
      <c r="G250" s="15" t="s">
        <v>342</v>
      </c>
      <c r="H250" s="15">
        <v>2021</v>
      </c>
      <c r="I250" s="15" t="s">
        <v>512</v>
      </c>
      <c r="J250" s="15" t="s">
        <v>116</v>
      </c>
      <c r="K250" s="15"/>
    </row>
    <row r="251" spans="1:11">
      <c r="A251" s="15"/>
      <c r="B251" s="15"/>
      <c r="C251" s="15"/>
      <c r="D251" s="15"/>
      <c r="E251" s="15"/>
      <c r="F251" s="86"/>
      <c r="G251" s="15" t="s">
        <v>343</v>
      </c>
      <c r="H251" s="15">
        <v>2021</v>
      </c>
      <c r="I251" s="15" t="s">
        <v>512</v>
      </c>
      <c r="J251" s="15" t="s">
        <v>122</v>
      </c>
      <c r="K251" s="15"/>
    </row>
    <row r="252" spans="1:11">
      <c r="A252" s="15"/>
      <c r="B252" s="15"/>
      <c r="C252" s="15"/>
      <c r="D252" s="15"/>
      <c r="E252" s="15"/>
      <c r="F252" s="86"/>
      <c r="G252" s="15" t="s">
        <v>344</v>
      </c>
      <c r="H252" s="15">
        <v>2021</v>
      </c>
      <c r="I252" s="15" t="s">
        <v>511</v>
      </c>
      <c r="J252" s="15" t="s">
        <v>122</v>
      </c>
      <c r="K252" s="15"/>
    </row>
    <row r="253" spans="1:11">
      <c r="A253" s="15"/>
      <c r="B253" s="15"/>
      <c r="C253" s="15"/>
      <c r="D253" s="15"/>
      <c r="E253" s="15"/>
      <c r="F253" s="86"/>
      <c r="G253" s="15" t="s">
        <v>345</v>
      </c>
      <c r="H253" s="15">
        <v>2021</v>
      </c>
      <c r="I253" s="15" t="s">
        <v>512</v>
      </c>
      <c r="J253" s="15" t="s">
        <v>182</v>
      </c>
      <c r="K253" s="15"/>
    </row>
    <row r="254" spans="1:11">
      <c r="A254" s="15"/>
      <c r="B254" s="15"/>
      <c r="C254" s="15"/>
      <c r="D254" s="15"/>
      <c r="E254" s="15"/>
      <c r="F254" s="86"/>
      <c r="G254" s="15" t="s">
        <v>346</v>
      </c>
      <c r="H254" s="15">
        <v>2021</v>
      </c>
      <c r="I254" s="15" t="s">
        <v>512</v>
      </c>
      <c r="J254" s="15" t="s">
        <v>184</v>
      </c>
      <c r="K254" s="15"/>
    </row>
    <row r="255" spans="1:11">
      <c r="A255" s="15"/>
      <c r="B255" s="15"/>
      <c r="C255" s="15"/>
      <c r="D255" s="15"/>
      <c r="E255" s="15"/>
      <c r="F255" s="86"/>
      <c r="G255" s="15" t="s">
        <v>347</v>
      </c>
      <c r="H255" s="15">
        <v>2021</v>
      </c>
      <c r="I255" s="15" t="s">
        <v>512</v>
      </c>
      <c r="J255" s="15" t="s">
        <v>186</v>
      </c>
      <c r="K255" s="15"/>
    </row>
    <row r="256" spans="1:11">
      <c r="A256" s="15"/>
      <c r="B256" s="15"/>
      <c r="C256" s="15"/>
      <c r="D256" s="15"/>
      <c r="E256" s="15"/>
      <c r="F256" s="86"/>
      <c r="G256" s="15" t="s">
        <v>348</v>
      </c>
      <c r="H256" s="15">
        <v>2021</v>
      </c>
      <c r="I256" s="15" t="s">
        <v>513</v>
      </c>
      <c r="J256" s="15" t="s">
        <v>124</v>
      </c>
      <c r="K256" s="15"/>
    </row>
    <row r="257" spans="1:11">
      <c r="A257" s="15"/>
      <c r="B257" s="15"/>
      <c r="C257" s="15"/>
      <c r="D257" s="15"/>
      <c r="E257" s="15"/>
      <c r="F257" s="86"/>
      <c r="G257" s="15" t="s">
        <v>349</v>
      </c>
      <c r="H257" s="15">
        <v>2021</v>
      </c>
      <c r="I257" s="15" t="s">
        <v>513</v>
      </c>
      <c r="J257" s="15" t="s">
        <v>126</v>
      </c>
      <c r="K257" s="15"/>
    </row>
    <row r="258" spans="1:11">
      <c r="A258" s="15"/>
      <c r="B258" s="15"/>
      <c r="C258" s="15"/>
      <c r="D258" s="15"/>
      <c r="E258" s="15"/>
      <c r="F258" s="86"/>
      <c r="G258" s="15" t="s">
        <v>350</v>
      </c>
      <c r="H258" s="15">
        <v>2021</v>
      </c>
      <c r="I258" s="15" t="s">
        <v>513</v>
      </c>
      <c r="J258" s="15" t="s">
        <v>128</v>
      </c>
      <c r="K258" s="15"/>
    </row>
    <row r="259" spans="1:11">
      <c r="A259" s="15"/>
      <c r="B259" s="15"/>
      <c r="C259" s="15"/>
      <c r="D259" s="15"/>
      <c r="E259" s="15"/>
      <c r="F259" s="86"/>
      <c r="G259" s="15" t="s">
        <v>351</v>
      </c>
      <c r="H259" s="15">
        <v>2021</v>
      </c>
      <c r="I259" s="15" t="s">
        <v>513</v>
      </c>
      <c r="J259" s="15" t="s">
        <v>130</v>
      </c>
      <c r="K259" s="15"/>
    </row>
    <row r="260" spans="1:11">
      <c r="A260" s="15"/>
      <c r="B260" s="15"/>
      <c r="C260" s="15"/>
      <c r="D260" s="15"/>
      <c r="E260" s="15"/>
      <c r="F260" s="86"/>
      <c r="G260" s="15" t="s">
        <v>352</v>
      </c>
      <c r="H260" s="15">
        <v>2021</v>
      </c>
      <c r="I260" s="15" t="s">
        <v>513</v>
      </c>
      <c r="J260" s="15" t="s">
        <v>132</v>
      </c>
      <c r="K260" s="15"/>
    </row>
    <row r="261" spans="1:11">
      <c r="A261" s="15"/>
      <c r="B261" s="15"/>
      <c r="C261" s="15"/>
      <c r="D261" s="15"/>
      <c r="E261" s="15"/>
      <c r="F261" s="86"/>
      <c r="G261" s="15" t="s">
        <v>353</v>
      </c>
      <c r="H261" s="15">
        <v>2021</v>
      </c>
      <c r="I261" s="15" t="s">
        <v>513</v>
      </c>
      <c r="J261" s="15" t="s">
        <v>134</v>
      </c>
      <c r="K261" s="15"/>
    </row>
    <row r="262" spans="1:11">
      <c r="A262" s="15"/>
      <c r="B262" s="15"/>
      <c r="C262" s="15"/>
      <c r="D262" s="15"/>
      <c r="E262" s="15"/>
      <c r="F262" s="86"/>
      <c r="G262" s="15" t="s">
        <v>354</v>
      </c>
      <c r="H262" s="15">
        <v>2021</v>
      </c>
      <c r="I262" s="15" t="s">
        <v>513</v>
      </c>
      <c r="J262" s="15" t="s">
        <v>136</v>
      </c>
      <c r="K262" s="15"/>
    </row>
    <row r="263" spans="1:11">
      <c r="A263" s="15"/>
      <c r="B263" s="15"/>
      <c r="C263" s="15"/>
      <c r="D263" s="15"/>
      <c r="E263" s="15"/>
      <c r="F263" s="86"/>
      <c r="G263" s="15" t="s">
        <v>355</v>
      </c>
      <c r="H263" s="15">
        <v>2021</v>
      </c>
      <c r="I263" s="15" t="s">
        <v>513</v>
      </c>
      <c r="J263" s="15" t="s">
        <v>138</v>
      </c>
      <c r="K263" s="15"/>
    </row>
    <row r="264" spans="1:11">
      <c r="A264" s="15"/>
      <c r="B264" s="15"/>
      <c r="C264" s="15"/>
      <c r="D264" s="15"/>
      <c r="E264" s="15"/>
      <c r="F264" s="86"/>
      <c r="G264" s="15" t="s">
        <v>356</v>
      </c>
      <c r="H264" s="15">
        <v>2021</v>
      </c>
      <c r="I264" s="15" t="s">
        <v>513</v>
      </c>
      <c r="J264" s="15" t="s">
        <v>140</v>
      </c>
      <c r="K264" s="15"/>
    </row>
    <row r="265" spans="1:11">
      <c r="A265" s="15"/>
      <c r="B265" s="15"/>
      <c r="C265" s="15"/>
      <c r="D265" s="15"/>
      <c r="E265" s="15"/>
      <c r="F265" s="86"/>
      <c r="G265" s="15" t="s">
        <v>357</v>
      </c>
      <c r="H265" s="15">
        <v>2021</v>
      </c>
      <c r="I265" s="15" t="s">
        <v>513</v>
      </c>
      <c r="J265" s="15" t="s">
        <v>197</v>
      </c>
      <c r="K265" s="15"/>
    </row>
    <row r="266" spans="1:11">
      <c r="A266" s="15"/>
      <c r="B266" s="15"/>
      <c r="C266" s="15"/>
      <c r="D266" s="15"/>
      <c r="E266" s="15"/>
      <c r="F266" s="86"/>
      <c r="G266" s="15" t="s">
        <v>358</v>
      </c>
      <c r="H266" s="15">
        <v>2021</v>
      </c>
      <c r="I266" s="15" t="s">
        <v>513</v>
      </c>
      <c r="J266" s="15" t="s">
        <v>199</v>
      </c>
      <c r="K266" s="15"/>
    </row>
    <row r="267" spans="1:11">
      <c r="A267" s="15"/>
      <c r="B267" s="15"/>
      <c r="C267" s="15"/>
      <c r="D267" s="15"/>
      <c r="E267" s="15"/>
      <c r="F267" s="86"/>
      <c r="G267" s="15" t="s">
        <v>359</v>
      </c>
      <c r="H267" s="15">
        <v>2021</v>
      </c>
      <c r="I267" s="15" t="s">
        <v>513</v>
      </c>
      <c r="J267" s="15" t="s">
        <v>201</v>
      </c>
      <c r="K267" s="15"/>
    </row>
    <row r="268" spans="1:11">
      <c r="A268" s="15"/>
      <c r="B268" s="15"/>
      <c r="C268" s="15"/>
      <c r="D268" s="15"/>
      <c r="E268" s="15"/>
      <c r="F268" s="86"/>
      <c r="G268" s="15" t="s">
        <v>360</v>
      </c>
      <c r="H268" s="15">
        <v>2021</v>
      </c>
      <c r="I268" s="15" t="s">
        <v>511</v>
      </c>
      <c r="J268" s="15" t="s">
        <v>124</v>
      </c>
      <c r="K268" s="15"/>
    </row>
    <row r="269" spans="1:11">
      <c r="A269" s="15"/>
      <c r="B269" s="15"/>
      <c r="C269" s="15"/>
      <c r="D269" s="15"/>
      <c r="E269" s="15"/>
      <c r="F269" s="86"/>
      <c r="G269" s="15" t="s">
        <v>361</v>
      </c>
      <c r="H269" s="15">
        <v>2021</v>
      </c>
      <c r="I269" s="15" t="s">
        <v>512</v>
      </c>
      <c r="J269" s="15" t="s">
        <v>126</v>
      </c>
      <c r="K269" s="15"/>
    </row>
    <row r="270" spans="1:11">
      <c r="A270" s="15"/>
      <c r="B270" s="15"/>
      <c r="C270" s="15"/>
      <c r="D270" s="15"/>
      <c r="E270" s="15"/>
      <c r="F270" s="86"/>
      <c r="G270" s="15" t="s">
        <v>362</v>
      </c>
      <c r="H270" s="15">
        <v>2021</v>
      </c>
      <c r="I270" s="15" t="s">
        <v>511</v>
      </c>
      <c r="J270" s="15" t="s">
        <v>126</v>
      </c>
      <c r="K270" s="15"/>
    </row>
    <row r="271" spans="1:11">
      <c r="A271" s="15"/>
      <c r="B271" s="15"/>
      <c r="C271" s="15"/>
      <c r="D271" s="15"/>
      <c r="E271" s="15"/>
      <c r="F271" s="86"/>
      <c r="G271" s="15" t="s">
        <v>363</v>
      </c>
      <c r="H271" s="15">
        <v>2021</v>
      </c>
      <c r="I271" s="15" t="s">
        <v>511</v>
      </c>
      <c r="J271" s="15" t="s">
        <v>128</v>
      </c>
      <c r="K271" s="15"/>
    </row>
    <row r="272" spans="1:11">
      <c r="A272" s="15"/>
      <c r="B272" s="15"/>
      <c r="C272" s="15"/>
      <c r="D272" s="15"/>
      <c r="E272" s="15"/>
      <c r="F272" s="86"/>
      <c r="G272" s="15" t="s">
        <v>364</v>
      </c>
      <c r="H272" s="15">
        <v>2021</v>
      </c>
      <c r="I272" s="15" t="s">
        <v>512</v>
      </c>
      <c r="J272" s="15" t="s">
        <v>132</v>
      </c>
      <c r="K272" s="15"/>
    </row>
    <row r="273" spans="1:11">
      <c r="A273" s="15"/>
      <c r="B273" s="15"/>
      <c r="C273" s="15"/>
      <c r="D273" s="15"/>
      <c r="E273" s="15"/>
      <c r="F273" s="86"/>
      <c r="G273" s="15" t="s">
        <v>365</v>
      </c>
      <c r="H273" s="15">
        <v>2021</v>
      </c>
      <c r="I273" s="15" t="s">
        <v>511</v>
      </c>
      <c r="J273" s="15" t="s">
        <v>134</v>
      </c>
      <c r="K273" s="15"/>
    </row>
    <row r="274" spans="1:11">
      <c r="A274" s="15"/>
      <c r="B274" s="15"/>
      <c r="C274" s="15"/>
      <c r="D274" s="15"/>
      <c r="E274" s="15"/>
      <c r="F274" s="86"/>
      <c r="G274" s="15" t="s">
        <v>366</v>
      </c>
      <c r="H274" s="15">
        <v>2021</v>
      </c>
      <c r="I274" s="15" t="s">
        <v>512</v>
      </c>
      <c r="J274" s="15" t="s">
        <v>136</v>
      </c>
      <c r="K274" s="15"/>
    </row>
    <row r="275" spans="1:11">
      <c r="A275" s="15"/>
      <c r="B275" s="15"/>
      <c r="C275" s="15"/>
      <c r="D275" s="15"/>
      <c r="E275" s="15"/>
      <c r="F275" s="86"/>
      <c r="G275" s="15" t="s">
        <v>367</v>
      </c>
      <c r="H275" s="15">
        <v>2021</v>
      </c>
      <c r="I275" s="15" t="s">
        <v>511</v>
      </c>
      <c r="J275" s="15" t="s">
        <v>136</v>
      </c>
      <c r="K275" s="15"/>
    </row>
    <row r="276" spans="1:11">
      <c r="A276" s="15"/>
      <c r="B276" s="15"/>
      <c r="C276" s="15"/>
      <c r="D276" s="15"/>
      <c r="E276" s="15"/>
      <c r="F276" s="86"/>
      <c r="G276" s="15" t="s">
        <v>368</v>
      </c>
      <c r="H276" s="15">
        <v>2021</v>
      </c>
      <c r="I276" s="15" t="s">
        <v>512</v>
      </c>
      <c r="J276" s="15" t="s">
        <v>138</v>
      </c>
      <c r="K276" s="15"/>
    </row>
    <row r="277" spans="1:11">
      <c r="A277" s="15"/>
      <c r="B277" s="15"/>
      <c r="C277" s="15"/>
      <c r="D277" s="15"/>
      <c r="E277" s="15"/>
      <c r="F277" s="86"/>
      <c r="G277" s="15" t="s">
        <v>369</v>
      </c>
      <c r="H277" s="15">
        <v>2021</v>
      </c>
      <c r="I277" s="15" t="s">
        <v>512</v>
      </c>
      <c r="J277" s="15" t="s">
        <v>140</v>
      </c>
      <c r="K277" s="15"/>
    </row>
    <row r="278" spans="1:11">
      <c r="A278" s="15"/>
      <c r="B278" s="15"/>
      <c r="C278" s="15"/>
      <c r="D278" s="15"/>
      <c r="E278" s="15"/>
      <c r="F278" s="86"/>
      <c r="G278" s="15" t="s">
        <v>370</v>
      </c>
      <c r="H278" s="15">
        <v>2021</v>
      </c>
      <c r="I278" s="15" t="s">
        <v>512</v>
      </c>
      <c r="J278" s="15" t="s">
        <v>199</v>
      </c>
      <c r="K278" s="15"/>
    </row>
    <row r="279" spans="1:11">
      <c r="A279" s="15"/>
      <c r="B279" s="15"/>
      <c r="C279" s="15"/>
      <c r="D279" s="15"/>
      <c r="E279" s="15"/>
      <c r="F279" s="86"/>
      <c r="G279" s="15" t="s">
        <v>371</v>
      </c>
      <c r="H279" s="15">
        <v>2021</v>
      </c>
      <c r="I279" s="15" t="s">
        <v>511</v>
      </c>
      <c r="J279" s="15" t="s">
        <v>199</v>
      </c>
      <c r="K279" s="15"/>
    </row>
    <row r="280" spans="1:11">
      <c r="A280" s="15"/>
      <c r="B280" s="15"/>
      <c r="C280" s="15"/>
      <c r="D280" s="15"/>
      <c r="E280" s="15"/>
      <c r="F280" s="86"/>
      <c r="G280" s="15" t="s">
        <v>372</v>
      </c>
      <c r="H280" s="15">
        <v>2021</v>
      </c>
      <c r="I280" s="15" t="s">
        <v>512</v>
      </c>
      <c r="J280" s="15" t="s">
        <v>201</v>
      </c>
      <c r="K280" s="15"/>
    </row>
    <row r="281" spans="1:11">
      <c r="A281" s="15"/>
      <c r="B281" s="15"/>
      <c r="C281" s="15"/>
      <c r="D281" s="15"/>
      <c r="E281" s="15"/>
      <c r="F281" s="86"/>
      <c r="G281" s="15" t="s">
        <v>373</v>
      </c>
      <c r="H281" s="15">
        <v>2021</v>
      </c>
      <c r="I281" s="15" t="s">
        <v>511</v>
      </c>
      <c r="J281" s="15" t="s">
        <v>201</v>
      </c>
      <c r="K281" s="15"/>
    </row>
    <row r="282" spans="1:11">
      <c r="A282" s="15"/>
      <c r="B282" s="15"/>
      <c r="C282" s="15"/>
      <c r="D282" s="15"/>
      <c r="E282" s="15"/>
      <c r="F282" s="15"/>
      <c r="G282" s="15"/>
      <c r="H282" s="15"/>
      <c r="I282" s="15"/>
      <c r="J282" s="15"/>
      <c r="K282" s="15"/>
    </row>
    <row r="283" spans="1:11">
      <c r="A283" s="15"/>
      <c r="B283" s="15"/>
      <c r="C283" s="15"/>
      <c r="D283" s="15"/>
      <c r="E283" s="15"/>
      <c r="F283" s="15"/>
      <c r="G283" s="15"/>
      <c r="H283" s="15"/>
      <c r="I283" s="15"/>
      <c r="J283" s="15"/>
      <c r="K283" s="15"/>
    </row>
    <row r="284" spans="1:11">
      <c r="A284" s="15"/>
      <c r="B284" s="15"/>
      <c r="C284" s="15"/>
      <c r="D284" s="15"/>
      <c r="E284" s="15"/>
      <c r="F284" s="15"/>
      <c r="G284" s="15"/>
      <c r="H284" s="15"/>
      <c r="I284" s="15"/>
      <c r="J284" s="15"/>
      <c r="K284" s="15"/>
    </row>
    <row r="285" spans="1:11">
      <c r="A285" s="15"/>
      <c r="B285" s="15"/>
      <c r="C285" s="15"/>
      <c r="D285" s="15"/>
      <c r="E285" s="15"/>
      <c r="F285" s="15"/>
      <c r="G285" s="15"/>
      <c r="H285" s="15"/>
      <c r="I285" s="15"/>
      <c r="J285" s="15"/>
      <c r="K285" s="15"/>
    </row>
    <row r="286" spans="1:11">
      <c r="A286" s="15"/>
      <c r="B286" s="15"/>
      <c r="C286" s="15"/>
      <c r="D286" s="15"/>
      <c r="E286" s="15"/>
      <c r="F286" s="15"/>
      <c r="G286" s="15"/>
      <c r="H286" s="15"/>
      <c r="I286" s="15"/>
      <c r="J286" s="15"/>
      <c r="K286" s="15"/>
    </row>
    <row r="287" spans="1:11">
      <c r="A287" s="15"/>
      <c r="B287" s="15"/>
      <c r="C287" s="15"/>
      <c r="D287" s="15"/>
      <c r="E287" s="15"/>
      <c r="F287" s="15"/>
      <c r="G287" s="15"/>
      <c r="H287" s="15"/>
      <c r="I287" s="15"/>
      <c r="J287" s="15"/>
      <c r="K287" s="15"/>
    </row>
    <row r="288" spans="1:11">
      <c r="A288" s="15"/>
      <c r="B288" s="15"/>
      <c r="C288" s="15"/>
      <c r="D288" s="15"/>
      <c r="E288" s="15"/>
      <c r="F288" s="15"/>
      <c r="G288" s="15"/>
      <c r="H288" s="15"/>
      <c r="I288" s="15"/>
      <c r="J288" s="15"/>
      <c r="K288" s="15"/>
    </row>
    <row r="289" spans="1:11">
      <c r="A289" s="15"/>
      <c r="B289" s="15"/>
      <c r="C289" s="15"/>
      <c r="D289" s="15"/>
      <c r="E289" s="15"/>
      <c r="F289" s="15"/>
      <c r="G289" s="15"/>
      <c r="H289" s="15"/>
      <c r="I289" s="15"/>
      <c r="J289" s="15"/>
      <c r="K289" s="15"/>
    </row>
    <row r="290" spans="1:11">
      <c r="A290" s="15"/>
      <c r="B290" s="15"/>
      <c r="C290" s="15"/>
      <c r="D290" s="15"/>
      <c r="E290" s="15"/>
      <c r="F290" s="15"/>
      <c r="G290" s="15"/>
      <c r="H290" s="15"/>
      <c r="I290" s="15"/>
      <c r="J290" s="15"/>
      <c r="K290" s="15"/>
    </row>
    <row r="291" spans="1:11">
      <c r="A291" s="15"/>
      <c r="B291" s="15"/>
      <c r="C291" s="15"/>
      <c r="D291" s="15"/>
      <c r="E291" s="15"/>
      <c r="F291" s="15"/>
      <c r="G291" s="15"/>
      <c r="H291" s="15"/>
      <c r="I291" s="15"/>
      <c r="J291" s="15"/>
      <c r="K291" s="15"/>
    </row>
    <row r="292" spans="1:11">
      <c r="A292" s="15"/>
      <c r="B292" s="15"/>
      <c r="C292" s="15"/>
      <c r="D292" s="15"/>
      <c r="E292" s="15"/>
      <c r="F292" s="15"/>
      <c r="G292" s="15"/>
      <c r="H292" s="15"/>
      <c r="I292" s="15"/>
      <c r="J292" s="15"/>
      <c r="K292" s="15"/>
    </row>
    <row r="293" spans="1:11">
      <c r="A293" s="15"/>
      <c r="B293" s="15"/>
      <c r="C293" s="15"/>
      <c r="D293" s="15"/>
      <c r="E293" s="15"/>
      <c r="F293" s="15"/>
      <c r="G293" s="15"/>
      <c r="H293" s="15"/>
      <c r="I293" s="15"/>
      <c r="J293" s="15"/>
      <c r="K293" s="15"/>
    </row>
    <row r="294" spans="1:11">
      <c r="A294" s="15"/>
      <c r="B294" s="15"/>
      <c r="C294" s="15"/>
      <c r="D294" s="15"/>
      <c r="E294" s="15"/>
      <c r="F294" s="15"/>
      <c r="G294" s="15"/>
      <c r="H294" s="15"/>
      <c r="I294" s="15"/>
      <c r="J294" s="15"/>
      <c r="K294" s="15"/>
    </row>
    <row r="295" spans="1:11">
      <c r="A295" s="15"/>
      <c r="B295" s="15"/>
      <c r="C295" s="15"/>
      <c r="D295" s="15"/>
      <c r="E295" s="15"/>
      <c r="F295" s="15"/>
      <c r="G295" s="15"/>
      <c r="H295" s="15"/>
      <c r="I295" s="15"/>
      <c r="J295" s="15"/>
      <c r="K295" s="15"/>
    </row>
    <row r="296" spans="1:11">
      <c r="A296" s="15"/>
      <c r="B296" s="15"/>
      <c r="C296" s="15"/>
      <c r="D296" s="15"/>
      <c r="E296" s="15"/>
      <c r="F296" s="15"/>
      <c r="G296" s="15"/>
      <c r="H296" s="15"/>
      <c r="I296" s="15"/>
      <c r="J296" s="15"/>
      <c r="K296" s="15"/>
    </row>
    <row r="297" spans="1:11">
      <c r="A297" s="15"/>
      <c r="B297" s="15"/>
      <c r="C297" s="15"/>
      <c r="D297" s="15"/>
      <c r="E297" s="15"/>
      <c r="F297" s="15"/>
      <c r="G297" s="15"/>
      <c r="H297" s="15"/>
      <c r="I297" s="15"/>
      <c r="J297" s="15"/>
      <c r="K297" s="15"/>
    </row>
    <row r="298" spans="1:11">
      <c r="A298" s="15"/>
      <c r="B298" s="15"/>
      <c r="C298" s="15"/>
      <c r="D298" s="15"/>
      <c r="E298" s="15"/>
      <c r="F298" s="15"/>
      <c r="G298" s="15"/>
      <c r="H298" s="15"/>
      <c r="I298" s="15"/>
      <c r="J298" s="15"/>
      <c r="K298" s="15"/>
    </row>
    <row r="299" spans="1:11">
      <c r="A299" s="15"/>
      <c r="B299" s="15"/>
      <c r="C299" s="15"/>
      <c r="D299" s="15"/>
      <c r="E299" s="15"/>
      <c r="F299" s="15"/>
      <c r="G299" s="15"/>
      <c r="H299" s="15"/>
      <c r="I299" s="15"/>
      <c r="J299" s="15"/>
      <c r="K299" s="15"/>
    </row>
    <row r="300" spans="1:11">
      <c r="A300" s="15"/>
      <c r="B300" s="15"/>
      <c r="C300" s="15"/>
      <c r="D300" s="15"/>
      <c r="E300" s="15"/>
      <c r="F300" s="15"/>
      <c r="G300" s="15"/>
      <c r="H300" s="15"/>
      <c r="I300" s="15"/>
      <c r="J300" s="15"/>
      <c r="K300" s="15"/>
    </row>
    <row r="301" spans="1:11">
      <c r="A301" s="15"/>
      <c r="B301" s="15"/>
      <c r="C301" s="15"/>
      <c r="D301" s="15"/>
      <c r="E301" s="15"/>
      <c r="F301" s="15"/>
      <c r="G301" s="15"/>
      <c r="H301" s="15"/>
      <c r="I301" s="15"/>
      <c r="J301" s="15"/>
      <c r="K301" s="15"/>
    </row>
    <row r="302" spans="1:11">
      <c r="A302" s="15"/>
      <c r="B302" s="15"/>
      <c r="C302" s="15"/>
      <c r="D302" s="15"/>
      <c r="E302" s="15"/>
      <c r="F302" s="15"/>
      <c r="G302" s="15"/>
      <c r="H302" s="15"/>
      <c r="I302" s="15"/>
      <c r="J302" s="15"/>
      <c r="K302" s="15"/>
    </row>
    <row r="303" spans="1:11">
      <c r="A303" s="15"/>
      <c r="B303" s="15"/>
      <c r="C303" s="15"/>
      <c r="D303" s="15"/>
      <c r="E303" s="15"/>
      <c r="F303" s="15"/>
      <c r="G303" s="15"/>
      <c r="H303" s="15"/>
      <c r="I303" s="15"/>
      <c r="J303" s="15"/>
      <c r="K303" s="15"/>
    </row>
    <row r="304" spans="1:11">
      <c r="A304" s="15"/>
      <c r="B304" s="15"/>
      <c r="C304" s="15"/>
      <c r="D304" s="15"/>
      <c r="E304" s="15"/>
      <c r="F304" s="15"/>
      <c r="G304" s="15"/>
      <c r="H304" s="15"/>
      <c r="I304" s="15"/>
      <c r="J304" s="15"/>
      <c r="K304" s="15"/>
    </row>
    <row r="305" spans="1:11">
      <c r="A305" s="15"/>
      <c r="B305" s="15"/>
      <c r="C305" s="15"/>
      <c r="D305" s="15"/>
      <c r="E305" s="15"/>
      <c r="F305" s="15"/>
      <c r="G305" s="15"/>
      <c r="H305" s="15"/>
      <c r="I305" s="15"/>
      <c r="J305" s="15"/>
      <c r="K305" s="15"/>
    </row>
    <row r="306" spans="1:11">
      <c r="A306" s="15"/>
      <c r="B306" s="15"/>
      <c r="C306" s="15"/>
      <c r="D306" s="15"/>
      <c r="E306" s="15"/>
      <c r="F306" s="15"/>
      <c r="G306" s="15"/>
      <c r="H306" s="15"/>
      <c r="I306" s="15"/>
      <c r="J306" s="15"/>
      <c r="K306" s="15"/>
    </row>
    <row r="307" spans="1:11">
      <c r="A307" s="15"/>
      <c r="B307" s="15"/>
      <c r="C307" s="15"/>
      <c r="D307" s="15"/>
      <c r="E307" s="15"/>
      <c r="F307" s="15"/>
      <c r="G307" s="15"/>
      <c r="H307" s="15"/>
      <c r="I307" s="15"/>
      <c r="J307" s="15"/>
      <c r="K307" s="15"/>
    </row>
    <row r="308" spans="1:11">
      <c r="A308" s="15"/>
      <c r="B308" s="15"/>
      <c r="C308" s="15"/>
      <c r="D308" s="15"/>
      <c r="E308" s="15"/>
      <c r="F308" s="15"/>
      <c r="G308" s="15"/>
      <c r="H308" s="15"/>
      <c r="I308" s="15"/>
      <c r="J308" s="15"/>
      <c r="K308" s="15"/>
    </row>
    <row r="309" spans="1:11">
      <c r="A309" s="15"/>
      <c r="B309" s="15"/>
      <c r="C309" s="15"/>
      <c r="D309" s="15"/>
      <c r="E309" s="15"/>
      <c r="F309" s="15"/>
      <c r="G309" s="15"/>
      <c r="H309" s="15"/>
      <c r="I309" s="15"/>
      <c r="J309" s="15"/>
      <c r="K309" s="15"/>
    </row>
    <row r="310" spans="1:11">
      <c r="A310" s="15"/>
      <c r="B310" s="15"/>
      <c r="C310" s="15"/>
      <c r="D310" s="15"/>
      <c r="E310" s="15"/>
      <c r="F310" s="15"/>
      <c r="G310" s="15"/>
      <c r="H310" s="15"/>
      <c r="I310" s="15"/>
      <c r="J310" s="15"/>
      <c r="K310" s="15"/>
    </row>
    <row r="311" spans="1:11">
      <c r="A311" s="15"/>
      <c r="B311" s="15"/>
      <c r="C311" s="15"/>
      <c r="D311" s="15"/>
      <c r="E311" s="15"/>
      <c r="F311" s="15"/>
      <c r="G311" s="15"/>
      <c r="H311" s="15"/>
      <c r="I311" s="15"/>
      <c r="J311" s="15"/>
      <c r="K311" s="15"/>
    </row>
    <row r="312" spans="1:11">
      <c r="A312" s="15"/>
      <c r="B312" s="15"/>
      <c r="C312" s="15"/>
      <c r="D312" s="15"/>
      <c r="E312" s="15"/>
      <c r="F312" s="15"/>
      <c r="G312" s="15"/>
      <c r="H312" s="15"/>
      <c r="I312" s="15"/>
      <c r="J312" s="15"/>
      <c r="K312" s="15"/>
    </row>
    <row r="313" spans="1:11">
      <c r="A313" s="15"/>
      <c r="B313" s="15"/>
      <c r="C313" s="15"/>
      <c r="D313" s="15"/>
      <c r="E313" s="15"/>
      <c r="F313" s="15"/>
      <c r="G313" s="15"/>
      <c r="H313" s="15"/>
      <c r="I313" s="15"/>
      <c r="J313" s="15"/>
      <c r="K313" s="15"/>
    </row>
    <row r="314" spans="1:11">
      <c r="A314" s="15"/>
      <c r="B314" s="15"/>
      <c r="C314" s="15"/>
      <c r="D314" s="15"/>
      <c r="E314" s="15"/>
      <c r="F314" s="15"/>
      <c r="G314" s="15"/>
      <c r="H314" s="15"/>
      <c r="I314" s="15"/>
      <c r="J314" s="15"/>
      <c r="K314" s="15"/>
    </row>
    <row r="315" spans="1:11">
      <c r="A315" s="15"/>
      <c r="B315" s="15"/>
      <c r="C315" s="15"/>
      <c r="D315" s="15"/>
      <c r="E315" s="15"/>
      <c r="F315" s="15"/>
      <c r="G315" s="15"/>
      <c r="H315" s="15"/>
      <c r="I315" s="15"/>
      <c r="J315" s="15"/>
      <c r="K315" s="15"/>
    </row>
    <row r="316" spans="1:11">
      <c r="A316" s="15"/>
      <c r="B316" s="15"/>
      <c r="C316" s="15"/>
      <c r="D316" s="15"/>
      <c r="E316" s="15"/>
      <c r="F316" s="15"/>
      <c r="G316" s="15"/>
      <c r="H316" s="15"/>
      <c r="I316" s="15"/>
      <c r="J316" s="15"/>
      <c r="K316" s="15"/>
    </row>
    <row r="317" spans="1:11">
      <c r="A317" s="15"/>
      <c r="B317" s="15"/>
      <c r="C317" s="15"/>
      <c r="D317" s="15"/>
      <c r="E317" s="15"/>
      <c r="F317" s="15"/>
      <c r="G317" s="15"/>
      <c r="H317" s="15"/>
      <c r="I317" s="15"/>
      <c r="J317" s="15"/>
      <c r="K317" s="15"/>
    </row>
    <row r="318" spans="1:11">
      <c r="A318" s="15"/>
      <c r="B318" s="15"/>
      <c r="C318" s="15"/>
      <c r="D318" s="15"/>
      <c r="E318" s="15"/>
      <c r="F318" s="15"/>
      <c r="G318" s="15"/>
      <c r="H318" s="15"/>
      <c r="I318" s="15"/>
      <c r="J318" s="15"/>
      <c r="K318" s="15"/>
    </row>
    <row r="319" spans="1:11">
      <c r="A319" s="15"/>
      <c r="B319" s="15"/>
      <c r="C319" s="15"/>
      <c r="D319" s="15"/>
      <c r="E319" s="15"/>
      <c r="F319" s="15"/>
      <c r="G319" s="15"/>
      <c r="H319" s="15"/>
      <c r="I319" s="15"/>
      <c r="J319" s="15"/>
      <c r="K319" s="15"/>
    </row>
    <row r="320" spans="1:11">
      <c r="A320" s="15"/>
      <c r="B320" s="15"/>
      <c r="C320" s="15"/>
      <c r="D320" s="15"/>
      <c r="E320" s="15"/>
      <c r="F320" s="15"/>
      <c r="G320" s="15"/>
      <c r="H320" s="15"/>
      <c r="I320" s="15"/>
      <c r="J320" s="15"/>
      <c r="K320" s="15"/>
    </row>
    <row r="321" spans="1:11">
      <c r="A321" s="15"/>
      <c r="B321" s="15"/>
      <c r="C321" s="15"/>
      <c r="D321" s="15"/>
      <c r="E321" s="15"/>
      <c r="F321" s="15"/>
      <c r="G321" s="15"/>
      <c r="H321" s="15"/>
      <c r="I321" s="15"/>
      <c r="J321" s="15"/>
      <c r="K321" s="15"/>
    </row>
    <row r="322" spans="1:11">
      <c r="A322" s="15"/>
      <c r="B322" s="15"/>
      <c r="C322" s="15"/>
      <c r="D322" s="15"/>
      <c r="E322" s="15"/>
      <c r="F322" s="15"/>
      <c r="G322" s="15"/>
      <c r="H322" s="15"/>
      <c r="I322" s="15"/>
      <c r="J322" s="15"/>
      <c r="K322" s="15"/>
    </row>
    <row r="323" spans="1:11">
      <c r="A323" s="15"/>
      <c r="B323" s="15"/>
      <c r="C323" s="15"/>
      <c r="D323" s="15"/>
      <c r="E323" s="15"/>
      <c r="F323" s="15"/>
      <c r="G323" s="15"/>
      <c r="H323" s="15"/>
      <c r="I323" s="15"/>
      <c r="J323" s="15"/>
      <c r="K323" s="15"/>
    </row>
    <row r="324" spans="1:11">
      <c r="A324" s="15"/>
      <c r="B324" s="15"/>
      <c r="C324" s="15"/>
      <c r="D324" s="15"/>
      <c r="E324" s="15"/>
      <c r="F324" s="15"/>
      <c r="G324" s="15"/>
      <c r="H324" s="15"/>
      <c r="I324" s="15"/>
      <c r="J324" s="15"/>
      <c r="K324" s="15"/>
    </row>
    <row r="325" spans="1:11">
      <c r="A325" s="15"/>
      <c r="B325" s="15"/>
      <c r="C325" s="15"/>
      <c r="D325" s="15"/>
      <c r="E325" s="15"/>
      <c r="F325" s="15"/>
      <c r="G325" s="15"/>
      <c r="H325" s="15"/>
      <c r="I325" s="15"/>
      <c r="J325" s="15"/>
      <c r="K325" s="15"/>
    </row>
    <row r="326" spans="1:11">
      <c r="A326" s="15"/>
      <c r="B326" s="15"/>
      <c r="C326" s="15"/>
      <c r="D326" s="15"/>
      <c r="E326" s="15"/>
      <c r="F326" s="15"/>
      <c r="G326" s="15"/>
      <c r="H326" s="15"/>
      <c r="I326" s="15"/>
      <c r="J326" s="15"/>
      <c r="K326" s="15"/>
    </row>
    <row r="327" spans="1:11">
      <c r="A327" s="15"/>
      <c r="B327" s="15"/>
      <c r="C327" s="15"/>
      <c r="D327" s="15"/>
      <c r="E327" s="15"/>
      <c r="F327" s="15"/>
      <c r="G327" s="15"/>
      <c r="H327" s="15"/>
      <c r="I327" s="15"/>
      <c r="J327" s="15"/>
      <c r="K327" s="15"/>
    </row>
    <row r="328" spans="1:11">
      <c r="A328" s="15"/>
      <c r="B328" s="15"/>
      <c r="C328" s="15"/>
      <c r="D328" s="15"/>
      <c r="E328" s="15"/>
      <c r="F328" s="15"/>
      <c r="G328" s="15"/>
      <c r="H328" s="15"/>
      <c r="I328" s="15"/>
      <c r="J328" s="15"/>
      <c r="K328" s="15"/>
    </row>
    <row r="329" spans="1:11">
      <c r="A329" s="15"/>
      <c r="B329" s="15"/>
      <c r="C329" s="15"/>
      <c r="D329" s="15"/>
      <c r="E329" s="15"/>
      <c r="F329" s="15"/>
      <c r="G329" s="15"/>
      <c r="H329" s="15"/>
      <c r="I329" s="15"/>
      <c r="J329" s="15"/>
      <c r="K329" s="15"/>
    </row>
    <row r="330" spans="1:11">
      <c r="A330" s="15"/>
      <c r="B330" s="15"/>
      <c r="C330" s="15"/>
      <c r="D330" s="15"/>
      <c r="E330" s="15"/>
      <c r="F330" s="15"/>
      <c r="G330" s="15"/>
      <c r="H330" s="15"/>
      <c r="I330" s="15"/>
      <c r="J330" s="15"/>
      <c r="K330" s="15"/>
    </row>
    <row r="331" spans="1:11">
      <c r="A331" s="15"/>
      <c r="B331" s="15"/>
      <c r="C331" s="15"/>
      <c r="D331" s="15"/>
      <c r="E331" s="15"/>
      <c r="F331" s="15"/>
      <c r="G331" s="15"/>
      <c r="H331" s="15"/>
      <c r="I331" s="15"/>
      <c r="J331" s="15"/>
      <c r="K331" s="15"/>
    </row>
    <row r="332" spans="1:11">
      <c r="A332" s="15"/>
      <c r="B332" s="15"/>
      <c r="C332" s="15"/>
      <c r="D332" s="15"/>
      <c r="E332" s="15"/>
      <c r="F332" s="15"/>
      <c r="G332" s="15"/>
      <c r="H332" s="15"/>
      <c r="I332" s="15"/>
      <c r="J332" s="15"/>
      <c r="K332" s="15"/>
    </row>
    <row r="333" spans="1:11">
      <c r="A333" s="15"/>
      <c r="B333" s="15"/>
      <c r="C333" s="15"/>
      <c r="D333" s="15"/>
      <c r="E333" s="15"/>
      <c r="F333" s="15"/>
      <c r="G333" s="15"/>
      <c r="H333" s="15"/>
      <c r="I333" s="15"/>
      <c r="J333" s="15"/>
      <c r="K333" s="15"/>
    </row>
    <row r="334" spans="1:11">
      <c r="A334" s="15"/>
      <c r="B334" s="15"/>
      <c r="C334" s="15"/>
      <c r="D334" s="15"/>
      <c r="E334" s="15"/>
      <c r="F334" s="15"/>
      <c r="G334" s="15"/>
      <c r="H334" s="15"/>
      <c r="I334" s="15"/>
      <c r="J334" s="15"/>
      <c r="K334" s="15"/>
    </row>
    <row r="335" spans="1:11">
      <c r="A335" s="15"/>
      <c r="B335" s="15"/>
      <c r="C335" s="15"/>
      <c r="D335" s="15"/>
      <c r="E335" s="15"/>
      <c r="F335" s="15"/>
      <c r="G335" s="15"/>
      <c r="H335" s="15"/>
      <c r="I335" s="15"/>
      <c r="J335" s="15"/>
      <c r="K335" s="15"/>
    </row>
    <row r="336" spans="1:11">
      <c r="A336" s="15"/>
      <c r="B336" s="15"/>
      <c r="C336" s="15"/>
      <c r="D336" s="15"/>
      <c r="E336" s="15"/>
      <c r="F336" s="15"/>
      <c r="G336" s="15"/>
      <c r="H336" s="15"/>
      <c r="I336" s="15"/>
      <c r="J336" s="15"/>
      <c r="K336" s="15"/>
    </row>
    <row r="337" spans="1:11">
      <c r="A337" s="15"/>
      <c r="B337" s="15"/>
      <c r="C337" s="15"/>
      <c r="D337" s="15"/>
      <c r="E337" s="15"/>
      <c r="F337" s="15"/>
      <c r="G337" s="15"/>
      <c r="H337" s="15"/>
      <c r="I337" s="15"/>
      <c r="J337" s="15"/>
      <c r="K337" s="15"/>
    </row>
    <row r="338" spans="1:11">
      <c r="A338" s="15"/>
      <c r="B338" s="15"/>
      <c r="C338" s="15"/>
      <c r="D338" s="15"/>
      <c r="E338" s="15"/>
      <c r="F338" s="15"/>
      <c r="G338" s="15"/>
      <c r="H338" s="15"/>
      <c r="I338" s="15"/>
      <c r="J338" s="15"/>
      <c r="K338" s="15"/>
    </row>
    <row r="339" spans="1:11">
      <c r="A339" s="15"/>
      <c r="B339" s="15"/>
      <c r="C339" s="15"/>
      <c r="D339" s="15"/>
      <c r="E339" s="15"/>
      <c r="F339" s="15"/>
      <c r="G339" s="15"/>
      <c r="H339" s="15"/>
      <c r="I339" s="15"/>
      <c r="J339" s="15"/>
      <c r="K339" s="15"/>
    </row>
    <row r="340" spans="1:11">
      <c r="A340" s="15"/>
      <c r="B340" s="15"/>
      <c r="C340" s="15"/>
      <c r="D340" s="15"/>
      <c r="E340" s="15"/>
      <c r="F340" s="15"/>
      <c r="G340" s="15"/>
      <c r="H340" s="15"/>
      <c r="I340" s="15"/>
      <c r="J340" s="15"/>
      <c r="K340" s="15"/>
    </row>
    <row r="341" spans="1:11">
      <c r="A341" s="15"/>
      <c r="B341" s="15"/>
      <c r="C341" s="15"/>
      <c r="D341" s="15"/>
      <c r="E341" s="15"/>
      <c r="F341" s="15"/>
      <c r="G341" s="15"/>
      <c r="H341" s="15"/>
      <c r="I341" s="15"/>
      <c r="J341" s="15"/>
      <c r="K341" s="15"/>
    </row>
    <row r="342" spans="1:11">
      <c r="A342" s="15"/>
      <c r="B342" s="15"/>
      <c r="C342" s="15"/>
      <c r="D342" s="15"/>
      <c r="E342" s="15"/>
      <c r="F342" s="15"/>
      <c r="G342" s="15"/>
      <c r="H342" s="15"/>
      <c r="I342" s="15"/>
      <c r="J342" s="15"/>
      <c r="K342" s="15"/>
    </row>
    <row r="343" spans="1:11">
      <c r="A343" s="15"/>
      <c r="B343" s="15"/>
      <c r="C343" s="15"/>
      <c r="D343" s="15"/>
      <c r="E343" s="15"/>
      <c r="F343" s="15"/>
      <c r="G343" s="15"/>
      <c r="H343" s="15"/>
      <c r="I343" s="15"/>
      <c r="J343" s="15"/>
      <c r="K343" s="15"/>
    </row>
    <row r="344" spans="1:11">
      <c r="A344" s="15"/>
      <c r="B344" s="15"/>
      <c r="C344" s="15"/>
      <c r="D344" s="15"/>
      <c r="E344" s="15"/>
      <c r="F344" s="15"/>
      <c r="G344" s="15"/>
      <c r="H344" s="15"/>
      <c r="I344" s="15"/>
      <c r="J344" s="15"/>
      <c r="K344" s="15"/>
    </row>
    <row r="345" spans="1:11">
      <c r="A345" s="15"/>
      <c r="B345" s="15"/>
      <c r="C345" s="15"/>
      <c r="D345" s="15"/>
      <c r="E345" s="15"/>
      <c r="F345" s="15"/>
      <c r="G345" s="15"/>
      <c r="H345" s="15"/>
      <c r="I345" s="15"/>
      <c r="J345" s="15"/>
      <c r="K345" s="15"/>
    </row>
    <row r="346" spans="1:11">
      <c r="A346" s="15"/>
      <c r="B346" s="15"/>
      <c r="C346" s="15"/>
      <c r="D346" s="15"/>
      <c r="E346" s="15"/>
      <c r="F346" s="15"/>
      <c r="G346" s="15"/>
      <c r="H346" s="15"/>
      <c r="I346" s="15"/>
      <c r="J346" s="15"/>
      <c r="K346" s="15"/>
    </row>
    <row r="347" spans="1:11">
      <c r="A347" s="15"/>
      <c r="B347" s="15"/>
      <c r="C347" s="15"/>
      <c r="D347" s="15"/>
      <c r="E347" s="15"/>
      <c r="F347" s="15"/>
      <c r="G347" s="15"/>
      <c r="H347" s="15"/>
      <c r="I347" s="15"/>
      <c r="J347" s="15"/>
      <c r="K347" s="15"/>
    </row>
    <row r="348" spans="1:11">
      <c r="A348" s="15"/>
      <c r="B348" s="15"/>
      <c r="C348" s="15"/>
      <c r="D348" s="15"/>
      <c r="E348" s="15"/>
      <c r="F348" s="15"/>
      <c r="G348" s="15"/>
      <c r="H348" s="15"/>
      <c r="I348" s="15"/>
      <c r="J348" s="15"/>
      <c r="K348" s="15"/>
    </row>
    <row r="349" spans="1:11">
      <c r="A349" s="15"/>
      <c r="B349" s="15"/>
      <c r="C349" s="15"/>
      <c r="D349" s="15"/>
      <c r="E349" s="15"/>
      <c r="F349" s="15"/>
      <c r="G349" s="15"/>
      <c r="H349" s="15"/>
      <c r="I349" s="15"/>
      <c r="J349" s="15"/>
      <c r="K349" s="15"/>
    </row>
    <row r="350" spans="1:11">
      <c r="A350" s="15"/>
      <c r="B350" s="15"/>
      <c r="C350" s="15"/>
      <c r="D350" s="15"/>
      <c r="E350" s="15"/>
      <c r="F350" s="15"/>
      <c r="G350" s="15"/>
      <c r="H350" s="15"/>
      <c r="I350" s="15"/>
      <c r="J350" s="15"/>
      <c r="K350" s="15"/>
    </row>
    <row r="351" spans="1:11">
      <c r="A351" s="15"/>
      <c r="B351" s="15"/>
      <c r="C351" s="15"/>
      <c r="D351" s="15"/>
      <c r="E351" s="15"/>
      <c r="F351" s="15"/>
      <c r="G351" s="15"/>
      <c r="H351" s="15"/>
      <c r="I351" s="15"/>
      <c r="J351" s="15"/>
      <c r="K351" s="15"/>
    </row>
    <row r="352" spans="1:11">
      <c r="A352" s="15"/>
      <c r="B352" s="15"/>
      <c r="C352" s="15"/>
      <c r="D352" s="15"/>
      <c r="E352" s="15"/>
      <c r="F352" s="15"/>
      <c r="G352" s="15"/>
      <c r="H352" s="15"/>
      <c r="I352" s="15"/>
      <c r="J352" s="15"/>
      <c r="K352" s="15"/>
    </row>
    <row r="353" spans="1:11">
      <c r="A353" s="15"/>
      <c r="B353" s="15"/>
      <c r="C353" s="15"/>
      <c r="D353" s="15"/>
      <c r="E353" s="15"/>
      <c r="F353" s="15"/>
      <c r="G353" s="15"/>
      <c r="H353" s="15"/>
      <c r="I353" s="15"/>
      <c r="J353" s="15"/>
      <c r="K353" s="15"/>
    </row>
    <row r="354" spans="1:11">
      <c r="A354" s="15"/>
      <c r="B354" s="15"/>
      <c r="C354" s="15"/>
      <c r="D354" s="15"/>
      <c r="E354" s="15"/>
      <c r="F354" s="15"/>
      <c r="G354" s="15"/>
      <c r="H354" s="15"/>
      <c r="I354" s="15"/>
      <c r="J354" s="15"/>
      <c r="K354" s="15"/>
    </row>
    <row r="355" spans="1:11">
      <c r="A355" s="15"/>
      <c r="B355" s="15"/>
      <c r="C355" s="15"/>
      <c r="D355" s="15"/>
      <c r="E355" s="15"/>
      <c r="F355" s="15"/>
      <c r="G355" s="15"/>
      <c r="H355" s="15"/>
      <c r="I355" s="15"/>
      <c r="J355" s="15"/>
      <c r="K355" s="15"/>
    </row>
    <row r="356" spans="1:11">
      <c r="A356" s="15"/>
      <c r="B356" s="15"/>
      <c r="C356" s="15"/>
      <c r="D356" s="15"/>
      <c r="E356" s="15"/>
      <c r="F356" s="15"/>
      <c r="G356" s="15"/>
      <c r="H356" s="15"/>
      <c r="I356" s="15"/>
      <c r="J356" s="15"/>
      <c r="K356" s="15"/>
    </row>
    <row r="357" spans="1:11">
      <c r="A357" s="15"/>
      <c r="B357" s="15"/>
      <c r="C357" s="15"/>
      <c r="D357" s="15"/>
      <c r="E357" s="15"/>
      <c r="F357" s="15"/>
      <c r="G357" s="15"/>
      <c r="H357" s="15"/>
      <c r="I357" s="15"/>
      <c r="J357" s="15"/>
      <c r="K357" s="15"/>
    </row>
    <row r="358" spans="1:11">
      <c r="A358" s="15"/>
      <c r="B358" s="15"/>
      <c r="C358" s="15"/>
      <c r="D358" s="15"/>
      <c r="E358" s="15"/>
      <c r="F358" s="15"/>
      <c r="G358" s="15"/>
      <c r="H358" s="15"/>
      <c r="I358" s="15"/>
      <c r="J358" s="15"/>
      <c r="K358" s="15"/>
    </row>
    <row r="359" spans="1:11">
      <c r="A359" s="15"/>
      <c r="B359" s="15"/>
      <c r="C359" s="15"/>
      <c r="D359" s="15"/>
      <c r="E359" s="15"/>
      <c r="F359" s="15"/>
      <c r="G359" s="15"/>
      <c r="H359" s="15"/>
      <c r="I359" s="15"/>
      <c r="J359" s="15"/>
      <c r="K359" s="15"/>
    </row>
    <row r="360" spans="1:11">
      <c r="A360" s="15"/>
      <c r="B360" s="15"/>
      <c r="C360" s="15"/>
      <c r="D360" s="15"/>
      <c r="E360" s="15"/>
      <c r="F360" s="15"/>
      <c r="G360" s="15"/>
      <c r="H360" s="15"/>
      <c r="I360" s="15"/>
      <c r="J360" s="15"/>
      <c r="K360" s="15"/>
    </row>
    <row r="361" spans="1:11">
      <c r="A361" s="15"/>
      <c r="B361" s="15"/>
      <c r="C361" s="15"/>
      <c r="D361" s="15"/>
      <c r="E361" s="15"/>
      <c r="F361" s="15"/>
      <c r="G361" s="15"/>
      <c r="H361" s="15"/>
      <c r="I361" s="15"/>
      <c r="J361" s="15"/>
      <c r="K361" s="15"/>
    </row>
    <row r="362" spans="1:11">
      <c r="A362" s="15"/>
      <c r="B362" s="15"/>
      <c r="C362" s="15"/>
      <c r="D362" s="15"/>
      <c r="E362" s="15"/>
      <c r="F362" s="15"/>
      <c r="G362" s="15"/>
      <c r="H362" s="15"/>
      <c r="I362" s="15"/>
      <c r="J362" s="15"/>
      <c r="K362" s="15"/>
    </row>
    <row r="363" spans="1:11">
      <c r="A363" s="15"/>
      <c r="B363" s="15"/>
      <c r="C363" s="15"/>
      <c r="D363" s="15"/>
      <c r="E363" s="15"/>
      <c r="F363" s="15"/>
      <c r="G363" s="15"/>
      <c r="H363" s="15"/>
      <c r="I363" s="15"/>
      <c r="J363" s="15"/>
      <c r="K363" s="15"/>
    </row>
    <row r="364" spans="1:11">
      <c r="A364" s="15"/>
      <c r="B364" s="15"/>
      <c r="C364" s="15"/>
      <c r="D364" s="15"/>
      <c r="E364" s="15"/>
      <c r="F364" s="15"/>
      <c r="G364" s="15"/>
      <c r="H364" s="15"/>
      <c r="I364" s="15"/>
      <c r="J364" s="15"/>
      <c r="K364" s="15"/>
    </row>
    <row r="365" spans="1:11">
      <c r="A365" s="15"/>
      <c r="B365" s="15"/>
      <c r="C365" s="15"/>
      <c r="D365" s="15"/>
      <c r="E365" s="15"/>
      <c r="F365" s="15"/>
      <c r="G365" s="15"/>
      <c r="H365" s="15"/>
      <c r="I365" s="15"/>
      <c r="J365" s="15"/>
      <c r="K365" s="15"/>
    </row>
    <row r="366" spans="1:11">
      <c r="A366" s="15"/>
      <c r="B366" s="15"/>
      <c r="C366" s="15"/>
      <c r="D366" s="15"/>
      <c r="E366" s="15"/>
      <c r="F366" s="15"/>
      <c r="G366" s="15"/>
      <c r="H366" s="15"/>
      <c r="I366" s="15"/>
      <c r="J366" s="15"/>
      <c r="K366" s="15"/>
    </row>
    <row r="367" spans="1:11">
      <c r="A367" s="15"/>
      <c r="B367" s="15"/>
      <c r="C367" s="15"/>
      <c r="D367" s="15"/>
      <c r="E367" s="15"/>
      <c r="F367" s="15"/>
      <c r="G367" s="15"/>
      <c r="H367" s="15"/>
      <c r="I367" s="15"/>
      <c r="J367" s="15"/>
      <c r="K367" s="15"/>
    </row>
    <row r="368" spans="1:11">
      <c r="A368" s="15"/>
      <c r="B368" s="15"/>
      <c r="C368" s="15"/>
      <c r="D368" s="15"/>
      <c r="E368" s="15"/>
      <c r="F368" s="15"/>
      <c r="G368" s="15"/>
      <c r="H368" s="15"/>
      <c r="I368" s="15"/>
      <c r="J368" s="15"/>
      <c r="K368" s="15"/>
    </row>
    <row r="369" spans="1:11">
      <c r="A369" s="15"/>
      <c r="B369" s="15"/>
      <c r="C369" s="15"/>
      <c r="D369" s="15"/>
      <c r="E369" s="15"/>
      <c r="F369" s="15"/>
      <c r="G369" s="15"/>
      <c r="H369" s="15"/>
      <c r="I369" s="15"/>
      <c r="J369" s="15"/>
      <c r="K369" s="15"/>
    </row>
    <row r="370" spans="1:11">
      <c r="A370" s="15"/>
      <c r="B370" s="15"/>
      <c r="C370" s="15"/>
      <c r="D370" s="15"/>
      <c r="E370" s="15"/>
      <c r="F370" s="15"/>
      <c r="G370" s="15"/>
      <c r="H370" s="15"/>
      <c r="I370" s="15"/>
      <c r="J370" s="15"/>
      <c r="K370" s="15"/>
    </row>
    <row r="371" spans="1:11">
      <c r="A371" s="15"/>
      <c r="B371" s="15"/>
      <c r="C371" s="15"/>
      <c r="D371" s="15"/>
      <c r="E371" s="15"/>
      <c r="F371" s="15"/>
      <c r="G371" s="15"/>
      <c r="H371" s="15"/>
      <c r="I371" s="15"/>
      <c r="J371" s="15"/>
      <c r="K371" s="15"/>
    </row>
    <row r="372" spans="1:11">
      <c r="A372" s="15"/>
      <c r="B372" s="15"/>
      <c r="C372" s="15"/>
      <c r="D372" s="15"/>
      <c r="E372" s="15"/>
      <c r="F372" s="15"/>
      <c r="G372" s="15"/>
      <c r="H372" s="15"/>
      <c r="I372" s="15"/>
      <c r="J372" s="15"/>
      <c r="K372" s="15"/>
    </row>
    <row r="373" spans="1:11">
      <c r="A373" s="15"/>
      <c r="B373" s="15"/>
      <c r="C373" s="15"/>
      <c r="D373" s="15"/>
      <c r="E373" s="15"/>
      <c r="F373" s="15"/>
      <c r="G373" s="15"/>
      <c r="H373" s="15"/>
      <c r="I373" s="15"/>
      <c r="J373" s="15"/>
      <c r="K373" s="15"/>
    </row>
    <row r="374" spans="1:11">
      <c r="A374" s="15"/>
      <c r="B374" s="15"/>
      <c r="C374" s="15"/>
      <c r="D374" s="15"/>
      <c r="E374" s="15"/>
      <c r="F374" s="15"/>
      <c r="G374" s="15"/>
      <c r="H374" s="15"/>
      <c r="I374" s="15"/>
      <c r="J374" s="15"/>
      <c r="K374" s="15"/>
    </row>
    <row r="375" spans="1:11">
      <c r="A375" s="15"/>
      <c r="B375" s="15"/>
      <c r="C375" s="15"/>
      <c r="D375" s="15"/>
      <c r="E375" s="15"/>
      <c r="F375" s="15"/>
      <c r="G375" s="15"/>
      <c r="H375" s="15"/>
      <c r="I375" s="15"/>
      <c r="J375" s="15"/>
      <c r="K375" s="15"/>
    </row>
    <row r="376" spans="1:11">
      <c r="A376" s="15"/>
      <c r="B376" s="15"/>
      <c r="C376" s="15"/>
      <c r="D376" s="15"/>
      <c r="E376" s="15"/>
      <c r="F376" s="15"/>
      <c r="G376" s="15"/>
      <c r="H376" s="15"/>
      <c r="I376" s="15"/>
      <c r="J376" s="15"/>
      <c r="K376" s="15"/>
    </row>
    <row r="377" spans="1:11">
      <c r="A377" s="15"/>
      <c r="B377" s="15"/>
      <c r="C377" s="15"/>
      <c r="D377" s="15"/>
      <c r="E377" s="15"/>
      <c r="F377" s="15"/>
      <c r="G377" s="15"/>
      <c r="H377" s="15"/>
      <c r="I377" s="15"/>
      <c r="J377" s="15"/>
      <c r="K377" s="15"/>
    </row>
    <row r="378" spans="1:11">
      <c r="A378" s="15"/>
      <c r="B378" s="15"/>
      <c r="C378" s="15"/>
      <c r="D378" s="15"/>
      <c r="E378" s="15"/>
      <c r="F378" s="15"/>
      <c r="G378" s="15"/>
      <c r="H378" s="15"/>
      <c r="I378" s="15"/>
      <c r="J378" s="15"/>
      <c r="K378" s="15"/>
    </row>
    <row r="379" spans="1:11">
      <c r="A379" s="15"/>
      <c r="B379" s="15"/>
      <c r="C379" s="15"/>
      <c r="D379" s="15"/>
      <c r="E379" s="15"/>
      <c r="F379" s="15"/>
      <c r="G379" s="15"/>
      <c r="H379" s="15"/>
      <c r="I379" s="15"/>
      <c r="J379" s="15"/>
      <c r="K379" s="15"/>
    </row>
    <row r="380" spans="1:11">
      <c r="A380" s="15"/>
      <c r="B380" s="15"/>
      <c r="C380" s="15"/>
      <c r="D380" s="15"/>
      <c r="E380" s="15"/>
      <c r="F380" s="15"/>
      <c r="G380" s="15"/>
      <c r="H380" s="15"/>
      <c r="I380" s="15"/>
      <c r="J380" s="15"/>
      <c r="K380" s="15"/>
    </row>
    <row r="381" spans="1:11">
      <c r="A381" s="15"/>
      <c r="B381" s="15"/>
      <c r="C381" s="15"/>
      <c r="D381" s="15"/>
      <c r="E381" s="15"/>
      <c r="F381" s="15"/>
      <c r="G381" s="15"/>
      <c r="H381" s="15"/>
      <c r="I381" s="15"/>
      <c r="J381" s="15"/>
      <c r="K381" s="15"/>
    </row>
    <row r="382" spans="1:11">
      <c r="A382" s="15"/>
      <c r="B382" s="15"/>
      <c r="C382" s="15"/>
      <c r="D382" s="15"/>
      <c r="E382" s="15"/>
      <c r="F382" s="15"/>
      <c r="G382" s="15"/>
      <c r="H382" s="15"/>
      <c r="I382" s="15"/>
      <c r="J382" s="15"/>
      <c r="K382" s="15"/>
    </row>
    <row r="383" spans="1:11">
      <c r="A383" s="15"/>
      <c r="B383" s="15"/>
      <c r="C383" s="15"/>
      <c r="D383" s="15"/>
      <c r="E383" s="15"/>
      <c r="F383" s="15"/>
      <c r="G383" s="15"/>
      <c r="H383" s="15"/>
      <c r="I383" s="15"/>
      <c r="J383" s="15"/>
      <c r="K383" s="15"/>
    </row>
    <row r="384" spans="1:11">
      <c r="A384" s="15"/>
      <c r="B384" s="15"/>
      <c r="C384" s="15"/>
      <c r="D384" s="15"/>
      <c r="E384" s="15"/>
      <c r="F384" s="15"/>
      <c r="G384" s="15"/>
      <c r="H384" s="15"/>
      <c r="I384" s="15"/>
      <c r="J384" s="15"/>
      <c r="K384" s="15"/>
    </row>
    <row r="385" spans="1:11">
      <c r="A385" s="15"/>
      <c r="B385" s="15"/>
      <c r="C385" s="15"/>
      <c r="D385" s="15"/>
      <c r="E385" s="15"/>
      <c r="F385" s="15"/>
      <c r="G385" s="15"/>
      <c r="H385" s="15"/>
      <c r="I385" s="15"/>
      <c r="J385" s="15"/>
      <c r="K385" s="15"/>
    </row>
    <row r="386" spans="1:11">
      <c r="A386" s="15"/>
      <c r="B386" s="15"/>
      <c r="C386" s="15"/>
      <c r="D386" s="15"/>
      <c r="E386" s="15"/>
      <c r="F386" s="15"/>
      <c r="G386" s="15"/>
      <c r="H386" s="15"/>
      <c r="I386" s="15"/>
      <c r="J386" s="15"/>
      <c r="K386" s="15"/>
    </row>
    <row r="387" spans="1:11">
      <c r="A387" s="15"/>
      <c r="B387" s="15"/>
      <c r="C387" s="15"/>
      <c r="D387" s="15"/>
      <c r="E387" s="15"/>
      <c r="F387" s="15"/>
      <c r="G387" s="15"/>
      <c r="H387" s="15"/>
      <c r="I387" s="15"/>
      <c r="J387" s="15"/>
      <c r="K387" s="15"/>
    </row>
    <row r="388" spans="1:11">
      <c r="A388" s="15"/>
      <c r="B388" s="15"/>
      <c r="C388" s="15"/>
      <c r="D388" s="15"/>
      <c r="E388" s="15"/>
      <c r="F388" s="15"/>
      <c r="G388" s="15"/>
      <c r="H388" s="15"/>
      <c r="I388" s="15"/>
      <c r="J388" s="15"/>
      <c r="K388" s="15"/>
    </row>
    <row r="389" spans="1:11">
      <c r="A389" s="15"/>
      <c r="B389" s="15"/>
      <c r="C389" s="15"/>
      <c r="D389" s="15"/>
      <c r="E389" s="15"/>
      <c r="F389" s="15"/>
      <c r="G389" s="15"/>
      <c r="H389" s="15"/>
      <c r="I389" s="15"/>
      <c r="J389" s="15"/>
      <c r="K389" s="15"/>
    </row>
    <row r="390" spans="1:11">
      <c r="A390" s="15"/>
      <c r="B390" s="15"/>
      <c r="C390" s="15"/>
      <c r="D390" s="15"/>
      <c r="E390" s="15"/>
      <c r="F390" s="15"/>
      <c r="G390" s="15"/>
      <c r="H390" s="15"/>
      <c r="I390" s="15"/>
      <c r="J390" s="15"/>
      <c r="K390" s="15"/>
    </row>
    <row r="391" spans="1:11">
      <c r="A391" s="15"/>
      <c r="B391" s="15"/>
      <c r="C391" s="15"/>
      <c r="D391" s="15"/>
      <c r="E391" s="15"/>
      <c r="F391" s="15"/>
      <c r="G391" s="15"/>
      <c r="H391" s="15"/>
      <c r="I391" s="15"/>
      <c r="J391" s="15"/>
      <c r="K391" s="15"/>
    </row>
    <row r="392" spans="1:11">
      <c r="A392" s="15"/>
      <c r="B392" s="15"/>
      <c r="C392" s="15"/>
      <c r="D392" s="15"/>
      <c r="E392" s="15"/>
      <c r="F392" s="15"/>
      <c r="G392" s="15"/>
      <c r="H392" s="15"/>
      <c r="I392" s="15"/>
      <c r="J392" s="15"/>
      <c r="K392" s="15"/>
    </row>
    <row r="393" spans="1:11">
      <c r="A393" s="15"/>
      <c r="B393" s="15"/>
      <c r="C393" s="15"/>
      <c r="D393" s="15"/>
      <c r="E393" s="15"/>
      <c r="F393" s="15"/>
      <c r="G393" s="15"/>
      <c r="H393" s="15"/>
      <c r="I393" s="15"/>
      <c r="J393" s="15"/>
      <c r="K393" s="15"/>
    </row>
    <row r="394" spans="1:11">
      <c r="A394" s="15"/>
      <c r="B394" s="15"/>
      <c r="C394" s="15"/>
      <c r="D394" s="15"/>
      <c r="E394" s="15"/>
      <c r="F394" s="15"/>
      <c r="G394" s="15"/>
      <c r="H394" s="15"/>
      <c r="I394" s="15"/>
      <c r="J394" s="15"/>
      <c r="K394" s="15"/>
    </row>
    <row r="395" spans="1:11">
      <c r="A395" s="15"/>
      <c r="B395" s="15"/>
      <c r="C395" s="15"/>
      <c r="D395" s="15"/>
      <c r="E395" s="15"/>
      <c r="F395" s="15"/>
      <c r="G395" s="15"/>
      <c r="H395" s="15"/>
      <c r="I395" s="15"/>
      <c r="J395" s="15"/>
      <c r="K395" s="15"/>
    </row>
    <row r="396" spans="1:11">
      <c r="A396" s="15"/>
      <c r="B396" s="15"/>
      <c r="C396" s="15"/>
      <c r="D396" s="15"/>
      <c r="E396" s="15"/>
      <c r="F396" s="15"/>
      <c r="G396" s="15"/>
      <c r="H396" s="15"/>
      <c r="I396" s="15"/>
      <c r="J396" s="15"/>
      <c r="K396" s="15"/>
    </row>
    <row r="397" spans="1:11">
      <c r="A397" s="15"/>
      <c r="B397" s="15"/>
      <c r="C397" s="15"/>
      <c r="D397" s="15"/>
      <c r="E397" s="15"/>
      <c r="F397" s="15"/>
      <c r="G397" s="15"/>
      <c r="H397" s="15"/>
      <c r="I397" s="15"/>
      <c r="J397" s="15"/>
      <c r="K397" s="15"/>
    </row>
    <row r="398" spans="1:11">
      <c r="A398" s="15"/>
      <c r="B398" s="15"/>
      <c r="C398" s="15"/>
      <c r="D398" s="15"/>
      <c r="E398" s="15"/>
      <c r="F398" s="15"/>
      <c r="G398" s="15"/>
      <c r="H398" s="15"/>
      <c r="I398" s="15"/>
      <c r="J398" s="15"/>
      <c r="K398" s="15"/>
    </row>
    <row r="399" spans="1:11">
      <c r="A399" s="15"/>
      <c r="B399" s="15"/>
      <c r="C399" s="15"/>
      <c r="D399" s="15"/>
      <c r="E399" s="15"/>
      <c r="F399" s="15"/>
      <c r="G399" s="15"/>
      <c r="H399" s="15"/>
      <c r="I399" s="15"/>
      <c r="J399" s="15"/>
      <c r="K399" s="15"/>
    </row>
    <row r="400" spans="1:11">
      <c r="A400" s="15"/>
      <c r="B400" s="15"/>
      <c r="C400" s="15"/>
      <c r="D400" s="15"/>
      <c r="E400" s="15"/>
      <c r="F400" s="15"/>
      <c r="G400" s="15"/>
      <c r="H400" s="15"/>
      <c r="I400" s="15"/>
      <c r="J400" s="15"/>
      <c r="K400" s="15"/>
    </row>
    <row r="401" spans="1:11">
      <c r="A401" s="15"/>
      <c r="B401" s="15"/>
      <c r="C401" s="15"/>
      <c r="D401" s="15"/>
      <c r="E401" s="15"/>
      <c r="F401" s="15"/>
      <c r="G401" s="15"/>
      <c r="H401" s="15"/>
      <c r="I401" s="15"/>
      <c r="J401" s="15"/>
      <c r="K401" s="15"/>
    </row>
    <row r="402" spans="1:11">
      <c r="A402" s="15"/>
      <c r="B402" s="15"/>
      <c r="C402" s="15"/>
      <c r="D402" s="15"/>
      <c r="E402" s="15"/>
      <c r="F402" s="15"/>
      <c r="G402" s="15"/>
      <c r="H402" s="15"/>
      <c r="I402" s="15"/>
      <c r="J402" s="15"/>
      <c r="K402" s="15"/>
    </row>
    <row r="403" spans="1:11">
      <c r="A403" s="15"/>
      <c r="B403" s="15"/>
      <c r="C403" s="15"/>
      <c r="D403" s="15"/>
      <c r="E403" s="15"/>
      <c r="F403" s="15"/>
      <c r="G403" s="15"/>
      <c r="H403" s="15"/>
      <c r="I403" s="15"/>
      <c r="J403" s="15"/>
      <c r="K403" s="15"/>
    </row>
    <row r="404" spans="1:11">
      <c r="A404" s="15"/>
      <c r="B404" s="15"/>
      <c r="C404" s="15"/>
      <c r="D404" s="15"/>
      <c r="E404" s="15"/>
      <c r="F404" s="15"/>
      <c r="G404" s="15"/>
      <c r="H404" s="15"/>
      <c r="I404" s="15"/>
      <c r="J404" s="15"/>
      <c r="K404" s="15"/>
    </row>
    <row r="405" spans="1:11">
      <c r="A405" s="15"/>
      <c r="B405" s="15"/>
      <c r="C405" s="15"/>
      <c r="D405" s="15"/>
      <c r="E405" s="15"/>
      <c r="F405" s="15"/>
      <c r="G405" s="15"/>
      <c r="H405" s="15"/>
      <c r="I405" s="15"/>
      <c r="J405" s="15"/>
      <c r="K405" s="15"/>
    </row>
    <row r="406" spans="1:11">
      <c r="A406" s="15"/>
      <c r="B406" s="15"/>
      <c r="C406" s="15"/>
      <c r="D406" s="15"/>
      <c r="E406" s="15"/>
      <c r="F406" s="15"/>
      <c r="G406" s="15"/>
      <c r="H406" s="15"/>
      <c r="I406" s="15"/>
      <c r="J406" s="15"/>
      <c r="K406" s="15"/>
    </row>
    <row r="407" spans="1:11">
      <c r="A407" s="15"/>
      <c r="B407" s="15"/>
      <c r="C407" s="15"/>
      <c r="D407" s="15"/>
      <c r="E407" s="15"/>
      <c r="F407" s="15"/>
      <c r="G407" s="15"/>
      <c r="H407" s="15"/>
      <c r="I407" s="15"/>
      <c r="J407" s="15"/>
      <c r="K407" s="15"/>
    </row>
    <row r="408" spans="1:11">
      <c r="A408" s="15"/>
      <c r="B408" s="15"/>
      <c r="C408" s="15"/>
      <c r="D408" s="15"/>
      <c r="E408" s="15"/>
      <c r="F408" s="15"/>
      <c r="G408" s="15"/>
      <c r="H408" s="15"/>
      <c r="I408" s="15"/>
      <c r="J408" s="15"/>
      <c r="K408" s="15"/>
    </row>
    <row r="409" spans="1:11">
      <c r="A409" s="15"/>
      <c r="B409" s="15"/>
      <c r="C409" s="15"/>
      <c r="D409" s="15"/>
      <c r="E409" s="15"/>
      <c r="F409" s="15"/>
      <c r="G409" s="15"/>
      <c r="H409" s="15"/>
      <c r="I409" s="15"/>
      <c r="J409" s="15"/>
      <c r="K409" s="15"/>
    </row>
    <row r="410" spans="1:11">
      <c r="A410" s="15"/>
      <c r="B410" s="15"/>
      <c r="C410" s="15"/>
      <c r="D410" s="15"/>
      <c r="E410" s="15"/>
      <c r="F410" s="15"/>
      <c r="G410" s="15"/>
      <c r="H410" s="15"/>
      <c r="I410" s="15"/>
      <c r="J410" s="15"/>
      <c r="K410" s="15"/>
    </row>
    <row r="411" spans="1:11">
      <c r="A411" s="15"/>
      <c r="B411" s="15"/>
      <c r="C411" s="15"/>
      <c r="D411" s="15"/>
      <c r="E411" s="15"/>
      <c r="F411" s="15"/>
      <c r="G411" s="15"/>
      <c r="H411" s="15"/>
      <c r="I411" s="15"/>
      <c r="J411" s="15"/>
      <c r="K411" s="15"/>
    </row>
    <row r="412" spans="1:11">
      <c r="A412" s="15"/>
      <c r="B412" s="15"/>
      <c r="C412" s="15"/>
      <c r="D412" s="15"/>
      <c r="E412" s="15"/>
      <c r="F412" s="15"/>
      <c r="G412" s="15"/>
      <c r="H412" s="15"/>
      <c r="I412" s="15"/>
      <c r="J412" s="15"/>
      <c r="K412" s="15"/>
    </row>
    <row r="413" spans="1:11">
      <c r="A413" s="15"/>
      <c r="B413" s="15"/>
      <c r="C413" s="15"/>
      <c r="D413" s="15"/>
      <c r="E413" s="15"/>
      <c r="F413" s="15"/>
      <c r="G413" s="15"/>
      <c r="H413" s="15"/>
      <c r="I413" s="15"/>
      <c r="J413" s="15"/>
      <c r="K413" s="15"/>
    </row>
    <row r="414" spans="1:11">
      <c r="A414" s="15"/>
      <c r="B414" s="15"/>
      <c r="C414" s="15"/>
      <c r="D414" s="15"/>
      <c r="E414" s="15"/>
      <c r="F414" s="15"/>
      <c r="G414" s="15"/>
      <c r="H414" s="15"/>
      <c r="I414" s="15"/>
      <c r="J414" s="15"/>
      <c r="K414" s="15"/>
    </row>
    <row r="415" spans="1:11">
      <c r="A415" s="15"/>
      <c r="B415" s="15"/>
      <c r="C415" s="15"/>
      <c r="D415" s="15"/>
      <c r="E415" s="15"/>
      <c r="F415" s="15"/>
      <c r="G415" s="15"/>
      <c r="H415" s="15"/>
      <c r="I415" s="15"/>
      <c r="J415" s="15"/>
      <c r="K415" s="15"/>
    </row>
    <row r="416" spans="1:11">
      <c r="A416" s="15"/>
      <c r="B416" s="15"/>
      <c r="C416" s="15"/>
      <c r="D416" s="15"/>
      <c r="E416" s="15"/>
      <c r="F416" s="15"/>
      <c r="G416" s="15"/>
      <c r="H416" s="15"/>
      <c r="I416" s="15"/>
      <c r="J416" s="15"/>
      <c r="K416" s="15"/>
    </row>
    <row r="417" spans="1:11">
      <c r="A417" s="15"/>
      <c r="B417" s="15"/>
      <c r="C417" s="15"/>
      <c r="D417" s="15"/>
      <c r="E417" s="15"/>
      <c r="F417" s="15"/>
      <c r="G417" s="15"/>
      <c r="H417" s="15"/>
      <c r="I417" s="15"/>
      <c r="J417" s="15"/>
      <c r="K417" s="15"/>
    </row>
    <row r="418" spans="1:11">
      <c r="A418" s="15"/>
      <c r="B418" s="15"/>
      <c r="C418" s="15"/>
      <c r="D418" s="15"/>
      <c r="E418" s="15"/>
      <c r="F418" s="15"/>
      <c r="G418" s="15"/>
      <c r="H418" s="15"/>
      <c r="I418" s="15"/>
      <c r="J418" s="15"/>
      <c r="K418" s="15"/>
    </row>
    <row r="419" spans="1:11">
      <c r="A419" s="15"/>
      <c r="B419" s="15"/>
      <c r="C419" s="15"/>
      <c r="D419" s="15"/>
      <c r="E419" s="15"/>
      <c r="F419" s="15"/>
      <c r="G419" s="15"/>
      <c r="H419" s="15"/>
      <c r="I419" s="15"/>
      <c r="J419" s="15"/>
      <c r="K419" s="15"/>
    </row>
    <row r="420" spans="1:11">
      <c r="A420" s="15"/>
      <c r="B420" s="15"/>
      <c r="C420" s="15"/>
      <c r="D420" s="15"/>
      <c r="E420" s="15"/>
      <c r="F420" s="15"/>
      <c r="G420" s="15"/>
      <c r="H420" s="15"/>
      <c r="I420" s="15"/>
      <c r="J420" s="15"/>
      <c r="K420" s="15"/>
    </row>
    <row r="421" spans="1:11">
      <c r="A421" s="15"/>
      <c r="B421" s="15"/>
      <c r="C421" s="15"/>
      <c r="D421" s="15"/>
      <c r="E421" s="15"/>
      <c r="F421" s="15"/>
      <c r="G421" s="15"/>
      <c r="H421" s="15"/>
      <c r="I421" s="15"/>
      <c r="J421" s="15"/>
      <c r="K421" s="15"/>
    </row>
    <row r="422" spans="1:11">
      <c r="A422" s="15"/>
      <c r="B422" s="15"/>
      <c r="C422" s="15"/>
      <c r="D422" s="15"/>
      <c r="E422" s="15"/>
      <c r="F422" s="15"/>
      <c r="G422" s="15"/>
      <c r="H422" s="15"/>
      <c r="I422" s="15"/>
      <c r="J422" s="15"/>
      <c r="K422" s="15"/>
    </row>
    <row r="423" spans="1:11">
      <c r="A423" s="15"/>
      <c r="B423" s="15"/>
      <c r="C423" s="15"/>
      <c r="D423" s="15"/>
      <c r="E423" s="15"/>
      <c r="F423" s="15"/>
      <c r="G423" s="15"/>
      <c r="H423" s="15"/>
      <c r="I423" s="15"/>
      <c r="J423" s="15"/>
      <c r="K423" s="15"/>
    </row>
    <row r="424" spans="1:11">
      <c r="A424" s="15"/>
      <c r="B424" s="15"/>
      <c r="C424" s="15"/>
      <c r="D424" s="15"/>
      <c r="E424" s="15"/>
      <c r="F424" s="15"/>
      <c r="G424" s="15"/>
      <c r="H424" s="15"/>
      <c r="I424" s="15"/>
      <c r="J424" s="15"/>
      <c r="K424" s="15"/>
    </row>
    <row r="425" spans="1:11">
      <c r="A425" s="15"/>
      <c r="B425" s="15"/>
      <c r="C425" s="15"/>
      <c r="D425" s="15"/>
      <c r="E425" s="15"/>
      <c r="F425" s="15"/>
      <c r="G425" s="15"/>
      <c r="H425" s="15"/>
      <c r="I425" s="15"/>
      <c r="J425" s="15"/>
      <c r="K425" s="15"/>
    </row>
    <row r="426" spans="1:11">
      <c r="A426" s="15"/>
      <c r="B426" s="15"/>
      <c r="C426" s="15"/>
      <c r="D426" s="15"/>
      <c r="E426" s="15"/>
      <c r="F426" s="15"/>
      <c r="G426" s="15"/>
      <c r="H426" s="15"/>
      <c r="I426" s="15"/>
      <c r="J426" s="15"/>
      <c r="K426" s="15"/>
    </row>
    <row r="427" spans="1:11">
      <c r="A427" s="15"/>
      <c r="B427" s="15"/>
      <c r="C427" s="15"/>
      <c r="D427" s="15"/>
      <c r="E427" s="15"/>
      <c r="F427" s="15"/>
      <c r="G427" s="15"/>
      <c r="H427" s="15"/>
      <c r="I427" s="15"/>
      <c r="J427" s="15"/>
      <c r="K427" s="15"/>
    </row>
    <row r="428" spans="1:11">
      <c r="A428" s="15"/>
      <c r="B428" s="15"/>
      <c r="C428" s="15"/>
      <c r="D428" s="15"/>
      <c r="E428" s="15"/>
      <c r="F428" s="15"/>
      <c r="G428" s="15"/>
      <c r="H428" s="15"/>
      <c r="I428" s="15"/>
      <c r="J428" s="15"/>
      <c r="K428" s="15"/>
    </row>
    <row r="429" spans="1:11">
      <c r="A429" s="15"/>
      <c r="B429" s="15"/>
      <c r="C429" s="15"/>
      <c r="D429" s="15"/>
      <c r="E429" s="15"/>
      <c r="F429" s="15"/>
      <c r="G429" s="15"/>
      <c r="H429" s="15"/>
      <c r="I429" s="15"/>
      <c r="J429" s="15"/>
      <c r="K429" s="15"/>
    </row>
    <row r="430" spans="1:11">
      <c r="A430" s="15"/>
      <c r="B430" s="15"/>
      <c r="C430" s="15"/>
      <c r="D430" s="15"/>
      <c r="E430" s="15"/>
      <c r="F430" s="15"/>
      <c r="G430" s="15"/>
      <c r="H430" s="15"/>
      <c r="I430" s="15"/>
      <c r="J430" s="15"/>
      <c r="K430" s="15"/>
    </row>
    <row r="431" spans="1:11">
      <c r="A431" s="15"/>
      <c r="B431" s="15"/>
      <c r="C431" s="15"/>
      <c r="D431" s="15"/>
      <c r="E431" s="15"/>
      <c r="F431" s="15"/>
      <c r="G431" s="15"/>
      <c r="H431" s="15"/>
      <c r="I431" s="15"/>
      <c r="J431" s="15"/>
      <c r="K431" s="15"/>
    </row>
    <row r="432" spans="1:11">
      <c r="A432" s="15"/>
      <c r="B432" s="15"/>
      <c r="C432" s="15"/>
      <c r="D432" s="15"/>
      <c r="E432" s="15"/>
      <c r="F432" s="15"/>
      <c r="G432" s="15"/>
      <c r="H432" s="15"/>
      <c r="I432" s="15"/>
      <c r="J432" s="15"/>
      <c r="K432" s="15"/>
    </row>
    <row r="433" spans="1:11">
      <c r="A433" s="15"/>
      <c r="B433" s="15"/>
      <c r="C433" s="15"/>
      <c r="D433" s="15"/>
      <c r="E433" s="15"/>
      <c r="F433" s="15"/>
      <c r="G433" s="15"/>
      <c r="H433" s="15"/>
      <c r="I433" s="15"/>
      <c r="J433" s="15"/>
      <c r="K433" s="15"/>
    </row>
    <row r="434" spans="1:11">
      <c r="A434" s="15"/>
      <c r="B434" s="15"/>
      <c r="C434" s="15"/>
      <c r="D434" s="15"/>
      <c r="E434" s="15"/>
      <c r="F434" s="15"/>
      <c r="G434" s="15"/>
      <c r="H434" s="15"/>
      <c r="I434" s="15"/>
      <c r="J434" s="15"/>
      <c r="K434" s="15"/>
    </row>
    <row r="435" spans="1:11">
      <c r="A435" s="15"/>
      <c r="B435" s="15"/>
      <c r="C435" s="15"/>
      <c r="D435" s="15"/>
      <c r="E435" s="15"/>
      <c r="F435" s="15"/>
      <c r="G435" s="15"/>
      <c r="H435" s="15"/>
      <c r="I435" s="15"/>
      <c r="J435" s="15"/>
      <c r="K435" s="15"/>
    </row>
    <row r="436" spans="1:11">
      <c r="A436" s="15"/>
      <c r="B436" s="15"/>
      <c r="C436" s="15"/>
      <c r="D436" s="15"/>
      <c r="E436" s="15"/>
      <c r="F436" s="15"/>
      <c r="G436" s="15"/>
      <c r="H436" s="15"/>
      <c r="I436" s="15"/>
      <c r="J436" s="15"/>
      <c r="K436" s="15"/>
    </row>
    <row r="437" spans="1:11">
      <c r="A437" s="15"/>
      <c r="B437" s="15"/>
      <c r="C437" s="15"/>
      <c r="D437" s="15"/>
      <c r="E437" s="15"/>
      <c r="F437" s="15"/>
      <c r="G437" s="15"/>
      <c r="H437" s="15"/>
      <c r="I437" s="15"/>
      <c r="J437" s="15"/>
      <c r="K437" s="15"/>
    </row>
    <row r="438" spans="1:11">
      <c r="A438" s="15"/>
      <c r="B438" s="15"/>
      <c r="C438" s="15"/>
      <c r="D438" s="15"/>
      <c r="E438" s="15"/>
      <c r="F438" s="15"/>
      <c r="G438" s="15"/>
      <c r="H438" s="15"/>
      <c r="I438" s="15"/>
      <c r="J438" s="15"/>
      <c r="K438" s="15"/>
    </row>
    <row r="439" spans="1:11">
      <c r="A439" s="15"/>
      <c r="B439" s="15"/>
      <c r="C439" s="15"/>
      <c r="D439" s="15"/>
      <c r="E439" s="15"/>
      <c r="F439" s="15"/>
      <c r="G439" s="15"/>
      <c r="H439" s="15"/>
      <c r="I439" s="15"/>
      <c r="J439" s="15"/>
      <c r="K439" s="15"/>
    </row>
    <row r="440" spans="1:11">
      <c r="A440" s="15"/>
      <c r="B440" s="15"/>
      <c r="C440" s="15"/>
      <c r="D440" s="15"/>
      <c r="E440" s="15"/>
      <c r="F440" s="15"/>
      <c r="G440" s="15"/>
      <c r="H440" s="15"/>
      <c r="I440" s="15"/>
      <c r="J440" s="15"/>
      <c r="K440" s="15"/>
    </row>
    <row r="441" spans="1:11">
      <c r="A441" s="15"/>
      <c r="B441" s="15"/>
      <c r="C441" s="15"/>
      <c r="D441" s="15"/>
      <c r="E441" s="15"/>
      <c r="F441" s="15"/>
      <c r="G441" s="15"/>
      <c r="H441" s="15"/>
      <c r="I441" s="15"/>
      <c r="J441" s="15"/>
      <c r="K441" s="15"/>
    </row>
    <row r="442" spans="1:11">
      <c r="A442" s="15"/>
      <c r="B442" s="15"/>
      <c r="C442" s="15"/>
      <c r="D442" s="15"/>
      <c r="E442" s="15"/>
      <c r="F442" s="15"/>
      <c r="G442" s="15"/>
      <c r="H442" s="15"/>
      <c r="I442" s="15"/>
      <c r="J442" s="15"/>
      <c r="K442" s="15"/>
    </row>
    <row r="443" spans="1:11">
      <c r="A443" s="15"/>
      <c r="B443" s="15"/>
      <c r="C443" s="15"/>
      <c r="D443" s="15"/>
      <c r="E443" s="15"/>
      <c r="F443" s="15"/>
      <c r="G443" s="15"/>
      <c r="H443" s="15"/>
      <c r="I443" s="15"/>
      <c r="J443" s="15"/>
      <c r="K443" s="15"/>
    </row>
    <row r="444" spans="1:11">
      <c r="A444" s="15"/>
      <c r="B444" s="15"/>
      <c r="C444" s="15"/>
      <c r="D444" s="15"/>
      <c r="E444" s="15"/>
      <c r="F444" s="15"/>
      <c r="G444" s="15"/>
      <c r="H444" s="15"/>
      <c r="I444" s="15"/>
      <c r="J444" s="15"/>
      <c r="K444" s="15"/>
    </row>
    <row r="445" spans="1:11">
      <c r="A445" s="15"/>
      <c r="B445" s="15"/>
      <c r="C445" s="15"/>
      <c r="D445" s="15"/>
      <c r="E445" s="15"/>
      <c r="F445" s="15"/>
      <c r="G445" s="15"/>
      <c r="H445" s="15"/>
      <c r="I445" s="15"/>
      <c r="J445" s="15"/>
      <c r="K445" s="15"/>
    </row>
    <row r="446" spans="1:11">
      <c r="A446" s="15"/>
      <c r="B446" s="15"/>
      <c r="C446" s="15"/>
      <c r="D446" s="15"/>
      <c r="E446" s="15"/>
      <c r="F446" s="15"/>
      <c r="G446" s="15"/>
      <c r="H446" s="15"/>
      <c r="I446" s="15"/>
      <c r="J446" s="15"/>
      <c r="K446" s="15"/>
    </row>
    <row r="447" spans="1:11">
      <c r="A447" s="15"/>
      <c r="B447" s="15"/>
      <c r="C447" s="15"/>
      <c r="D447" s="15"/>
      <c r="E447" s="15"/>
      <c r="F447" s="15"/>
      <c r="G447" s="15"/>
      <c r="H447" s="15"/>
      <c r="I447" s="15"/>
      <c r="J447" s="15"/>
      <c r="K447" s="15"/>
    </row>
    <row r="448" spans="1:11">
      <c r="A448" s="15"/>
      <c r="B448" s="15"/>
      <c r="C448" s="15"/>
      <c r="D448" s="15"/>
      <c r="E448" s="15"/>
      <c r="F448" s="15"/>
      <c r="G448" s="15"/>
      <c r="H448" s="15"/>
      <c r="I448" s="15"/>
      <c r="J448" s="15"/>
      <c r="K448" s="15"/>
    </row>
    <row r="449" spans="1:11">
      <c r="A449" s="15"/>
      <c r="B449" s="15"/>
      <c r="C449" s="15"/>
      <c r="D449" s="15"/>
      <c r="E449" s="15"/>
      <c r="F449" s="15"/>
      <c r="G449" s="15"/>
      <c r="H449" s="15"/>
      <c r="I449" s="15"/>
      <c r="J449" s="15"/>
      <c r="K449" s="15"/>
    </row>
    <row r="450" spans="1:11">
      <c r="A450" s="15"/>
      <c r="B450" s="15"/>
      <c r="C450" s="15"/>
      <c r="D450" s="15"/>
      <c r="E450" s="15"/>
      <c r="F450" s="15"/>
      <c r="G450" s="15"/>
      <c r="H450" s="15"/>
      <c r="I450" s="15"/>
      <c r="J450" s="15"/>
      <c r="K450" s="15"/>
    </row>
    <row r="451" spans="1:11">
      <c r="A451" s="15"/>
      <c r="B451" s="15"/>
      <c r="C451" s="15"/>
      <c r="D451" s="15"/>
      <c r="E451" s="15"/>
      <c r="F451" s="15"/>
      <c r="G451" s="15"/>
      <c r="H451" s="15"/>
      <c r="I451" s="15"/>
      <c r="J451" s="15"/>
      <c r="K451" s="15"/>
    </row>
    <row r="452" spans="1:11">
      <c r="A452" s="15"/>
      <c r="B452" s="15"/>
      <c r="C452" s="15"/>
      <c r="D452" s="15"/>
      <c r="E452" s="15"/>
      <c r="F452" s="15"/>
      <c r="G452" s="15"/>
      <c r="H452" s="15"/>
      <c r="I452" s="15"/>
      <c r="J452" s="15"/>
      <c r="K452" s="15"/>
    </row>
    <row r="453" spans="1:11">
      <c r="A453" s="15"/>
      <c r="B453" s="15"/>
      <c r="C453" s="15"/>
      <c r="D453" s="15"/>
      <c r="E453" s="15"/>
      <c r="F453" s="15"/>
      <c r="G453" s="15"/>
      <c r="H453" s="15"/>
      <c r="I453" s="15"/>
      <c r="J453" s="15"/>
      <c r="K453" s="15"/>
    </row>
    <row r="454" spans="1:11">
      <c r="A454" s="15"/>
      <c r="B454" s="15"/>
      <c r="C454" s="15"/>
      <c r="D454" s="15"/>
      <c r="E454" s="15"/>
      <c r="F454" s="15"/>
      <c r="G454" s="15"/>
      <c r="H454" s="15"/>
      <c r="I454" s="15"/>
      <c r="J454" s="15"/>
      <c r="K454" s="15"/>
    </row>
    <row r="455" spans="1:11">
      <c r="A455" s="15"/>
      <c r="B455" s="15"/>
      <c r="C455" s="15"/>
      <c r="D455" s="15"/>
      <c r="E455" s="15"/>
      <c r="F455" s="15"/>
      <c r="G455" s="15"/>
      <c r="H455" s="15"/>
      <c r="I455" s="15"/>
      <c r="J455" s="15"/>
      <c r="K455" s="15"/>
    </row>
    <row r="456" spans="1:11">
      <c r="A456" s="15"/>
      <c r="B456" s="15"/>
      <c r="C456" s="15"/>
      <c r="D456" s="15"/>
      <c r="E456" s="15"/>
      <c r="F456" s="15"/>
      <c r="G456" s="15"/>
      <c r="H456" s="15"/>
      <c r="I456" s="15"/>
      <c r="J456" s="15"/>
      <c r="K456" s="15"/>
    </row>
    <row r="457" spans="1:11">
      <c r="A457" s="15"/>
      <c r="B457" s="15"/>
      <c r="C457" s="15"/>
      <c r="D457" s="15"/>
      <c r="E457" s="15"/>
      <c r="F457" s="15"/>
      <c r="G457" s="15"/>
      <c r="H457" s="15"/>
      <c r="I457" s="15"/>
      <c r="J457" s="15"/>
      <c r="K457" s="15"/>
    </row>
    <row r="458" spans="1:11">
      <c r="A458" s="15"/>
      <c r="B458" s="15"/>
      <c r="C458" s="15"/>
      <c r="D458" s="15"/>
      <c r="E458" s="15"/>
      <c r="F458" s="15"/>
      <c r="G458" s="15"/>
      <c r="H458" s="15"/>
      <c r="I458" s="15"/>
      <c r="J458" s="15"/>
      <c r="K458" s="15"/>
    </row>
    <row r="459" spans="1:11">
      <c r="A459" s="15"/>
      <c r="B459" s="15"/>
      <c r="C459" s="15"/>
      <c r="D459" s="15"/>
      <c r="E459" s="15"/>
      <c r="F459" s="15"/>
      <c r="G459" s="15"/>
      <c r="H459" s="15"/>
      <c r="I459" s="15"/>
      <c r="J459" s="15"/>
      <c r="K459" s="15"/>
    </row>
    <row r="460" spans="1:11">
      <c r="A460" s="15"/>
      <c r="B460" s="15"/>
      <c r="C460" s="15"/>
      <c r="D460" s="15"/>
      <c r="E460" s="15"/>
      <c r="F460" s="15"/>
      <c r="G460" s="15"/>
      <c r="H460" s="15"/>
      <c r="I460" s="15"/>
      <c r="J460" s="15"/>
      <c r="K460" s="15"/>
    </row>
    <row r="461" spans="1:11">
      <c r="A461" s="15"/>
      <c r="B461" s="15"/>
      <c r="C461" s="15"/>
      <c r="D461" s="15"/>
      <c r="E461" s="15"/>
      <c r="F461" s="15"/>
      <c r="G461" s="15"/>
      <c r="H461" s="15"/>
      <c r="I461" s="15"/>
      <c r="J461" s="15"/>
      <c r="K461" s="15"/>
    </row>
    <row r="462" spans="1:11">
      <c r="A462" s="15"/>
      <c r="B462" s="15"/>
      <c r="C462" s="15"/>
      <c r="D462" s="15"/>
      <c r="E462" s="15"/>
      <c r="F462" s="15"/>
      <c r="G462" s="15"/>
      <c r="H462" s="15"/>
      <c r="I462" s="15"/>
      <c r="J462" s="15"/>
      <c r="K462" s="15"/>
    </row>
    <row r="463" spans="1:11">
      <c r="A463" s="15"/>
      <c r="B463" s="15"/>
      <c r="C463" s="15"/>
      <c r="D463" s="15"/>
      <c r="E463" s="15"/>
      <c r="F463" s="15"/>
      <c r="G463" s="15"/>
      <c r="H463" s="15"/>
      <c r="I463" s="15"/>
      <c r="J463" s="15"/>
      <c r="K463" s="15"/>
    </row>
    <row r="464" spans="1:11">
      <c r="A464" s="15"/>
      <c r="B464" s="15"/>
      <c r="C464" s="15"/>
      <c r="D464" s="15"/>
      <c r="E464" s="15"/>
      <c r="F464" s="15"/>
      <c r="G464" s="15"/>
      <c r="H464" s="15"/>
      <c r="I464" s="15"/>
      <c r="J464" s="15"/>
      <c r="K464" s="15"/>
    </row>
    <row r="465" spans="1:11">
      <c r="A465" s="15"/>
      <c r="B465" s="15"/>
      <c r="C465" s="15"/>
      <c r="D465" s="15"/>
      <c r="E465" s="15"/>
      <c r="F465" s="15"/>
      <c r="G465" s="15"/>
      <c r="H465" s="15"/>
      <c r="I465" s="15"/>
      <c r="J465" s="15"/>
      <c r="K465" s="15"/>
    </row>
    <row r="466" spans="1:11">
      <c r="A466" s="15"/>
      <c r="B466" s="15"/>
      <c r="C466" s="15"/>
      <c r="D466" s="15"/>
      <c r="E466" s="15"/>
      <c r="F466" s="15"/>
      <c r="G466" s="15"/>
      <c r="H466" s="15"/>
      <c r="I466" s="15"/>
      <c r="J466" s="15"/>
      <c r="K466" s="15"/>
    </row>
    <row r="467" spans="1:11">
      <c r="A467" s="15"/>
      <c r="B467" s="15"/>
      <c r="C467" s="15"/>
      <c r="D467" s="15"/>
      <c r="E467" s="15"/>
      <c r="F467" s="15"/>
      <c r="G467" s="15"/>
      <c r="H467" s="15"/>
      <c r="I467" s="15"/>
      <c r="J467" s="15"/>
      <c r="K467" s="15"/>
    </row>
    <row r="468" spans="1:11">
      <c r="A468" s="15"/>
      <c r="B468" s="15"/>
      <c r="C468" s="15"/>
      <c r="D468" s="15"/>
      <c r="E468" s="15"/>
      <c r="F468" s="15"/>
      <c r="G468" s="15"/>
      <c r="H468" s="15"/>
      <c r="I468" s="15"/>
      <c r="J468" s="15"/>
      <c r="K468" s="15"/>
    </row>
    <row r="469" spans="1:11">
      <c r="A469" s="15"/>
      <c r="B469" s="15"/>
      <c r="C469" s="15"/>
      <c r="D469" s="15"/>
      <c r="E469" s="15"/>
      <c r="F469" s="15"/>
      <c r="G469" s="15"/>
      <c r="H469" s="15"/>
      <c r="I469" s="15"/>
      <c r="J469" s="15"/>
      <c r="K469" s="15"/>
    </row>
    <row r="470" spans="1:11">
      <c r="A470" s="15"/>
      <c r="B470" s="15"/>
      <c r="C470" s="15"/>
      <c r="D470" s="15"/>
      <c r="E470" s="15"/>
      <c r="F470" s="15"/>
      <c r="G470" s="15"/>
      <c r="H470" s="15"/>
      <c r="I470" s="15"/>
      <c r="J470" s="15"/>
      <c r="K470" s="15"/>
    </row>
    <row r="471" spans="1:11">
      <c r="A471" s="15"/>
      <c r="B471" s="15"/>
      <c r="C471" s="15"/>
      <c r="D471" s="15"/>
      <c r="E471" s="15"/>
      <c r="F471" s="15"/>
      <c r="G471" s="15"/>
      <c r="H471" s="15"/>
      <c r="I471" s="15"/>
      <c r="J471" s="15"/>
      <c r="K471" s="15"/>
    </row>
    <row r="472" spans="1:11">
      <c r="A472" s="15"/>
      <c r="B472" s="15"/>
      <c r="C472" s="15"/>
      <c r="D472" s="15"/>
      <c r="E472" s="15"/>
      <c r="F472" s="15"/>
      <c r="G472" s="15"/>
      <c r="H472" s="15"/>
      <c r="I472" s="15"/>
      <c r="J472" s="15"/>
      <c r="K472" s="15"/>
    </row>
    <row r="473" spans="1:11">
      <c r="A473" s="15"/>
      <c r="B473" s="15"/>
      <c r="C473" s="15"/>
      <c r="D473" s="15"/>
      <c r="E473" s="15"/>
      <c r="F473" s="15"/>
      <c r="G473" s="15"/>
      <c r="H473" s="15"/>
      <c r="I473" s="15"/>
      <c r="J473" s="15"/>
      <c r="K473" s="15"/>
    </row>
    <row r="474" spans="1:11">
      <c r="A474" s="15"/>
      <c r="B474" s="15"/>
      <c r="C474" s="15"/>
      <c r="D474" s="15"/>
      <c r="E474" s="15"/>
      <c r="F474" s="15"/>
      <c r="G474" s="15"/>
      <c r="H474" s="15"/>
      <c r="I474" s="15"/>
      <c r="J474" s="15"/>
      <c r="K474" s="15"/>
    </row>
    <row r="475" spans="1:11">
      <c r="A475" s="15"/>
      <c r="B475" s="15"/>
      <c r="C475" s="15"/>
      <c r="D475" s="15"/>
      <c r="E475" s="15"/>
      <c r="F475" s="15"/>
      <c r="G475" s="15"/>
      <c r="H475" s="15"/>
      <c r="I475" s="15"/>
      <c r="J475" s="15"/>
      <c r="K475" s="15"/>
    </row>
    <row r="476" spans="1:11">
      <c r="A476" s="15"/>
      <c r="B476" s="15"/>
      <c r="C476" s="15"/>
      <c r="D476" s="15"/>
      <c r="E476" s="15"/>
      <c r="F476" s="15"/>
      <c r="G476" s="15"/>
      <c r="H476" s="15"/>
      <c r="I476" s="15"/>
      <c r="J476" s="15"/>
      <c r="K476" s="15"/>
    </row>
    <row r="477" spans="1:11">
      <c r="A477" s="15"/>
      <c r="B477" s="15"/>
      <c r="C477" s="15"/>
      <c r="D477" s="15"/>
      <c r="E477" s="15"/>
      <c r="F477" s="15"/>
      <c r="G477" s="15"/>
      <c r="H477" s="15"/>
      <c r="I477" s="15"/>
      <c r="J477" s="15"/>
      <c r="K477" s="15"/>
    </row>
    <row r="478" spans="1:11">
      <c r="A478" s="15"/>
      <c r="B478" s="15"/>
      <c r="C478" s="15"/>
      <c r="D478" s="15"/>
      <c r="E478" s="15"/>
      <c r="F478" s="15"/>
      <c r="G478" s="15"/>
      <c r="H478" s="15"/>
      <c r="I478" s="15"/>
      <c r="J478" s="15"/>
      <c r="K478" s="15"/>
    </row>
    <row r="479" spans="1:11">
      <c r="A479" s="15"/>
      <c r="B479" s="15"/>
      <c r="C479" s="15"/>
      <c r="D479" s="15"/>
      <c r="E479" s="15"/>
      <c r="F479" s="15"/>
      <c r="G479" s="15"/>
      <c r="H479" s="15"/>
      <c r="I479" s="15"/>
      <c r="J479" s="15"/>
      <c r="K479" s="15"/>
    </row>
    <row r="480" spans="1:11">
      <c r="A480" s="15"/>
      <c r="B480" s="15"/>
      <c r="C480" s="15"/>
      <c r="D480" s="15"/>
      <c r="E480" s="15"/>
      <c r="F480" s="15"/>
      <c r="G480" s="15"/>
      <c r="H480" s="15"/>
      <c r="I480" s="15"/>
      <c r="J480" s="15"/>
      <c r="K480" s="15"/>
    </row>
    <row r="481" spans="1:11">
      <c r="A481" s="15"/>
      <c r="B481" s="15"/>
      <c r="C481" s="15"/>
      <c r="D481" s="15"/>
      <c r="E481" s="15"/>
      <c r="F481" s="15"/>
      <c r="G481" s="15"/>
      <c r="H481" s="15"/>
      <c r="I481" s="15"/>
      <c r="J481" s="15"/>
      <c r="K481" s="15"/>
    </row>
    <row r="482" spans="1:11">
      <c r="A482" s="15"/>
      <c r="B482" s="15"/>
      <c r="C482" s="15"/>
      <c r="D482" s="15"/>
      <c r="E482" s="15"/>
      <c r="F482" s="15"/>
      <c r="G482" s="15"/>
      <c r="H482" s="15"/>
      <c r="I482" s="15"/>
      <c r="J482" s="15"/>
      <c r="K482" s="15"/>
    </row>
    <row r="483" spans="1:11">
      <c r="A483" s="15"/>
      <c r="B483" s="15"/>
      <c r="C483" s="15"/>
      <c r="D483" s="15"/>
      <c r="E483" s="15"/>
      <c r="F483" s="15"/>
      <c r="G483" s="15"/>
      <c r="H483" s="15"/>
      <c r="I483" s="15"/>
      <c r="J483" s="15"/>
      <c r="K483" s="15"/>
    </row>
    <row r="484" spans="1:11">
      <c r="A484" s="15"/>
      <c r="B484" s="15"/>
      <c r="C484" s="15"/>
      <c r="D484" s="15"/>
      <c r="E484" s="15"/>
      <c r="F484" s="15"/>
      <c r="G484" s="15"/>
      <c r="H484" s="15"/>
      <c r="I484" s="15"/>
      <c r="J484" s="15"/>
      <c r="K484" s="15"/>
    </row>
    <row r="485" spans="1:11">
      <c r="A485" s="15"/>
      <c r="B485" s="15"/>
      <c r="C485" s="15"/>
      <c r="D485" s="15"/>
      <c r="E485" s="15"/>
      <c r="F485" s="15"/>
      <c r="G485" s="15"/>
      <c r="H485" s="15"/>
      <c r="I485" s="15"/>
      <c r="J485" s="15"/>
      <c r="K485" s="15"/>
    </row>
    <row r="486" spans="1:11">
      <c r="A486" s="15"/>
      <c r="B486" s="15"/>
      <c r="C486" s="15"/>
      <c r="D486" s="15"/>
      <c r="E486" s="15"/>
      <c r="F486" s="15"/>
      <c r="G486" s="15"/>
      <c r="H486" s="15"/>
      <c r="I486" s="15"/>
      <c r="J486" s="15"/>
      <c r="K486" s="15"/>
    </row>
    <row r="487" spans="1:11">
      <c r="A487" s="15"/>
      <c r="B487" s="15"/>
      <c r="C487" s="15"/>
      <c r="D487" s="15"/>
      <c r="E487" s="15"/>
      <c r="F487" s="15"/>
      <c r="G487" s="15"/>
      <c r="H487" s="15"/>
      <c r="I487" s="15"/>
      <c r="J487" s="15"/>
      <c r="K487" s="15"/>
    </row>
    <row r="488" spans="1:11">
      <c r="A488" s="15"/>
      <c r="B488" s="15"/>
      <c r="C488" s="15"/>
      <c r="D488" s="15"/>
      <c r="E488" s="15"/>
      <c r="F488" s="15"/>
      <c r="G488" s="15"/>
      <c r="H488" s="15"/>
      <c r="I488" s="15"/>
      <c r="J488" s="15"/>
      <c r="K488" s="15"/>
    </row>
    <row r="489" spans="1:11">
      <c r="A489" s="15"/>
      <c r="B489" s="15"/>
      <c r="C489" s="15"/>
      <c r="D489" s="15"/>
      <c r="E489" s="15"/>
      <c r="F489" s="15"/>
      <c r="G489" s="15"/>
      <c r="H489" s="15"/>
      <c r="I489" s="15"/>
      <c r="J489" s="15"/>
      <c r="K489" s="15"/>
    </row>
    <row r="490" spans="1:11">
      <c r="A490" s="15"/>
      <c r="B490" s="15"/>
      <c r="C490" s="15"/>
      <c r="D490" s="15"/>
      <c r="E490" s="15"/>
      <c r="F490" s="15"/>
      <c r="G490" s="15"/>
      <c r="H490" s="15"/>
      <c r="I490" s="15"/>
      <c r="J490" s="15"/>
      <c r="K490" s="15"/>
    </row>
    <row r="491" spans="1:11">
      <c r="A491" s="15"/>
      <c r="B491" s="15"/>
      <c r="C491" s="15"/>
      <c r="D491" s="15"/>
      <c r="E491" s="15"/>
      <c r="F491" s="15"/>
      <c r="G491" s="15"/>
      <c r="H491" s="15"/>
      <c r="I491" s="15"/>
      <c r="J491" s="15"/>
      <c r="K491" s="15"/>
    </row>
    <row r="492" spans="1:11">
      <c r="A492" s="15"/>
      <c r="B492" s="15"/>
      <c r="C492" s="15"/>
      <c r="D492" s="15"/>
      <c r="E492" s="15"/>
      <c r="F492" s="15"/>
      <c r="G492" s="15"/>
      <c r="H492" s="15"/>
      <c r="I492" s="15"/>
      <c r="J492" s="15"/>
      <c r="K492" s="15"/>
    </row>
    <row r="493" spans="1:11">
      <c r="A493" s="15"/>
      <c r="B493" s="15"/>
      <c r="C493" s="15"/>
      <c r="D493" s="15"/>
      <c r="E493" s="15"/>
      <c r="F493" s="15"/>
      <c r="G493" s="15"/>
      <c r="H493" s="15"/>
      <c r="I493" s="15"/>
      <c r="J493" s="15"/>
      <c r="K493" s="15"/>
    </row>
    <row r="494" spans="1:11">
      <c r="A494" s="15"/>
      <c r="B494" s="15"/>
      <c r="C494" s="15"/>
      <c r="D494" s="15"/>
      <c r="E494" s="15"/>
      <c r="F494" s="15"/>
      <c r="G494" s="15"/>
      <c r="H494" s="15"/>
      <c r="I494" s="15"/>
      <c r="J494" s="15"/>
      <c r="K494" s="15"/>
    </row>
    <row r="495" spans="1:11">
      <c r="A495" s="15"/>
      <c r="B495" s="15"/>
      <c r="C495" s="15"/>
      <c r="D495" s="15"/>
      <c r="E495" s="15"/>
      <c r="F495" s="15"/>
      <c r="G495" s="15"/>
      <c r="H495" s="15"/>
      <c r="I495" s="15"/>
      <c r="J495" s="15"/>
      <c r="K495" s="15"/>
    </row>
    <row r="496" spans="1:11">
      <c r="A496" s="15"/>
      <c r="B496" s="15"/>
      <c r="C496" s="15"/>
      <c r="D496" s="15"/>
      <c r="E496" s="15"/>
      <c r="F496" s="15"/>
      <c r="G496" s="15"/>
      <c r="H496" s="15"/>
      <c r="I496" s="15"/>
      <c r="J496" s="15"/>
      <c r="K496" s="15"/>
    </row>
    <row r="497" spans="1:11">
      <c r="A497" s="15"/>
      <c r="B497" s="15"/>
      <c r="C497" s="15"/>
      <c r="D497" s="15"/>
      <c r="E497" s="15"/>
      <c r="F497" s="15"/>
      <c r="G497" s="15"/>
      <c r="H497" s="15"/>
      <c r="I497" s="15"/>
      <c r="J497" s="15"/>
      <c r="K497" s="15"/>
    </row>
    <row r="498" spans="1:11">
      <c r="A498" s="15"/>
      <c r="B498" s="15"/>
      <c r="C498" s="15"/>
      <c r="D498" s="15"/>
      <c r="E498" s="15"/>
      <c r="F498" s="15"/>
      <c r="G498" s="15"/>
      <c r="H498" s="15"/>
      <c r="I498" s="15"/>
      <c r="J498" s="15"/>
      <c r="K498" s="15"/>
    </row>
    <row r="499" spans="1:11">
      <c r="A499" s="15"/>
      <c r="B499" s="15"/>
      <c r="C499" s="15"/>
      <c r="D499" s="15"/>
      <c r="E499" s="15"/>
      <c r="F499" s="15"/>
      <c r="G499" s="15"/>
      <c r="H499" s="15"/>
      <c r="I499" s="15"/>
      <c r="J499" s="15"/>
      <c r="K499" s="15"/>
    </row>
    <row r="500" spans="1:11">
      <c r="A500" s="15"/>
      <c r="B500" s="15"/>
      <c r="C500" s="15"/>
      <c r="D500" s="15"/>
      <c r="E500" s="15"/>
      <c r="F500" s="15"/>
      <c r="G500" s="15"/>
      <c r="H500" s="15"/>
      <c r="I500" s="15"/>
      <c r="J500" s="15"/>
      <c r="K500" s="15"/>
    </row>
    <row r="501" spans="1:11">
      <c r="A501" s="15"/>
      <c r="B501" s="15"/>
      <c r="C501" s="15"/>
      <c r="D501" s="15"/>
      <c r="E501" s="15"/>
      <c r="F501" s="15"/>
      <c r="G501" s="15"/>
      <c r="H501" s="15"/>
      <c r="I501" s="15"/>
      <c r="J501" s="15"/>
      <c r="K501" s="15"/>
    </row>
    <row r="502" spans="1:11">
      <c r="A502" s="15"/>
      <c r="B502" s="15"/>
      <c r="C502" s="15"/>
      <c r="D502" s="15"/>
      <c r="E502" s="15"/>
      <c r="F502" s="15"/>
      <c r="G502" s="15"/>
      <c r="H502" s="15"/>
      <c r="I502" s="15"/>
      <c r="J502" s="15"/>
      <c r="K502" s="15"/>
    </row>
    <row r="503" spans="1:11">
      <c r="A503" s="15"/>
      <c r="B503" s="15"/>
      <c r="C503" s="15"/>
      <c r="D503" s="15"/>
      <c r="E503" s="15"/>
      <c r="F503" s="15"/>
      <c r="G503" s="15"/>
      <c r="H503" s="15"/>
      <c r="I503" s="15"/>
      <c r="J503" s="15"/>
      <c r="K503" s="15"/>
    </row>
    <row r="504" spans="1:11">
      <c r="A504" s="15"/>
      <c r="B504" s="15"/>
      <c r="C504" s="15"/>
      <c r="D504" s="15"/>
      <c r="E504" s="15"/>
      <c r="F504" s="15"/>
      <c r="G504" s="15"/>
      <c r="H504" s="15"/>
      <c r="I504" s="15"/>
      <c r="J504" s="15"/>
      <c r="K504" s="15"/>
    </row>
    <row r="505" spans="1:11">
      <c r="A505" s="15"/>
      <c r="B505" s="15"/>
      <c r="C505" s="15"/>
      <c r="D505" s="15"/>
      <c r="E505" s="15"/>
      <c r="F505" s="15"/>
      <c r="G505" s="15"/>
      <c r="H505" s="15"/>
      <c r="I505" s="15"/>
      <c r="J505" s="15"/>
      <c r="K505" s="15"/>
    </row>
    <row r="506" spans="1:11">
      <c r="A506" s="15"/>
      <c r="B506" s="15"/>
      <c r="C506" s="15"/>
      <c r="D506" s="15"/>
      <c r="E506" s="15"/>
      <c r="F506" s="15"/>
      <c r="G506" s="15"/>
      <c r="H506" s="15"/>
      <c r="I506" s="15"/>
      <c r="J506" s="15"/>
      <c r="K506" s="15"/>
    </row>
    <row r="507" spans="1:11">
      <c r="A507" s="15"/>
      <c r="B507" s="15"/>
      <c r="C507" s="15"/>
      <c r="D507" s="15"/>
      <c r="E507" s="15"/>
      <c r="F507" s="15"/>
      <c r="G507" s="15"/>
      <c r="H507" s="15"/>
      <c r="I507" s="15"/>
      <c r="J507" s="15"/>
      <c r="K507" s="15"/>
    </row>
    <row r="508" spans="1:11">
      <c r="A508" s="15"/>
      <c r="B508" s="15"/>
      <c r="C508" s="15"/>
      <c r="D508" s="15"/>
      <c r="E508" s="15"/>
      <c r="F508" s="15"/>
      <c r="G508" s="15"/>
      <c r="H508" s="15"/>
      <c r="I508" s="15"/>
      <c r="J508" s="15"/>
      <c r="K508" s="15"/>
    </row>
    <row r="509" spans="1:11">
      <c r="A509" s="15"/>
      <c r="B509" s="15"/>
      <c r="C509" s="15"/>
      <c r="D509" s="15"/>
      <c r="E509" s="15"/>
      <c r="F509" s="15"/>
      <c r="G509" s="15"/>
      <c r="H509" s="15"/>
      <c r="I509" s="15"/>
      <c r="J509" s="15"/>
      <c r="K509" s="15"/>
    </row>
    <row r="510" spans="1:11">
      <c r="A510" s="15"/>
      <c r="B510" s="15"/>
      <c r="C510" s="15"/>
      <c r="D510" s="15"/>
      <c r="E510" s="15"/>
      <c r="F510" s="15"/>
      <c r="G510" s="15"/>
      <c r="H510" s="15"/>
      <c r="I510" s="15"/>
      <c r="J510" s="15"/>
      <c r="K510" s="15"/>
    </row>
    <row r="511" spans="1:11">
      <c r="A511" s="15"/>
      <c r="B511" s="15"/>
      <c r="C511" s="15"/>
      <c r="D511" s="15"/>
      <c r="E511" s="15"/>
      <c r="F511" s="15"/>
      <c r="G511" s="15"/>
      <c r="H511" s="15"/>
      <c r="I511" s="15"/>
      <c r="J511" s="15"/>
      <c r="K511" s="15"/>
    </row>
    <row r="512" spans="1:11">
      <c r="A512" s="15"/>
      <c r="B512" s="15"/>
      <c r="C512" s="15"/>
      <c r="D512" s="15"/>
      <c r="E512" s="15"/>
      <c r="F512" s="15"/>
      <c r="G512" s="15"/>
      <c r="H512" s="15"/>
      <c r="I512" s="15"/>
      <c r="J512" s="15"/>
      <c r="K512" s="15"/>
    </row>
    <row r="513" spans="1:11">
      <c r="A513" s="15"/>
      <c r="B513" s="15"/>
      <c r="C513" s="15"/>
      <c r="D513" s="15"/>
      <c r="E513" s="15"/>
      <c r="F513" s="15"/>
      <c r="G513" s="15"/>
      <c r="H513" s="15"/>
      <c r="I513" s="15"/>
      <c r="J513" s="15"/>
      <c r="K513" s="15"/>
    </row>
    <row r="514" spans="1:11">
      <c r="A514" s="15"/>
      <c r="B514" s="15"/>
      <c r="C514" s="15"/>
      <c r="D514" s="15"/>
      <c r="E514" s="15"/>
      <c r="F514" s="15"/>
      <c r="G514" s="15"/>
      <c r="H514" s="15"/>
      <c r="I514" s="15"/>
      <c r="J514" s="15"/>
      <c r="K514" s="15"/>
    </row>
    <row r="515" spans="1:11">
      <c r="A515" s="15"/>
      <c r="B515" s="15"/>
      <c r="C515" s="15"/>
      <c r="D515" s="15"/>
      <c r="E515" s="15"/>
      <c r="F515" s="15"/>
      <c r="G515" s="15"/>
      <c r="H515" s="15"/>
      <c r="I515" s="15"/>
      <c r="J515" s="15"/>
      <c r="K515" s="15"/>
    </row>
    <row r="516" spans="1:11">
      <c r="A516" s="15"/>
      <c r="B516" s="15"/>
      <c r="C516" s="15"/>
      <c r="D516" s="15"/>
      <c r="E516" s="15"/>
      <c r="F516" s="15"/>
      <c r="G516" s="15"/>
      <c r="H516" s="15"/>
      <c r="I516" s="15"/>
      <c r="J516" s="15"/>
      <c r="K516" s="15"/>
    </row>
    <row r="517" spans="1:11">
      <c r="A517" s="15"/>
      <c r="B517" s="15"/>
      <c r="C517" s="15"/>
      <c r="D517" s="15"/>
      <c r="E517" s="15"/>
      <c r="F517" s="15"/>
      <c r="G517" s="15"/>
      <c r="H517" s="15"/>
      <c r="I517" s="15"/>
      <c r="J517" s="15"/>
      <c r="K517" s="15"/>
    </row>
    <row r="518" spans="1:11">
      <c r="A518" s="15"/>
      <c r="B518" s="15"/>
      <c r="C518" s="15"/>
      <c r="D518" s="15"/>
      <c r="E518" s="15"/>
      <c r="F518" s="15"/>
      <c r="G518" s="15"/>
      <c r="H518" s="15"/>
      <c r="I518" s="15"/>
      <c r="J518" s="15"/>
      <c r="K518" s="15"/>
    </row>
    <row r="519" spans="1:11">
      <c r="A519" s="15"/>
      <c r="B519" s="15"/>
      <c r="C519" s="15"/>
      <c r="D519" s="15"/>
      <c r="E519" s="15"/>
      <c r="F519" s="15"/>
      <c r="G519" s="15"/>
      <c r="H519" s="15"/>
      <c r="I519" s="15"/>
      <c r="J519" s="15"/>
      <c r="K519" s="15"/>
    </row>
    <row r="520" spans="1:11">
      <c r="A520" s="15"/>
      <c r="B520" s="15"/>
      <c r="C520" s="15"/>
      <c r="D520" s="15"/>
      <c r="E520" s="15"/>
      <c r="F520" s="15"/>
      <c r="G520" s="15"/>
      <c r="H520" s="15"/>
      <c r="I520" s="15"/>
      <c r="J520" s="15"/>
      <c r="K520" s="15"/>
    </row>
    <row r="521" spans="1:11">
      <c r="A521" s="15"/>
      <c r="B521" s="15"/>
      <c r="C521" s="15"/>
      <c r="D521" s="15"/>
      <c r="E521" s="15"/>
      <c r="F521" s="15"/>
      <c r="G521" s="15"/>
      <c r="H521" s="15"/>
      <c r="I521" s="15"/>
      <c r="J521" s="15"/>
      <c r="K521" s="15"/>
    </row>
    <row r="522" spans="1:11">
      <c r="A522" s="15"/>
      <c r="B522" s="15"/>
      <c r="C522" s="15"/>
      <c r="D522" s="15"/>
      <c r="E522" s="15"/>
      <c r="F522" s="15"/>
      <c r="G522" s="15"/>
      <c r="H522" s="15"/>
      <c r="I522" s="15"/>
      <c r="J522" s="15"/>
      <c r="K522" s="15"/>
    </row>
    <row r="523" spans="1:11">
      <c r="A523" s="15"/>
      <c r="B523" s="15"/>
      <c r="C523" s="15"/>
      <c r="D523" s="15"/>
      <c r="E523" s="15"/>
      <c r="F523" s="15"/>
      <c r="G523" s="15"/>
      <c r="H523" s="15"/>
      <c r="I523" s="15"/>
      <c r="J523" s="15"/>
      <c r="K523" s="15"/>
    </row>
    <row r="524" spans="1:11">
      <c r="A524" s="15"/>
      <c r="B524" s="15"/>
      <c r="C524" s="15"/>
      <c r="D524" s="15"/>
      <c r="E524" s="15"/>
      <c r="F524" s="15"/>
      <c r="G524" s="15"/>
      <c r="H524" s="15"/>
      <c r="I524" s="15"/>
      <c r="J524" s="15"/>
      <c r="K524" s="15"/>
    </row>
    <row r="525" spans="1:11">
      <c r="A525" s="15"/>
      <c r="B525" s="15"/>
      <c r="C525" s="15"/>
      <c r="D525" s="15"/>
      <c r="E525" s="15"/>
      <c r="F525" s="15"/>
      <c r="G525" s="15"/>
      <c r="H525" s="15"/>
      <c r="I525" s="15"/>
      <c r="J525" s="15"/>
      <c r="K525" s="15"/>
    </row>
    <row r="526" spans="1:11">
      <c r="A526" s="15"/>
      <c r="B526" s="15"/>
      <c r="C526" s="15"/>
      <c r="D526" s="15"/>
      <c r="E526" s="15"/>
      <c r="F526" s="15"/>
      <c r="G526" s="15"/>
      <c r="H526" s="15"/>
      <c r="I526" s="15"/>
      <c r="J526" s="15"/>
      <c r="K526" s="15"/>
    </row>
    <row r="527" spans="1:11">
      <c r="A527" s="15"/>
      <c r="B527" s="15"/>
      <c r="C527" s="15"/>
      <c r="D527" s="15"/>
      <c r="E527" s="15"/>
      <c r="F527" s="15"/>
      <c r="G527" s="15"/>
      <c r="H527" s="15"/>
      <c r="I527" s="15"/>
      <c r="J527" s="15"/>
      <c r="K527" s="15"/>
    </row>
    <row r="528" spans="1:11">
      <c r="A528" s="15"/>
      <c r="B528" s="15"/>
      <c r="C528" s="15"/>
      <c r="D528" s="15"/>
      <c r="E528" s="15"/>
      <c r="F528" s="15"/>
      <c r="G528" s="15"/>
      <c r="H528" s="15"/>
      <c r="I528" s="15"/>
      <c r="J528" s="15"/>
      <c r="K528" s="15"/>
    </row>
    <row r="529" spans="1:11">
      <c r="A529" s="15"/>
      <c r="B529" s="15"/>
      <c r="C529" s="15"/>
      <c r="D529" s="15"/>
      <c r="E529" s="15"/>
      <c r="F529" s="15"/>
      <c r="G529" s="15"/>
      <c r="H529" s="15"/>
      <c r="I529" s="15"/>
      <c r="J529" s="15"/>
      <c r="K529" s="15"/>
    </row>
    <row r="530" spans="1:11">
      <c r="A530" s="15"/>
      <c r="B530" s="15"/>
      <c r="C530" s="15"/>
      <c r="D530" s="15"/>
      <c r="E530" s="15"/>
      <c r="F530" s="15"/>
      <c r="G530" s="15"/>
      <c r="H530" s="15"/>
      <c r="I530" s="15"/>
      <c r="J530" s="15"/>
      <c r="K530" s="15"/>
    </row>
    <row r="531" spans="1:11">
      <c r="A531" s="15"/>
      <c r="B531" s="15"/>
      <c r="C531" s="15"/>
      <c r="D531" s="15"/>
      <c r="E531" s="15"/>
      <c r="F531" s="15"/>
      <c r="G531" s="15"/>
      <c r="H531" s="15"/>
      <c r="I531" s="15"/>
      <c r="J531" s="15"/>
      <c r="K531" s="15"/>
    </row>
    <row r="532" spans="1:11">
      <c r="A532" s="15"/>
      <c r="B532" s="15"/>
      <c r="C532" s="15"/>
      <c r="D532" s="15"/>
      <c r="E532" s="15"/>
      <c r="F532" s="15"/>
      <c r="G532" s="15"/>
      <c r="H532" s="15"/>
      <c r="I532" s="15"/>
      <c r="J532" s="15"/>
      <c r="K532" s="15"/>
    </row>
    <row r="533" spans="1:11">
      <c r="A533" s="15"/>
      <c r="B533" s="15"/>
      <c r="C533" s="15"/>
      <c r="D533" s="15"/>
      <c r="E533" s="15"/>
      <c r="F533" s="15"/>
      <c r="G533" s="15"/>
      <c r="H533" s="15"/>
      <c r="I533" s="15"/>
      <c r="J533" s="15"/>
      <c r="K533" s="15"/>
    </row>
    <row r="534" spans="1:11">
      <c r="A534" s="15"/>
      <c r="B534" s="15"/>
      <c r="C534" s="15"/>
      <c r="D534" s="15"/>
      <c r="E534" s="15"/>
      <c r="F534" s="15"/>
      <c r="G534" s="15"/>
      <c r="H534" s="15"/>
      <c r="I534" s="15"/>
      <c r="J534" s="15"/>
      <c r="K534" s="15"/>
    </row>
    <row r="535" spans="1:11">
      <c r="A535" s="15"/>
      <c r="B535" s="15"/>
      <c r="C535" s="15"/>
      <c r="D535" s="15"/>
      <c r="E535" s="15"/>
      <c r="F535" s="15"/>
      <c r="G535" s="15"/>
      <c r="H535" s="15"/>
      <c r="I535" s="15"/>
      <c r="J535" s="15"/>
      <c r="K535" s="15"/>
    </row>
    <row r="536" spans="1:11">
      <c r="A536" s="15"/>
      <c r="B536" s="15"/>
      <c r="C536" s="15"/>
      <c r="D536" s="15"/>
      <c r="E536" s="15"/>
      <c r="F536" s="15"/>
      <c r="G536" s="15"/>
      <c r="H536" s="15"/>
      <c r="I536" s="15"/>
      <c r="J536" s="15"/>
      <c r="K536" s="15"/>
    </row>
    <row r="537" spans="1:11">
      <c r="A537" s="15"/>
      <c r="B537" s="15"/>
      <c r="C537" s="15"/>
      <c r="D537" s="15"/>
      <c r="E537" s="15"/>
      <c r="F537" s="15"/>
      <c r="G537" s="15"/>
      <c r="H537" s="15"/>
      <c r="I537" s="15"/>
      <c r="J537" s="15"/>
      <c r="K537" s="15"/>
    </row>
    <row r="538" spans="1:11">
      <c r="A538" s="15"/>
      <c r="B538" s="15"/>
      <c r="C538" s="15"/>
      <c r="D538" s="15"/>
      <c r="E538" s="15"/>
      <c r="F538" s="15"/>
      <c r="G538" s="15"/>
      <c r="H538" s="15"/>
      <c r="I538" s="15"/>
      <c r="J538" s="15"/>
      <c r="K538" s="15"/>
    </row>
    <row r="539" spans="1:11">
      <c r="A539" s="15"/>
      <c r="B539" s="15"/>
      <c r="C539" s="15"/>
      <c r="D539" s="15"/>
      <c r="E539" s="15"/>
      <c r="F539" s="15"/>
      <c r="G539" s="15"/>
      <c r="H539" s="15"/>
      <c r="I539" s="15"/>
      <c r="J539" s="15"/>
      <c r="K539" s="15"/>
    </row>
    <row r="540" spans="1:11">
      <c r="A540" s="15"/>
      <c r="B540" s="15"/>
      <c r="C540" s="15"/>
      <c r="D540" s="15"/>
      <c r="E540" s="15"/>
      <c r="F540" s="15"/>
      <c r="G540" s="15"/>
      <c r="H540" s="15"/>
      <c r="I540" s="15"/>
      <c r="J540" s="15"/>
      <c r="K540" s="15"/>
    </row>
    <row r="541" spans="1:11">
      <c r="A541" s="15"/>
      <c r="B541" s="15"/>
      <c r="C541" s="15"/>
      <c r="D541" s="15"/>
      <c r="E541" s="15"/>
      <c r="F541" s="15"/>
      <c r="G541" s="15"/>
      <c r="H541" s="15"/>
      <c r="I541" s="15"/>
      <c r="J541" s="15"/>
      <c r="K541" s="15"/>
    </row>
    <row r="542" spans="1:11">
      <c r="A542" s="15"/>
      <c r="B542" s="15"/>
      <c r="C542" s="15"/>
      <c r="D542" s="15"/>
      <c r="E542" s="15"/>
      <c r="F542" s="15"/>
      <c r="G542" s="15"/>
      <c r="H542" s="15"/>
      <c r="I542" s="15"/>
      <c r="J542" s="15"/>
      <c r="K542" s="15"/>
    </row>
    <row r="543" spans="1:11">
      <c r="A543" s="15"/>
      <c r="B543" s="15"/>
      <c r="C543" s="15"/>
      <c r="D543" s="15"/>
      <c r="E543" s="15"/>
      <c r="F543" s="15"/>
      <c r="G543" s="15"/>
      <c r="H543" s="15"/>
      <c r="I543" s="15"/>
      <c r="J543" s="15"/>
      <c r="K543" s="15"/>
    </row>
    <row r="544" spans="1:11">
      <c r="A544" s="15"/>
      <c r="B544" s="15"/>
      <c r="C544" s="15"/>
      <c r="D544" s="15"/>
      <c r="E544" s="15"/>
      <c r="F544" s="15"/>
      <c r="G544" s="15"/>
      <c r="H544" s="15"/>
      <c r="I544" s="15"/>
      <c r="J544" s="15"/>
      <c r="K544" s="15"/>
    </row>
    <row r="545" spans="1:11">
      <c r="A545" s="15"/>
      <c r="B545" s="15"/>
      <c r="C545" s="15"/>
      <c r="D545" s="15"/>
      <c r="E545" s="15"/>
      <c r="F545" s="15"/>
      <c r="G545" s="15"/>
      <c r="H545" s="15"/>
      <c r="I545" s="15"/>
      <c r="J545" s="15"/>
      <c r="K545" s="15"/>
    </row>
    <row r="546" spans="1:11">
      <c r="A546" s="15"/>
      <c r="B546" s="15"/>
      <c r="C546" s="15"/>
      <c r="D546" s="15"/>
      <c r="E546" s="15"/>
      <c r="F546" s="15"/>
      <c r="G546" s="15"/>
      <c r="H546" s="15"/>
      <c r="I546" s="15"/>
      <c r="J546" s="15"/>
      <c r="K546" s="15"/>
    </row>
    <row r="547" spans="1:11">
      <c r="A547" s="15"/>
      <c r="B547" s="15"/>
      <c r="C547" s="15"/>
      <c r="D547" s="15"/>
      <c r="E547" s="15"/>
      <c r="F547" s="15"/>
      <c r="G547" s="15"/>
      <c r="H547" s="15"/>
      <c r="I547" s="15"/>
      <c r="J547" s="15"/>
      <c r="K547" s="15"/>
    </row>
    <row r="548" spans="1:11">
      <c r="A548" s="15"/>
      <c r="B548" s="15"/>
      <c r="C548" s="15"/>
      <c r="D548" s="15"/>
      <c r="E548" s="15"/>
      <c r="F548" s="15"/>
      <c r="G548" s="15"/>
      <c r="H548" s="15"/>
      <c r="I548" s="15"/>
      <c r="J548" s="15"/>
      <c r="K548" s="15"/>
    </row>
    <row r="549" spans="1:11">
      <c r="A549" s="15"/>
      <c r="B549" s="15"/>
      <c r="C549" s="15"/>
      <c r="D549" s="15"/>
      <c r="E549" s="15"/>
      <c r="F549" s="15"/>
      <c r="G549" s="15"/>
      <c r="H549" s="15"/>
      <c r="I549" s="15"/>
      <c r="J549" s="15"/>
      <c r="K549" s="15"/>
    </row>
    <row r="550" spans="1:11">
      <c r="A550" s="15"/>
      <c r="B550" s="15"/>
      <c r="C550" s="15"/>
      <c r="D550" s="15"/>
      <c r="E550" s="15"/>
      <c r="F550" s="15"/>
      <c r="G550" s="15"/>
      <c r="H550" s="15"/>
      <c r="I550" s="15"/>
      <c r="J550" s="15"/>
      <c r="K550" s="15"/>
    </row>
    <row r="551" spans="1:11">
      <c r="A551" s="15"/>
      <c r="B551" s="15"/>
      <c r="C551" s="15"/>
      <c r="D551" s="15"/>
      <c r="E551" s="15"/>
      <c r="F551" s="15"/>
      <c r="G551" s="15"/>
      <c r="H551" s="15"/>
      <c r="I551" s="15"/>
      <c r="J551" s="15"/>
      <c r="K551" s="15"/>
    </row>
    <row r="552" spans="1:11">
      <c r="A552" s="15"/>
      <c r="B552" s="15"/>
      <c r="C552" s="15"/>
      <c r="D552" s="15"/>
      <c r="E552" s="15"/>
      <c r="F552" s="15"/>
      <c r="G552" s="15"/>
      <c r="H552" s="15"/>
      <c r="I552" s="15"/>
      <c r="J552" s="15"/>
      <c r="K552" s="15"/>
    </row>
    <row r="553" spans="1:11">
      <c r="A553" s="15"/>
      <c r="B553" s="15"/>
      <c r="C553" s="15"/>
      <c r="D553" s="15"/>
      <c r="E553" s="15"/>
      <c r="F553" s="15"/>
      <c r="G553" s="15"/>
      <c r="H553" s="15"/>
      <c r="I553" s="15"/>
      <c r="J553" s="15"/>
      <c r="K553" s="15"/>
    </row>
    <row r="554" spans="1:11">
      <c r="A554" s="15"/>
      <c r="B554" s="15"/>
      <c r="C554" s="15"/>
      <c r="D554" s="15"/>
      <c r="E554" s="15"/>
      <c r="F554" s="15"/>
      <c r="G554" s="15"/>
      <c r="H554" s="15"/>
      <c r="I554" s="15"/>
      <c r="J554" s="15"/>
      <c r="K554" s="15"/>
    </row>
    <row r="555" spans="1:11">
      <c r="A555" s="15"/>
      <c r="B555" s="15"/>
      <c r="C555" s="15"/>
      <c r="D555" s="15"/>
      <c r="E555" s="15"/>
      <c r="F555" s="15"/>
      <c r="G555" s="15"/>
      <c r="H555" s="15"/>
      <c r="I555" s="15"/>
      <c r="J555" s="15"/>
      <c r="K555" s="15"/>
    </row>
    <row r="556" spans="1:11">
      <c r="A556" s="15"/>
      <c r="B556" s="15"/>
      <c r="C556" s="15"/>
      <c r="D556" s="15"/>
      <c r="E556" s="15"/>
      <c r="F556" s="15"/>
      <c r="G556" s="15"/>
      <c r="H556" s="15"/>
      <c r="I556" s="15"/>
      <c r="J556" s="15"/>
      <c r="K556" s="15"/>
    </row>
    <row r="557" spans="1:11">
      <c r="A557" s="15"/>
      <c r="B557" s="15"/>
      <c r="C557" s="15"/>
      <c r="D557" s="15"/>
      <c r="E557" s="15"/>
      <c r="F557" s="15"/>
      <c r="G557" s="15"/>
      <c r="H557" s="15"/>
      <c r="I557" s="15"/>
      <c r="J557" s="15"/>
      <c r="K557" s="15"/>
    </row>
    <row r="558" spans="1:11">
      <c r="A558" s="15"/>
      <c r="B558" s="15"/>
      <c r="C558" s="15"/>
      <c r="D558" s="15"/>
      <c r="E558" s="15"/>
      <c r="F558" s="15"/>
      <c r="G558" s="15"/>
      <c r="H558" s="15"/>
      <c r="I558" s="15"/>
      <c r="J558" s="15"/>
      <c r="K558" s="15"/>
    </row>
    <row r="559" spans="1:11">
      <c r="A559" s="15"/>
      <c r="B559" s="15"/>
      <c r="C559" s="15"/>
      <c r="D559" s="15"/>
      <c r="E559" s="15"/>
      <c r="F559" s="15"/>
      <c r="G559" s="15"/>
      <c r="H559" s="15"/>
      <c r="I559" s="15"/>
      <c r="J559" s="15"/>
      <c r="K559" s="15"/>
    </row>
    <row r="560" spans="1:11">
      <c r="A560" s="15"/>
      <c r="B560" s="15"/>
      <c r="C560" s="15"/>
      <c r="D560" s="15"/>
      <c r="E560" s="15"/>
      <c r="F560" s="15"/>
      <c r="G560" s="15"/>
      <c r="H560" s="15"/>
      <c r="I560" s="15"/>
      <c r="J560" s="15"/>
      <c r="K560" s="15"/>
    </row>
    <row r="561" spans="1:11">
      <c r="A561" s="15"/>
      <c r="B561" s="15"/>
      <c r="C561" s="15"/>
      <c r="D561" s="15"/>
      <c r="E561" s="15"/>
      <c r="F561" s="15"/>
      <c r="G561" s="15"/>
      <c r="H561" s="15"/>
      <c r="I561" s="15"/>
      <c r="J561" s="15"/>
      <c r="K561" s="15"/>
    </row>
    <row r="562" spans="1:11">
      <c r="A562" s="15"/>
      <c r="B562" s="15"/>
      <c r="C562" s="15"/>
      <c r="D562" s="15"/>
      <c r="E562" s="15"/>
      <c r="F562" s="15"/>
      <c r="G562" s="15"/>
      <c r="H562" s="15"/>
      <c r="I562" s="15"/>
      <c r="J562" s="15"/>
      <c r="K562" s="15"/>
    </row>
    <row r="563" spans="1:11">
      <c r="A563" s="15"/>
      <c r="B563" s="15"/>
      <c r="C563" s="15"/>
      <c r="D563" s="15"/>
      <c r="E563" s="15"/>
      <c r="F563" s="15"/>
      <c r="G563" s="15"/>
      <c r="H563" s="15"/>
      <c r="I563" s="15"/>
      <c r="J563" s="15"/>
      <c r="K563" s="15"/>
    </row>
    <row r="564" spans="1:11">
      <c r="A564" s="15"/>
      <c r="B564" s="15"/>
      <c r="C564" s="15"/>
      <c r="D564" s="15"/>
      <c r="E564" s="15"/>
      <c r="F564" s="15"/>
      <c r="G564" s="15"/>
      <c r="H564" s="15"/>
      <c r="I564" s="15"/>
      <c r="J564" s="15"/>
      <c r="K564" s="15"/>
    </row>
    <row r="565" spans="1:11">
      <c r="A565" s="15"/>
      <c r="B565" s="15"/>
      <c r="C565" s="15"/>
      <c r="D565" s="15"/>
      <c r="E565" s="15"/>
      <c r="F565" s="15"/>
      <c r="G565" s="15"/>
      <c r="H565" s="15"/>
      <c r="I565" s="15"/>
      <c r="J565" s="15"/>
      <c r="K565" s="15"/>
    </row>
    <row r="566" spans="1:11">
      <c r="A566" s="15"/>
      <c r="B566" s="15"/>
      <c r="C566" s="15"/>
      <c r="D566" s="15"/>
      <c r="E566" s="15"/>
      <c r="F566" s="15"/>
      <c r="G566" s="15"/>
      <c r="H566" s="15"/>
      <c r="I566" s="15"/>
      <c r="J566" s="15"/>
      <c r="K566" s="15"/>
    </row>
    <row r="567" spans="1:11">
      <c r="A567" s="15"/>
      <c r="B567" s="15"/>
      <c r="C567" s="15"/>
      <c r="D567" s="15"/>
      <c r="E567" s="15"/>
      <c r="F567" s="15"/>
      <c r="G567" s="15"/>
      <c r="H567" s="15"/>
      <c r="I567" s="15"/>
      <c r="J567" s="15"/>
      <c r="K567" s="15"/>
    </row>
    <row r="568" spans="1:11">
      <c r="A568" s="15"/>
      <c r="B568" s="15"/>
      <c r="C568" s="15"/>
      <c r="D568" s="15"/>
      <c r="E568" s="15"/>
      <c r="F568" s="15"/>
      <c r="G568" s="15"/>
      <c r="H568" s="15"/>
      <c r="I568" s="15"/>
      <c r="J568" s="15"/>
      <c r="K568" s="15"/>
    </row>
    <row r="569" spans="1:11">
      <c r="A569" s="15"/>
      <c r="B569" s="15"/>
      <c r="C569" s="15"/>
      <c r="D569" s="15"/>
      <c r="E569" s="15"/>
      <c r="F569" s="15"/>
      <c r="G569" s="15"/>
      <c r="H569" s="15"/>
      <c r="I569" s="15"/>
      <c r="J569" s="15"/>
      <c r="K569" s="15"/>
    </row>
    <row r="570" spans="1:11">
      <c r="A570" s="15"/>
      <c r="B570" s="15"/>
      <c r="C570" s="15"/>
      <c r="D570" s="15"/>
      <c r="E570" s="15"/>
      <c r="F570" s="15"/>
      <c r="G570" s="15"/>
      <c r="H570" s="15"/>
      <c r="I570" s="15"/>
      <c r="J570" s="15"/>
      <c r="K570" s="15"/>
    </row>
    <row r="571" spans="1:11">
      <c r="A571" s="15"/>
      <c r="B571" s="15"/>
      <c r="C571" s="15"/>
      <c r="D571" s="15"/>
      <c r="E571" s="15"/>
      <c r="F571" s="15"/>
      <c r="G571" s="15"/>
      <c r="H571" s="15"/>
      <c r="I571" s="15"/>
      <c r="J571" s="15"/>
      <c r="K571" s="15"/>
    </row>
    <row r="572" spans="1:11">
      <c r="A572" s="15"/>
      <c r="B572" s="15"/>
      <c r="C572" s="15"/>
      <c r="D572" s="15"/>
      <c r="E572" s="15"/>
      <c r="F572" s="15"/>
      <c r="G572" s="15"/>
      <c r="H572" s="15"/>
      <c r="I572" s="15"/>
      <c r="J572" s="15"/>
      <c r="K572" s="15"/>
    </row>
    <row r="573" spans="1:11">
      <c r="A573" s="15"/>
      <c r="B573" s="15"/>
      <c r="C573" s="15"/>
      <c r="D573" s="15"/>
      <c r="E573" s="15"/>
      <c r="F573" s="15"/>
      <c r="G573" s="15"/>
      <c r="H573" s="15"/>
      <c r="I573" s="15"/>
      <c r="J573" s="15"/>
      <c r="K573" s="15"/>
    </row>
    <row r="574" spans="1:11">
      <c r="A574" s="15"/>
      <c r="B574" s="15"/>
      <c r="C574" s="15"/>
      <c r="D574" s="15"/>
      <c r="E574" s="15"/>
      <c r="F574" s="15"/>
      <c r="G574" s="15"/>
      <c r="H574" s="15"/>
      <c r="I574" s="15"/>
      <c r="J574" s="15"/>
      <c r="K574" s="15"/>
    </row>
    <row r="575" spans="1:11">
      <c r="A575" s="15"/>
      <c r="B575" s="15"/>
      <c r="C575" s="15"/>
      <c r="D575" s="15"/>
      <c r="E575" s="15"/>
      <c r="F575" s="15"/>
      <c r="G575" s="15"/>
      <c r="H575" s="15"/>
      <c r="I575" s="15"/>
      <c r="J575" s="15"/>
      <c r="K575" s="15"/>
    </row>
    <row r="576" spans="1:11">
      <c r="A576" s="15"/>
      <c r="B576" s="15"/>
      <c r="C576" s="15"/>
      <c r="D576" s="15"/>
      <c r="E576" s="15"/>
      <c r="F576" s="15"/>
      <c r="G576" s="15"/>
      <c r="H576" s="15"/>
      <c r="I576" s="15"/>
      <c r="J576" s="15"/>
      <c r="K576" s="15"/>
    </row>
    <row r="577" spans="1:11">
      <c r="A577" s="15"/>
      <c r="B577" s="15"/>
      <c r="C577" s="15"/>
      <c r="D577" s="15"/>
      <c r="E577" s="15"/>
      <c r="F577" s="15"/>
      <c r="G577" s="15"/>
      <c r="H577" s="15"/>
      <c r="I577" s="15"/>
      <c r="J577" s="15"/>
      <c r="K577" s="15"/>
    </row>
    <row r="578" spans="1:11">
      <c r="A578" s="15"/>
      <c r="B578" s="15"/>
      <c r="C578" s="15"/>
      <c r="D578" s="15"/>
      <c r="E578" s="15"/>
      <c r="F578" s="15"/>
      <c r="G578" s="15"/>
      <c r="H578" s="15"/>
      <c r="I578" s="15"/>
      <c r="J578" s="15"/>
      <c r="K578" s="15"/>
    </row>
    <row r="579" spans="1:11">
      <c r="A579" s="15"/>
      <c r="B579" s="15"/>
      <c r="C579" s="15"/>
      <c r="D579" s="15"/>
      <c r="E579" s="15"/>
      <c r="F579" s="15"/>
      <c r="G579" s="15"/>
      <c r="H579" s="15"/>
      <c r="I579" s="15"/>
      <c r="J579" s="15"/>
      <c r="K579" s="15"/>
    </row>
    <row r="580" spans="1:11">
      <c r="A580" s="15"/>
      <c r="B580" s="15"/>
      <c r="C580" s="15"/>
      <c r="D580" s="15"/>
      <c r="E580" s="15"/>
      <c r="F580" s="15"/>
      <c r="G580" s="15"/>
      <c r="H580" s="15"/>
      <c r="I580" s="15"/>
      <c r="J580" s="15"/>
      <c r="K580" s="15"/>
    </row>
    <row r="581" spans="1:11">
      <c r="A581" s="15"/>
      <c r="B581" s="15"/>
      <c r="C581" s="15"/>
      <c r="D581" s="15"/>
      <c r="E581" s="15"/>
      <c r="F581" s="15"/>
      <c r="G581" s="15"/>
      <c r="H581" s="15"/>
      <c r="I581" s="15"/>
      <c r="J581" s="15"/>
      <c r="K581" s="15"/>
    </row>
    <row r="582" spans="1:11">
      <c r="A582" s="15"/>
      <c r="B582" s="15"/>
      <c r="C582" s="15"/>
      <c r="D582" s="15"/>
      <c r="E582" s="15"/>
      <c r="F582" s="15"/>
      <c r="G582" s="15"/>
      <c r="H582" s="15"/>
      <c r="I582" s="15"/>
      <c r="J582" s="15"/>
      <c r="K582" s="15"/>
    </row>
    <row r="583" spans="1:11">
      <c r="A583" s="15"/>
      <c r="B583" s="15"/>
      <c r="C583" s="15"/>
      <c r="D583" s="15"/>
      <c r="E583" s="15"/>
      <c r="F583" s="15"/>
      <c r="G583" s="15"/>
      <c r="H583" s="15"/>
      <c r="I583" s="15"/>
      <c r="J583" s="15"/>
      <c r="K583" s="15"/>
    </row>
    <row r="584" spans="1:11">
      <c r="A584" s="15"/>
      <c r="B584" s="15"/>
      <c r="C584" s="15"/>
      <c r="D584" s="15"/>
      <c r="E584" s="15"/>
      <c r="F584" s="15"/>
      <c r="G584" s="15"/>
      <c r="H584" s="15"/>
      <c r="I584" s="15"/>
      <c r="J584" s="15"/>
      <c r="K584" s="15"/>
    </row>
    <row r="585" spans="1:11">
      <c r="A585" s="15"/>
      <c r="B585" s="15"/>
      <c r="C585" s="15"/>
      <c r="D585" s="15"/>
      <c r="E585" s="15"/>
      <c r="F585" s="15"/>
      <c r="G585" s="15"/>
      <c r="H585" s="15"/>
      <c r="I585" s="15"/>
      <c r="J585" s="15"/>
      <c r="K585" s="15"/>
    </row>
    <row r="586" spans="1:11">
      <c r="A586" s="15"/>
      <c r="B586" s="15"/>
      <c r="C586" s="15"/>
      <c r="D586" s="15"/>
      <c r="E586" s="15"/>
      <c r="F586" s="15"/>
      <c r="G586" s="15"/>
      <c r="H586" s="15"/>
      <c r="I586" s="15"/>
      <c r="J586" s="15"/>
      <c r="K586" s="15"/>
    </row>
    <row r="587" spans="1:11">
      <c r="A587" s="15"/>
      <c r="B587" s="15"/>
      <c r="C587" s="15"/>
      <c r="D587" s="15"/>
      <c r="E587" s="15"/>
      <c r="F587" s="15"/>
      <c r="G587" s="15"/>
      <c r="H587" s="15"/>
      <c r="I587" s="15"/>
      <c r="J587" s="15"/>
      <c r="K587" s="15"/>
    </row>
    <row r="588" spans="1:11">
      <c r="A588" s="15"/>
      <c r="B588" s="15"/>
      <c r="C588" s="15"/>
      <c r="D588" s="15"/>
      <c r="E588" s="15"/>
      <c r="F588" s="15"/>
      <c r="G588" s="15"/>
      <c r="H588" s="15"/>
      <c r="I588" s="15"/>
      <c r="J588" s="15"/>
      <c r="K588" s="15"/>
    </row>
    <row r="589" spans="1:11">
      <c r="A589" s="15"/>
      <c r="B589" s="15"/>
      <c r="C589" s="15"/>
      <c r="D589" s="15"/>
      <c r="E589" s="15"/>
      <c r="F589" s="15"/>
      <c r="G589" s="15"/>
      <c r="H589" s="15"/>
      <c r="I589" s="15"/>
      <c r="J589" s="15"/>
      <c r="K589" s="15"/>
    </row>
    <row r="590" spans="1:11">
      <c r="A590" s="15"/>
      <c r="B590" s="15"/>
      <c r="C590" s="15"/>
      <c r="D590" s="15"/>
      <c r="E590" s="15"/>
      <c r="F590" s="15"/>
      <c r="G590" s="15"/>
      <c r="H590" s="15"/>
      <c r="I590" s="15"/>
      <c r="J590" s="15"/>
      <c r="K590" s="15"/>
    </row>
    <row r="591" spans="1:11">
      <c r="A591" s="15"/>
      <c r="B591" s="15"/>
      <c r="C591" s="15"/>
      <c r="D591" s="15"/>
      <c r="E591" s="15"/>
      <c r="F591" s="15"/>
      <c r="G591" s="15"/>
      <c r="H591" s="15"/>
      <c r="I591" s="15"/>
      <c r="J591" s="15"/>
      <c r="K591" s="15"/>
    </row>
    <row r="592" spans="1:11">
      <c r="A592" s="15"/>
      <c r="B592" s="15"/>
      <c r="C592" s="15"/>
      <c r="D592" s="15"/>
      <c r="E592" s="15"/>
      <c r="F592" s="15"/>
      <c r="G592" s="15"/>
      <c r="H592" s="15"/>
      <c r="I592" s="15"/>
      <c r="J592" s="15"/>
      <c r="K592" s="15"/>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A0D7-677E-3844-8CE0-FFE2888DED2D}">
  <dimension ref="A2:AB59"/>
  <sheetViews>
    <sheetView topLeftCell="K1" zoomScale="64" workbookViewId="0">
      <selection activeCell="X33" sqref="X33:Y34"/>
    </sheetView>
  </sheetViews>
  <sheetFormatPr defaultColWidth="11" defaultRowHeight="15.75"/>
  <cols>
    <col min="1" max="1" width="13.625" customWidth="1"/>
    <col min="2" max="2" width="18.375" customWidth="1"/>
    <col min="3" max="3" width="19.375" customWidth="1"/>
    <col min="4" max="4" width="15.625" customWidth="1"/>
    <col min="5" max="5" width="16.5" customWidth="1"/>
    <col min="6" max="6" width="14.5" customWidth="1"/>
    <col min="7" max="7" width="25" customWidth="1"/>
    <col min="8" max="8" width="21.5" customWidth="1"/>
    <col min="9" max="9" width="25.625" customWidth="1"/>
    <col min="10" max="10" width="35.625" customWidth="1"/>
    <col min="11" max="11" width="30.875" customWidth="1"/>
    <col min="12" max="12" width="22.375" customWidth="1"/>
    <col min="14" max="14" width="18.5" customWidth="1"/>
    <col min="16" max="16" width="18.375" customWidth="1"/>
    <col min="18" max="18" width="13.125" customWidth="1"/>
    <col min="19" max="19" width="17.375" customWidth="1"/>
    <col min="20" max="20" width="16.625" customWidth="1"/>
    <col min="21" max="21" width="12.5" customWidth="1"/>
    <col min="24" max="24" width="18.875" customWidth="1"/>
    <col min="31" max="31" width="15.625" customWidth="1"/>
    <col min="33" max="33" width="13.875" customWidth="1"/>
    <col min="35" max="35" width="19.875" customWidth="1"/>
    <col min="36" max="36" width="24.875" customWidth="1"/>
    <col min="37" max="37" width="27.375" customWidth="1"/>
    <col min="38" max="38" width="22" customWidth="1"/>
    <col min="39" max="39" width="32.875" customWidth="1"/>
    <col min="40" max="40" width="28.125" customWidth="1"/>
  </cols>
  <sheetData>
    <row r="2" spans="1:28">
      <c r="A2" t="s">
        <v>378</v>
      </c>
      <c r="H2" t="s">
        <v>452</v>
      </c>
    </row>
    <row r="3" spans="1:28" ht="26.25">
      <c r="A3" s="18"/>
      <c r="B3" s="194" t="s">
        <v>381</v>
      </c>
      <c r="C3" s="194"/>
      <c r="D3" s="194"/>
      <c r="E3" s="194" t="s">
        <v>382</v>
      </c>
      <c r="F3" s="194"/>
      <c r="G3" s="194"/>
      <c r="K3" s="19" t="s">
        <v>383</v>
      </c>
      <c r="L3" s="19">
        <v>42.3</v>
      </c>
      <c r="N3" s="195" t="s">
        <v>384</v>
      </c>
      <c r="O3" s="195"/>
      <c r="P3" s="195"/>
      <c r="Q3" s="195"/>
      <c r="R3" s="195"/>
      <c r="S3" s="195"/>
      <c r="T3" s="195"/>
      <c r="X3" s="20"/>
    </row>
    <row r="4" spans="1:28" ht="26.25">
      <c r="A4" s="18"/>
      <c r="B4" s="21"/>
      <c r="C4" s="190" t="s">
        <v>385</v>
      </c>
      <c r="D4" s="190"/>
      <c r="E4" s="190" t="s">
        <v>385</v>
      </c>
      <c r="F4" s="190"/>
      <c r="G4" s="21" t="s">
        <v>386</v>
      </c>
      <c r="I4" s="21" t="s">
        <v>386</v>
      </c>
      <c r="K4" s="19" t="s">
        <v>387</v>
      </c>
      <c r="L4" s="19">
        <v>34.06</v>
      </c>
      <c r="N4" s="195"/>
      <c r="O4" s="195"/>
      <c r="P4" s="195"/>
      <c r="Q4" s="195"/>
      <c r="R4" s="195"/>
      <c r="S4" s="195"/>
      <c r="T4" s="195"/>
    </row>
    <row r="5" spans="1:28" ht="18.75">
      <c r="A5" s="103" t="s">
        <v>505</v>
      </c>
      <c r="B5" s="22" t="s">
        <v>388</v>
      </c>
      <c r="C5" s="22" t="s">
        <v>389</v>
      </c>
      <c r="D5" s="22" t="s">
        <v>390</v>
      </c>
      <c r="E5" s="22" t="s">
        <v>389</v>
      </c>
      <c r="F5" s="22" t="s">
        <v>390</v>
      </c>
      <c r="G5" s="22" t="s">
        <v>389</v>
      </c>
      <c r="H5" s="23" t="s">
        <v>391</v>
      </c>
      <c r="I5" s="23" t="s">
        <v>390</v>
      </c>
      <c r="J5" s="23" t="s">
        <v>392</v>
      </c>
      <c r="K5" s="23" t="s">
        <v>393</v>
      </c>
      <c r="L5" s="23" t="s">
        <v>394</v>
      </c>
      <c r="N5" s="19"/>
      <c r="O5" s="191" t="s">
        <v>395</v>
      </c>
      <c r="P5" s="192"/>
      <c r="Q5" s="192"/>
      <c r="R5" s="192"/>
      <c r="S5" s="192"/>
      <c r="T5" s="192"/>
      <c r="U5" s="193"/>
    </row>
    <row r="6" spans="1:28">
      <c r="A6" s="100" t="s">
        <v>220</v>
      </c>
      <c r="B6" s="94" t="s">
        <v>106</v>
      </c>
      <c r="C6" s="24">
        <v>978</v>
      </c>
      <c r="D6" s="24">
        <v>834</v>
      </c>
      <c r="E6" s="24">
        <v>870</v>
      </c>
      <c r="F6" s="24">
        <v>731</v>
      </c>
      <c r="G6" s="24">
        <f>C6+E6</f>
        <v>1848</v>
      </c>
      <c r="H6" s="24">
        <f t="shared" ref="H6:H14" si="0">G6-$L$1-$L$1</f>
        <v>1848</v>
      </c>
      <c r="I6" s="24">
        <f>D6+F6</f>
        <v>1565</v>
      </c>
      <c r="J6" s="24">
        <f t="shared" ref="J6:J14" si="1">I6-$L$1-$L$1</f>
        <v>1565</v>
      </c>
      <c r="K6" s="24">
        <f>(J6/1000)/(1/10000)</f>
        <v>15649.999999999998</v>
      </c>
      <c r="L6" s="25">
        <f>((H6-J6)/H6)*100</f>
        <v>15.313852813852813</v>
      </c>
      <c r="M6" s="43" t="s">
        <v>505</v>
      </c>
      <c r="N6" s="59" t="s">
        <v>388</v>
      </c>
      <c r="O6" s="59" t="s">
        <v>396</v>
      </c>
      <c r="P6" s="23" t="s">
        <v>391</v>
      </c>
      <c r="Q6" s="26" t="s">
        <v>397</v>
      </c>
      <c r="R6" s="26" t="s">
        <v>398</v>
      </c>
      <c r="S6" s="59" t="s">
        <v>399</v>
      </c>
      <c r="T6" s="59" t="s">
        <v>393</v>
      </c>
      <c r="U6" s="23" t="s">
        <v>394</v>
      </c>
      <c r="V6" t="s">
        <v>681</v>
      </c>
      <c r="Y6" t="s">
        <v>400</v>
      </c>
      <c r="Z6" t="s">
        <v>401</v>
      </c>
      <c r="AA6" t="s">
        <v>386</v>
      </c>
      <c r="AB6" t="s">
        <v>402</v>
      </c>
    </row>
    <row r="7" spans="1:28">
      <c r="A7" s="100" t="s">
        <v>221</v>
      </c>
      <c r="B7" s="94" t="s">
        <v>108</v>
      </c>
      <c r="C7" s="24">
        <v>786</v>
      </c>
      <c r="D7" s="24">
        <v>667</v>
      </c>
      <c r="E7" s="24">
        <v>859</v>
      </c>
      <c r="F7" s="24">
        <v>735</v>
      </c>
      <c r="G7" s="24">
        <f t="shared" ref="G7:G28" si="2">C7+E7</f>
        <v>1645</v>
      </c>
      <c r="H7" s="24">
        <f t="shared" si="0"/>
        <v>1645</v>
      </c>
      <c r="I7" s="24">
        <f t="shared" ref="I7:I14" si="3">D7+F7</f>
        <v>1402</v>
      </c>
      <c r="J7" s="24">
        <f t="shared" si="1"/>
        <v>1402</v>
      </c>
      <c r="K7" s="24">
        <f t="shared" ref="K7:K13" si="4">(J7/1000)/(1/10000)</f>
        <v>14019.999999999998</v>
      </c>
      <c r="L7" s="25">
        <f t="shared" ref="L7:L14" si="5">((H7-J7)/H7)*100</f>
        <v>14.772036474164132</v>
      </c>
      <c r="N7" s="27" t="s">
        <v>106</v>
      </c>
      <c r="O7" s="27">
        <v>52.9</v>
      </c>
      <c r="P7" s="27">
        <f t="shared" ref="P7:P15" si="6">O7-$L$2</f>
        <v>52.9</v>
      </c>
      <c r="Q7" s="28">
        <v>50.5</v>
      </c>
      <c r="R7" s="28">
        <f t="shared" ref="R7:R15" si="7">Q7-$L$2</f>
        <v>50.5</v>
      </c>
      <c r="S7" s="27">
        <f t="shared" ref="S7:S15" si="8">(O7/1000)/(1/10000)</f>
        <v>528.99999999999989</v>
      </c>
      <c r="T7" s="27">
        <f>(R7/1000)/(1/10000)</f>
        <v>505</v>
      </c>
      <c r="U7" s="29">
        <f>((P7-R7)/P7)*100</f>
        <v>4.5368620037807155</v>
      </c>
      <c r="V7">
        <f>T7/1000</f>
        <v>0.505</v>
      </c>
      <c r="Y7" s="30" t="s">
        <v>403</v>
      </c>
    </row>
    <row r="8" spans="1:28">
      <c r="A8" s="100" t="s">
        <v>222</v>
      </c>
      <c r="B8" s="94" t="s">
        <v>110</v>
      </c>
      <c r="C8" s="24">
        <v>723</v>
      </c>
      <c r="D8" s="24">
        <v>621</v>
      </c>
      <c r="E8" s="24">
        <v>785</v>
      </c>
      <c r="F8" s="24">
        <v>660</v>
      </c>
      <c r="G8" s="24">
        <f t="shared" si="2"/>
        <v>1508</v>
      </c>
      <c r="H8" s="24">
        <f t="shared" si="0"/>
        <v>1508</v>
      </c>
      <c r="I8" s="24">
        <f t="shared" si="3"/>
        <v>1281</v>
      </c>
      <c r="J8" s="24">
        <f t="shared" si="1"/>
        <v>1281</v>
      </c>
      <c r="K8" s="24">
        <f t="shared" si="4"/>
        <v>12809.999999999998</v>
      </c>
      <c r="L8" s="25">
        <f t="shared" si="5"/>
        <v>15.053050397877984</v>
      </c>
      <c r="N8" s="27" t="s">
        <v>108</v>
      </c>
      <c r="O8" s="27">
        <v>59.5</v>
      </c>
      <c r="P8" s="27">
        <f t="shared" si="6"/>
        <v>59.5</v>
      </c>
      <c r="Q8" s="28">
        <v>56.4</v>
      </c>
      <c r="R8" s="28">
        <f t="shared" si="7"/>
        <v>56.4</v>
      </c>
      <c r="S8" s="27">
        <f t="shared" si="8"/>
        <v>595</v>
      </c>
      <c r="T8" s="27">
        <f t="shared" ref="T8:T15" si="9">(R8/1000)/(1/10000)</f>
        <v>564</v>
      </c>
      <c r="U8" s="29">
        <f t="shared" ref="U8:U15" si="10">((P8-R8)/P8)*100</f>
        <v>5.2100840336134473</v>
      </c>
      <c r="V8">
        <f t="shared" ref="V8:V15" si="11">T8/1000</f>
        <v>0.56399999999999995</v>
      </c>
      <c r="X8" s="27" t="s">
        <v>106</v>
      </c>
      <c r="Y8" s="31">
        <f t="shared" ref="Y8:Y16" si="12">P7*1.053</f>
        <v>55.703699999999998</v>
      </c>
      <c r="Z8" s="28">
        <f t="shared" ref="Z8:Z16" si="13">R7</f>
        <v>50.5</v>
      </c>
      <c r="AA8" s="32">
        <f t="shared" ref="AA8:AA16" si="14">Z8+J6</f>
        <v>1615.5</v>
      </c>
      <c r="AB8">
        <f t="shared" ref="AB8:AB25" si="15">AA8*1.155</f>
        <v>1865.9025000000001</v>
      </c>
    </row>
    <row r="9" spans="1:28">
      <c r="A9" s="100" t="s">
        <v>223</v>
      </c>
      <c r="B9" s="94" t="s">
        <v>112</v>
      </c>
      <c r="C9" s="24">
        <v>954</v>
      </c>
      <c r="D9" s="24">
        <v>818</v>
      </c>
      <c r="E9" s="24">
        <v>790</v>
      </c>
      <c r="F9" s="24">
        <v>668</v>
      </c>
      <c r="G9" s="24">
        <f t="shared" si="2"/>
        <v>1744</v>
      </c>
      <c r="H9" s="24">
        <f t="shared" si="0"/>
        <v>1744</v>
      </c>
      <c r="I9" s="24">
        <f t="shared" si="3"/>
        <v>1486</v>
      </c>
      <c r="J9" s="24">
        <f t="shared" si="1"/>
        <v>1486</v>
      </c>
      <c r="K9" s="24">
        <f t="shared" si="4"/>
        <v>14860</v>
      </c>
      <c r="L9" s="25">
        <f t="shared" si="5"/>
        <v>14.793577981651376</v>
      </c>
      <c r="N9" s="27" t="s">
        <v>110</v>
      </c>
      <c r="O9" s="27">
        <v>80.900000000000006</v>
      </c>
      <c r="P9" s="27">
        <f t="shared" si="6"/>
        <v>80.900000000000006</v>
      </c>
      <c r="Q9" s="28">
        <v>76.3</v>
      </c>
      <c r="R9" s="28">
        <f t="shared" si="7"/>
        <v>76.3</v>
      </c>
      <c r="S9" s="27">
        <f t="shared" si="8"/>
        <v>809</v>
      </c>
      <c r="T9" s="27">
        <f t="shared" si="9"/>
        <v>762.99999999999989</v>
      </c>
      <c r="U9" s="29">
        <f t="shared" si="10"/>
        <v>5.6860321384425312</v>
      </c>
      <c r="V9">
        <f t="shared" si="11"/>
        <v>0.7629999999999999</v>
      </c>
      <c r="X9" s="27" t="s">
        <v>108</v>
      </c>
      <c r="Y9" s="31">
        <f t="shared" si="12"/>
        <v>62.653499999999994</v>
      </c>
      <c r="Z9" s="28">
        <f t="shared" si="13"/>
        <v>56.4</v>
      </c>
      <c r="AA9" s="32">
        <f t="shared" si="14"/>
        <v>1458.4</v>
      </c>
      <c r="AB9">
        <f t="shared" si="15"/>
        <v>1684.4520000000002</v>
      </c>
    </row>
    <row r="10" spans="1:28">
      <c r="A10" s="100" t="s">
        <v>224</v>
      </c>
      <c r="B10" s="94" t="s">
        <v>114</v>
      </c>
      <c r="C10" s="24">
        <v>882</v>
      </c>
      <c r="D10" s="24">
        <v>742</v>
      </c>
      <c r="E10" s="24">
        <v>960</v>
      </c>
      <c r="F10" s="24">
        <v>787</v>
      </c>
      <c r="G10" s="24">
        <f t="shared" si="2"/>
        <v>1842</v>
      </c>
      <c r="H10" s="24">
        <f t="shared" si="0"/>
        <v>1842</v>
      </c>
      <c r="I10" s="24">
        <f t="shared" si="3"/>
        <v>1529</v>
      </c>
      <c r="J10" s="24">
        <f t="shared" si="1"/>
        <v>1529</v>
      </c>
      <c r="K10" s="24">
        <f t="shared" si="4"/>
        <v>15289.999999999998</v>
      </c>
      <c r="L10" s="25">
        <f t="shared" si="5"/>
        <v>16.992399565689468</v>
      </c>
      <c r="N10" s="27" t="s">
        <v>112</v>
      </c>
      <c r="O10" s="27">
        <v>70</v>
      </c>
      <c r="P10" s="27">
        <f t="shared" si="6"/>
        <v>70</v>
      </c>
      <c r="Q10" s="28">
        <v>66.5</v>
      </c>
      <c r="R10" s="28">
        <f t="shared" si="7"/>
        <v>66.5</v>
      </c>
      <c r="S10" s="27">
        <f t="shared" si="8"/>
        <v>700</v>
      </c>
      <c r="T10" s="27">
        <f t="shared" si="9"/>
        <v>665</v>
      </c>
      <c r="U10" s="29">
        <f t="shared" si="10"/>
        <v>5</v>
      </c>
      <c r="V10">
        <f t="shared" si="11"/>
        <v>0.66500000000000004</v>
      </c>
      <c r="X10" s="27" t="s">
        <v>110</v>
      </c>
      <c r="Y10" s="31">
        <f t="shared" si="12"/>
        <v>85.187700000000007</v>
      </c>
      <c r="Z10" s="28">
        <f t="shared" si="13"/>
        <v>76.3</v>
      </c>
      <c r="AA10" s="32">
        <f t="shared" si="14"/>
        <v>1357.3</v>
      </c>
      <c r="AB10">
        <f t="shared" si="15"/>
        <v>1567.6814999999999</v>
      </c>
    </row>
    <row r="11" spans="1:28">
      <c r="A11" s="100" t="s">
        <v>225</v>
      </c>
      <c r="B11" s="94" t="s">
        <v>116</v>
      </c>
      <c r="C11" s="24">
        <v>781</v>
      </c>
      <c r="D11" s="24">
        <v>661</v>
      </c>
      <c r="E11" s="24">
        <v>793</v>
      </c>
      <c r="F11" s="24">
        <v>673</v>
      </c>
      <c r="G11" s="24">
        <f t="shared" si="2"/>
        <v>1574</v>
      </c>
      <c r="H11" s="24">
        <f t="shared" si="0"/>
        <v>1574</v>
      </c>
      <c r="I11" s="24">
        <f t="shared" si="3"/>
        <v>1334</v>
      </c>
      <c r="J11" s="24">
        <f t="shared" si="1"/>
        <v>1334</v>
      </c>
      <c r="K11" s="24">
        <f t="shared" si="4"/>
        <v>13340</v>
      </c>
      <c r="L11" s="25">
        <f t="shared" si="5"/>
        <v>15.247776365946633</v>
      </c>
      <c r="N11" s="27" t="s">
        <v>114</v>
      </c>
      <c r="O11" s="27">
        <v>51.9</v>
      </c>
      <c r="P11" s="27">
        <f t="shared" si="6"/>
        <v>51.9</v>
      </c>
      <c r="Q11" s="28">
        <v>49.9</v>
      </c>
      <c r="R11" s="28">
        <f t="shared" si="7"/>
        <v>49.9</v>
      </c>
      <c r="S11" s="27">
        <f t="shared" si="8"/>
        <v>519</v>
      </c>
      <c r="T11" s="27">
        <f t="shared" si="9"/>
        <v>499</v>
      </c>
      <c r="U11" s="29">
        <f t="shared" si="10"/>
        <v>3.8535645472061661</v>
      </c>
      <c r="V11">
        <f t="shared" si="11"/>
        <v>0.499</v>
      </c>
      <c r="X11" s="27" t="s">
        <v>112</v>
      </c>
      <c r="Y11" s="31">
        <f t="shared" si="12"/>
        <v>73.709999999999994</v>
      </c>
      <c r="Z11" s="28">
        <f t="shared" si="13"/>
        <v>66.5</v>
      </c>
      <c r="AA11" s="32">
        <f t="shared" si="14"/>
        <v>1552.5</v>
      </c>
      <c r="AB11">
        <f t="shared" si="15"/>
        <v>1793.1375</v>
      </c>
    </row>
    <row r="12" spans="1:28">
      <c r="A12" s="100" t="s">
        <v>226</v>
      </c>
      <c r="B12" s="94" t="s">
        <v>118</v>
      </c>
      <c r="C12" s="24">
        <v>681</v>
      </c>
      <c r="D12" s="24">
        <v>575</v>
      </c>
      <c r="E12" s="24">
        <v>722</v>
      </c>
      <c r="F12" s="24">
        <v>592</v>
      </c>
      <c r="G12" s="24">
        <f t="shared" si="2"/>
        <v>1403</v>
      </c>
      <c r="H12" s="24">
        <f t="shared" si="0"/>
        <v>1403</v>
      </c>
      <c r="I12" s="24">
        <f t="shared" si="3"/>
        <v>1167</v>
      </c>
      <c r="J12" s="24">
        <f t="shared" si="1"/>
        <v>1167</v>
      </c>
      <c r="K12" s="24">
        <f t="shared" si="4"/>
        <v>11670</v>
      </c>
      <c r="L12" s="25">
        <f t="shared" si="5"/>
        <v>16.821097647897361</v>
      </c>
      <c r="N12" s="27" t="s">
        <v>116</v>
      </c>
      <c r="O12" s="27">
        <v>59.4</v>
      </c>
      <c r="P12" s="27">
        <f t="shared" si="6"/>
        <v>59.4</v>
      </c>
      <c r="Q12" s="28">
        <v>57</v>
      </c>
      <c r="R12" s="28">
        <f t="shared" si="7"/>
        <v>57</v>
      </c>
      <c r="S12" s="27">
        <f t="shared" si="8"/>
        <v>594</v>
      </c>
      <c r="T12" s="27">
        <f t="shared" si="9"/>
        <v>570</v>
      </c>
      <c r="U12" s="29">
        <f t="shared" si="10"/>
        <v>4.040404040404038</v>
      </c>
      <c r="V12">
        <f t="shared" si="11"/>
        <v>0.56999999999999995</v>
      </c>
      <c r="X12" s="27" t="s">
        <v>114</v>
      </c>
      <c r="Y12" s="31">
        <f t="shared" si="12"/>
        <v>54.650699999999993</v>
      </c>
      <c r="Z12" s="28">
        <f t="shared" si="13"/>
        <v>49.9</v>
      </c>
      <c r="AA12" s="32">
        <f t="shared" si="14"/>
        <v>1578.9</v>
      </c>
      <c r="AB12">
        <f t="shared" si="15"/>
        <v>1823.6295000000002</v>
      </c>
    </row>
    <row r="13" spans="1:28">
      <c r="A13" s="100" t="s">
        <v>227</v>
      </c>
      <c r="B13" s="94" t="s">
        <v>120</v>
      </c>
      <c r="C13" s="24">
        <v>741</v>
      </c>
      <c r="D13" s="24">
        <v>621</v>
      </c>
      <c r="E13" s="24">
        <v>767</v>
      </c>
      <c r="F13" s="24">
        <v>645</v>
      </c>
      <c r="G13" s="24">
        <f t="shared" si="2"/>
        <v>1508</v>
      </c>
      <c r="H13" s="24">
        <f t="shared" si="0"/>
        <v>1508</v>
      </c>
      <c r="I13" s="24">
        <f t="shared" si="3"/>
        <v>1266</v>
      </c>
      <c r="J13" s="24">
        <f t="shared" si="1"/>
        <v>1266</v>
      </c>
      <c r="K13" s="24">
        <f t="shared" si="4"/>
        <v>12660</v>
      </c>
      <c r="L13" s="25">
        <f t="shared" si="5"/>
        <v>16.047745358090186</v>
      </c>
      <c r="N13" s="27" t="s">
        <v>118</v>
      </c>
      <c r="O13" s="27">
        <v>74.2</v>
      </c>
      <c r="P13" s="27">
        <f t="shared" si="6"/>
        <v>74.2</v>
      </c>
      <c r="Q13" s="28">
        <v>70.599999999999994</v>
      </c>
      <c r="R13" s="28">
        <f t="shared" si="7"/>
        <v>70.599999999999994</v>
      </c>
      <c r="S13" s="27">
        <f t="shared" si="8"/>
        <v>742</v>
      </c>
      <c r="T13" s="27">
        <f t="shared" si="9"/>
        <v>705.99999999999989</v>
      </c>
      <c r="U13" s="29">
        <f t="shared" si="10"/>
        <v>4.8517520215633532</v>
      </c>
      <c r="V13">
        <f t="shared" si="11"/>
        <v>0.70599999999999985</v>
      </c>
      <c r="X13" s="27" t="s">
        <v>116</v>
      </c>
      <c r="Y13" s="31">
        <f t="shared" si="12"/>
        <v>62.548199999999994</v>
      </c>
      <c r="Z13" s="28">
        <f t="shared" si="13"/>
        <v>57</v>
      </c>
      <c r="AA13" s="32">
        <f t="shared" si="14"/>
        <v>1391</v>
      </c>
      <c r="AB13">
        <f t="shared" si="15"/>
        <v>1606.605</v>
      </c>
    </row>
    <row r="14" spans="1:28">
      <c r="A14" s="100" t="s">
        <v>228</v>
      </c>
      <c r="B14" s="94" t="s">
        <v>122</v>
      </c>
      <c r="C14" s="24">
        <v>860</v>
      </c>
      <c r="D14" s="24">
        <v>712</v>
      </c>
      <c r="E14" s="24">
        <v>882</v>
      </c>
      <c r="F14" s="24">
        <v>734</v>
      </c>
      <c r="G14" s="24">
        <f t="shared" si="2"/>
        <v>1742</v>
      </c>
      <c r="H14" s="24">
        <f t="shared" si="0"/>
        <v>1742</v>
      </c>
      <c r="I14" s="24">
        <f t="shared" si="3"/>
        <v>1446</v>
      </c>
      <c r="J14" s="24">
        <f t="shared" si="1"/>
        <v>1446</v>
      </c>
      <c r="K14" s="24">
        <f>(J14/1000)/(1/10000)</f>
        <v>14459.999999999998</v>
      </c>
      <c r="L14" s="25">
        <f t="shared" si="5"/>
        <v>16.991963260619976</v>
      </c>
      <c r="N14" s="27" t="s">
        <v>120</v>
      </c>
      <c r="O14" s="27">
        <v>68.7</v>
      </c>
      <c r="P14" s="27">
        <f t="shared" si="6"/>
        <v>68.7</v>
      </c>
      <c r="Q14" s="28">
        <v>65.599999999999994</v>
      </c>
      <c r="R14" s="28">
        <f t="shared" si="7"/>
        <v>65.599999999999994</v>
      </c>
      <c r="S14" s="27">
        <f t="shared" si="8"/>
        <v>686.99999999999989</v>
      </c>
      <c r="T14" s="27">
        <f>(R14/1000)/(1/10000)</f>
        <v>655.99999999999989</v>
      </c>
      <c r="U14" s="29">
        <f t="shared" si="10"/>
        <v>4.5123726346433894</v>
      </c>
      <c r="V14">
        <f t="shared" si="11"/>
        <v>0.65599999999999992</v>
      </c>
      <c r="X14" s="27" t="s">
        <v>118</v>
      </c>
      <c r="Y14" s="31">
        <f t="shared" si="12"/>
        <v>78.132599999999996</v>
      </c>
      <c r="Z14" s="28">
        <f t="shared" si="13"/>
        <v>70.599999999999994</v>
      </c>
      <c r="AA14" s="32">
        <f t="shared" si="14"/>
        <v>1237.5999999999999</v>
      </c>
      <c r="AB14">
        <f t="shared" si="15"/>
        <v>1429.4279999999999</v>
      </c>
    </row>
    <row r="15" spans="1:28" ht="18.75">
      <c r="B15" s="33" t="s">
        <v>404</v>
      </c>
      <c r="C15" s="15"/>
      <c r="D15" s="15"/>
      <c r="E15" s="15"/>
      <c r="F15" s="15"/>
      <c r="G15" s="34"/>
      <c r="H15" s="35"/>
      <c r="I15" s="34"/>
      <c r="J15" s="35">
        <f>AVERAGE(J6:J14)</f>
        <v>1386.2222222222222</v>
      </c>
      <c r="K15" s="36">
        <f>AVERAGE(K6:K14)</f>
        <v>13862.222222222221</v>
      </c>
      <c r="L15" s="36">
        <f t="shared" ref="L15" si="16">AVERAGE(L6:L14)</f>
        <v>15.781499985087768</v>
      </c>
      <c r="N15" s="27" t="s">
        <v>122</v>
      </c>
      <c r="O15" s="27">
        <v>55.2</v>
      </c>
      <c r="P15" s="27">
        <f t="shared" si="6"/>
        <v>55.2</v>
      </c>
      <c r="Q15" s="28">
        <v>52.1</v>
      </c>
      <c r="R15" s="28">
        <f t="shared" si="7"/>
        <v>52.1</v>
      </c>
      <c r="S15" s="27">
        <f t="shared" si="8"/>
        <v>552</v>
      </c>
      <c r="T15" s="27">
        <f t="shared" si="9"/>
        <v>521</v>
      </c>
      <c r="U15" s="29">
        <f t="shared" si="10"/>
        <v>5.6159420289855095</v>
      </c>
      <c r="V15">
        <f t="shared" si="11"/>
        <v>0.52100000000000002</v>
      </c>
      <c r="X15" s="27" t="s">
        <v>120</v>
      </c>
      <c r="Y15" s="31">
        <f t="shared" si="12"/>
        <v>72.341099999999997</v>
      </c>
      <c r="Z15" s="28">
        <f t="shared" si="13"/>
        <v>65.599999999999994</v>
      </c>
      <c r="AA15" s="32">
        <f t="shared" si="14"/>
        <v>1331.6</v>
      </c>
      <c r="AB15">
        <f t="shared" si="15"/>
        <v>1537.9979999999998</v>
      </c>
    </row>
    <row r="16" spans="1:28" ht="18.75">
      <c r="B16" s="33" t="s">
        <v>405</v>
      </c>
      <c r="C16" s="15"/>
      <c r="D16" s="15"/>
      <c r="E16" s="15"/>
      <c r="F16" s="15"/>
      <c r="G16" s="34"/>
      <c r="H16" s="35"/>
      <c r="I16" s="34"/>
      <c r="J16" s="35">
        <f>_xlfn.STDEV.P(J6:J14)/SQRT(9)</f>
        <v>41.934039262084198</v>
      </c>
      <c r="K16" s="36">
        <f t="shared" ref="K16:L16" si="17">_xlfn.STDEV.P(K6:K14)/SQRT(9)</f>
        <v>419.34039262084184</v>
      </c>
      <c r="L16" s="36">
        <f t="shared" si="17"/>
        <v>0.29632208617445382</v>
      </c>
      <c r="N16" s="37" t="s">
        <v>404</v>
      </c>
      <c r="O16" s="38"/>
      <c r="P16" s="39"/>
      <c r="Q16" s="38"/>
      <c r="R16" s="38"/>
      <c r="S16" s="38"/>
      <c r="T16" s="38"/>
      <c r="U16" s="38">
        <f>AVERAGE(U7:U15)</f>
        <v>4.8118903831821278</v>
      </c>
      <c r="X16" s="27" t="s">
        <v>122</v>
      </c>
      <c r="Y16" s="31">
        <f t="shared" si="12"/>
        <v>58.125599999999999</v>
      </c>
      <c r="Z16" s="28">
        <f t="shared" si="13"/>
        <v>52.1</v>
      </c>
      <c r="AA16" s="32">
        <f t="shared" si="14"/>
        <v>1498.1</v>
      </c>
      <c r="AB16">
        <f t="shared" si="15"/>
        <v>1730.3054999999999</v>
      </c>
    </row>
    <row r="17" spans="1:28" ht="18.75">
      <c r="B17" s="15"/>
      <c r="C17" s="15"/>
      <c r="D17" s="15"/>
      <c r="E17" s="15"/>
      <c r="F17" s="15"/>
      <c r="G17" s="15"/>
      <c r="N17" s="37" t="s">
        <v>405</v>
      </c>
      <c r="O17" s="38"/>
      <c r="P17" s="39"/>
      <c r="Q17" s="38"/>
      <c r="R17" s="38"/>
      <c r="S17" s="38"/>
      <c r="T17" s="38"/>
      <c r="U17" s="38">
        <f>_xlfn.STDEV.P(U7:U15)/SQRT(9)</f>
        <v>0.20138674466182585</v>
      </c>
      <c r="X17" s="27" t="s">
        <v>124</v>
      </c>
      <c r="Y17" s="31">
        <f t="shared" ref="Y17:Y25" si="18">P21*1.071</f>
        <v>140.40809999999999</v>
      </c>
      <c r="Z17" s="28">
        <f t="shared" ref="Z17:Z25" si="19">R21</f>
        <v>124.2</v>
      </c>
      <c r="AA17" s="32">
        <f t="shared" ref="AA17:AA25" si="20">Z17+J20</f>
        <v>1286.2</v>
      </c>
      <c r="AB17">
        <f t="shared" si="15"/>
        <v>1485.5610000000001</v>
      </c>
    </row>
    <row r="18" spans="1:28" ht="23.25">
      <c r="B18" s="21"/>
      <c r="C18" s="190" t="s">
        <v>385</v>
      </c>
      <c r="D18" s="190"/>
      <c r="E18" s="190" t="s">
        <v>385</v>
      </c>
      <c r="F18" s="190"/>
      <c r="G18" s="21" t="s">
        <v>386</v>
      </c>
      <c r="H18" s="21"/>
      <c r="I18" s="21" t="s">
        <v>386</v>
      </c>
      <c r="J18" s="21"/>
      <c r="X18" s="27" t="s">
        <v>126</v>
      </c>
      <c r="Y18" s="31">
        <f t="shared" si="18"/>
        <v>133.23240000000001</v>
      </c>
      <c r="Z18" s="28">
        <f t="shared" si="19"/>
        <v>117.3</v>
      </c>
      <c r="AA18" s="32">
        <f t="shared" si="20"/>
        <v>1427.3</v>
      </c>
      <c r="AB18">
        <f t="shared" si="15"/>
        <v>1648.5315000000001</v>
      </c>
    </row>
    <row r="19" spans="1:28" ht="18.75">
      <c r="A19" s="103" t="s">
        <v>505</v>
      </c>
      <c r="B19" s="22" t="s">
        <v>388</v>
      </c>
      <c r="C19" s="22" t="s">
        <v>389</v>
      </c>
      <c r="D19" s="22" t="s">
        <v>390</v>
      </c>
      <c r="E19" s="22" t="s">
        <v>389</v>
      </c>
      <c r="F19" s="22" t="s">
        <v>390</v>
      </c>
      <c r="G19" s="22" t="s">
        <v>389</v>
      </c>
      <c r="H19" s="23" t="s">
        <v>391</v>
      </c>
      <c r="I19" s="23" t="s">
        <v>390</v>
      </c>
      <c r="J19" s="23" t="s">
        <v>406</v>
      </c>
      <c r="K19" s="23" t="s">
        <v>393</v>
      </c>
      <c r="L19" s="23" t="s">
        <v>394</v>
      </c>
      <c r="N19" s="19"/>
      <c r="O19" s="191" t="s">
        <v>395</v>
      </c>
      <c r="P19" s="192"/>
      <c r="Q19" s="192"/>
      <c r="R19" s="192"/>
      <c r="S19" s="192"/>
      <c r="T19" s="192"/>
      <c r="U19" s="193"/>
      <c r="X19" s="27" t="s">
        <v>128</v>
      </c>
      <c r="Y19" s="31">
        <f t="shared" si="18"/>
        <v>104.52959999999999</v>
      </c>
      <c r="Z19" s="28">
        <f t="shared" si="19"/>
        <v>86.4</v>
      </c>
      <c r="AA19" s="32">
        <f t="shared" si="20"/>
        <v>1507.4</v>
      </c>
      <c r="AB19">
        <f t="shared" si="15"/>
        <v>1741.0470000000003</v>
      </c>
    </row>
    <row r="20" spans="1:28">
      <c r="A20" s="100" t="s">
        <v>229</v>
      </c>
      <c r="B20" s="94" t="s">
        <v>124</v>
      </c>
      <c r="C20" s="24">
        <v>726</v>
      </c>
      <c r="D20" s="24">
        <v>606</v>
      </c>
      <c r="E20" s="24">
        <v>664</v>
      </c>
      <c r="F20" s="24">
        <v>556</v>
      </c>
      <c r="G20" s="24">
        <f>C20+E20</f>
        <v>1390</v>
      </c>
      <c r="H20" s="24">
        <f t="shared" ref="H20:H28" si="21">G20-$L$1-$L$1</f>
        <v>1390</v>
      </c>
      <c r="I20" s="24">
        <f>D20+F20</f>
        <v>1162</v>
      </c>
      <c r="J20" s="24">
        <f t="shared" ref="J20:J28" si="22">I20-$L$1-$L$1</f>
        <v>1162</v>
      </c>
      <c r="K20" s="24">
        <f>(J20/1000)/(1/10000)</f>
        <v>11619.999999999998</v>
      </c>
      <c r="L20" s="25">
        <f>((H20-J20)/H20)*100</f>
        <v>16.402877697841728</v>
      </c>
      <c r="M20" s="43" t="s">
        <v>505</v>
      </c>
      <c r="N20" s="59" t="s">
        <v>388</v>
      </c>
      <c r="O20" s="59" t="s">
        <v>396</v>
      </c>
      <c r="P20" s="23" t="s">
        <v>391</v>
      </c>
      <c r="Q20" s="26" t="s">
        <v>397</v>
      </c>
      <c r="R20" s="26" t="s">
        <v>398</v>
      </c>
      <c r="S20" s="59" t="s">
        <v>399</v>
      </c>
      <c r="T20" s="59" t="s">
        <v>393</v>
      </c>
      <c r="U20" s="23" t="s">
        <v>394</v>
      </c>
      <c r="V20" t="s">
        <v>681</v>
      </c>
      <c r="X20" s="27" t="s">
        <v>130</v>
      </c>
      <c r="Y20" s="31">
        <f t="shared" si="18"/>
        <v>110.52719999999999</v>
      </c>
      <c r="Z20" s="28">
        <f t="shared" si="19"/>
        <v>98.4</v>
      </c>
      <c r="AA20" s="32">
        <f t="shared" si="20"/>
        <v>1407.4</v>
      </c>
      <c r="AB20">
        <f t="shared" si="15"/>
        <v>1625.5470000000003</v>
      </c>
    </row>
    <row r="21" spans="1:28">
      <c r="A21" s="100" t="s">
        <v>230</v>
      </c>
      <c r="B21" s="94" t="s">
        <v>126</v>
      </c>
      <c r="C21" s="24">
        <v>877</v>
      </c>
      <c r="D21" s="24">
        <v>730</v>
      </c>
      <c r="E21" s="24">
        <v>688</v>
      </c>
      <c r="F21" s="24">
        <v>580</v>
      </c>
      <c r="G21" s="24">
        <f t="shared" si="2"/>
        <v>1565</v>
      </c>
      <c r="H21" s="24">
        <f t="shared" si="21"/>
        <v>1565</v>
      </c>
      <c r="I21" s="24">
        <f t="shared" ref="I21:I28" si="23">D21+F21</f>
        <v>1310</v>
      </c>
      <c r="J21" s="24">
        <f t="shared" si="22"/>
        <v>1310</v>
      </c>
      <c r="K21" s="24">
        <f t="shared" ref="K21:K28" si="24">(J21/1000)/(1/10000)</f>
        <v>13100</v>
      </c>
      <c r="L21" s="25">
        <f t="shared" ref="L21:L28" si="25">((H21-J21)/H21)*100</f>
        <v>16.293929712460063</v>
      </c>
      <c r="N21" s="27" t="s">
        <v>124</v>
      </c>
      <c r="O21" s="27">
        <v>131.1</v>
      </c>
      <c r="P21" s="27">
        <f t="shared" ref="P21:P29" si="26">O21-$L$2</f>
        <v>131.1</v>
      </c>
      <c r="Q21" s="28">
        <v>124.2</v>
      </c>
      <c r="R21" s="28">
        <f t="shared" ref="R21:R29" si="27">Q21-$L$2</f>
        <v>124.2</v>
      </c>
      <c r="S21" s="27">
        <f>(O21/1000)/(1/10000)</f>
        <v>1310.9999999999998</v>
      </c>
      <c r="T21" s="27">
        <f>(R21/1000)/(1/10000)</f>
        <v>1242</v>
      </c>
      <c r="U21" s="29">
        <f>((P21-R21)/P21)*100</f>
        <v>5.2631578947368354</v>
      </c>
      <c r="V21">
        <f>T21/1000</f>
        <v>1.242</v>
      </c>
      <c r="X21" s="27" t="s">
        <v>132</v>
      </c>
      <c r="Y21" s="31">
        <f t="shared" si="18"/>
        <v>101.6379</v>
      </c>
      <c r="Z21" s="28">
        <f t="shared" si="19"/>
        <v>89.6</v>
      </c>
      <c r="AA21" s="32">
        <f t="shared" si="20"/>
        <v>1633.6</v>
      </c>
      <c r="AB21">
        <f t="shared" si="15"/>
        <v>1886.808</v>
      </c>
    </row>
    <row r="22" spans="1:28">
      <c r="A22" s="100" t="s">
        <v>231</v>
      </c>
      <c r="B22" s="94" t="s">
        <v>128</v>
      </c>
      <c r="C22" s="24">
        <v>778</v>
      </c>
      <c r="D22" s="24">
        <v>660</v>
      </c>
      <c r="E22" s="24">
        <v>898</v>
      </c>
      <c r="F22" s="24">
        <v>761</v>
      </c>
      <c r="G22" s="24">
        <f t="shared" si="2"/>
        <v>1676</v>
      </c>
      <c r="H22" s="24">
        <f t="shared" si="21"/>
        <v>1676</v>
      </c>
      <c r="I22" s="24">
        <f t="shared" si="23"/>
        <v>1421</v>
      </c>
      <c r="J22" s="24">
        <f t="shared" si="22"/>
        <v>1421</v>
      </c>
      <c r="K22" s="24">
        <f t="shared" si="24"/>
        <v>14210</v>
      </c>
      <c r="L22" s="25">
        <f t="shared" si="25"/>
        <v>15.214797136038186</v>
      </c>
      <c r="N22" s="27" t="s">
        <v>126</v>
      </c>
      <c r="O22" s="27">
        <v>124.4</v>
      </c>
      <c r="P22" s="27">
        <f t="shared" si="26"/>
        <v>124.4</v>
      </c>
      <c r="Q22" s="28">
        <v>117.3</v>
      </c>
      <c r="R22" s="28">
        <f t="shared" si="27"/>
        <v>117.3</v>
      </c>
      <c r="S22" s="27">
        <f t="shared" ref="S22:S29" si="28">(O22/1000)/(1/10000)</f>
        <v>1244</v>
      </c>
      <c r="T22" s="27">
        <f t="shared" ref="T22:T29" si="29">(R22/1000)/(1/10000)</f>
        <v>1173</v>
      </c>
      <c r="U22" s="29">
        <f>((P22-R22)/P22)*100</f>
        <v>5.7073954983922901</v>
      </c>
      <c r="V22">
        <f t="shared" ref="V22:V29" si="30">T22/1000</f>
        <v>1.173</v>
      </c>
      <c r="X22" s="27" t="s">
        <v>134</v>
      </c>
      <c r="Y22" s="31">
        <f t="shared" si="18"/>
        <v>121.66559999999998</v>
      </c>
      <c r="Z22" s="28">
        <f t="shared" si="19"/>
        <v>107.7</v>
      </c>
      <c r="AA22" s="32">
        <f t="shared" si="20"/>
        <v>1450.7</v>
      </c>
      <c r="AB22">
        <f t="shared" si="15"/>
        <v>1675.5585000000001</v>
      </c>
    </row>
    <row r="23" spans="1:28">
      <c r="A23" s="100" t="s">
        <v>232</v>
      </c>
      <c r="B23" s="94" t="s">
        <v>130</v>
      </c>
      <c r="C23" s="24">
        <v>755</v>
      </c>
      <c r="D23" s="24">
        <v>636</v>
      </c>
      <c r="E23" s="24">
        <v>795</v>
      </c>
      <c r="F23" s="24">
        <v>673</v>
      </c>
      <c r="G23" s="24">
        <f t="shared" si="2"/>
        <v>1550</v>
      </c>
      <c r="H23" s="24">
        <f t="shared" si="21"/>
        <v>1550</v>
      </c>
      <c r="I23" s="24">
        <f t="shared" si="23"/>
        <v>1309</v>
      </c>
      <c r="J23" s="24">
        <f t="shared" si="22"/>
        <v>1309</v>
      </c>
      <c r="K23" s="24">
        <f t="shared" si="24"/>
        <v>13089.999999999998</v>
      </c>
      <c r="L23" s="25">
        <f t="shared" si="25"/>
        <v>15.548387096774194</v>
      </c>
      <c r="N23" s="27" t="s">
        <v>128</v>
      </c>
      <c r="O23" s="27">
        <v>97.6</v>
      </c>
      <c r="P23" s="27">
        <f t="shared" si="26"/>
        <v>97.6</v>
      </c>
      <c r="Q23" s="28">
        <v>86.4</v>
      </c>
      <c r="R23" s="28">
        <f t="shared" si="27"/>
        <v>86.4</v>
      </c>
      <c r="S23" s="27">
        <f t="shared" si="28"/>
        <v>975.99999999999989</v>
      </c>
      <c r="T23" s="27">
        <f t="shared" si="29"/>
        <v>864</v>
      </c>
      <c r="U23" s="29">
        <f t="shared" ref="U23:U29" si="31">((P23-R23)/P23)*100</f>
        <v>11.475409836065563</v>
      </c>
      <c r="V23">
        <f t="shared" si="30"/>
        <v>0.86399999999999999</v>
      </c>
      <c r="X23" s="27" t="s">
        <v>136</v>
      </c>
      <c r="Y23" s="31">
        <f t="shared" si="18"/>
        <v>119.8449</v>
      </c>
      <c r="Z23" s="28">
        <f t="shared" si="19"/>
        <v>105.3</v>
      </c>
      <c r="AA23" s="32">
        <f t="shared" si="20"/>
        <v>1086.3</v>
      </c>
      <c r="AB23">
        <f t="shared" si="15"/>
        <v>1254.6765</v>
      </c>
    </row>
    <row r="24" spans="1:28">
      <c r="A24" s="100" t="s">
        <v>233</v>
      </c>
      <c r="B24" s="94" t="s">
        <v>132</v>
      </c>
      <c r="C24" s="24">
        <v>988</v>
      </c>
      <c r="D24" s="24">
        <v>832</v>
      </c>
      <c r="E24" s="24">
        <v>848</v>
      </c>
      <c r="F24" s="24">
        <v>712</v>
      </c>
      <c r="G24" s="24">
        <f t="shared" si="2"/>
        <v>1836</v>
      </c>
      <c r="H24" s="24">
        <f t="shared" si="21"/>
        <v>1836</v>
      </c>
      <c r="I24" s="24">
        <f t="shared" si="23"/>
        <v>1544</v>
      </c>
      <c r="J24" s="24">
        <f t="shared" si="22"/>
        <v>1544</v>
      </c>
      <c r="K24" s="24">
        <f t="shared" si="24"/>
        <v>15440</v>
      </c>
      <c r="L24" s="25">
        <f t="shared" si="25"/>
        <v>15.904139433551197</v>
      </c>
      <c r="N24" s="27" t="s">
        <v>130</v>
      </c>
      <c r="O24" s="27">
        <v>103.2</v>
      </c>
      <c r="P24" s="27">
        <f t="shared" si="26"/>
        <v>103.2</v>
      </c>
      <c r="Q24" s="28">
        <v>98.4</v>
      </c>
      <c r="R24" s="28">
        <f t="shared" si="27"/>
        <v>98.4</v>
      </c>
      <c r="S24" s="27">
        <f t="shared" si="28"/>
        <v>1032</v>
      </c>
      <c r="T24" s="27">
        <f t="shared" si="29"/>
        <v>984</v>
      </c>
      <c r="U24" s="29">
        <f t="shared" si="31"/>
        <v>4.651162790697672</v>
      </c>
      <c r="V24">
        <f t="shared" si="30"/>
        <v>0.98399999999999999</v>
      </c>
      <c r="X24" s="27" t="s">
        <v>138</v>
      </c>
      <c r="Y24" s="31">
        <f t="shared" si="18"/>
        <v>124.1289</v>
      </c>
      <c r="Z24" s="28">
        <f t="shared" si="19"/>
        <v>108.9</v>
      </c>
      <c r="AA24" s="32">
        <f t="shared" si="20"/>
        <v>1470.9</v>
      </c>
      <c r="AB24">
        <f t="shared" si="15"/>
        <v>1698.8895000000002</v>
      </c>
    </row>
    <row r="25" spans="1:28">
      <c r="A25" s="100" t="s">
        <v>234</v>
      </c>
      <c r="B25" s="94" t="s">
        <v>134</v>
      </c>
      <c r="C25" s="24">
        <v>843</v>
      </c>
      <c r="D25" s="24">
        <v>715</v>
      </c>
      <c r="E25" s="24">
        <v>793</v>
      </c>
      <c r="F25" s="24">
        <v>628</v>
      </c>
      <c r="G25" s="24">
        <f t="shared" si="2"/>
        <v>1636</v>
      </c>
      <c r="H25" s="24">
        <f t="shared" si="21"/>
        <v>1636</v>
      </c>
      <c r="I25" s="24">
        <f t="shared" si="23"/>
        <v>1343</v>
      </c>
      <c r="J25" s="24">
        <f t="shared" si="22"/>
        <v>1343</v>
      </c>
      <c r="K25" s="24">
        <f t="shared" si="24"/>
        <v>13429.999999999998</v>
      </c>
      <c r="L25" s="25">
        <f t="shared" si="25"/>
        <v>17.909535452322739</v>
      </c>
      <c r="N25" s="27" t="s">
        <v>132</v>
      </c>
      <c r="O25" s="27">
        <v>94.9</v>
      </c>
      <c r="P25" s="27">
        <f t="shared" si="26"/>
        <v>94.9</v>
      </c>
      <c r="Q25" s="28">
        <v>89.6</v>
      </c>
      <c r="R25" s="28">
        <f t="shared" si="27"/>
        <v>89.6</v>
      </c>
      <c r="S25" s="27">
        <f t="shared" si="28"/>
        <v>949.00000000000011</v>
      </c>
      <c r="T25" s="27">
        <f t="shared" si="29"/>
        <v>896</v>
      </c>
      <c r="U25" s="29">
        <f t="shared" si="31"/>
        <v>5.58482613277135</v>
      </c>
      <c r="V25">
        <f t="shared" si="30"/>
        <v>0.89600000000000002</v>
      </c>
      <c r="X25" s="27" t="s">
        <v>140</v>
      </c>
      <c r="Y25" s="31">
        <f t="shared" si="18"/>
        <v>108.0639</v>
      </c>
      <c r="Z25" s="28">
        <f t="shared" si="19"/>
        <v>93.9</v>
      </c>
      <c r="AA25" s="32">
        <f t="shared" si="20"/>
        <v>1338.9</v>
      </c>
      <c r="AB25">
        <f t="shared" si="15"/>
        <v>1546.4295000000002</v>
      </c>
    </row>
    <row r="26" spans="1:28">
      <c r="A26" s="100" t="s">
        <v>235</v>
      </c>
      <c r="B26" s="94" t="s">
        <v>136</v>
      </c>
      <c r="C26" s="24">
        <v>537</v>
      </c>
      <c r="D26" s="24">
        <v>461</v>
      </c>
      <c r="E26" s="24">
        <v>614</v>
      </c>
      <c r="F26" s="24">
        <v>520</v>
      </c>
      <c r="G26" s="24">
        <f t="shared" si="2"/>
        <v>1151</v>
      </c>
      <c r="H26" s="24">
        <f t="shared" si="21"/>
        <v>1151</v>
      </c>
      <c r="I26" s="24">
        <f t="shared" si="23"/>
        <v>981</v>
      </c>
      <c r="J26" s="24">
        <f t="shared" si="22"/>
        <v>981</v>
      </c>
      <c r="K26" s="24">
        <f t="shared" si="24"/>
        <v>9810</v>
      </c>
      <c r="L26" s="25">
        <f t="shared" si="25"/>
        <v>14.769765421372719</v>
      </c>
      <c r="N26" s="27" t="s">
        <v>134</v>
      </c>
      <c r="O26" s="27">
        <v>113.6</v>
      </c>
      <c r="P26" s="27">
        <f t="shared" si="26"/>
        <v>113.6</v>
      </c>
      <c r="Q26" s="28">
        <v>107.7</v>
      </c>
      <c r="R26" s="28">
        <f t="shared" si="27"/>
        <v>107.7</v>
      </c>
      <c r="S26" s="27">
        <f t="shared" si="28"/>
        <v>1135.9999999999998</v>
      </c>
      <c r="T26" s="27">
        <f t="shared" si="29"/>
        <v>1077</v>
      </c>
      <c r="U26" s="29">
        <f t="shared" si="31"/>
        <v>5.1936619718309789</v>
      </c>
      <c r="V26">
        <f t="shared" si="30"/>
        <v>1.077</v>
      </c>
      <c r="AA26" s="20" t="s">
        <v>407</v>
      </c>
      <c r="AB26" s="40">
        <f>AVERAGE(AB8:AB25)</f>
        <v>1644.566</v>
      </c>
    </row>
    <row r="27" spans="1:28" ht="18.75">
      <c r="A27" s="100" t="s">
        <v>236</v>
      </c>
      <c r="B27" s="94" t="s">
        <v>138</v>
      </c>
      <c r="C27" s="24">
        <v>908</v>
      </c>
      <c r="D27" s="24">
        <v>768</v>
      </c>
      <c r="E27" s="24">
        <v>700</v>
      </c>
      <c r="F27" s="24">
        <v>594</v>
      </c>
      <c r="G27" s="24">
        <f t="shared" si="2"/>
        <v>1608</v>
      </c>
      <c r="H27" s="24">
        <f t="shared" si="21"/>
        <v>1608</v>
      </c>
      <c r="I27" s="24">
        <f t="shared" si="23"/>
        <v>1362</v>
      </c>
      <c r="J27" s="24">
        <f t="shared" si="22"/>
        <v>1362</v>
      </c>
      <c r="K27" s="24">
        <f t="shared" si="24"/>
        <v>13620</v>
      </c>
      <c r="L27" s="25">
        <f t="shared" si="25"/>
        <v>15.298507462686567</v>
      </c>
      <c r="N27" s="27" t="s">
        <v>136</v>
      </c>
      <c r="O27" s="27">
        <v>111.9</v>
      </c>
      <c r="P27" s="27">
        <f t="shared" si="26"/>
        <v>111.9</v>
      </c>
      <c r="Q27" s="28">
        <v>105.3</v>
      </c>
      <c r="R27" s="28">
        <f t="shared" si="27"/>
        <v>105.3</v>
      </c>
      <c r="S27" s="27">
        <f t="shared" si="28"/>
        <v>1119</v>
      </c>
      <c r="T27" s="27">
        <f t="shared" si="29"/>
        <v>1052.9999999999998</v>
      </c>
      <c r="U27" s="29">
        <f t="shared" si="31"/>
        <v>5.8981233243967903</v>
      </c>
      <c r="V27">
        <f t="shared" si="30"/>
        <v>1.0529999999999997</v>
      </c>
      <c r="AA27" s="20" t="s">
        <v>408</v>
      </c>
      <c r="AB27" s="41">
        <f>_xlfn.STDEV.P(AB8:AB25)/SQRT(18)</f>
        <v>36.694794359274525</v>
      </c>
    </row>
    <row r="28" spans="1:28">
      <c r="A28" s="100" t="s">
        <v>237</v>
      </c>
      <c r="B28" s="94" t="s">
        <v>140</v>
      </c>
      <c r="C28" s="24">
        <v>685</v>
      </c>
      <c r="D28" s="24">
        <v>592</v>
      </c>
      <c r="E28" s="24">
        <v>785</v>
      </c>
      <c r="F28" s="24">
        <v>653</v>
      </c>
      <c r="G28" s="24">
        <f t="shared" si="2"/>
        <v>1470</v>
      </c>
      <c r="H28" s="24">
        <f t="shared" si="21"/>
        <v>1470</v>
      </c>
      <c r="I28" s="24">
        <f t="shared" si="23"/>
        <v>1245</v>
      </c>
      <c r="J28" s="24">
        <f t="shared" si="22"/>
        <v>1245</v>
      </c>
      <c r="K28" s="24">
        <f t="shared" si="24"/>
        <v>12450</v>
      </c>
      <c r="L28" s="25">
        <f t="shared" si="25"/>
        <v>15.306122448979592</v>
      </c>
      <c r="N28" s="27" t="s">
        <v>138</v>
      </c>
      <c r="O28" s="27">
        <v>115.9</v>
      </c>
      <c r="P28" s="27">
        <f t="shared" si="26"/>
        <v>115.9</v>
      </c>
      <c r="Q28" s="28">
        <v>108.9</v>
      </c>
      <c r="R28" s="28">
        <f t="shared" si="27"/>
        <v>108.9</v>
      </c>
      <c r="S28" s="27">
        <f t="shared" si="28"/>
        <v>1159</v>
      </c>
      <c r="T28" s="27">
        <f t="shared" si="29"/>
        <v>1089</v>
      </c>
      <c r="U28" s="29">
        <f t="shared" si="31"/>
        <v>6.0396893874029338</v>
      </c>
      <c r="V28">
        <f t="shared" si="30"/>
        <v>1.089</v>
      </c>
    </row>
    <row r="29" spans="1:28" ht="18.75">
      <c r="B29" s="33" t="s">
        <v>404</v>
      </c>
      <c r="G29" s="34"/>
      <c r="H29" s="35"/>
      <c r="I29" s="34"/>
      <c r="J29" s="35">
        <f>AVERAGE(J20:J28)</f>
        <v>1297.4444444444443</v>
      </c>
      <c r="K29" s="36">
        <f t="shared" ref="K29:L29" si="32">AVERAGE(K20:K28)</f>
        <v>12974.444444444445</v>
      </c>
      <c r="L29" s="36">
        <f t="shared" si="32"/>
        <v>15.849784651336332</v>
      </c>
      <c r="N29" s="27" t="s">
        <v>140</v>
      </c>
      <c r="O29" s="27">
        <v>100.9</v>
      </c>
      <c r="P29" s="27">
        <f t="shared" si="26"/>
        <v>100.9</v>
      </c>
      <c r="Q29" s="28">
        <v>93.9</v>
      </c>
      <c r="R29" s="28">
        <f t="shared" si="27"/>
        <v>93.9</v>
      </c>
      <c r="S29" s="27">
        <f t="shared" si="28"/>
        <v>1009</v>
      </c>
      <c r="T29" s="27">
        <f t="shared" si="29"/>
        <v>939.00000000000011</v>
      </c>
      <c r="U29" s="29">
        <f t="shared" si="31"/>
        <v>6.9375619425173438</v>
      </c>
      <c r="V29">
        <f t="shared" si="30"/>
        <v>0.93900000000000017</v>
      </c>
    </row>
    <row r="30" spans="1:28" ht="18.75">
      <c r="B30" s="33" t="s">
        <v>405</v>
      </c>
      <c r="G30" s="34"/>
      <c r="H30" s="35"/>
      <c r="I30" s="34"/>
      <c r="J30" s="35">
        <f t="shared" ref="J30:L30" si="33">_xlfn.STDEV.P(J20:J28)/SQRT(9)</f>
        <v>50.162971713591155</v>
      </c>
      <c r="K30" s="36">
        <f t="shared" si="33"/>
        <v>501.62971713591151</v>
      </c>
      <c r="L30" s="36">
        <f t="shared" si="33"/>
        <v>0.29415438237902647</v>
      </c>
      <c r="N30" s="37" t="s">
        <v>404</v>
      </c>
      <c r="O30" s="38"/>
      <c r="P30" s="39"/>
      <c r="Q30" s="38"/>
      <c r="R30" s="38"/>
      <c r="S30" s="38"/>
      <c r="T30" s="38"/>
      <c r="U30" s="38">
        <f>AVERAGE(U21:U29)</f>
        <v>6.3056654198679727</v>
      </c>
    </row>
    <row r="31" spans="1:28" ht="18.75">
      <c r="N31" s="37" t="s">
        <v>405</v>
      </c>
      <c r="O31" s="38"/>
      <c r="P31" s="39"/>
      <c r="Q31" s="38"/>
      <c r="R31" s="38"/>
      <c r="S31" s="38"/>
      <c r="T31" s="38"/>
      <c r="U31" s="38">
        <f>_xlfn.STDEV.P(U21:U29)/SQRT(9)</f>
        <v>0.641185948729178</v>
      </c>
    </row>
    <row r="32" spans="1:28">
      <c r="X32" t="s">
        <v>697</v>
      </c>
      <c r="Y32" t="s">
        <v>679</v>
      </c>
    </row>
    <row r="33" spans="1:25">
      <c r="L33" s="42">
        <f>L29-U30</f>
        <v>9.5441192314683594</v>
      </c>
      <c r="T33" s="20"/>
      <c r="W33" t="s">
        <v>447</v>
      </c>
      <c r="X33">
        <f>AVERAGE(V7:V15)</f>
        <v>0.60544444444444434</v>
      </c>
      <c r="Y33">
        <f>STDEV(V7:V15)</f>
        <v>9.5238005952339805E-2</v>
      </c>
    </row>
    <row r="34" spans="1:25">
      <c r="W34" t="s">
        <v>448</v>
      </c>
      <c r="X34">
        <f>AVERAGE(V21:V29)</f>
        <v>1.0352222222222223</v>
      </c>
      <c r="Y34">
        <f>STDEV(V21:V29)</f>
        <v>0.1261326462278681</v>
      </c>
    </row>
    <row r="41" spans="1:25">
      <c r="A41" s="15"/>
      <c r="B41" s="15"/>
      <c r="C41" s="15"/>
      <c r="D41" s="15"/>
      <c r="E41" s="15"/>
      <c r="F41" s="15"/>
      <c r="G41" s="15"/>
      <c r="H41" s="15"/>
      <c r="I41" s="15"/>
      <c r="J41" s="15"/>
      <c r="K41" s="15"/>
    </row>
    <row r="42" spans="1:25">
      <c r="A42" s="15"/>
      <c r="B42" s="71"/>
      <c r="C42" s="15"/>
      <c r="D42" s="70"/>
      <c r="E42" s="15"/>
      <c r="F42" s="15"/>
      <c r="G42" s="15"/>
      <c r="H42" s="15"/>
      <c r="I42" s="15"/>
      <c r="J42" s="15"/>
      <c r="K42" s="15"/>
    </row>
    <row r="43" spans="1:25">
      <c r="A43" s="15"/>
      <c r="B43" s="71"/>
      <c r="C43" s="15"/>
      <c r="D43" s="70"/>
      <c r="E43" s="15"/>
      <c r="F43" s="15"/>
      <c r="G43" s="15"/>
      <c r="H43" s="15"/>
      <c r="I43" s="15"/>
      <c r="J43" s="15"/>
      <c r="K43" s="15"/>
    </row>
    <row r="44" spans="1:25">
      <c r="A44" s="15"/>
      <c r="B44" s="71"/>
      <c r="C44" s="15"/>
      <c r="D44" s="70"/>
      <c r="E44" s="15"/>
      <c r="F44" s="15"/>
      <c r="G44" s="15"/>
      <c r="H44" s="15"/>
      <c r="I44" s="15"/>
      <c r="J44" s="15"/>
      <c r="K44" s="15"/>
    </row>
    <row r="45" spans="1:25">
      <c r="A45" s="15"/>
      <c r="B45" s="71"/>
      <c r="C45" s="15"/>
      <c r="D45" s="70"/>
      <c r="E45" s="15"/>
      <c r="F45" s="15"/>
      <c r="G45" s="15"/>
      <c r="H45" s="15"/>
      <c r="I45" s="15"/>
      <c r="J45" s="15"/>
      <c r="K45" s="15"/>
    </row>
    <row r="46" spans="1:25">
      <c r="A46" s="15"/>
      <c r="B46" s="71"/>
      <c r="C46" s="15"/>
      <c r="D46" s="70"/>
      <c r="E46" s="15"/>
      <c r="F46" s="15"/>
      <c r="G46" s="15"/>
      <c r="H46" s="15"/>
      <c r="I46" s="15"/>
      <c r="J46" s="15"/>
      <c r="K46" s="15"/>
    </row>
    <row r="47" spans="1:25">
      <c r="A47" s="15"/>
      <c r="B47" s="71"/>
      <c r="C47" s="15"/>
      <c r="D47" s="70"/>
      <c r="E47" s="15"/>
      <c r="F47" s="15"/>
      <c r="G47" s="15"/>
      <c r="H47" s="15"/>
      <c r="I47" s="15"/>
      <c r="J47" s="15"/>
      <c r="K47" s="15"/>
    </row>
    <row r="48" spans="1:25">
      <c r="A48" s="15"/>
      <c r="B48" s="71"/>
      <c r="C48" s="15"/>
      <c r="D48" s="70"/>
      <c r="E48" s="15"/>
      <c r="F48" s="15"/>
      <c r="G48" s="15"/>
      <c r="H48" s="15"/>
      <c r="I48" s="15"/>
      <c r="J48" s="15"/>
      <c r="K48" s="15"/>
    </row>
    <row r="49" spans="1:11">
      <c r="A49" s="15"/>
      <c r="B49" s="71"/>
      <c r="C49" s="15"/>
      <c r="D49" s="70"/>
      <c r="E49" s="15"/>
      <c r="F49" s="15"/>
      <c r="G49" s="15"/>
      <c r="H49" s="15"/>
      <c r="I49" s="15"/>
      <c r="J49" s="15"/>
      <c r="K49" s="15"/>
    </row>
    <row r="50" spans="1:11">
      <c r="A50" s="15"/>
      <c r="B50" s="71"/>
      <c r="C50" s="15"/>
      <c r="D50" s="70"/>
      <c r="E50" s="15"/>
      <c r="F50" s="15"/>
      <c r="G50" s="15"/>
      <c r="H50" s="15"/>
      <c r="I50" s="15"/>
      <c r="J50" s="15"/>
      <c r="K50" s="15"/>
    </row>
    <row r="51" spans="1:11">
      <c r="A51" s="15"/>
      <c r="B51" s="71"/>
      <c r="C51" s="15"/>
      <c r="D51" s="70"/>
      <c r="E51" s="15"/>
      <c r="F51" s="15"/>
      <c r="G51" s="15"/>
      <c r="H51" s="15"/>
      <c r="I51" s="15"/>
      <c r="J51" s="15"/>
      <c r="K51" s="15"/>
    </row>
    <row r="52" spans="1:11">
      <c r="A52" s="15"/>
      <c r="B52" s="71"/>
      <c r="C52" s="15"/>
      <c r="D52" s="70"/>
      <c r="E52" s="15"/>
      <c r="F52" s="15"/>
      <c r="G52" s="15"/>
      <c r="H52" s="15"/>
      <c r="I52" s="15"/>
      <c r="J52" s="15"/>
      <c r="K52" s="15"/>
    </row>
    <row r="53" spans="1:11">
      <c r="A53" s="15"/>
      <c r="B53" s="71"/>
      <c r="C53" s="15"/>
      <c r="D53" s="70"/>
      <c r="E53" s="15"/>
      <c r="F53" s="15"/>
      <c r="G53" s="15"/>
      <c r="H53" s="15"/>
      <c r="I53" s="15"/>
      <c r="J53" s="15"/>
      <c r="K53" s="15"/>
    </row>
    <row r="54" spans="1:11">
      <c r="A54" s="15"/>
      <c r="B54" s="71"/>
      <c r="C54" s="15"/>
      <c r="D54" s="70"/>
      <c r="E54" s="15"/>
      <c r="F54" s="15"/>
      <c r="G54" s="15"/>
      <c r="H54" s="15"/>
      <c r="I54" s="15"/>
      <c r="J54" s="15"/>
      <c r="K54" s="15"/>
    </row>
    <row r="55" spans="1:11">
      <c r="A55" s="15"/>
      <c r="B55" s="71"/>
      <c r="C55" s="15"/>
      <c r="D55" s="70"/>
      <c r="E55" s="15"/>
      <c r="F55" s="15"/>
      <c r="G55" s="15"/>
      <c r="H55" s="15"/>
      <c r="I55" s="15"/>
      <c r="J55" s="15"/>
      <c r="K55" s="15"/>
    </row>
    <row r="56" spans="1:11">
      <c r="A56" s="15"/>
      <c r="B56" s="71"/>
      <c r="C56" s="15"/>
      <c r="D56" s="70"/>
      <c r="E56" s="15"/>
      <c r="F56" s="15"/>
      <c r="G56" s="15"/>
      <c r="H56" s="15"/>
      <c r="I56" s="15"/>
      <c r="J56" s="15"/>
      <c r="K56" s="15"/>
    </row>
    <row r="57" spans="1:11">
      <c r="A57" s="15"/>
      <c r="B57" s="71"/>
      <c r="C57" s="15"/>
      <c r="D57" s="70"/>
      <c r="E57" s="15"/>
      <c r="F57" s="15"/>
      <c r="G57" s="15"/>
      <c r="H57" s="15"/>
      <c r="I57" s="15"/>
      <c r="J57" s="15"/>
      <c r="K57" s="15"/>
    </row>
    <row r="58" spans="1:11">
      <c r="A58" s="15"/>
      <c r="B58" s="71"/>
      <c r="C58" s="15"/>
      <c r="D58" s="70"/>
      <c r="E58" s="15"/>
      <c r="F58" s="15"/>
      <c r="G58" s="15"/>
      <c r="H58" s="15"/>
      <c r="I58" s="15"/>
      <c r="J58" s="15"/>
      <c r="K58" s="15"/>
    </row>
    <row r="59" spans="1:11">
      <c r="A59" s="15"/>
      <c r="B59" s="71"/>
      <c r="C59" s="15"/>
      <c r="D59" s="70"/>
      <c r="E59" s="15"/>
      <c r="F59" s="15"/>
      <c r="G59" s="15"/>
      <c r="H59" s="15"/>
      <c r="I59" s="15"/>
      <c r="J59" s="15"/>
      <c r="K59" s="15"/>
    </row>
  </sheetData>
  <mergeCells count="9">
    <mergeCell ref="C18:D18"/>
    <mergeCell ref="E18:F18"/>
    <mergeCell ref="O19:U19"/>
    <mergeCell ref="B3:D3"/>
    <mergeCell ref="E3:G3"/>
    <mergeCell ref="N3:T4"/>
    <mergeCell ref="C4:D4"/>
    <mergeCell ref="E4:F4"/>
    <mergeCell ref="O5:U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60C9F-2BEF-594E-B49E-09F2A892F974}">
  <dimension ref="A2:V76"/>
  <sheetViews>
    <sheetView topLeftCell="Q1" zoomScale="63" workbookViewId="0">
      <selection activeCell="U19" sqref="U19:V20"/>
    </sheetView>
  </sheetViews>
  <sheetFormatPr defaultColWidth="11" defaultRowHeight="15.75"/>
  <cols>
    <col min="2" max="2" width="11.375" customWidth="1"/>
    <col min="3" max="3" width="19.125" customWidth="1"/>
    <col min="4" max="4" width="11.125" customWidth="1"/>
    <col min="5" max="5" width="17.375" customWidth="1"/>
    <col min="6" max="6" width="12.5" customWidth="1"/>
    <col min="7" max="7" width="23.5" customWidth="1"/>
    <col min="8" max="8" width="22.5" customWidth="1"/>
    <col min="9" max="9" width="24.125" customWidth="1"/>
    <col min="10" max="10" width="21.375" customWidth="1"/>
    <col min="11" max="11" width="32.875" customWidth="1"/>
    <col min="12" max="12" width="31.5" customWidth="1"/>
    <col min="13" max="13" width="14.625" customWidth="1"/>
    <col min="14" max="14" width="17.125" customWidth="1"/>
    <col min="15" max="15" width="18" customWidth="1"/>
    <col min="17" max="17" width="16.625" customWidth="1"/>
    <col min="18" max="18" width="24.875" customWidth="1"/>
    <col min="19" max="19" width="13" customWidth="1"/>
    <col min="20" max="20" width="25.875" customWidth="1"/>
    <col min="21" max="21" width="22.5" customWidth="1"/>
    <col min="23" max="23" width="14.625" customWidth="1"/>
    <col min="25" max="25" width="21.625" customWidth="1"/>
    <col min="26" max="26" width="25" customWidth="1"/>
    <col min="27" max="27" width="27.875" customWidth="1"/>
    <col min="28" max="28" width="27.5" customWidth="1"/>
    <col min="29" max="29" width="24.125" customWidth="1"/>
    <col min="30" max="30" width="29.875" customWidth="1"/>
  </cols>
  <sheetData>
    <row r="2" spans="1:22">
      <c r="A2" t="s">
        <v>379</v>
      </c>
      <c r="H2" t="s">
        <v>451</v>
      </c>
    </row>
    <row r="4" spans="1:22" ht="26.25">
      <c r="A4" s="18"/>
      <c r="B4" s="21"/>
      <c r="C4" s="196" t="s">
        <v>385</v>
      </c>
      <c r="D4" s="196"/>
      <c r="E4" s="196" t="s">
        <v>385</v>
      </c>
      <c r="F4" s="196"/>
      <c r="G4" s="21" t="s">
        <v>386</v>
      </c>
      <c r="H4" s="21"/>
      <c r="I4" s="21" t="s">
        <v>386</v>
      </c>
      <c r="J4" s="21"/>
      <c r="M4" s="21"/>
    </row>
    <row r="5" spans="1:22">
      <c r="A5" s="103" t="s">
        <v>505</v>
      </c>
      <c r="B5" s="101" t="s">
        <v>388</v>
      </c>
      <c r="C5" s="44" t="s">
        <v>389</v>
      </c>
      <c r="D5" s="44" t="s">
        <v>390</v>
      </c>
      <c r="E5" s="44" t="s">
        <v>389</v>
      </c>
      <c r="F5" s="44" t="s">
        <v>390</v>
      </c>
      <c r="G5" s="23" t="s">
        <v>389</v>
      </c>
      <c r="H5" s="23" t="s">
        <v>391</v>
      </c>
      <c r="I5" s="23" t="s">
        <v>390</v>
      </c>
      <c r="J5" s="23" t="s">
        <v>406</v>
      </c>
      <c r="K5" s="23" t="s">
        <v>393</v>
      </c>
      <c r="L5" s="23" t="s">
        <v>394</v>
      </c>
      <c r="M5" s="43" t="s">
        <v>711</v>
      </c>
      <c r="N5" s="45" t="s">
        <v>409</v>
      </c>
      <c r="O5" s="43" t="s">
        <v>710</v>
      </c>
      <c r="P5" s="43"/>
      <c r="Q5" s="43"/>
      <c r="R5" s="43"/>
    </row>
    <row r="6" spans="1:22">
      <c r="A6" s="100" t="s">
        <v>202</v>
      </c>
      <c r="B6" s="102" t="s">
        <v>69</v>
      </c>
      <c r="C6" s="32">
        <v>826.5</v>
      </c>
      <c r="D6" s="32">
        <v>558.20000000000005</v>
      </c>
      <c r="E6" s="32">
        <v>935.5</v>
      </c>
      <c r="F6" s="32">
        <v>649.1</v>
      </c>
      <c r="G6" s="24">
        <f t="shared" ref="G6:G14" si="0">C6+E6</f>
        <v>1762</v>
      </c>
      <c r="H6" s="24">
        <f>G6-$M$1-$M$1</f>
        <v>1762</v>
      </c>
      <c r="I6" s="24">
        <f t="shared" ref="I6:I14" si="1">D6+F6</f>
        <v>1207.3000000000002</v>
      </c>
      <c r="J6" s="24">
        <f>I6-$M$1-$M$1</f>
        <v>1207.3000000000002</v>
      </c>
      <c r="K6" s="24">
        <f>(J6/1000)/(1/10000)</f>
        <v>12073.000000000002</v>
      </c>
      <c r="L6" s="25">
        <f>((H6-J6)/H6)*100</f>
        <v>31.481271282633362</v>
      </c>
      <c r="M6">
        <f>K6/1000</f>
        <v>12.073000000000002</v>
      </c>
      <c r="N6">
        <f>J6*1.155</f>
        <v>1394.4315000000001</v>
      </c>
      <c r="O6">
        <f>N6/1000</f>
        <v>1.3944315</v>
      </c>
      <c r="P6" s="43" t="s">
        <v>410</v>
      </c>
      <c r="Q6" s="43" t="s">
        <v>411</v>
      </c>
      <c r="T6" s="3" t="s">
        <v>66</v>
      </c>
      <c r="U6" s="3" t="s">
        <v>703</v>
      </c>
      <c r="V6" s="3" t="s">
        <v>679</v>
      </c>
    </row>
    <row r="7" spans="1:22">
      <c r="A7" s="100" t="s">
        <v>203</v>
      </c>
      <c r="B7" s="102" t="s">
        <v>71</v>
      </c>
      <c r="C7" s="32">
        <v>906.19</v>
      </c>
      <c r="D7" s="32">
        <v>601.70000000000005</v>
      </c>
      <c r="E7" s="32">
        <v>956</v>
      </c>
      <c r="F7" s="32">
        <v>614.1</v>
      </c>
      <c r="G7" s="24">
        <f t="shared" si="0"/>
        <v>1862.19</v>
      </c>
      <c r="H7" s="24">
        <f t="shared" ref="H7:H14" si="2">G7-$M$1-$M$1</f>
        <v>1862.19</v>
      </c>
      <c r="I7" s="24">
        <f t="shared" si="1"/>
        <v>1215.8000000000002</v>
      </c>
      <c r="J7" s="24">
        <f t="shared" ref="J7:J14" si="3">I7-$M$1-$M$1</f>
        <v>1215.8000000000002</v>
      </c>
      <c r="K7" s="24">
        <f t="shared" ref="K7:K14" si="4">(J7/1000)/(1/10000)</f>
        <v>12158.000000000002</v>
      </c>
      <c r="L7" s="25">
        <f t="shared" ref="L7:L14" si="5">((H7-J7)/H7)*100</f>
        <v>34.711280803784781</v>
      </c>
      <c r="M7">
        <f t="shared" ref="M7:M14" si="6">K7/1000</f>
        <v>12.158000000000001</v>
      </c>
      <c r="N7">
        <f t="shared" ref="N7:N14" si="7">J7*1.155</f>
        <v>1404.2490000000003</v>
      </c>
      <c r="O7">
        <f t="shared" ref="O7:O14" si="8">N7/1000</f>
        <v>1.4042490000000003</v>
      </c>
      <c r="P7" s="32" t="s">
        <v>69</v>
      </c>
      <c r="Q7" s="32">
        <f t="shared" ref="Q7:Q15" si="9">N6</f>
        <v>1394.4315000000001</v>
      </c>
      <c r="T7" s="7">
        <v>1</v>
      </c>
      <c r="U7" s="7">
        <f>AVERAGE(M6:M13)</f>
        <v>11.234375</v>
      </c>
      <c r="V7" s="7">
        <f>STDEV(M6:M13)</f>
        <v>0.94151791387251771</v>
      </c>
    </row>
    <row r="8" spans="1:22">
      <c r="A8" s="100" t="s">
        <v>204</v>
      </c>
      <c r="B8" s="102" t="s">
        <v>73</v>
      </c>
      <c r="C8" s="32">
        <v>923.1</v>
      </c>
      <c r="D8" s="32">
        <v>595</v>
      </c>
      <c r="E8" s="32">
        <v>895.8</v>
      </c>
      <c r="F8" s="32">
        <v>595.20000000000005</v>
      </c>
      <c r="G8" s="24">
        <f t="shared" si="0"/>
        <v>1818.9</v>
      </c>
      <c r="H8" s="24">
        <f t="shared" si="2"/>
        <v>1818.9</v>
      </c>
      <c r="I8" s="24">
        <f t="shared" si="1"/>
        <v>1190.2</v>
      </c>
      <c r="J8" s="24">
        <f t="shared" si="3"/>
        <v>1190.2</v>
      </c>
      <c r="K8" s="24">
        <f t="shared" si="4"/>
        <v>11902</v>
      </c>
      <c r="L8" s="25">
        <f t="shared" si="5"/>
        <v>34.564846885480236</v>
      </c>
      <c r="M8">
        <f t="shared" si="6"/>
        <v>11.901999999999999</v>
      </c>
      <c r="N8">
        <f t="shared" si="7"/>
        <v>1374.681</v>
      </c>
      <c r="O8">
        <f t="shared" si="8"/>
        <v>1.374681</v>
      </c>
      <c r="P8" s="32" t="s">
        <v>71</v>
      </c>
      <c r="Q8" s="32">
        <f t="shared" si="9"/>
        <v>1404.2490000000003</v>
      </c>
      <c r="T8" s="7">
        <v>2</v>
      </c>
      <c r="U8" s="7">
        <f>AVERAGE(M20:M28)</f>
        <v>11.31411111111111</v>
      </c>
      <c r="V8" s="7">
        <f>STDEV(M20:M28)</f>
        <v>0.88013840452005576</v>
      </c>
    </row>
    <row r="9" spans="1:22">
      <c r="A9" s="100" t="s">
        <v>205</v>
      </c>
      <c r="B9" s="102" t="s">
        <v>75</v>
      </c>
      <c r="C9" s="32">
        <v>955.2</v>
      </c>
      <c r="D9" s="32">
        <v>599.70000000000005</v>
      </c>
      <c r="E9" s="32">
        <v>712.3</v>
      </c>
      <c r="F9" s="32">
        <v>451.6</v>
      </c>
      <c r="G9" s="24">
        <f t="shared" si="0"/>
        <v>1667.5</v>
      </c>
      <c r="H9" s="24">
        <f t="shared" si="2"/>
        <v>1667.5</v>
      </c>
      <c r="I9" s="24">
        <f t="shared" si="1"/>
        <v>1051.3000000000002</v>
      </c>
      <c r="J9" s="24">
        <f t="shared" si="3"/>
        <v>1051.3000000000002</v>
      </c>
      <c r="K9" s="24">
        <f t="shared" si="4"/>
        <v>10513</v>
      </c>
      <c r="L9" s="25">
        <f t="shared" si="5"/>
        <v>36.953523238380797</v>
      </c>
      <c r="M9">
        <f t="shared" si="6"/>
        <v>10.513</v>
      </c>
      <c r="N9">
        <f t="shared" si="7"/>
        <v>1214.2515000000003</v>
      </c>
      <c r="O9">
        <f t="shared" si="8"/>
        <v>1.2142515000000003</v>
      </c>
      <c r="P9" s="32" t="s">
        <v>73</v>
      </c>
      <c r="Q9" s="32">
        <f t="shared" si="9"/>
        <v>1374.681</v>
      </c>
    </row>
    <row r="10" spans="1:22">
      <c r="A10" s="100" t="s">
        <v>206</v>
      </c>
      <c r="B10" s="102" t="s">
        <v>77</v>
      </c>
      <c r="C10" s="32">
        <v>621.5</v>
      </c>
      <c r="D10" s="32">
        <v>477.5</v>
      </c>
      <c r="E10" s="32">
        <v>635.6</v>
      </c>
      <c r="F10" s="32">
        <v>481.4</v>
      </c>
      <c r="G10" s="24">
        <f t="shared" si="0"/>
        <v>1257.0999999999999</v>
      </c>
      <c r="H10" s="24">
        <f t="shared" si="2"/>
        <v>1257.0999999999999</v>
      </c>
      <c r="I10" s="24">
        <f t="shared" si="1"/>
        <v>958.9</v>
      </c>
      <c r="J10" s="24">
        <f t="shared" si="3"/>
        <v>958.9</v>
      </c>
      <c r="K10" s="24">
        <f t="shared" si="4"/>
        <v>9589</v>
      </c>
      <c r="L10" s="25">
        <f t="shared" si="5"/>
        <v>23.721263224882662</v>
      </c>
      <c r="M10">
        <f t="shared" si="6"/>
        <v>9.5890000000000004</v>
      </c>
      <c r="N10">
        <f t="shared" si="7"/>
        <v>1107.5295000000001</v>
      </c>
      <c r="O10">
        <f t="shared" si="8"/>
        <v>1.1075295000000001</v>
      </c>
      <c r="P10" s="32" t="s">
        <v>75</v>
      </c>
      <c r="Q10" s="32">
        <f t="shared" si="9"/>
        <v>1214.2515000000003</v>
      </c>
      <c r="T10" s="3" t="s">
        <v>66</v>
      </c>
      <c r="U10" s="3" t="s">
        <v>709</v>
      </c>
      <c r="V10" s="3" t="s">
        <v>679</v>
      </c>
    </row>
    <row r="11" spans="1:22">
      <c r="A11" s="100" t="s">
        <v>207</v>
      </c>
      <c r="B11" s="102" t="s">
        <v>79</v>
      </c>
      <c r="C11" s="32">
        <v>828</v>
      </c>
      <c r="D11" s="32">
        <v>559.1</v>
      </c>
      <c r="E11" s="32">
        <v>1020.7</v>
      </c>
      <c r="F11" s="32">
        <v>621.70000000000005</v>
      </c>
      <c r="G11" s="24">
        <f t="shared" si="0"/>
        <v>1848.7</v>
      </c>
      <c r="H11" s="24">
        <f t="shared" si="2"/>
        <v>1848.7</v>
      </c>
      <c r="I11" s="24">
        <f t="shared" si="1"/>
        <v>1180.8000000000002</v>
      </c>
      <c r="J11" s="24">
        <f t="shared" si="3"/>
        <v>1180.8000000000002</v>
      </c>
      <c r="K11" s="24">
        <f t="shared" si="4"/>
        <v>11808</v>
      </c>
      <c r="L11" s="25">
        <f t="shared" si="5"/>
        <v>36.128090009195638</v>
      </c>
      <c r="M11">
        <f t="shared" si="6"/>
        <v>11.808</v>
      </c>
      <c r="N11">
        <f t="shared" si="7"/>
        <v>1363.8240000000003</v>
      </c>
      <c r="O11">
        <f t="shared" si="8"/>
        <v>1.3638240000000004</v>
      </c>
      <c r="P11" s="32" t="s">
        <v>77</v>
      </c>
      <c r="Q11" s="32">
        <f t="shared" si="9"/>
        <v>1107.5295000000001</v>
      </c>
      <c r="T11" s="7">
        <v>1</v>
      </c>
      <c r="U11" s="7">
        <f>AVERAGE(O6:O14)</f>
        <v>1.3096031666666665</v>
      </c>
      <c r="V11" s="7">
        <f>STDEV(O6:O14)</f>
        <v>0.10793728539469112</v>
      </c>
    </row>
    <row r="12" spans="1:22">
      <c r="A12" s="100" t="s">
        <v>208</v>
      </c>
      <c r="B12" s="102" t="s">
        <v>81</v>
      </c>
      <c r="C12" s="32">
        <v>622.79999999999995</v>
      </c>
      <c r="D12" s="32">
        <v>515.9</v>
      </c>
      <c r="E12" s="32">
        <v>821.6</v>
      </c>
      <c r="F12" s="32">
        <v>622.79999999999995</v>
      </c>
      <c r="G12" s="24">
        <f t="shared" si="0"/>
        <v>1444.4</v>
      </c>
      <c r="H12" s="24">
        <f t="shared" si="2"/>
        <v>1444.4</v>
      </c>
      <c r="I12" s="24">
        <f t="shared" si="1"/>
        <v>1138.6999999999998</v>
      </c>
      <c r="J12" s="24">
        <f t="shared" si="3"/>
        <v>1138.6999999999998</v>
      </c>
      <c r="K12" s="24">
        <f t="shared" si="4"/>
        <v>11386.999999999998</v>
      </c>
      <c r="L12" s="25">
        <f t="shared" si="5"/>
        <v>21.164497369149839</v>
      </c>
      <c r="M12">
        <f t="shared" si="6"/>
        <v>11.386999999999999</v>
      </c>
      <c r="N12">
        <f t="shared" si="7"/>
        <v>1315.1984999999997</v>
      </c>
      <c r="O12">
        <f t="shared" si="8"/>
        <v>1.3151984999999997</v>
      </c>
      <c r="P12" s="32" t="s">
        <v>79</v>
      </c>
      <c r="Q12" s="32">
        <f t="shared" si="9"/>
        <v>1363.8240000000003</v>
      </c>
      <c r="T12" s="7">
        <v>2</v>
      </c>
      <c r="U12" s="7">
        <f>AVERAGE(O20:O28)</f>
        <v>1.3067798333333334</v>
      </c>
      <c r="V12" s="7">
        <f>STDEV(O20:O28)</f>
        <v>0.10165598572206645</v>
      </c>
    </row>
    <row r="13" spans="1:22">
      <c r="A13" s="100" t="s">
        <v>209</v>
      </c>
      <c r="B13" s="102" t="s">
        <v>83</v>
      </c>
      <c r="C13" s="32">
        <v>779.1</v>
      </c>
      <c r="D13" s="32">
        <v>537.5</v>
      </c>
      <c r="E13" s="32">
        <v>752</v>
      </c>
      <c r="F13" s="32">
        <v>507</v>
      </c>
      <c r="G13" s="24">
        <f t="shared" si="0"/>
        <v>1531.1</v>
      </c>
      <c r="H13" s="24">
        <f t="shared" si="2"/>
        <v>1531.1</v>
      </c>
      <c r="I13" s="24">
        <f t="shared" si="1"/>
        <v>1044.5</v>
      </c>
      <c r="J13" s="24">
        <f t="shared" si="3"/>
        <v>1044.5</v>
      </c>
      <c r="K13" s="24">
        <f t="shared" si="4"/>
        <v>10445</v>
      </c>
      <c r="L13" s="25">
        <f t="shared" si="5"/>
        <v>31.781072431585134</v>
      </c>
      <c r="M13">
        <f t="shared" si="6"/>
        <v>10.445</v>
      </c>
      <c r="N13">
        <f t="shared" si="7"/>
        <v>1206.3975</v>
      </c>
      <c r="O13">
        <f t="shared" si="8"/>
        <v>1.2063975</v>
      </c>
      <c r="P13" s="32" t="s">
        <v>81</v>
      </c>
      <c r="Q13" s="32">
        <f t="shared" si="9"/>
        <v>1315.1984999999997</v>
      </c>
    </row>
    <row r="14" spans="1:22">
      <c r="A14" s="100" t="s">
        <v>210</v>
      </c>
      <c r="B14" s="102" t="s">
        <v>85</v>
      </c>
      <c r="C14" s="32">
        <v>816.9</v>
      </c>
      <c r="D14" s="32">
        <v>568.4</v>
      </c>
      <c r="E14" s="32">
        <v>912.8</v>
      </c>
      <c r="F14" s="32">
        <v>648.79999999999995</v>
      </c>
      <c r="G14" s="24">
        <f t="shared" si="0"/>
        <v>1729.6999999999998</v>
      </c>
      <c r="H14" s="24">
        <f t="shared" si="2"/>
        <v>1729.6999999999998</v>
      </c>
      <c r="I14" s="24">
        <f t="shared" si="1"/>
        <v>1217.1999999999998</v>
      </c>
      <c r="J14" s="24">
        <f t="shared" si="3"/>
        <v>1217.1999999999998</v>
      </c>
      <c r="K14" s="24">
        <f t="shared" si="4"/>
        <v>12171.999999999998</v>
      </c>
      <c r="L14" s="25">
        <f t="shared" si="5"/>
        <v>29.629415505579004</v>
      </c>
      <c r="M14">
        <f t="shared" si="6"/>
        <v>12.171999999999999</v>
      </c>
      <c r="N14">
        <f t="shared" si="7"/>
        <v>1405.8659999999998</v>
      </c>
      <c r="O14">
        <f t="shared" si="8"/>
        <v>1.4058659999999998</v>
      </c>
      <c r="P14" s="32" t="s">
        <v>83</v>
      </c>
      <c r="Q14" s="32">
        <f t="shared" si="9"/>
        <v>1206.3975</v>
      </c>
    </row>
    <row r="15" spans="1:22" ht="18.75">
      <c r="B15" s="46" t="s">
        <v>404</v>
      </c>
      <c r="G15" s="34"/>
      <c r="H15" s="35">
        <f>AVERAGE(H6:H14)</f>
        <v>1657.9544444444446</v>
      </c>
      <c r="I15" s="34"/>
      <c r="J15" s="35">
        <f>AVERAGE(J6:J14)</f>
        <v>1133.8555555555556</v>
      </c>
      <c r="K15" s="36">
        <f t="shared" ref="K15:L15" si="10">AVERAGE(K6:K14)</f>
        <v>11338.555555555555</v>
      </c>
      <c r="L15" s="36">
        <f t="shared" si="10"/>
        <v>31.126140083407943</v>
      </c>
      <c r="N15" s="35">
        <f>AVERAGE(N6:N14)</f>
        <v>1309.603166666667</v>
      </c>
      <c r="P15" s="32" t="s">
        <v>85</v>
      </c>
      <c r="Q15" s="32">
        <f t="shared" si="9"/>
        <v>1405.8659999999998</v>
      </c>
    </row>
    <row r="16" spans="1:22" ht="18.75">
      <c r="B16" s="46" t="s">
        <v>405</v>
      </c>
      <c r="G16" s="34"/>
      <c r="H16" s="35">
        <f>_xlfn.STDEV.P(H6:H14)/SQRT(9)</f>
        <v>65.020923263229278</v>
      </c>
      <c r="I16" s="34"/>
      <c r="J16" s="35">
        <f>_xlfn.STDEV.P(J6:J14)/SQRT(9)</f>
        <v>29.369191513402132</v>
      </c>
      <c r="K16" s="36">
        <f t="shared" ref="K16:L16" si="11">_xlfn.STDEV.P(K6:K14)/SQRT(9)</f>
        <v>293.69191513402137</v>
      </c>
      <c r="L16" s="36">
        <f t="shared" si="11"/>
        <v>1.7231811015868566</v>
      </c>
      <c r="N16" s="35">
        <f>_xlfn.STDEV.P(N6:N14)/SQRT(9)</f>
        <v>33.921416197979454</v>
      </c>
      <c r="P16" s="32" t="s">
        <v>87</v>
      </c>
      <c r="Q16" s="47">
        <f t="shared" ref="Q16:Q24" si="12">N20</f>
        <v>1362.3225</v>
      </c>
    </row>
    <row r="17" spans="1:22">
      <c r="P17" s="32" t="s">
        <v>89</v>
      </c>
      <c r="Q17" s="47">
        <f t="shared" si="12"/>
        <v>1458.8805</v>
      </c>
      <c r="T17" s="87" t="s">
        <v>702</v>
      </c>
    </row>
    <row r="18" spans="1:22" ht="23.25">
      <c r="C18" s="196" t="s">
        <v>385</v>
      </c>
      <c r="D18" s="196"/>
      <c r="E18" s="196" t="s">
        <v>385</v>
      </c>
      <c r="F18" s="196"/>
      <c r="G18" s="21" t="s">
        <v>386</v>
      </c>
      <c r="H18" s="21"/>
      <c r="I18" s="21" t="s">
        <v>386</v>
      </c>
      <c r="J18" s="21"/>
      <c r="P18" s="32" t="s">
        <v>91</v>
      </c>
      <c r="Q18" s="47">
        <f t="shared" si="12"/>
        <v>1403.5559999999998</v>
      </c>
      <c r="T18" s="87" t="s">
        <v>698</v>
      </c>
      <c r="U18" s="87" t="s">
        <v>699</v>
      </c>
      <c r="V18" s="87" t="s">
        <v>679</v>
      </c>
    </row>
    <row r="19" spans="1:22">
      <c r="A19" s="103" t="s">
        <v>505</v>
      </c>
      <c r="B19" s="101" t="s">
        <v>388</v>
      </c>
      <c r="C19" s="44" t="s">
        <v>389</v>
      </c>
      <c r="D19" s="44" t="s">
        <v>390</v>
      </c>
      <c r="E19" s="44" t="s">
        <v>389</v>
      </c>
      <c r="F19" s="44" t="s">
        <v>390</v>
      </c>
      <c r="G19" s="23" t="s">
        <v>389</v>
      </c>
      <c r="H19" s="23" t="s">
        <v>391</v>
      </c>
      <c r="I19" s="23" t="s">
        <v>390</v>
      </c>
      <c r="J19" s="23" t="s">
        <v>406</v>
      </c>
      <c r="K19" s="23" t="s">
        <v>393</v>
      </c>
      <c r="L19" s="23" t="s">
        <v>394</v>
      </c>
      <c r="M19" s="43" t="s">
        <v>711</v>
      </c>
      <c r="N19" s="45" t="s">
        <v>409</v>
      </c>
      <c r="O19" s="43" t="s">
        <v>710</v>
      </c>
      <c r="P19" s="32" t="s">
        <v>93</v>
      </c>
      <c r="Q19" s="47">
        <f t="shared" si="12"/>
        <v>1250.7495000000001</v>
      </c>
      <c r="T19" s="178">
        <v>1</v>
      </c>
      <c r="U19" s="178">
        <f>AVERAGE(O39:O47)</f>
        <v>5.2221111111111105</v>
      </c>
      <c r="V19" s="178">
        <f>STDEV(O39:O47)</f>
        <v>0.38091778786387898</v>
      </c>
    </row>
    <row r="20" spans="1:22">
      <c r="A20" s="100" t="s">
        <v>211</v>
      </c>
      <c r="B20" s="102" t="s">
        <v>87</v>
      </c>
      <c r="C20" s="32">
        <v>825.3</v>
      </c>
      <c r="D20" s="32">
        <v>622.79999999999995</v>
      </c>
      <c r="E20" s="32">
        <v>858</v>
      </c>
      <c r="F20" s="32">
        <v>556.70000000000005</v>
      </c>
      <c r="G20" s="24">
        <f>C20+E20</f>
        <v>1683.3</v>
      </c>
      <c r="H20" s="24">
        <f>G20-$M$1-$M$1</f>
        <v>1683.3</v>
      </c>
      <c r="I20" s="24">
        <f t="shared" ref="I20:I28" si="13">D20+F20</f>
        <v>1179.5</v>
      </c>
      <c r="J20" s="24">
        <f>I20-$M$1-$M$1</f>
        <v>1179.5</v>
      </c>
      <c r="K20" s="24">
        <f>(J20/1000)/(1/10000)</f>
        <v>11795</v>
      </c>
      <c r="L20" s="25">
        <f>((H20-J20)/H20)*100</f>
        <v>29.929305530802587</v>
      </c>
      <c r="M20">
        <f>K20/1000</f>
        <v>11.795</v>
      </c>
      <c r="N20">
        <f>J20*1.155</f>
        <v>1362.3225</v>
      </c>
      <c r="O20">
        <f>N20/1000</f>
        <v>1.3623224999999999</v>
      </c>
      <c r="P20" s="32" t="s">
        <v>95</v>
      </c>
      <c r="Q20" s="47">
        <f t="shared" si="12"/>
        <v>1251.789</v>
      </c>
      <c r="T20" s="178">
        <v>2</v>
      </c>
      <c r="U20" s="178">
        <f>AVERAGE(O48:O56)</f>
        <v>5.0855555555555556</v>
      </c>
      <c r="V20" s="178">
        <f>STDEV(O48:O56)</f>
        <v>0.47489291190517663</v>
      </c>
    </row>
    <row r="21" spans="1:22">
      <c r="A21" s="100" t="s">
        <v>212</v>
      </c>
      <c r="B21" s="102" t="s">
        <v>89</v>
      </c>
      <c r="C21" s="32">
        <v>972.1</v>
      </c>
      <c r="D21" s="32">
        <v>589.5</v>
      </c>
      <c r="E21" s="32">
        <v>1018.6</v>
      </c>
      <c r="F21" s="32">
        <v>673.6</v>
      </c>
      <c r="G21" s="24">
        <f t="shared" ref="G21:G28" si="14">C21+E21</f>
        <v>1990.7</v>
      </c>
      <c r="H21" s="24">
        <f t="shared" ref="H21:H28" si="15">G21-$M$1-$M$1</f>
        <v>1990.7</v>
      </c>
      <c r="I21" s="24">
        <f t="shared" si="13"/>
        <v>1263.0999999999999</v>
      </c>
      <c r="J21" s="24">
        <f t="shared" ref="J21:J28" si="16">I21-$M$1-$M$1</f>
        <v>1263.0999999999999</v>
      </c>
      <c r="K21" s="24">
        <f t="shared" ref="K21:K28" si="17">(J21/1000)/(1/10000)</f>
        <v>12630.999999999998</v>
      </c>
      <c r="L21" s="25">
        <f t="shared" ref="L21:L28" si="18">((H21-J21)/H21)*100</f>
        <v>36.549957301451755</v>
      </c>
      <c r="M21">
        <f t="shared" ref="M21:M28" si="19">K21/1000</f>
        <v>12.630999999999998</v>
      </c>
      <c r="N21">
        <f t="shared" ref="N21:N28" si="20">J21*1.155</f>
        <v>1458.8805</v>
      </c>
      <c r="O21">
        <f t="shared" ref="O21:O28" si="21">N21/1000</f>
        <v>1.4588805</v>
      </c>
      <c r="P21" s="32" t="s">
        <v>97</v>
      </c>
      <c r="Q21" s="47">
        <f t="shared" si="12"/>
        <v>1253.8679999999999</v>
      </c>
    </row>
    <row r="22" spans="1:22">
      <c r="A22" s="100" t="s">
        <v>213</v>
      </c>
      <c r="B22" s="102" t="s">
        <v>91</v>
      </c>
      <c r="C22" s="32">
        <v>951.9</v>
      </c>
      <c r="D22" s="32">
        <v>604.4</v>
      </c>
      <c r="E22" s="32">
        <v>943.8</v>
      </c>
      <c r="F22" s="32">
        <v>610.79999999999995</v>
      </c>
      <c r="G22" s="24">
        <f t="shared" si="14"/>
        <v>1895.6999999999998</v>
      </c>
      <c r="H22" s="24">
        <f t="shared" si="15"/>
        <v>1895.6999999999998</v>
      </c>
      <c r="I22" s="24">
        <f t="shared" si="13"/>
        <v>1215.1999999999998</v>
      </c>
      <c r="J22" s="24">
        <f t="shared" si="16"/>
        <v>1215.1999999999998</v>
      </c>
      <c r="K22" s="24">
        <f t="shared" si="17"/>
        <v>12151.999999999998</v>
      </c>
      <c r="L22" s="25">
        <f t="shared" si="18"/>
        <v>35.897030120799705</v>
      </c>
      <c r="M22">
        <f t="shared" si="19"/>
        <v>12.151999999999997</v>
      </c>
      <c r="N22">
        <f t="shared" si="20"/>
        <v>1403.5559999999998</v>
      </c>
      <c r="O22">
        <f t="shared" si="21"/>
        <v>1.4035559999999998</v>
      </c>
      <c r="P22" s="32" t="s">
        <v>99</v>
      </c>
      <c r="Q22" s="47">
        <f t="shared" si="12"/>
        <v>1236.8895000000002</v>
      </c>
      <c r="T22" s="87" t="s">
        <v>698</v>
      </c>
      <c r="U22" s="87" t="s">
        <v>701</v>
      </c>
      <c r="V22" s="87" t="s">
        <v>679</v>
      </c>
    </row>
    <row r="23" spans="1:22">
      <c r="A23" s="100" t="s">
        <v>214</v>
      </c>
      <c r="B23" s="102" t="s">
        <v>93</v>
      </c>
      <c r="C23" s="32">
        <v>829.8</v>
      </c>
      <c r="D23" s="32">
        <v>555.20000000000005</v>
      </c>
      <c r="E23" s="32">
        <v>832.6</v>
      </c>
      <c r="F23" s="32">
        <v>527.70000000000005</v>
      </c>
      <c r="G23" s="24">
        <f t="shared" si="14"/>
        <v>1662.4</v>
      </c>
      <c r="H23" s="24">
        <f t="shared" si="15"/>
        <v>1662.4</v>
      </c>
      <c r="I23" s="24">
        <f t="shared" si="13"/>
        <v>1082.9000000000001</v>
      </c>
      <c r="J23" s="24">
        <f t="shared" si="16"/>
        <v>1082.9000000000001</v>
      </c>
      <c r="K23" s="24">
        <f t="shared" si="17"/>
        <v>10829.000000000002</v>
      </c>
      <c r="L23" s="25">
        <f t="shared" si="18"/>
        <v>34.859239653512994</v>
      </c>
      <c r="M23">
        <f t="shared" si="19"/>
        <v>10.829000000000002</v>
      </c>
      <c r="N23">
        <f t="shared" si="20"/>
        <v>1250.7495000000001</v>
      </c>
      <c r="O23">
        <f t="shared" si="21"/>
        <v>1.2507495000000002</v>
      </c>
      <c r="P23" s="32" t="s">
        <v>101</v>
      </c>
      <c r="Q23" s="47">
        <f t="shared" si="12"/>
        <v>1395.4709999999998</v>
      </c>
      <c r="T23" s="178">
        <v>1</v>
      </c>
      <c r="U23" s="178">
        <f>AVERAGE(L39:L47)</f>
        <v>6.0315383333333337</v>
      </c>
      <c r="V23" s="178">
        <f>STDEV(L48:L56)</f>
        <v>0.54850131325047891</v>
      </c>
    </row>
    <row r="24" spans="1:22">
      <c r="A24" s="100" t="s">
        <v>215</v>
      </c>
      <c r="B24" s="102" t="s">
        <v>95</v>
      </c>
      <c r="C24" s="32">
        <v>818.1</v>
      </c>
      <c r="D24" s="32">
        <v>559.29999999999995</v>
      </c>
      <c r="E24" s="32">
        <v>753.1</v>
      </c>
      <c r="F24" s="32">
        <v>524.5</v>
      </c>
      <c r="G24" s="24">
        <f t="shared" si="14"/>
        <v>1571.2</v>
      </c>
      <c r="H24" s="24">
        <f t="shared" si="15"/>
        <v>1571.2</v>
      </c>
      <c r="I24" s="24">
        <f t="shared" si="13"/>
        <v>1083.8</v>
      </c>
      <c r="J24" s="24">
        <f t="shared" si="16"/>
        <v>1083.8</v>
      </c>
      <c r="K24" s="24">
        <f t="shared" si="17"/>
        <v>10837.999999999998</v>
      </c>
      <c r="L24" s="25">
        <f t="shared" si="18"/>
        <v>31.020875763747458</v>
      </c>
      <c r="M24">
        <f t="shared" si="19"/>
        <v>10.837999999999997</v>
      </c>
      <c r="N24">
        <f t="shared" si="20"/>
        <v>1251.789</v>
      </c>
      <c r="O24">
        <f t="shared" si="21"/>
        <v>1.251789</v>
      </c>
      <c r="P24" s="32" t="s">
        <v>103</v>
      </c>
      <c r="Q24" s="47">
        <f t="shared" si="12"/>
        <v>1147.4925000000001</v>
      </c>
      <c r="T24" s="178">
        <v>2</v>
      </c>
      <c r="U24" s="178">
        <f>AVERAGE(L48:L56)</f>
        <v>5.8738166666666665</v>
      </c>
      <c r="V24" s="178">
        <f>STDEV(L39:L47)</f>
        <v>0.43996004498278024</v>
      </c>
    </row>
    <row r="25" spans="1:22">
      <c r="A25" s="100" t="s">
        <v>216</v>
      </c>
      <c r="B25" s="102" t="s">
        <v>97</v>
      </c>
      <c r="C25" s="32">
        <v>854.5</v>
      </c>
      <c r="D25" s="32">
        <v>608.29999999999995</v>
      </c>
      <c r="E25" s="32">
        <v>697.8</v>
      </c>
      <c r="F25" s="32">
        <v>477.3</v>
      </c>
      <c r="G25" s="24">
        <f t="shared" si="14"/>
        <v>1552.3</v>
      </c>
      <c r="H25" s="24">
        <f t="shared" si="15"/>
        <v>1552.3</v>
      </c>
      <c r="I25" s="24">
        <f t="shared" si="13"/>
        <v>1085.5999999999999</v>
      </c>
      <c r="J25" s="24">
        <f t="shared" si="16"/>
        <v>1085.5999999999999</v>
      </c>
      <c r="K25" s="24">
        <f t="shared" si="17"/>
        <v>10855.999999999998</v>
      </c>
      <c r="L25" s="25">
        <f t="shared" si="18"/>
        <v>30.065064742639958</v>
      </c>
      <c r="M25">
        <f t="shared" si="19"/>
        <v>10.855999999999998</v>
      </c>
      <c r="N25">
        <f t="shared" si="20"/>
        <v>1253.8679999999999</v>
      </c>
      <c r="O25">
        <f t="shared" si="21"/>
        <v>1.253868</v>
      </c>
      <c r="P25" t="s">
        <v>407</v>
      </c>
      <c r="Q25">
        <f>AVERAGE(Q7:Q24)</f>
        <v>1308.1915000000004</v>
      </c>
    </row>
    <row r="26" spans="1:22" ht="18.75">
      <c r="A26" s="100" t="s">
        <v>217</v>
      </c>
      <c r="B26" s="102" t="s">
        <v>99</v>
      </c>
      <c r="C26" s="32">
        <v>812.2</v>
      </c>
      <c r="D26" s="32">
        <v>585.1</v>
      </c>
      <c r="E26" s="32">
        <v>573</v>
      </c>
      <c r="F26" s="32">
        <v>485.8</v>
      </c>
      <c r="G26" s="24">
        <f t="shared" si="14"/>
        <v>1385.2</v>
      </c>
      <c r="H26" s="24">
        <f t="shared" si="15"/>
        <v>1385.2</v>
      </c>
      <c r="I26" s="24">
        <f t="shared" si="13"/>
        <v>1070.9000000000001</v>
      </c>
      <c r="J26" s="24">
        <f t="shared" si="16"/>
        <v>1070.9000000000001</v>
      </c>
      <c r="K26" s="24">
        <f t="shared" si="17"/>
        <v>10709.000000000002</v>
      </c>
      <c r="L26" s="25">
        <f t="shared" si="18"/>
        <v>22.689864279526418</v>
      </c>
      <c r="M26">
        <f t="shared" si="19"/>
        <v>10.709000000000001</v>
      </c>
      <c r="N26">
        <f t="shared" si="20"/>
        <v>1236.8895000000002</v>
      </c>
      <c r="O26">
        <f t="shared" si="21"/>
        <v>1.2368895000000002</v>
      </c>
      <c r="P26" t="s">
        <v>412</v>
      </c>
      <c r="Q26" s="35">
        <f>_xlfn.STDEV.P(Q7:Q24)/SQRT(18)</f>
        <v>23.300972701441736</v>
      </c>
    </row>
    <row r="27" spans="1:22">
      <c r="A27" s="100" t="s">
        <v>218</v>
      </c>
      <c r="B27" s="102" t="s">
        <v>101</v>
      </c>
      <c r="C27" s="32">
        <v>699.3</v>
      </c>
      <c r="D27" s="32">
        <v>532.29999999999995</v>
      </c>
      <c r="E27" s="32">
        <v>887.5</v>
      </c>
      <c r="F27" s="32">
        <v>675.9</v>
      </c>
      <c r="G27" s="24">
        <f t="shared" si="14"/>
        <v>1586.8</v>
      </c>
      <c r="H27" s="24">
        <f t="shared" si="15"/>
        <v>1586.8</v>
      </c>
      <c r="I27" s="24">
        <f t="shared" si="13"/>
        <v>1208.1999999999998</v>
      </c>
      <c r="J27" s="24">
        <f t="shared" si="16"/>
        <v>1208.1999999999998</v>
      </c>
      <c r="K27" s="24">
        <f t="shared" si="17"/>
        <v>12081.999999999996</v>
      </c>
      <c r="L27" s="25">
        <f t="shared" si="18"/>
        <v>23.85933955129822</v>
      </c>
      <c r="M27">
        <f t="shared" si="19"/>
        <v>12.081999999999997</v>
      </c>
      <c r="N27">
        <f t="shared" si="20"/>
        <v>1395.4709999999998</v>
      </c>
      <c r="O27">
        <f t="shared" si="21"/>
        <v>1.3954709999999997</v>
      </c>
      <c r="P27" t="s">
        <v>679</v>
      </c>
      <c r="Q27">
        <f>STDEV(Q7:Q25)</f>
        <v>98.857654832592459</v>
      </c>
    </row>
    <row r="28" spans="1:22">
      <c r="A28" s="100" t="s">
        <v>219</v>
      </c>
      <c r="B28" s="102" t="s">
        <v>103</v>
      </c>
      <c r="C28" s="32">
        <v>774.8</v>
      </c>
      <c r="D28" s="32">
        <v>510.3</v>
      </c>
      <c r="E28" s="32">
        <v>777.6</v>
      </c>
      <c r="F28" s="32">
        <v>483.2</v>
      </c>
      <c r="G28" s="24">
        <f t="shared" si="14"/>
        <v>1552.4</v>
      </c>
      <c r="H28" s="24">
        <f t="shared" si="15"/>
        <v>1552.4</v>
      </c>
      <c r="I28" s="24">
        <f t="shared" si="13"/>
        <v>993.5</v>
      </c>
      <c r="J28" s="24">
        <f t="shared" si="16"/>
        <v>993.5</v>
      </c>
      <c r="K28" s="24">
        <f t="shared" si="17"/>
        <v>9935</v>
      </c>
      <c r="L28" s="25">
        <f t="shared" si="18"/>
        <v>36.00231898995105</v>
      </c>
      <c r="M28">
        <f t="shared" si="19"/>
        <v>9.9350000000000005</v>
      </c>
      <c r="N28">
        <f t="shared" si="20"/>
        <v>1147.4925000000001</v>
      </c>
      <c r="O28">
        <f t="shared" si="21"/>
        <v>1.1474925</v>
      </c>
    </row>
    <row r="29" spans="1:22" ht="18.75">
      <c r="A29" s="48"/>
      <c r="B29" s="46" t="s">
        <v>404</v>
      </c>
      <c r="G29" s="34"/>
      <c r="H29" s="35">
        <f t="shared" ref="H29:L29" si="22">AVERAGE(H20:H28)</f>
        <v>1653.3333333333333</v>
      </c>
      <c r="I29" s="34"/>
      <c r="J29" s="35">
        <f t="shared" si="22"/>
        <v>1131.4111111111113</v>
      </c>
      <c r="K29" s="36">
        <f t="shared" si="22"/>
        <v>11314.111111111111</v>
      </c>
      <c r="L29" s="36">
        <f t="shared" si="22"/>
        <v>31.208110659303347</v>
      </c>
      <c r="N29" s="35">
        <f>AVERAGE(N20:N28)</f>
        <v>1306.7798333333333</v>
      </c>
    </row>
    <row r="30" spans="1:22" ht="18.75">
      <c r="A30" s="48"/>
      <c r="B30" s="46" t="s">
        <v>405</v>
      </c>
      <c r="G30" s="34"/>
      <c r="H30" s="35">
        <f t="shared" ref="H30:L30" si="23">_xlfn.STDEV.P(H20:H28)/SQRT(9)</f>
        <v>58.478802743988894</v>
      </c>
      <c r="I30" s="34"/>
      <c r="J30" s="35">
        <f t="shared" si="23"/>
        <v>27.660081520837352</v>
      </c>
      <c r="K30" s="36">
        <f t="shared" si="23"/>
        <v>276.60081520837338</v>
      </c>
      <c r="L30" s="36">
        <f t="shared" si="23"/>
        <v>1.6344228389291395</v>
      </c>
      <c r="N30" s="35">
        <f>_xlfn.STDEV.P(N20:N28)/SQRT(9)</f>
        <v>31.947394156567132</v>
      </c>
    </row>
    <row r="33" spans="1:15">
      <c r="B33" s="14"/>
    </row>
    <row r="34" spans="1:15">
      <c r="A34" s="68"/>
      <c r="B34" s="68"/>
      <c r="C34" s="68"/>
      <c r="D34" s="68"/>
      <c r="E34" s="68"/>
      <c r="F34" s="68"/>
      <c r="G34" s="68"/>
      <c r="H34" s="68"/>
      <c r="I34" s="68"/>
      <c r="J34" s="68"/>
      <c r="K34" s="68"/>
    </row>
    <row r="35" spans="1:15">
      <c r="L35" t="s">
        <v>466</v>
      </c>
    </row>
    <row r="36" spans="1:15">
      <c r="B36" t="s">
        <v>453</v>
      </c>
      <c r="G36" t="s">
        <v>460</v>
      </c>
      <c r="H36">
        <v>19.399999999999999</v>
      </c>
      <c r="J36" t="s">
        <v>462</v>
      </c>
      <c r="K36" t="s">
        <v>463</v>
      </c>
      <c r="L36">
        <v>1</v>
      </c>
    </row>
    <row r="37" spans="1:15">
      <c r="A37" s="43"/>
    </row>
    <row r="38" spans="1:15">
      <c r="B38" s="68" t="s">
        <v>36</v>
      </c>
      <c r="C38" s="68" t="s">
        <v>37</v>
      </c>
      <c r="D38" s="68" t="s">
        <v>43</v>
      </c>
      <c r="E38" s="68" t="s">
        <v>38</v>
      </c>
      <c r="F38" s="68" t="s">
        <v>39</v>
      </c>
      <c r="G38" s="68" t="s">
        <v>44</v>
      </c>
      <c r="H38" s="68" t="s">
        <v>45</v>
      </c>
      <c r="I38" s="68" t="s">
        <v>464</v>
      </c>
      <c r="J38" s="68" t="s">
        <v>467</v>
      </c>
      <c r="K38" s="68" t="s">
        <v>468</v>
      </c>
      <c r="L38" s="68" t="s">
        <v>696</v>
      </c>
      <c r="M38" t="s">
        <v>472</v>
      </c>
      <c r="N38" t="s">
        <v>473</v>
      </c>
      <c r="O38" t="s">
        <v>700</v>
      </c>
    </row>
    <row r="39" spans="1:15">
      <c r="B39" s="68">
        <v>2020</v>
      </c>
      <c r="C39" s="69">
        <v>44456</v>
      </c>
      <c r="D39" s="68">
        <v>261</v>
      </c>
      <c r="E39" s="70" t="s">
        <v>67</v>
      </c>
      <c r="F39" s="68">
        <v>1</v>
      </c>
      <c r="G39" s="68">
        <v>1</v>
      </c>
      <c r="H39" s="68">
        <v>562.20000000000005</v>
      </c>
      <c r="I39" s="68">
        <f>Table1[[#This Row],[Grain Weight (g)]]-Table6[[#This Row],[Grain Bag Weight]]</f>
        <v>542.80000000000007</v>
      </c>
      <c r="J39" s="68">
        <f>(Table1[[#This Row],[Grain - Bag Weight (g) ]]/1000)/(1/10000)</f>
        <v>5428</v>
      </c>
      <c r="K39" s="68">
        <f>Table1[[#This Row],[Dry Yield (kg/ha) ]]*1.155</f>
        <v>6269.34</v>
      </c>
      <c r="L39" s="68">
        <f>Table1[[#This Row],[Yield @ 15% Moisture (kg/ha) ]]/1000</f>
        <v>6.2693400000000006</v>
      </c>
      <c r="M39">
        <v>19.399999999999999</v>
      </c>
      <c r="N39">
        <v>46</v>
      </c>
      <c r="O39">
        <f>Table1[[#This Row],[Dry Yield (kg/ha) ]]/1000</f>
        <v>5.4279999999999999</v>
      </c>
    </row>
    <row r="40" spans="1:15">
      <c r="B40" s="68">
        <v>2020</v>
      </c>
      <c r="C40" s="69">
        <v>44456</v>
      </c>
      <c r="D40" s="68">
        <v>261</v>
      </c>
      <c r="E40" s="70" t="s">
        <v>70</v>
      </c>
      <c r="F40" s="68">
        <v>1</v>
      </c>
      <c r="G40" s="68">
        <v>2</v>
      </c>
      <c r="H40" s="68">
        <v>571.1</v>
      </c>
      <c r="I40" s="68">
        <f>Table1[[#This Row],[Grain Weight (g)]]-Table6[[#This Row],[Grain Bag Weight]]</f>
        <v>551.70000000000005</v>
      </c>
      <c r="J40" s="68">
        <f>(Table1[[#This Row],[Grain - Bag Weight (g) ]]/1000)/(1/10000)</f>
        <v>5517.0000000000009</v>
      </c>
      <c r="K40" s="68">
        <f>Table1[[#This Row],[Dry Yield (kg/ha) ]]*1.155</f>
        <v>6372.1350000000011</v>
      </c>
      <c r="L40" s="68">
        <f>Table1[[#This Row],[Yield @ 15% Moisture (kg/ha) ]]/1000</f>
        <v>6.372135000000001</v>
      </c>
      <c r="M40">
        <v>19.399999999999999</v>
      </c>
      <c r="N40">
        <v>46</v>
      </c>
      <c r="O40">
        <f>Table1[[#This Row],[Dry Yield (kg/ha) ]]/1000</f>
        <v>5.5170000000000012</v>
      </c>
    </row>
    <row r="41" spans="1:15">
      <c r="B41" s="68">
        <v>2020</v>
      </c>
      <c r="C41" s="69">
        <v>44456</v>
      </c>
      <c r="D41" s="68">
        <v>261</v>
      </c>
      <c r="E41" s="70" t="s">
        <v>72</v>
      </c>
      <c r="F41" s="68">
        <v>1</v>
      </c>
      <c r="G41" s="68">
        <v>3</v>
      </c>
      <c r="H41" s="68">
        <v>550.29999999999995</v>
      </c>
      <c r="I41" s="68">
        <f>Table1[[#This Row],[Grain Weight (g)]]-Table6[[#This Row],[Grain Bag Weight]]</f>
        <v>530.9</v>
      </c>
      <c r="J41" s="68">
        <f>(Table1[[#This Row],[Grain - Bag Weight (g) ]]/1000)/(1/10000)</f>
        <v>5308.9999999999991</v>
      </c>
      <c r="K41" s="68">
        <f>Table1[[#This Row],[Dry Yield (kg/ha) ]]*1.155</f>
        <v>6131.8949999999995</v>
      </c>
      <c r="L41" s="68">
        <f>Table1[[#This Row],[Yield @ 15% Moisture (kg/ha) ]]/1000</f>
        <v>6.1318949999999992</v>
      </c>
      <c r="M41">
        <v>19.399999999999999</v>
      </c>
      <c r="N41">
        <v>46</v>
      </c>
      <c r="O41">
        <f>Table1[[#This Row],[Dry Yield (kg/ha) ]]/1000</f>
        <v>5.3089999999999993</v>
      </c>
    </row>
    <row r="42" spans="1:15">
      <c r="B42" s="68">
        <v>2020</v>
      </c>
      <c r="C42" s="69">
        <v>44456</v>
      </c>
      <c r="D42" s="68">
        <v>261</v>
      </c>
      <c r="E42" s="70" t="s">
        <v>74</v>
      </c>
      <c r="F42" s="68">
        <v>1</v>
      </c>
      <c r="G42" s="68">
        <v>4</v>
      </c>
      <c r="H42" s="68">
        <v>485.9</v>
      </c>
      <c r="I42" s="68">
        <f>Table1[[#This Row],[Grain Weight (g)]]-Table6[[#This Row],[Grain Bag Weight]]</f>
        <v>466.5</v>
      </c>
      <c r="J42" s="68">
        <f>(Table1[[#This Row],[Grain - Bag Weight (g) ]]/1000)/(1/10000)</f>
        <v>4665</v>
      </c>
      <c r="K42" s="68">
        <f>Table1[[#This Row],[Dry Yield (kg/ha) ]]*1.155</f>
        <v>5388.0749999999998</v>
      </c>
      <c r="L42" s="68">
        <f>Table1[[#This Row],[Yield @ 15% Moisture (kg/ha) ]]/1000</f>
        <v>5.3880749999999997</v>
      </c>
      <c r="M42">
        <v>19.399999999999999</v>
      </c>
      <c r="N42">
        <v>46</v>
      </c>
      <c r="O42">
        <f>Table1[[#This Row],[Dry Yield (kg/ha) ]]/1000</f>
        <v>4.665</v>
      </c>
    </row>
    <row r="43" spans="1:15">
      <c r="B43" s="68">
        <v>2020</v>
      </c>
      <c r="C43" s="69">
        <v>44456</v>
      </c>
      <c r="D43" s="68">
        <v>261</v>
      </c>
      <c r="E43" s="70" t="s">
        <v>76</v>
      </c>
      <c r="F43" s="68">
        <v>1</v>
      </c>
      <c r="G43" s="68">
        <v>5</v>
      </c>
      <c r="H43" s="68">
        <v>507.9</v>
      </c>
      <c r="I43" s="68">
        <f>Table1[[#This Row],[Grain Weight (g)]]-Table6[[#This Row],[Grain Bag Weight]]</f>
        <v>488.5</v>
      </c>
      <c r="J43" s="68">
        <f>(Table1[[#This Row],[Grain - Bag Weight (g) ]]/1000)/(1/10000)</f>
        <v>4885</v>
      </c>
      <c r="K43" s="68">
        <f>Table1[[#This Row],[Dry Yield (kg/ha) ]]*1.155</f>
        <v>5642.1750000000002</v>
      </c>
      <c r="L43" s="68">
        <f>Table1[[#This Row],[Yield @ 15% Moisture (kg/ha) ]]/1000</f>
        <v>5.6421749999999999</v>
      </c>
      <c r="M43">
        <v>19.399999999999999</v>
      </c>
      <c r="N43">
        <v>46</v>
      </c>
      <c r="O43">
        <f>Table1[[#This Row],[Dry Yield (kg/ha) ]]/1000</f>
        <v>4.8849999999999998</v>
      </c>
    </row>
    <row r="44" spans="1:15">
      <c r="B44" s="68">
        <v>2020</v>
      </c>
      <c r="C44" s="69">
        <v>44456</v>
      </c>
      <c r="D44" s="68">
        <v>261</v>
      </c>
      <c r="E44" s="70" t="s">
        <v>78</v>
      </c>
      <c r="F44" s="68">
        <v>1</v>
      </c>
      <c r="G44" s="68">
        <v>6</v>
      </c>
      <c r="H44" s="68">
        <v>573.9</v>
      </c>
      <c r="I44" s="68">
        <f>Table1[[#This Row],[Grain Weight (g)]]-Table6[[#This Row],[Grain Bag Weight]]</f>
        <v>554.5</v>
      </c>
      <c r="J44" s="68">
        <f>(Table1[[#This Row],[Grain - Bag Weight (g) ]]/1000)/(1/10000)</f>
        <v>5545</v>
      </c>
      <c r="K44" s="68">
        <f>Table1[[#This Row],[Dry Yield (kg/ha) ]]*1.155</f>
        <v>6404.4750000000004</v>
      </c>
      <c r="L44" s="68">
        <f>Table1[[#This Row],[Yield @ 15% Moisture (kg/ha) ]]/1000</f>
        <v>6.4044750000000006</v>
      </c>
      <c r="M44">
        <v>19.399999999999999</v>
      </c>
      <c r="N44">
        <v>46</v>
      </c>
      <c r="O44">
        <f>Table1[[#This Row],[Dry Yield (kg/ha) ]]/1000</f>
        <v>5.5449999999999999</v>
      </c>
    </row>
    <row r="45" spans="1:15">
      <c r="B45" s="68">
        <v>2020</v>
      </c>
      <c r="C45" s="69">
        <v>44456</v>
      </c>
      <c r="D45" s="68">
        <v>261</v>
      </c>
      <c r="E45" s="70" t="s">
        <v>80</v>
      </c>
      <c r="F45" s="68">
        <v>1</v>
      </c>
      <c r="G45" s="68">
        <v>7</v>
      </c>
      <c r="H45" s="68">
        <v>584.4</v>
      </c>
      <c r="I45" s="68">
        <f>Table1[[#This Row],[Grain Weight (g)]]-Table6[[#This Row],[Grain Bag Weight]]</f>
        <v>565</v>
      </c>
      <c r="J45" s="68">
        <f>(Table1[[#This Row],[Grain - Bag Weight (g) ]]/1000)/(1/10000)</f>
        <v>5649.9999999999991</v>
      </c>
      <c r="K45" s="68">
        <f>Table1[[#This Row],[Dry Yield (kg/ha) ]]*1.155</f>
        <v>6525.7499999999991</v>
      </c>
      <c r="L45" s="68">
        <f>Table1[[#This Row],[Yield @ 15% Moisture (kg/ha) ]]/1000</f>
        <v>6.5257499999999995</v>
      </c>
      <c r="M45">
        <v>19.399999999999999</v>
      </c>
      <c r="N45">
        <v>46</v>
      </c>
      <c r="O45">
        <f>Table1[[#This Row],[Dry Yield (kg/ha) ]]/1000</f>
        <v>5.6499999999999995</v>
      </c>
    </row>
    <row r="46" spans="1:15">
      <c r="B46" s="68">
        <v>2020</v>
      </c>
      <c r="C46" s="69">
        <v>44456</v>
      </c>
      <c r="D46" s="68">
        <v>261</v>
      </c>
      <c r="E46" s="70" t="s">
        <v>82</v>
      </c>
      <c r="F46" s="68">
        <v>1</v>
      </c>
      <c r="G46" s="68">
        <v>8</v>
      </c>
      <c r="H46" s="68">
        <v>486.7</v>
      </c>
      <c r="I46" s="68">
        <f>Table1[[#This Row],[Grain Weight (g)]]-Table6[[#This Row],[Grain Bag Weight]]</f>
        <v>467.3</v>
      </c>
      <c r="J46" s="68">
        <f>(Table1[[#This Row],[Grain - Bag Weight (g) ]]/1000)/(1/10000)</f>
        <v>4673</v>
      </c>
      <c r="K46" s="68">
        <f>Table1[[#This Row],[Dry Yield (kg/ha) ]]*1.155</f>
        <v>5397.3150000000005</v>
      </c>
      <c r="L46" s="68">
        <f>Table1[[#This Row],[Yield @ 15% Moisture (kg/ha) ]]/1000</f>
        <v>5.3973150000000008</v>
      </c>
      <c r="M46">
        <v>19.399999999999999</v>
      </c>
      <c r="N46">
        <v>46</v>
      </c>
      <c r="O46">
        <f>Table1[[#This Row],[Dry Yield (kg/ha) ]]/1000</f>
        <v>4.673</v>
      </c>
    </row>
    <row r="47" spans="1:15">
      <c r="B47" s="68">
        <v>2020</v>
      </c>
      <c r="C47" s="69">
        <v>44456</v>
      </c>
      <c r="D47" s="68">
        <v>261</v>
      </c>
      <c r="E47" s="70" t="s">
        <v>84</v>
      </c>
      <c r="F47" s="68">
        <v>1</v>
      </c>
      <c r="G47" s="68">
        <v>9</v>
      </c>
      <c r="H47" s="68">
        <v>552.1</v>
      </c>
      <c r="I47" s="68">
        <f>Table1[[#This Row],[Grain Weight (g)]]-Table6[[#This Row],[Grain Bag Weight]]</f>
        <v>532.70000000000005</v>
      </c>
      <c r="J47" s="68">
        <f>(Table1[[#This Row],[Grain - Bag Weight (g) ]]/1000)/(1/10000)</f>
        <v>5327</v>
      </c>
      <c r="K47" s="68">
        <f>Table1[[#This Row],[Dry Yield (kg/ha) ]]*1.155</f>
        <v>6152.6850000000004</v>
      </c>
      <c r="L47" s="68">
        <f>Table1[[#This Row],[Yield @ 15% Moisture (kg/ha) ]]/1000</f>
        <v>6.152685</v>
      </c>
      <c r="M47">
        <v>19.399999999999999</v>
      </c>
      <c r="N47">
        <v>46</v>
      </c>
      <c r="O47">
        <f>Table1[[#This Row],[Dry Yield (kg/ha) ]]/1000</f>
        <v>5.327</v>
      </c>
    </row>
    <row r="48" spans="1:15">
      <c r="B48" s="68">
        <v>2020</v>
      </c>
      <c r="C48" s="69">
        <v>44456</v>
      </c>
      <c r="D48" s="68">
        <v>261</v>
      </c>
      <c r="E48" s="70" t="s">
        <v>86</v>
      </c>
      <c r="F48" s="68">
        <v>2</v>
      </c>
      <c r="G48" s="68">
        <v>1</v>
      </c>
      <c r="H48" s="68">
        <v>536.6</v>
      </c>
      <c r="I48" s="68">
        <f>Table1[[#This Row],[Grain Weight (g)]]-Table6[[#This Row],[Grain Bag Weight]]</f>
        <v>517.20000000000005</v>
      </c>
      <c r="J48" s="68">
        <f>(Table1[[#This Row],[Grain - Bag Weight (g) ]]/1000)/(1/10000)</f>
        <v>5172</v>
      </c>
      <c r="K48" s="68">
        <f>Table1[[#This Row],[Dry Yield (kg/ha) ]]*1.155</f>
        <v>5973.66</v>
      </c>
      <c r="L48" s="68">
        <f>Table1[[#This Row],[Yield @ 15% Moisture (kg/ha) ]]/1000</f>
        <v>5.9736599999999997</v>
      </c>
      <c r="M48">
        <v>19.399999999999999</v>
      </c>
      <c r="N48">
        <v>46</v>
      </c>
      <c r="O48">
        <f>Table1[[#This Row],[Dry Yield (kg/ha) ]]/1000</f>
        <v>5.1719999999999997</v>
      </c>
    </row>
    <row r="49" spans="2:15">
      <c r="B49" s="68">
        <v>2020</v>
      </c>
      <c r="C49" s="69">
        <v>44456</v>
      </c>
      <c r="D49" s="68">
        <v>261</v>
      </c>
      <c r="E49" s="70" t="s">
        <v>88</v>
      </c>
      <c r="F49" s="68">
        <v>2</v>
      </c>
      <c r="G49" s="68">
        <v>2</v>
      </c>
      <c r="H49" s="68">
        <v>574.6</v>
      </c>
      <c r="I49" s="68">
        <f>Table1[[#This Row],[Grain Weight (g)]]-Table6[[#This Row],[Grain Bag Weight]]</f>
        <v>555.20000000000005</v>
      </c>
      <c r="J49" s="68">
        <f>(Table1[[#This Row],[Grain - Bag Weight (g) ]]/1000)/(1/10000)</f>
        <v>5552</v>
      </c>
      <c r="K49" s="68">
        <f>Table1[[#This Row],[Dry Yield (kg/ha) ]]*1.155</f>
        <v>6412.56</v>
      </c>
      <c r="L49" s="68">
        <f>Table1[[#This Row],[Yield @ 15% Moisture (kg/ha) ]]/1000</f>
        <v>6.41256</v>
      </c>
      <c r="M49">
        <v>19.399999999999999</v>
      </c>
      <c r="N49">
        <v>46</v>
      </c>
      <c r="O49">
        <f>Table1[[#This Row],[Dry Yield (kg/ha) ]]/1000</f>
        <v>5.5519999999999996</v>
      </c>
    </row>
    <row r="50" spans="2:15">
      <c r="B50" s="68">
        <v>2020</v>
      </c>
      <c r="C50" s="69">
        <v>44456</v>
      </c>
      <c r="D50" s="68">
        <v>261</v>
      </c>
      <c r="E50" s="70" t="s">
        <v>90</v>
      </c>
      <c r="F50" s="68">
        <v>2</v>
      </c>
      <c r="G50" s="68">
        <v>3</v>
      </c>
      <c r="H50" s="68">
        <v>555</v>
      </c>
      <c r="I50" s="68">
        <f>Table1[[#This Row],[Grain Weight (g)]]-Table6[[#This Row],[Grain Bag Weight]]</f>
        <v>535.6</v>
      </c>
      <c r="J50" s="68">
        <f>(Table1[[#This Row],[Grain - Bag Weight (g) ]]/1000)/(1/10000)</f>
        <v>5356.0000000000009</v>
      </c>
      <c r="K50" s="68">
        <f>Table1[[#This Row],[Dry Yield (kg/ha) ]]*1.155</f>
        <v>6186.1800000000012</v>
      </c>
      <c r="L50" s="68">
        <f>Table1[[#This Row],[Yield @ 15% Moisture (kg/ha) ]]/1000</f>
        <v>6.1861800000000011</v>
      </c>
      <c r="M50">
        <v>19.399999999999999</v>
      </c>
      <c r="N50">
        <v>46</v>
      </c>
      <c r="O50">
        <f>Table1[[#This Row],[Dry Yield (kg/ha) ]]/1000</f>
        <v>5.3560000000000008</v>
      </c>
    </row>
    <row r="51" spans="2:15">
      <c r="B51" s="68">
        <v>2020</v>
      </c>
      <c r="C51" s="69">
        <v>44456</v>
      </c>
      <c r="D51" s="68">
        <v>261</v>
      </c>
      <c r="E51" s="70" t="s">
        <v>92</v>
      </c>
      <c r="F51" s="68">
        <v>2</v>
      </c>
      <c r="G51" s="68">
        <v>4</v>
      </c>
      <c r="H51" s="68">
        <v>568.70000000000005</v>
      </c>
      <c r="I51" s="68">
        <f>Table1[[#This Row],[Grain Weight (g)]]-Table6[[#This Row],[Grain Bag Weight]]</f>
        <v>549.30000000000007</v>
      </c>
      <c r="J51" s="68">
        <f>(Table1[[#This Row],[Grain - Bag Weight (g) ]]/1000)/(1/10000)</f>
        <v>5493.0000000000009</v>
      </c>
      <c r="K51" s="68">
        <f>Table1[[#This Row],[Dry Yield (kg/ha) ]]*1.155</f>
        <v>6344.4150000000009</v>
      </c>
      <c r="L51" s="68">
        <f>Table1[[#This Row],[Yield @ 15% Moisture (kg/ha) ]]/1000</f>
        <v>6.3444150000000006</v>
      </c>
      <c r="M51">
        <v>19.399999999999999</v>
      </c>
      <c r="N51">
        <v>46</v>
      </c>
      <c r="O51">
        <f>Table1[[#This Row],[Dry Yield (kg/ha) ]]/1000</f>
        <v>5.4930000000000012</v>
      </c>
    </row>
    <row r="52" spans="2:15">
      <c r="B52" s="68">
        <v>2020</v>
      </c>
      <c r="C52" s="69">
        <v>44456</v>
      </c>
      <c r="D52" s="68">
        <v>261</v>
      </c>
      <c r="E52" s="70" t="s">
        <v>94</v>
      </c>
      <c r="F52" s="68">
        <v>2</v>
      </c>
      <c r="G52" s="68">
        <v>5</v>
      </c>
      <c r="H52" s="68">
        <v>504.4</v>
      </c>
      <c r="I52" s="68">
        <f>Table1[[#This Row],[Grain Weight (g)]]-Table6[[#This Row],[Grain Bag Weight]]</f>
        <v>485</v>
      </c>
      <c r="J52" s="68">
        <f>(Table1[[#This Row],[Grain - Bag Weight (g) ]]/1000)/(1/10000)</f>
        <v>4850</v>
      </c>
      <c r="K52" s="68">
        <f>Table1[[#This Row],[Dry Yield (kg/ha) ]]*1.155</f>
        <v>5601.75</v>
      </c>
      <c r="L52" s="68">
        <f>Table1[[#This Row],[Yield @ 15% Moisture (kg/ha) ]]/1000</f>
        <v>5.60175</v>
      </c>
      <c r="M52">
        <v>19.399999999999999</v>
      </c>
      <c r="N52">
        <v>46</v>
      </c>
      <c r="O52">
        <f>Table1[[#This Row],[Dry Yield (kg/ha) ]]/1000</f>
        <v>4.8499999999999996</v>
      </c>
    </row>
    <row r="53" spans="2:15">
      <c r="B53" s="68">
        <v>2020</v>
      </c>
      <c r="C53" s="69">
        <v>44456</v>
      </c>
      <c r="D53" s="68">
        <v>261</v>
      </c>
      <c r="E53" s="70" t="s">
        <v>96</v>
      </c>
      <c r="F53" s="68">
        <v>2</v>
      </c>
      <c r="G53" s="68">
        <v>6</v>
      </c>
      <c r="H53" s="68">
        <v>509.8</v>
      </c>
      <c r="I53" s="68">
        <f>Table1[[#This Row],[Grain Weight (g)]]-Table6[[#This Row],[Grain Bag Weight]]</f>
        <v>490.40000000000003</v>
      </c>
      <c r="J53" s="68">
        <f>(Table1[[#This Row],[Grain - Bag Weight (g) ]]/1000)/(1/10000)</f>
        <v>4904</v>
      </c>
      <c r="K53" s="68">
        <f>Table1[[#This Row],[Dry Yield (kg/ha) ]]*1.155</f>
        <v>5664.12</v>
      </c>
      <c r="L53" s="68">
        <f>Table1[[#This Row],[Yield @ 15% Moisture (kg/ha) ]]/1000</f>
        <v>5.6641199999999996</v>
      </c>
      <c r="M53">
        <v>19.399999999999999</v>
      </c>
      <c r="N53">
        <v>46</v>
      </c>
      <c r="O53">
        <f>Table1[[#This Row],[Dry Yield (kg/ha) ]]/1000</f>
        <v>4.9039999999999999</v>
      </c>
    </row>
    <row r="54" spans="2:15">
      <c r="B54" s="68">
        <v>2020</v>
      </c>
      <c r="C54" s="69">
        <v>44456</v>
      </c>
      <c r="D54" s="68">
        <v>261</v>
      </c>
      <c r="E54" s="70" t="s">
        <v>98</v>
      </c>
      <c r="F54" s="68">
        <v>2</v>
      </c>
      <c r="G54" s="68">
        <v>7</v>
      </c>
      <c r="H54" s="68">
        <v>509.5</v>
      </c>
      <c r="I54" s="68">
        <f>Table1[[#This Row],[Grain Weight (g)]]-Table6[[#This Row],[Grain Bag Weight]]</f>
        <v>490.1</v>
      </c>
      <c r="J54" s="68">
        <f>(Table1[[#This Row],[Grain - Bag Weight (g) ]]/1000)/(1/10000)</f>
        <v>4901</v>
      </c>
      <c r="K54" s="68">
        <f>Table1[[#This Row],[Dry Yield (kg/ha) ]]*1.155</f>
        <v>5660.6549999999997</v>
      </c>
      <c r="L54" s="68">
        <f>Table1[[#This Row],[Yield @ 15% Moisture (kg/ha) ]]/1000</f>
        <v>5.6606549999999993</v>
      </c>
      <c r="M54">
        <v>19.399999999999999</v>
      </c>
      <c r="N54">
        <v>46</v>
      </c>
      <c r="O54">
        <f>Table1[[#This Row],[Dry Yield (kg/ha) ]]/1000</f>
        <v>4.9009999999999998</v>
      </c>
    </row>
    <row r="55" spans="2:15">
      <c r="B55" s="68">
        <v>2020</v>
      </c>
      <c r="C55" s="69">
        <v>44456</v>
      </c>
      <c r="D55" s="68">
        <v>261</v>
      </c>
      <c r="E55" s="70" t="s">
        <v>100</v>
      </c>
      <c r="F55" s="68">
        <v>2</v>
      </c>
      <c r="G55" s="68">
        <v>8</v>
      </c>
      <c r="H55" s="68">
        <v>567.9</v>
      </c>
      <c r="I55" s="68">
        <f>Table1[[#This Row],[Grain Weight (g)]]-Table6[[#This Row],[Grain Bag Weight]]</f>
        <v>548.5</v>
      </c>
      <c r="J55" s="68">
        <f>(Table1[[#This Row],[Grain - Bag Weight (g) ]]/1000)/(1/10000)</f>
        <v>5485</v>
      </c>
      <c r="K55" s="68">
        <f>Table1[[#This Row],[Dry Yield (kg/ha) ]]*1.155</f>
        <v>6335.1750000000002</v>
      </c>
      <c r="L55" s="68">
        <f>Table1[[#This Row],[Yield @ 15% Moisture (kg/ha) ]]/1000</f>
        <v>6.3351750000000004</v>
      </c>
      <c r="M55">
        <v>19.399999999999999</v>
      </c>
      <c r="N55">
        <v>46</v>
      </c>
      <c r="O55">
        <f>Table1[[#This Row],[Dry Yield (kg/ha) ]]/1000</f>
        <v>5.4850000000000003</v>
      </c>
    </row>
    <row r="56" spans="2:15">
      <c r="B56" s="68">
        <v>2020</v>
      </c>
      <c r="C56" s="69">
        <v>44456</v>
      </c>
      <c r="D56" s="68">
        <v>261</v>
      </c>
      <c r="E56" s="70" t="s">
        <v>102</v>
      </c>
      <c r="F56" s="68">
        <v>2</v>
      </c>
      <c r="G56" s="68">
        <v>9</v>
      </c>
      <c r="H56" s="68">
        <v>425.1</v>
      </c>
      <c r="I56" s="68">
        <f>Table1[[#This Row],[Grain Weight (g)]]-Table6[[#This Row],[Grain Bag Weight]]</f>
        <v>405.70000000000005</v>
      </c>
      <c r="J56" s="68">
        <f>(Table1[[#This Row],[Grain - Bag Weight (g) ]]/1000)/(1/10000)</f>
        <v>4057.0000000000005</v>
      </c>
      <c r="K56" s="68">
        <f>Table1[[#This Row],[Dry Yield (kg/ha) ]]*1.155</f>
        <v>4685.8350000000009</v>
      </c>
      <c r="L56" s="68">
        <f>Table1[[#This Row],[Yield @ 15% Moisture (kg/ha) ]]/1000</f>
        <v>4.6858350000000009</v>
      </c>
      <c r="M56">
        <v>19.399999999999999</v>
      </c>
      <c r="N56">
        <v>46</v>
      </c>
      <c r="O56">
        <f>Table1[[#This Row],[Dry Yield (kg/ha) ]]/1000</f>
        <v>4.0570000000000004</v>
      </c>
    </row>
    <row r="58" spans="2:15">
      <c r="B58" s="114" t="s">
        <v>36</v>
      </c>
      <c r="C58" s="115" t="s">
        <v>37</v>
      </c>
      <c r="D58" s="115" t="s">
        <v>43</v>
      </c>
      <c r="E58" s="115" t="s">
        <v>38</v>
      </c>
      <c r="F58" s="115" t="s">
        <v>39</v>
      </c>
      <c r="G58" s="115" t="s">
        <v>44</v>
      </c>
      <c r="H58" s="122" t="s">
        <v>465</v>
      </c>
    </row>
    <row r="59" spans="2:15">
      <c r="B59" s="116">
        <v>2020</v>
      </c>
      <c r="C59" s="117">
        <v>44456</v>
      </c>
      <c r="D59" s="118">
        <v>261</v>
      </c>
      <c r="F59" s="118">
        <v>1</v>
      </c>
      <c r="G59" s="118">
        <v>1</v>
      </c>
      <c r="H59" s="123">
        <v>720.1</v>
      </c>
    </row>
    <row r="60" spans="2:15">
      <c r="B60" s="116">
        <v>2020</v>
      </c>
      <c r="C60" s="117">
        <v>44456</v>
      </c>
      <c r="D60" s="118">
        <v>261</v>
      </c>
      <c r="F60" s="118">
        <v>1</v>
      </c>
      <c r="G60" s="118">
        <v>2</v>
      </c>
      <c r="H60" s="123">
        <v>690</v>
      </c>
    </row>
    <row r="61" spans="2:15">
      <c r="B61" s="116">
        <v>2020</v>
      </c>
      <c r="C61" s="117">
        <v>44456</v>
      </c>
      <c r="D61" s="118">
        <v>261</v>
      </c>
      <c r="F61" s="118">
        <v>1</v>
      </c>
      <c r="G61" s="118">
        <v>3</v>
      </c>
      <c r="H61" s="123">
        <v>706.1</v>
      </c>
    </row>
    <row r="62" spans="2:15">
      <c r="B62" s="116">
        <v>2020</v>
      </c>
      <c r="C62" s="117">
        <v>44456</v>
      </c>
      <c r="D62" s="118">
        <v>261</v>
      </c>
      <c r="F62" s="118">
        <v>1</v>
      </c>
      <c r="G62" s="118">
        <v>4</v>
      </c>
      <c r="H62" s="123">
        <v>624.9</v>
      </c>
    </row>
    <row r="63" spans="2:15">
      <c r="B63" s="116">
        <v>2020</v>
      </c>
      <c r="C63" s="117">
        <v>44456</v>
      </c>
      <c r="D63" s="118">
        <v>261</v>
      </c>
      <c r="F63" s="118">
        <v>1</v>
      </c>
      <c r="G63" s="118">
        <v>5</v>
      </c>
      <c r="H63" s="123">
        <v>518.4</v>
      </c>
    </row>
    <row r="64" spans="2:15">
      <c r="B64" s="116">
        <v>2020</v>
      </c>
      <c r="C64" s="117">
        <v>44456</v>
      </c>
      <c r="D64" s="118">
        <v>261</v>
      </c>
      <c r="F64" s="118">
        <v>1</v>
      </c>
      <c r="G64" s="118">
        <v>6</v>
      </c>
      <c r="H64" s="123">
        <v>690.6</v>
      </c>
    </row>
    <row r="65" spans="2:8">
      <c r="B65" s="116">
        <v>2020</v>
      </c>
      <c r="C65" s="117">
        <v>44456</v>
      </c>
      <c r="D65" s="118">
        <v>261</v>
      </c>
      <c r="F65" s="118">
        <v>1</v>
      </c>
      <c r="G65" s="118">
        <v>7</v>
      </c>
      <c r="H65" s="123">
        <v>619.5</v>
      </c>
    </row>
    <row r="66" spans="2:8">
      <c r="B66" s="116">
        <v>2020</v>
      </c>
      <c r="C66" s="117">
        <v>44456</v>
      </c>
      <c r="D66" s="118">
        <v>261</v>
      </c>
      <c r="F66" s="118">
        <v>1</v>
      </c>
      <c r="G66" s="118">
        <v>8</v>
      </c>
      <c r="H66" s="123">
        <v>597.4</v>
      </c>
    </row>
    <row r="67" spans="2:8">
      <c r="B67" s="116">
        <v>2020</v>
      </c>
      <c r="C67" s="117">
        <v>44456</v>
      </c>
      <c r="D67" s="118">
        <v>261</v>
      </c>
      <c r="F67" s="118">
        <v>1</v>
      </c>
      <c r="G67" s="118">
        <v>9</v>
      </c>
      <c r="H67" s="123">
        <v>724.3</v>
      </c>
    </row>
    <row r="68" spans="2:8">
      <c r="B68" s="116">
        <v>2020</v>
      </c>
      <c r="C68" s="117">
        <v>44456</v>
      </c>
      <c r="D68" s="118">
        <v>261</v>
      </c>
      <c r="F68" s="118">
        <v>2</v>
      </c>
      <c r="G68" s="118">
        <v>1</v>
      </c>
      <c r="H68" s="123">
        <v>716.4</v>
      </c>
    </row>
    <row r="69" spans="2:8">
      <c r="B69" s="116">
        <v>2020</v>
      </c>
      <c r="C69" s="117">
        <v>44456</v>
      </c>
      <c r="D69" s="118">
        <v>261</v>
      </c>
      <c r="F69" s="118">
        <v>2</v>
      </c>
      <c r="G69" s="118">
        <v>2</v>
      </c>
      <c r="H69" s="123">
        <v>761</v>
      </c>
    </row>
    <row r="70" spans="2:8">
      <c r="B70" s="116">
        <v>2020</v>
      </c>
      <c r="C70" s="117">
        <v>44456</v>
      </c>
      <c r="D70" s="118">
        <v>261</v>
      </c>
      <c r="F70" s="118">
        <v>2</v>
      </c>
      <c r="G70" s="118">
        <v>3</v>
      </c>
      <c r="H70" s="123">
        <v>720.5</v>
      </c>
    </row>
    <row r="71" spans="2:8">
      <c r="B71" s="116">
        <v>2020</v>
      </c>
      <c r="C71" s="117">
        <v>44456</v>
      </c>
      <c r="D71" s="118">
        <v>261</v>
      </c>
      <c r="F71" s="118">
        <v>2</v>
      </c>
      <c r="G71" s="118">
        <v>4</v>
      </c>
      <c r="H71" s="123">
        <v>632.6</v>
      </c>
    </row>
    <row r="72" spans="2:8">
      <c r="B72" s="116">
        <v>2020</v>
      </c>
      <c r="C72" s="117">
        <v>44456</v>
      </c>
      <c r="D72" s="118">
        <v>261</v>
      </c>
      <c r="F72" s="118">
        <v>2</v>
      </c>
      <c r="G72" s="118">
        <v>5</v>
      </c>
      <c r="H72" s="123">
        <v>640.29999999999995</v>
      </c>
    </row>
    <row r="73" spans="2:8">
      <c r="B73" s="116">
        <v>2020</v>
      </c>
      <c r="C73" s="117">
        <v>44456</v>
      </c>
      <c r="D73" s="118">
        <v>261</v>
      </c>
      <c r="F73" s="118">
        <v>2</v>
      </c>
      <c r="G73" s="118">
        <v>6</v>
      </c>
      <c r="H73" s="123">
        <v>626.29999999999995</v>
      </c>
    </row>
    <row r="74" spans="2:8">
      <c r="B74" s="116">
        <v>2020</v>
      </c>
      <c r="C74" s="117">
        <v>44456</v>
      </c>
      <c r="D74" s="118">
        <v>261</v>
      </c>
      <c r="F74" s="118">
        <v>2</v>
      </c>
      <c r="G74" s="118">
        <v>7</v>
      </c>
      <c r="H74" s="123">
        <v>638.79999999999995</v>
      </c>
    </row>
    <row r="75" spans="2:8">
      <c r="B75" s="116">
        <v>2020</v>
      </c>
      <c r="C75" s="117">
        <v>44456</v>
      </c>
      <c r="D75" s="118">
        <v>261</v>
      </c>
      <c r="F75" s="118">
        <v>2</v>
      </c>
      <c r="G75" s="118">
        <v>8</v>
      </c>
      <c r="H75" s="123">
        <v>696.7</v>
      </c>
    </row>
    <row r="76" spans="2:8">
      <c r="B76" s="119">
        <v>2020</v>
      </c>
      <c r="C76" s="120">
        <v>44456</v>
      </c>
      <c r="D76" s="121">
        <v>261</v>
      </c>
      <c r="F76" s="121">
        <v>2</v>
      </c>
      <c r="G76" s="121">
        <v>9</v>
      </c>
      <c r="H76" s="124">
        <v>620.6</v>
      </c>
    </row>
  </sheetData>
  <mergeCells count="4">
    <mergeCell ref="C4:D4"/>
    <mergeCell ref="E4:F4"/>
    <mergeCell ref="C18:D18"/>
    <mergeCell ref="E18:F18"/>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8A7-FF51-4B4A-A6B7-30563F4977A4}">
  <dimension ref="A1:AL68"/>
  <sheetViews>
    <sheetView topLeftCell="E1" zoomScale="56" workbookViewId="0">
      <selection activeCell="AL33" sqref="AL33"/>
    </sheetView>
  </sheetViews>
  <sheetFormatPr defaultColWidth="11" defaultRowHeight="15.75"/>
  <cols>
    <col min="2" max="2" width="14.375" customWidth="1"/>
    <col min="3" max="3" width="14" customWidth="1"/>
    <col min="4" max="4" width="16" customWidth="1"/>
    <col min="5" max="5" width="13.625" customWidth="1"/>
    <col min="6" max="6" width="18.625" customWidth="1"/>
    <col min="7" max="7" width="16.875" customWidth="1"/>
    <col min="8" max="8" width="20.375" customWidth="1"/>
    <col min="9" max="9" width="13.625" customWidth="1"/>
    <col min="10" max="10" width="18.5" customWidth="1"/>
    <col min="11" max="11" width="14.875" customWidth="1"/>
    <col min="12" max="12" width="22.375" customWidth="1"/>
    <col min="14" max="14" width="13.125" customWidth="1"/>
    <col min="15" max="15" width="15" customWidth="1"/>
    <col min="16" max="16" width="21.5" customWidth="1"/>
    <col min="17" max="17" width="12.875" customWidth="1"/>
    <col min="18" max="18" width="16.125" customWidth="1"/>
    <col min="19" max="19" width="15.375" customWidth="1"/>
    <col min="20" max="20" width="13.125" customWidth="1"/>
    <col min="24" max="24" width="13.5" customWidth="1"/>
    <col min="25" max="25" width="15.5" customWidth="1"/>
    <col min="26" max="26" width="12.375" customWidth="1"/>
    <col min="27" max="27" width="13.5" customWidth="1"/>
    <col min="28" max="28" width="12.125" customWidth="1"/>
    <col min="33" max="33" width="17.375" customWidth="1"/>
    <col min="34" max="34" width="23.375" customWidth="1"/>
    <col min="35" max="35" width="18.5" customWidth="1"/>
  </cols>
  <sheetData>
    <row r="1" spans="1:38" ht="21">
      <c r="A1" s="49"/>
      <c r="B1" s="199" t="s">
        <v>413</v>
      </c>
      <c r="C1" s="199"/>
      <c r="D1" s="199"/>
      <c r="E1" s="199"/>
      <c r="F1" s="199" t="s">
        <v>449</v>
      </c>
      <c r="G1" s="199"/>
      <c r="H1" s="199"/>
      <c r="I1" s="199"/>
      <c r="J1" s="199"/>
      <c r="K1" s="199"/>
      <c r="L1" s="19" t="s">
        <v>450</v>
      </c>
      <c r="M1" s="19"/>
      <c r="N1" s="19"/>
      <c r="O1" s="19"/>
      <c r="P1" s="19" t="s">
        <v>414</v>
      </c>
      <c r="Q1" s="19" t="s">
        <v>415</v>
      </c>
      <c r="R1" s="19">
        <v>42.3</v>
      </c>
      <c r="S1" s="19" t="s">
        <v>416</v>
      </c>
      <c r="T1" s="50">
        <v>34.06</v>
      </c>
      <c r="U1" s="19"/>
      <c r="V1" s="19"/>
      <c r="W1" s="19"/>
      <c r="X1" s="19"/>
      <c r="Y1" s="19"/>
      <c r="Z1" s="19"/>
      <c r="AA1" s="19"/>
      <c r="AB1" s="19"/>
      <c r="AC1" s="19"/>
    </row>
    <row r="2" spans="1:38" ht="26.25">
      <c r="A2" s="51"/>
      <c r="B2" s="52" t="s">
        <v>417</v>
      </c>
      <c r="C2" s="19"/>
      <c r="D2" s="19"/>
      <c r="E2" s="19"/>
      <c r="F2" s="19"/>
      <c r="G2" s="19"/>
      <c r="H2" s="53"/>
      <c r="I2" s="53"/>
      <c r="J2" s="53" t="s">
        <v>418</v>
      </c>
      <c r="K2" s="19"/>
      <c r="L2" s="19"/>
      <c r="M2" s="19"/>
      <c r="N2" s="19"/>
      <c r="O2" s="19"/>
      <c r="P2" s="19"/>
      <c r="Q2" s="19"/>
      <c r="R2" s="19"/>
      <c r="S2" s="19" t="s">
        <v>419</v>
      </c>
      <c r="T2" s="50">
        <v>21.8</v>
      </c>
      <c r="U2" s="19"/>
      <c r="V2" s="19"/>
      <c r="W2" s="19"/>
      <c r="X2" s="19"/>
      <c r="Y2" s="19"/>
      <c r="Z2" s="19"/>
      <c r="AA2" s="19"/>
      <c r="AB2" s="19"/>
      <c r="AC2" s="19"/>
    </row>
    <row r="3" spans="1:38" ht="23.25">
      <c r="A3" s="19"/>
      <c r="B3" s="19"/>
      <c r="C3" s="19"/>
      <c r="D3" s="200" t="s">
        <v>420</v>
      </c>
      <c r="E3" s="201"/>
      <c r="F3" s="202"/>
      <c r="G3" s="203"/>
      <c r="H3" s="26" t="s">
        <v>421</v>
      </c>
      <c r="I3" s="54"/>
      <c r="J3" s="19"/>
      <c r="K3" s="19"/>
      <c r="L3" s="19"/>
      <c r="M3" s="19"/>
      <c r="N3" s="19"/>
      <c r="P3" s="200" t="s">
        <v>422</v>
      </c>
      <c r="Q3" s="204"/>
      <c r="R3" s="204"/>
      <c r="S3" s="204"/>
      <c r="T3" s="201"/>
      <c r="V3" s="28"/>
      <c r="W3" s="28"/>
      <c r="X3" s="28"/>
      <c r="Y3" s="55" t="s">
        <v>423</v>
      </c>
      <c r="Z3" s="55"/>
      <c r="AA3" s="55"/>
      <c r="AB3" s="55"/>
      <c r="AF3" s="15"/>
      <c r="AG3" s="15"/>
      <c r="AH3" s="15"/>
      <c r="AI3" s="15"/>
    </row>
    <row r="4" spans="1:38" ht="21">
      <c r="A4" s="99" t="s">
        <v>505</v>
      </c>
      <c r="B4" s="54" t="s">
        <v>424</v>
      </c>
      <c r="C4" s="59" t="s">
        <v>425</v>
      </c>
      <c r="D4" s="56" t="s">
        <v>426</v>
      </c>
      <c r="E4" s="56" t="s">
        <v>427</v>
      </c>
      <c r="F4" s="59" t="s">
        <v>428</v>
      </c>
      <c r="G4" s="59" t="s">
        <v>429</v>
      </c>
      <c r="H4" s="26"/>
      <c r="I4" s="26" t="s">
        <v>430</v>
      </c>
      <c r="J4" s="59" t="s">
        <v>399</v>
      </c>
      <c r="K4" s="59" t="s">
        <v>393</v>
      </c>
      <c r="L4" s="75" t="s">
        <v>431</v>
      </c>
      <c r="M4" s="99" t="s">
        <v>505</v>
      </c>
      <c r="N4" s="96" t="s">
        <v>432</v>
      </c>
      <c r="O4" s="26" t="s">
        <v>396</v>
      </c>
      <c r="P4" s="26" t="s">
        <v>433</v>
      </c>
      <c r="Q4" s="26" t="s">
        <v>421</v>
      </c>
      <c r="R4" s="26" t="s">
        <v>434</v>
      </c>
      <c r="S4" s="59" t="s">
        <v>399</v>
      </c>
      <c r="T4" s="59" t="s">
        <v>393</v>
      </c>
      <c r="U4" s="23" t="s">
        <v>394</v>
      </c>
      <c r="V4" s="19"/>
      <c r="W4" s="197" t="s">
        <v>435</v>
      </c>
      <c r="X4" s="197"/>
      <c r="Y4" s="197"/>
      <c r="Z4" s="197"/>
      <c r="AA4" s="197"/>
      <c r="AB4" s="198"/>
      <c r="AC4" s="54"/>
      <c r="AF4" s="15"/>
      <c r="AG4" s="15"/>
      <c r="AH4" s="15"/>
      <c r="AI4" s="15"/>
    </row>
    <row r="5" spans="1:38">
      <c r="A5" s="100" t="s">
        <v>238</v>
      </c>
      <c r="B5" s="96" t="s">
        <v>106</v>
      </c>
      <c r="C5" s="28">
        <v>1159.3</v>
      </c>
      <c r="D5" s="57">
        <v>318.39999999999998</v>
      </c>
      <c r="E5" s="57">
        <f>D5-$R$1</f>
        <v>276.09999999999997</v>
      </c>
      <c r="F5" s="28"/>
      <c r="G5" s="28"/>
      <c r="H5" s="28">
        <v>123.3</v>
      </c>
      <c r="I5" s="28">
        <f>H5-$R$1</f>
        <v>81</v>
      </c>
      <c r="J5" s="27">
        <f t="shared" ref="J5:J13" si="0">(D5/1000)/(1/10000)</f>
        <v>3183.9999999999995</v>
      </c>
      <c r="K5" s="28">
        <f>(I5/1000)/(1/10000)</f>
        <v>810</v>
      </c>
      <c r="L5" s="92">
        <f>K5-$R$14</f>
        <v>776.16</v>
      </c>
      <c r="M5" s="98"/>
      <c r="N5" s="96"/>
      <c r="O5" s="28"/>
      <c r="P5" s="28"/>
      <c r="Q5" s="28"/>
      <c r="R5" s="28"/>
      <c r="S5" s="28"/>
      <c r="T5" s="28"/>
      <c r="U5" s="91"/>
      <c r="V5" s="95" t="s">
        <v>505</v>
      </c>
      <c r="W5" s="93" t="s">
        <v>388</v>
      </c>
      <c r="X5" s="44" t="s">
        <v>389</v>
      </c>
      <c r="Y5" s="44" t="s">
        <v>436</v>
      </c>
      <c r="Z5" s="44" t="s">
        <v>390</v>
      </c>
      <c r="AA5" s="44" t="s">
        <v>392</v>
      </c>
      <c r="AB5" s="23" t="s">
        <v>394</v>
      </c>
      <c r="AC5" s="19" t="s">
        <v>63</v>
      </c>
      <c r="AF5" s="15"/>
      <c r="AG5" s="15" t="s">
        <v>393</v>
      </c>
      <c r="AH5" s="15" t="s">
        <v>431</v>
      </c>
      <c r="AI5" s="15" t="s">
        <v>700</v>
      </c>
      <c r="AK5" s="15" t="s">
        <v>697</v>
      </c>
      <c r="AL5" s="15" t="s">
        <v>679</v>
      </c>
    </row>
    <row r="6" spans="1:38">
      <c r="A6" s="100" t="s">
        <v>240</v>
      </c>
      <c r="B6" s="96" t="s">
        <v>108</v>
      </c>
      <c r="C6" s="28">
        <v>878.1</v>
      </c>
      <c r="D6" s="57">
        <v>365</v>
      </c>
      <c r="E6" s="57">
        <f t="shared" ref="E6:E13" si="1">D6-$R$1</f>
        <v>322.7</v>
      </c>
      <c r="F6" s="28"/>
      <c r="G6" s="28"/>
      <c r="H6" s="28">
        <v>150.80000000000001</v>
      </c>
      <c r="I6" s="28">
        <f t="shared" ref="I6:I13" si="2">H6-$R$1</f>
        <v>108.50000000000001</v>
      </c>
      <c r="J6" s="27">
        <f t="shared" si="0"/>
        <v>3649.9999999999995</v>
      </c>
      <c r="K6" s="28">
        <f t="shared" ref="K6:K13" si="3">(I6/1000)/(1/10000)</f>
        <v>1085</v>
      </c>
      <c r="L6" s="92">
        <f t="shared" ref="L6:L13" si="4">K6-$P$14</f>
        <v>1040.1099999999999</v>
      </c>
      <c r="M6" s="98"/>
      <c r="N6" s="96"/>
      <c r="O6" s="28"/>
      <c r="P6" s="28"/>
      <c r="Q6" s="28"/>
      <c r="R6" s="28"/>
      <c r="S6" s="28"/>
      <c r="T6" s="28"/>
      <c r="U6" s="91"/>
      <c r="V6" s="90" t="s">
        <v>270</v>
      </c>
      <c r="W6" s="94">
        <v>1</v>
      </c>
      <c r="X6" s="24">
        <v>131.9</v>
      </c>
      <c r="Y6" s="24">
        <f>X6-$T$1</f>
        <v>97.84</v>
      </c>
      <c r="Z6" s="24">
        <v>39.200000000000003</v>
      </c>
      <c r="AA6" s="24">
        <f t="shared" ref="AA6:AA17" si="5">Z6-$T$1</f>
        <v>5.1400000000000006</v>
      </c>
      <c r="AB6" s="25">
        <f>((Y6-AA6)/Y6)*100</f>
        <v>94.746524938675392</v>
      </c>
      <c r="AC6" s="19"/>
      <c r="AE6">
        <v>3</v>
      </c>
      <c r="AF6" s="15">
        <v>1</v>
      </c>
      <c r="AG6" s="15">
        <v>810</v>
      </c>
      <c r="AH6" s="15">
        <v>776.16</v>
      </c>
      <c r="AI6" s="15">
        <f>AH6/1000</f>
        <v>0.77615999999999996</v>
      </c>
      <c r="AK6">
        <f>AVERAGE(AI6:AI14)</f>
        <v>1.1993377777777778</v>
      </c>
      <c r="AL6">
        <f>STDEV(AI6:AI14)</f>
        <v>0.37853454854800744</v>
      </c>
    </row>
    <row r="7" spans="1:38">
      <c r="A7" s="100" t="s">
        <v>241</v>
      </c>
      <c r="B7" s="96" t="s">
        <v>110</v>
      </c>
      <c r="C7" s="28">
        <v>899</v>
      </c>
      <c r="D7" s="57">
        <v>436.1</v>
      </c>
      <c r="E7" s="57">
        <f t="shared" si="1"/>
        <v>393.8</v>
      </c>
      <c r="F7" s="28"/>
      <c r="G7" s="28"/>
      <c r="H7" s="28">
        <v>209.8</v>
      </c>
      <c r="I7" s="28">
        <f t="shared" si="2"/>
        <v>167.5</v>
      </c>
      <c r="J7" s="27">
        <f t="shared" si="0"/>
        <v>4361</v>
      </c>
      <c r="K7" s="28">
        <f t="shared" si="3"/>
        <v>1675</v>
      </c>
      <c r="L7" s="92">
        <f t="shared" si="4"/>
        <v>1630.11</v>
      </c>
      <c r="M7" s="98"/>
      <c r="N7" s="96"/>
      <c r="O7" s="28"/>
      <c r="P7" s="28"/>
      <c r="Q7" s="28"/>
      <c r="R7" s="28"/>
      <c r="S7" s="28"/>
      <c r="T7" s="28"/>
      <c r="U7" s="91"/>
      <c r="V7" s="90" t="s">
        <v>271</v>
      </c>
      <c r="W7" s="94">
        <v>2</v>
      </c>
      <c r="X7" s="24">
        <v>117.7</v>
      </c>
      <c r="Y7" s="24">
        <f t="shared" ref="Y7:Y17" si="6">X7-$T$1</f>
        <v>83.64</v>
      </c>
      <c r="Z7" s="24">
        <v>38.9</v>
      </c>
      <c r="AA7" s="24">
        <f t="shared" si="5"/>
        <v>4.8399999999999963</v>
      </c>
      <c r="AB7" s="25">
        <f t="shared" ref="AB7:AB17" si="7">((Y7-AA7)/Y7)*100</f>
        <v>94.213295074127217</v>
      </c>
      <c r="AC7" s="19"/>
      <c r="AE7">
        <v>3</v>
      </c>
      <c r="AF7" s="15">
        <v>2</v>
      </c>
      <c r="AG7" s="15">
        <v>1085</v>
      </c>
      <c r="AH7" s="15">
        <v>1040.1099999999999</v>
      </c>
      <c r="AI7" s="15">
        <f t="shared" ref="AI7:AI14" si="8">AH7/1000</f>
        <v>1.0401099999999999</v>
      </c>
    </row>
    <row r="8" spans="1:38">
      <c r="A8" s="100" t="s">
        <v>242</v>
      </c>
      <c r="B8" s="96" t="s">
        <v>112</v>
      </c>
      <c r="C8" s="28">
        <v>686.1</v>
      </c>
      <c r="D8" s="57">
        <f>F8+O8</f>
        <v>308.3</v>
      </c>
      <c r="E8" s="57">
        <f t="shared" si="1"/>
        <v>266</v>
      </c>
      <c r="F8" s="28">
        <v>214</v>
      </c>
      <c r="G8" s="28">
        <f>F8-T1</f>
        <v>179.94</v>
      </c>
      <c r="H8" s="28">
        <v>96.1</v>
      </c>
      <c r="I8" s="28">
        <f t="shared" si="2"/>
        <v>53.8</v>
      </c>
      <c r="J8" s="27">
        <f t="shared" si="0"/>
        <v>3083</v>
      </c>
      <c r="K8" s="28">
        <f t="shared" si="3"/>
        <v>538</v>
      </c>
      <c r="L8" s="92">
        <f t="shared" si="4"/>
        <v>493.11</v>
      </c>
      <c r="M8" s="90" t="s">
        <v>506</v>
      </c>
      <c r="N8" s="97" t="s">
        <v>112</v>
      </c>
      <c r="O8" s="27">
        <v>94.3</v>
      </c>
      <c r="P8" s="27">
        <f>O8-T1</f>
        <v>60.239999999999995</v>
      </c>
      <c r="Q8" s="27">
        <v>79.8</v>
      </c>
      <c r="R8" s="27">
        <f>Q8-T1</f>
        <v>45.739999999999995</v>
      </c>
      <c r="S8" s="27">
        <f>(O8/1000)/(1/10000)</f>
        <v>942.99999999999989</v>
      </c>
      <c r="T8" s="27">
        <f>(Q8/1000)/(1/10000)</f>
        <v>797.99999999999989</v>
      </c>
      <c r="U8" s="92">
        <f>((P8-R8)/P8)*100</f>
        <v>24.070385126162019</v>
      </c>
      <c r="V8" s="90" t="s">
        <v>272</v>
      </c>
      <c r="W8" s="94">
        <v>3</v>
      </c>
      <c r="X8" s="24">
        <v>137</v>
      </c>
      <c r="Y8" s="24">
        <f t="shared" si="6"/>
        <v>102.94</v>
      </c>
      <c r="Z8" s="24">
        <v>40.1</v>
      </c>
      <c r="AA8" s="24">
        <f t="shared" si="5"/>
        <v>6.0399999999999991</v>
      </c>
      <c r="AB8" s="25">
        <f t="shared" si="7"/>
        <v>94.132504371478547</v>
      </c>
      <c r="AC8" s="19"/>
      <c r="AE8">
        <v>3</v>
      </c>
      <c r="AF8" s="15">
        <v>3</v>
      </c>
      <c r="AG8" s="15">
        <v>1675</v>
      </c>
      <c r="AH8" s="15">
        <v>1630.11</v>
      </c>
      <c r="AI8" s="15">
        <f t="shared" si="8"/>
        <v>1.6301099999999999</v>
      </c>
    </row>
    <row r="9" spans="1:38">
      <c r="A9" s="100" t="s">
        <v>243</v>
      </c>
      <c r="B9" s="96" t="s">
        <v>114</v>
      </c>
      <c r="C9" s="28">
        <v>813.5</v>
      </c>
      <c r="D9" s="57">
        <v>394.7</v>
      </c>
      <c r="E9" s="57">
        <f t="shared" si="1"/>
        <v>352.4</v>
      </c>
      <c r="F9" s="28"/>
      <c r="G9" s="28"/>
      <c r="H9" s="28">
        <v>183.1</v>
      </c>
      <c r="I9" s="28">
        <f t="shared" si="2"/>
        <v>140.80000000000001</v>
      </c>
      <c r="J9" s="27">
        <f t="shared" si="0"/>
        <v>3946.9999999999995</v>
      </c>
      <c r="K9" s="28">
        <f t="shared" si="3"/>
        <v>1408</v>
      </c>
      <c r="L9" s="92">
        <f t="shared" si="4"/>
        <v>1363.11</v>
      </c>
      <c r="M9" s="98"/>
      <c r="N9" s="97"/>
      <c r="O9" s="27"/>
      <c r="P9" s="27"/>
      <c r="Q9" s="27"/>
      <c r="R9" s="27"/>
      <c r="S9" s="28"/>
      <c r="T9" s="28"/>
      <c r="U9" s="91"/>
      <c r="V9" s="90" t="s">
        <v>273</v>
      </c>
      <c r="W9" s="94">
        <v>4</v>
      </c>
      <c r="X9" s="24">
        <v>94.1</v>
      </c>
      <c r="Y9" s="24">
        <f t="shared" si="6"/>
        <v>60.039999999999992</v>
      </c>
      <c r="Z9" s="24">
        <v>36.1</v>
      </c>
      <c r="AA9" s="24">
        <f t="shared" si="5"/>
        <v>2.0399999999999991</v>
      </c>
      <c r="AB9" s="25">
        <f t="shared" si="7"/>
        <v>96.602265156562297</v>
      </c>
      <c r="AC9" s="19"/>
      <c r="AE9">
        <v>3</v>
      </c>
      <c r="AF9" s="15">
        <v>4</v>
      </c>
      <c r="AG9" s="15">
        <v>538</v>
      </c>
      <c r="AH9" s="15">
        <v>493.11</v>
      </c>
      <c r="AI9" s="15">
        <f t="shared" si="8"/>
        <v>0.49310999999999999</v>
      </c>
    </row>
    <row r="10" spans="1:38">
      <c r="A10" s="100" t="s">
        <v>244</v>
      </c>
      <c r="B10" s="96" t="s">
        <v>116</v>
      </c>
      <c r="C10" s="28">
        <v>912.4</v>
      </c>
      <c r="D10" s="57">
        <f>F10+O10</f>
        <v>526.29999999999995</v>
      </c>
      <c r="E10" s="57">
        <f t="shared" si="1"/>
        <v>483.99999999999994</v>
      </c>
      <c r="F10" s="28">
        <v>462.7</v>
      </c>
      <c r="G10" s="28">
        <f>F10-T1</f>
        <v>428.64</v>
      </c>
      <c r="H10" s="28">
        <v>177.6</v>
      </c>
      <c r="I10" s="28">
        <f t="shared" si="2"/>
        <v>135.30000000000001</v>
      </c>
      <c r="J10" s="27">
        <f t="shared" si="0"/>
        <v>5263</v>
      </c>
      <c r="K10" s="28">
        <f t="shared" si="3"/>
        <v>1353</v>
      </c>
      <c r="L10" s="92">
        <f t="shared" si="4"/>
        <v>1308.1099999999999</v>
      </c>
      <c r="M10" s="90" t="s">
        <v>507</v>
      </c>
      <c r="N10" s="97" t="s">
        <v>116</v>
      </c>
      <c r="O10" s="27">
        <v>63.6</v>
      </c>
      <c r="P10" s="27">
        <f>O10-T1</f>
        <v>29.54</v>
      </c>
      <c r="Q10" s="27">
        <v>56</v>
      </c>
      <c r="R10" s="27">
        <f>Q10-T1</f>
        <v>21.939999999999998</v>
      </c>
      <c r="S10" s="27">
        <f>(O10/1000)/(1/10000)</f>
        <v>636</v>
      </c>
      <c r="T10" s="27">
        <f>(Q10/1000)/(1/10000)</f>
        <v>560</v>
      </c>
      <c r="U10" s="92">
        <f>((P10-R10)/P10)*100</f>
        <v>25.727826675693983</v>
      </c>
      <c r="V10" s="90" t="s">
        <v>274</v>
      </c>
      <c r="W10" s="94">
        <v>5</v>
      </c>
      <c r="X10" s="24">
        <v>158.69999999999999</v>
      </c>
      <c r="Y10" s="24">
        <f t="shared" si="6"/>
        <v>124.63999999999999</v>
      </c>
      <c r="Z10" s="24">
        <v>41.7</v>
      </c>
      <c r="AA10" s="24">
        <f t="shared" si="5"/>
        <v>7.6400000000000006</v>
      </c>
      <c r="AB10" s="25">
        <f t="shared" si="7"/>
        <v>93.870346598202829</v>
      </c>
      <c r="AC10" s="19"/>
      <c r="AE10">
        <v>3</v>
      </c>
      <c r="AF10" s="15">
        <v>5</v>
      </c>
      <c r="AG10" s="15">
        <v>1408</v>
      </c>
      <c r="AH10" s="15">
        <v>1363.11</v>
      </c>
      <c r="AI10" s="15">
        <f t="shared" si="8"/>
        <v>1.3631099999999998</v>
      </c>
    </row>
    <row r="11" spans="1:38">
      <c r="A11" s="100" t="s">
        <v>245</v>
      </c>
      <c r="B11" s="96" t="s">
        <v>118</v>
      </c>
      <c r="C11" s="28">
        <v>908.4</v>
      </c>
      <c r="D11" s="57">
        <v>424</v>
      </c>
      <c r="E11" s="57">
        <f t="shared" si="1"/>
        <v>381.7</v>
      </c>
      <c r="F11" s="28"/>
      <c r="G11" s="28"/>
      <c r="H11" s="28">
        <v>171.6</v>
      </c>
      <c r="I11" s="28">
        <f t="shared" si="2"/>
        <v>129.30000000000001</v>
      </c>
      <c r="J11" s="27">
        <f t="shared" si="0"/>
        <v>4240</v>
      </c>
      <c r="K11" s="28">
        <f t="shared" si="3"/>
        <v>1293</v>
      </c>
      <c r="L11" s="92">
        <f t="shared" si="4"/>
        <v>1248.1099999999999</v>
      </c>
      <c r="M11" s="98"/>
      <c r="N11" s="97"/>
      <c r="O11" s="27"/>
      <c r="P11" s="27"/>
      <c r="Q11" s="27"/>
      <c r="R11" s="27"/>
      <c r="S11" s="28"/>
      <c r="T11" s="28"/>
      <c r="U11" s="91"/>
      <c r="V11" s="90" t="s">
        <v>275</v>
      </c>
      <c r="W11" s="94">
        <v>6</v>
      </c>
      <c r="X11" s="24">
        <v>149.4</v>
      </c>
      <c r="Y11" s="24">
        <f t="shared" si="6"/>
        <v>115.34</v>
      </c>
      <c r="Z11" s="24">
        <v>41.8</v>
      </c>
      <c r="AA11" s="24">
        <f t="shared" si="5"/>
        <v>7.7399999999999949</v>
      </c>
      <c r="AB11" s="25">
        <f t="shared" si="7"/>
        <v>93.289405236691522</v>
      </c>
      <c r="AC11" s="19"/>
      <c r="AE11">
        <v>3</v>
      </c>
      <c r="AF11" s="15">
        <v>6</v>
      </c>
      <c r="AG11" s="15">
        <v>1353</v>
      </c>
      <c r="AH11" s="15">
        <v>1308.1099999999999</v>
      </c>
      <c r="AI11" s="15">
        <f t="shared" si="8"/>
        <v>1.3081099999999999</v>
      </c>
    </row>
    <row r="12" spans="1:38">
      <c r="A12" s="100" t="s">
        <v>246</v>
      </c>
      <c r="B12" s="96" t="s">
        <v>120</v>
      </c>
      <c r="C12" s="28">
        <v>766</v>
      </c>
      <c r="D12" s="57">
        <v>391</v>
      </c>
      <c r="E12" s="57">
        <f t="shared" si="1"/>
        <v>348.7</v>
      </c>
      <c r="F12" s="28"/>
      <c r="G12" s="28"/>
      <c r="H12" s="28">
        <v>174.5</v>
      </c>
      <c r="I12" s="28">
        <f t="shared" si="2"/>
        <v>132.19999999999999</v>
      </c>
      <c r="J12" s="27">
        <f t="shared" si="0"/>
        <v>3910</v>
      </c>
      <c r="K12" s="28">
        <f t="shared" si="3"/>
        <v>1321.9999999999998</v>
      </c>
      <c r="L12" s="92">
        <f t="shared" si="4"/>
        <v>1277.1099999999997</v>
      </c>
      <c r="M12" s="98"/>
      <c r="N12" s="97"/>
      <c r="O12" s="27"/>
      <c r="P12" s="27"/>
      <c r="Q12" s="27"/>
      <c r="R12" s="27"/>
      <c r="S12" s="28"/>
      <c r="T12" s="28"/>
      <c r="U12" s="91"/>
      <c r="V12" s="90" t="s">
        <v>276</v>
      </c>
      <c r="W12" s="94">
        <v>7</v>
      </c>
      <c r="X12" s="24">
        <v>139.6</v>
      </c>
      <c r="Y12" s="24">
        <f t="shared" si="6"/>
        <v>105.53999999999999</v>
      </c>
      <c r="Z12" s="24">
        <v>41</v>
      </c>
      <c r="AA12" s="24">
        <f t="shared" si="5"/>
        <v>6.9399999999999977</v>
      </c>
      <c r="AB12" s="25">
        <f t="shared" si="7"/>
        <v>93.4242941064999</v>
      </c>
      <c r="AC12" s="19"/>
      <c r="AE12">
        <v>3</v>
      </c>
      <c r="AF12" s="15">
        <v>7</v>
      </c>
      <c r="AG12" s="15">
        <v>1293</v>
      </c>
      <c r="AH12" s="15">
        <v>1248.1099999999999</v>
      </c>
      <c r="AI12" s="15">
        <f t="shared" si="8"/>
        <v>1.2481099999999998</v>
      </c>
    </row>
    <row r="13" spans="1:38">
      <c r="A13" s="100" t="s">
        <v>247</v>
      </c>
      <c r="B13" s="96" t="s">
        <v>122</v>
      </c>
      <c r="C13" s="28">
        <v>749.4</v>
      </c>
      <c r="D13" s="57">
        <v>396.9</v>
      </c>
      <c r="E13" s="57">
        <f t="shared" si="1"/>
        <v>354.59999999999997</v>
      </c>
      <c r="F13" s="28"/>
      <c r="G13" s="28"/>
      <c r="H13" s="28">
        <v>212.6</v>
      </c>
      <c r="I13" s="28">
        <f t="shared" si="2"/>
        <v>170.3</v>
      </c>
      <c r="J13" s="27">
        <f t="shared" si="0"/>
        <v>3968.9999999999995</v>
      </c>
      <c r="K13" s="28">
        <f t="shared" si="3"/>
        <v>1703</v>
      </c>
      <c r="L13" s="92">
        <f t="shared" si="4"/>
        <v>1658.11</v>
      </c>
      <c r="M13" s="98"/>
      <c r="N13" s="97"/>
      <c r="O13" s="27"/>
      <c r="P13" s="27"/>
      <c r="Q13" s="27"/>
      <c r="R13" s="27"/>
      <c r="S13" s="28"/>
      <c r="T13" s="28"/>
      <c r="U13" s="91"/>
      <c r="V13" s="90" t="s">
        <v>277</v>
      </c>
      <c r="W13" s="94">
        <v>8</v>
      </c>
      <c r="X13" s="24">
        <v>121.9</v>
      </c>
      <c r="Y13" s="24">
        <f t="shared" si="6"/>
        <v>87.84</v>
      </c>
      <c r="Z13" s="24">
        <v>38.4</v>
      </c>
      <c r="AA13" s="24">
        <f t="shared" si="5"/>
        <v>4.3399999999999963</v>
      </c>
      <c r="AB13" s="25">
        <f t="shared" si="7"/>
        <v>95.059198542805106</v>
      </c>
      <c r="AC13" s="19"/>
      <c r="AE13">
        <v>3</v>
      </c>
      <c r="AF13" s="15">
        <v>8</v>
      </c>
      <c r="AG13" s="15">
        <v>1321.9999999999998</v>
      </c>
      <c r="AH13" s="15">
        <v>1277.1099999999997</v>
      </c>
      <c r="AI13" s="15">
        <f t="shared" si="8"/>
        <v>1.2771099999999997</v>
      </c>
    </row>
    <row r="14" spans="1:38" ht="18.75">
      <c r="A14" s="19"/>
      <c r="L14" s="42"/>
      <c r="M14" s="19"/>
      <c r="N14" s="37" t="s">
        <v>404</v>
      </c>
      <c r="O14" s="58">
        <f t="shared" ref="O14:U14" si="9">AVERAGE(O8:O10)</f>
        <v>78.95</v>
      </c>
      <c r="P14" s="58">
        <f t="shared" si="9"/>
        <v>44.89</v>
      </c>
      <c r="Q14" s="58">
        <f t="shared" si="9"/>
        <v>67.900000000000006</v>
      </c>
      <c r="R14" s="58">
        <f t="shared" si="9"/>
        <v>33.839999999999996</v>
      </c>
      <c r="S14" s="58">
        <f t="shared" si="9"/>
        <v>789.5</v>
      </c>
      <c r="T14" s="58">
        <f t="shared" si="9"/>
        <v>679</v>
      </c>
      <c r="U14" s="58">
        <f t="shared" si="9"/>
        <v>24.899105900927999</v>
      </c>
      <c r="V14" s="90" t="s">
        <v>278</v>
      </c>
      <c r="W14" s="94">
        <v>9</v>
      </c>
      <c r="X14" s="24">
        <v>168.1</v>
      </c>
      <c r="Y14" s="24">
        <f t="shared" si="6"/>
        <v>134.04</v>
      </c>
      <c r="Z14" s="24">
        <v>42.3</v>
      </c>
      <c r="AA14" s="24">
        <f t="shared" si="5"/>
        <v>8.2399999999999949</v>
      </c>
      <c r="AB14" s="25">
        <f t="shared" si="7"/>
        <v>93.852581319009261</v>
      </c>
      <c r="AC14" s="19"/>
      <c r="AE14">
        <v>3</v>
      </c>
      <c r="AF14" s="15">
        <v>9</v>
      </c>
      <c r="AG14" s="15">
        <v>1703</v>
      </c>
      <c r="AH14" s="15">
        <v>1658.11</v>
      </c>
      <c r="AI14" s="15">
        <f t="shared" si="8"/>
        <v>1.65811</v>
      </c>
    </row>
    <row r="15" spans="1:38" ht="18.75">
      <c r="A15" s="19"/>
      <c r="M15" s="19"/>
      <c r="N15" s="37" t="s">
        <v>405</v>
      </c>
      <c r="O15" s="58">
        <f t="shared" ref="O15:U15" si="10">_xlfn.STDEV.P(O8:O10)/SQRT(9)</f>
        <v>5.1166666666666609</v>
      </c>
      <c r="P15" s="58">
        <f t="shared" si="10"/>
        <v>5.1166666666666636</v>
      </c>
      <c r="Q15" s="58">
        <f t="shared" si="10"/>
        <v>3.9666666666666619</v>
      </c>
      <c r="R15" s="58">
        <f t="shared" si="10"/>
        <v>3.9666666666666619</v>
      </c>
      <c r="S15" s="58">
        <f t="shared" si="10"/>
        <v>51.166666666666544</v>
      </c>
      <c r="T15" s="58">
        <f t="shared" si="10"/>
        <v>39.666666666666508</v>
      </c>
      <c r="U15" s="58">
        <f t="shared" si="10"/>
        <v>0.27624025825532722</v>
      </c>
      <c r="V15" s="90" t="s">
        <v>279</v>
      </c>
      <c r="W15" s="94">
        <v>10</v>
      </c>
      <c r="X15" s="24">
        <v>98.1</v>
      </c>
      <c r="Y15" s="24">
        <f t="shared" si="6"/>
        <v>64.039999999999992</v>
      </c>
      <c r="Z15" s="24">
        <v>37.4</v>
      </c>
      <c r="AA15" s="24">
        <f t="shared" si="5"/>
        <v>3.3399999999999963</v>
      </c>
      <c r="AB15" s="25">
        <f t="shared" si="7"/>
        <v>94.784509681449109</v>
      </c>
      <c r="AC15" s="19"/>
      <c r="AF15" s="15"/>
      <c r="AG15" s="15"/>
      <c r="AH15" s="15"/>
      <c r="AI15" s="15"/>
    </row>
    <row r="16" spans="1:38">
      <c r="V16" s="90" t="s">
        <v>280</v>
      </c>
      <c r="W16" s="94">
        <v>11</v>
      </c>
      <c r="X16" s="24">
        <v>182.7</v>
      </c>
      <c r="Y16" s="24">
        <f t="shared" si="6"/>
        <v>148.63999999999999</v>
      </c>
      <c r="Z16" s="24">
        <v>43.1</v>
      </c>
      <c r="AA16" s="24">
        <f t="shared" si="5"/>
        <v>9.0399999999999991</v>
      </c>
      <c r="AB16" s="25">
        <f t="shared" si="7"/>
        <v>93.91819160387513</v>
      </c>
      <c r="AF16" s="15"/>
      <c r="AG16" s="15"/>
      <c r="AH16" s="15"/>
      <c r="AI16" s="15"/>
    </row>
    <row r="17" spans="1:38">
      <c r="A17" s="19"/>
      <c r="J17" s="19"/>
      <c r="K17" s="19"/>
      <c r="L17" s="19"/>
      <c r="M17" s="19"/>
      <c r="N17" s="19"/>
      <c r="O17" s="19"/>
      <c r="P17" s="19"/>
      <c r="Q17" s="19"/>
      <c r="R17" s="19"/>
      <c r="S17" s="19"/>
      <c r="T17" s="19"/>
      <c r="U17" s="19"/>
      <c r="V17" s="90" t="s">
        <v>281</v>
      </c>
      <c r="W17" s="94">
        <v>12</v>
      </c>
      <c r="X17" s="24">
        <v>138.4</v>
      </c>
      <c r="Y17" s="24">
        <f t="shared" si="6"/>
        <v>104.34</v>
      </c>
      <c r="Z17" s="24">
        <v>41</v>
      </c>
      <c r="AA17" s="24">
        <f t="shared" si="5"/>
        <v>6.9399999999999977</v>
      </c>
      <c r="AB17" s="25">
        <f t="shared" si="7"/>
        <v>93.348667816752922</v>
      </c>
      <c r="AC17" s="19"/>
      <c r="AF17" s="15"/>
      <c r="AG17" s="15"/>
      <c r="AH17" s="15"/>
      <c r="AI17" s="15"/>
    </row>
    <row r="18" spans="1:38" ht="18.75">
      <c r="A18" s="19"/>
      <c r="C18" s="19"/>
      <c r="D18" s="200" t="s">
        <v>420</v>
      </c>
      <c r="E18" s="201"/>
      <c r="F18" s="26"/>
      <c r="G18" s="26"/>
      <c r="H18" s="26" t="s">
        <v>421</v>
      </c>
      <c r="I18" s="54"/>
      <c r="M18" s="19"/>
      <c r="N18" s="32"/>
      <c r="O18" s="205" t="s">
        <v>422</v>
      </c>
      <c r="P18" s="205"/>
      <c r="Q18" s="205"/>
      <c r="R18" s="205"/>
      <c r="S18" s="205"/>
      <c r="T18" s="60"/>
      <c r="U18" s="60"/>
      <c r="V18" s="19"/>
      <c r="W18" s="33" t="s">
        <v>437</v>
      </c>
      <c r="X18" s="61"/>
      <c r="Y18" s="35">
        <f>AVERAGE(Y6:Y17)</f>
        <v>102.40666666666665</v>
      </c>
      <c r="Z18" s="34"/>
      <c r="AA18" s="36">
        <f>AVERAGE(AA6:AA17)</f>
        <v>6.0233333333333308</v>
      </c>
      <c r="AB18" s="36">
        <f>AVERAGE(Z6:Z17)</f>
        <v>40.083333333333336</v>
      </c>
      <c r="AC18" s="19"/>
      <c r="AF18" s="15"/>
      <c r="AG18" s="15"/>
      <c r="AH18" s="15"/>
      <c r="AI18" s="15"/>
    </row>
    <row r="19" spans="1:38" ht="18.75">
      <c r="A19" s="99" t="s">
        <v>505</v>
      </c>
      <c r="B19" s="54" t="s">
        <v>424</v>
      </c>
      <c r="C19" s="59" t="s">
        <v>425</v>
      </c>
      <c r="D19" s="62" t="s">
        <v>426</v>
      </c>
      <c r="E19" s="56" t="s">
        <v>427</v>
      </c>
      <c r="F19" s="59" t="s">
        <v>428</v>
      </c>
      <c r="G19" s="59" t="s">
        <v>429</v>
      </c>
      <c r="H19" s="26"/>
      <c r="I19" s="26" t="s">
        <v>430</v>
      </c>
      <c r="J19" s="59" t="s">
        <v>399</v>
      </c>
      <c r="K19" s="59" t="s">
        <v>393</v>
      </c>
      <c r="L19" s="75" t="s">
        <v>431</v>
      </c>
      <c r="M19" s="95" t="s">
        <v>505</v>
      </c>
      <c r="N19" s="96" t="s">
        <v>432</v>
      </c>
      <c r="O19" s="26" t="s">
        <v>396</v>
      </c>
      <c r="P19" s="26" t="s">
        <v>433</v>
      </c>
      <c r="Q19" s="26" t="s">
        <v>421</v>
      </c>
      <c r="R19" s="26" t="s">
        <v>434</v>
      </c>
      <c r="S19" s="59" t="s">
        <v>399</v>
      </c>
      <c r="T19" s="59" t="s">
        <v>393</v>
      </c>
      <c r="U19" s="23" t="s">
        <v>394</v>
      </c>
      <c r="V19" s="19"/>
      <c r="W19" s="33" t="s">
        <v>405</v>
      </c>
      <c r="X19" s="61"/>
      <c r="Y19" s="35">
        <f>_xlfn.STDEV.P(W6:W17)/SQRT(12)</f>
        <v>0.99652172859178312</v>
      </c>
      <c r="Z19" s="34"/>
      <c r="AA19" s="36">
        <f>_xlfn.STDEV.P(AA6:AA17)/SQRT(12)</f>
        <v>0.58533387117160762</v>
      </c>
      <c r="AB19" s="36">
        <f>_xlfn.STDEV.P(Z6:Z17)/SQRT(12)</f>
        <v>0.58533387117160818</v>
      </c>
      <c r="AC19" s="19"/>
      <c r="AF19" s="15"/>
      <c r="AG19" s="15"/>
      <c r="AH19" s="15"/>
      <c r="AI19" s="15"/>
    </row>
    <row r="20" spans="1:38" ht="21">
      <c r="A20" s="100" t="s">
        <v>248</v>
      </c>
      <c r="B20" s="96" t="s">
        <v>124</v>
      </c>
      <c r="C20" s="28">
        <v>1157.5</v>
      </c>
      <c r="D20" s="57">
        <v>420</v>
      </c>
      <c r="E20" s="57">
        <f>D20-$R$1</f>
        <v>377.7</v>
      </c>
      <c r="F20" s="28"/>
      <c r="G20" s="28"/>
      <c r="H20" s="28">
        <v>189.2</v>
      </c>
      <c r="I20" s="28">
        <f>H20-$R$1</f>
        <v>146.89999999999998</v>
      </c>
      <c r="J20" s="27">
        <f t="shared" ref="J20:J28" si="11">(D20/1000)/(1/10000)</f>
        <v>4200</v>
      </c>
      <c r="K20" s="27">
        <f>(I20/1000)/(1/10000)</f>
        <v>1468.9999999999998</v>
      </c>
      <c r="L20" s="92">
        <f t="shared" ref="L20:L28" si="12">K20-$P$29</f>
        <v>1433.8999999999999</v>
      </c>
      <c r="M20" s="98"/>
      <c r="N20" s="97"/>
      <c r="O20" s="27"/>
      <c r="P20" s="27"/>
      <c r="Q20" s="27"/>
      <c r="R20" s="27"/>
      <c r="S20" s="28"/>
      <c r="T20" s="28"/>
      <c r="U20" s="28"/>
      <c r="V20" s="19"/>
      <c r="W20" s="197" t="s">
        <v>438</v>
      </c>
      <c r="X20" s="197"/>
      <c r="Y20" s="197"/>
      <c r="Z20" s="197"/>
      <c r="AA20" s="197"/>
      <c r="AB20" s="198"/>
      <c r="AC20" s="19"/>
      <c r="AF20" s="15"/>
      <c r="AG20" s="15"/>
      <c r="AH20" s="15"/>
      <c r="AI20" s="15"/>
    </row>
    <row r="21" spans="1:38">
      <c r="A21" s="100" t="s">
        <v>249</v>
      </c>
      <c r="B21" s="96" t="s">
        <v>126</v>
      </c>
      <c r="C21" s="28">
        <v>900.3</v>
      </c>
      <c r="D21" s="57">
        <v>403</v>
      </c>
      <c r="E21" s="57">
        <f t="shared" ref="E21:E28" si="13">D21-$R$1</f>
        <v>360.7</v>
      </c>
      <c r="F21" s="28"/>
      <c r="G21" s="28"/>
      <c r="H21" s="28">
        <v>170.2</v>
      </c>
      <c r="I21" s="28">
        <f t="shared" ref="I21:I28" si="14">H21-$R$1</f>
        <v>127.89999999999999</v>
      </c>
      <c r="J21" s="27">
        <f t="shared" si="11"/>
        <v>4030</v>
      </c>
      <c r="K21" s="27">
        <f t="shared" ref="K21:K28" si="15">(I21/1000)/(1/10000)</f>
        <v>1278.9999999999998</v>
      </c>
      <c r="L21" s="92">
        <f t="shared" si="12"/>
        <v>1243.8999999999999</v>
      </c>
      <c r="M21" s="98"/>
      <c r="N21" s="97"/>
      <c r="O21" s="27"/>
      <c r="P21" s="27"/>
      <c r="Q21" s="27"/>
      <c r="R21" s="27"/>
      <c r="S21" s="28"/>
      <c r="T21" s="28"/>
      <c r="U21" s="91"/>
      <c r="V21" s="95" t="s">
        <v>505</v>
      </c>
      <c r="W21" s="93" t="s">
        <v>388</v>
      </c>
      <c r="X21" s="44" t="s">
        <v>389</v>
      </c>
      <c r="Y21" s="44" t="s">
        <v>436</v>
      </c>
      <c r="Z21" s="44" t="s">
        <v>390</v>
      </c>
      <c r="AA21" s="44" t="s">
        <v>392</v>
      </c>
      <c r="AB21" s="23" t="s">
        <v>394</v>
      </c>
      <c r="AC21" s="19" t="s">
        <v>63</v>
      </c>
      <c r="AE21" s="15"/>
      <c r="AF21" s="15"/>
      <c r="AG21" s="15" t="s">
        <v>393</v>
      </c>
      <c r="AH21" s="15" t="s">
        <v>431</v>
      </c>
      <c r="AI21" s="15" t="s">
        <v>700</v>
      </c>
      <c r="AK21" s="15" t="s">
        <v>697</v>
      </c>
      <c r="AL21" s="15" t="s">
        <v>679</v>
      </c>
    </row>
    <row r="22" spans="1:38">
      <c r="A22" s="100" t="s">
        <v>250</v>
      </c>
      <c r="B22" s="96" t="s">
        <v>128</v>
      </c>
      <c r="C22" s="28">
        <v>1223</v>
      </c>
      <c r="D22" s="57">
        <v>514</v>
      </c>
      <c r="E22" s="57">
        <f t="shared" si="13"/>
        <v>471.7</v>
      </c>
      <c r="F22" s="28"/>
      <c r="G22" s="28"/>
      <c r="H22" s="28">
        <v>203.6</v>
      </c>
      <c r="I22" s="28">
        <f t="shared" si="14"/>
        <v>161.30000000000001</v>
      </c>
      <c r="J22" s="27">
        <f t="shared" si="11"/>
        <v>5140</v>
      </c>
      <c r="K22" s="27">
        <f t="shared" si="15"/>
        <v>1613</v>
      </c>
      <c r="L22" s="92">
        <f t="shared" si="12"/>
        <v>1577.9</v>
      </c>
      <c r="M22" s="98"/>
      <c r="N22" s="97"/>
      <c r="O22" s="27"/>
      <c r="P22" s="27"/>
      <c r="Q22" s="27"/>
      <c r="R22" s="27"/>
      <c r="S22" s="28"/>
      <c r="T22" s="28"/>
      <c r="U22" s="91"/>
      <c r="V22" s="90" t="s">
        <v>257</v>
      </c>
      <c r="W22" s="94">
        <v>1</v>
      </c>
      <c r="X22" s="24">
        <v>72.099999999999994</v>
      </c>
      <c r="Y22" s="24">
        <f>X22-$T$1</f>
        <v>38.039999999999992</v>
      </c>
      <c r="Z22" s="24">
        <v>36.299999999999997</v>
      </c>
      <c r="AA22" s="24">
        <f>Z22-$T$1</f>
        <v>2.2399999999999949</v>
      </c>
      <c r="AB22" s="25">
        <f>((Y22-AA22)/Y22)*100</f>
        <v>94.111461619348063</v>
      </c>
      <c r="AC22" s="19"/>
      <c r="AE22" s="15">
        <v>4</v>
      </c>
      <c r="AF22" s="15">
        <v>1</v>
      </c>
      <c r="AG22" s="15">
        <v>1468.9999999999998</v>
      </c>
      <c r="AH22" s="15">
        <v>1433.8999999999999</v>
      </c>
      <c r="AI22" s="15">
        <f>AH22/1000</f>
        <v>1.4339</v>
      </c>
      <c r="AK22">
        <f>AVERAGE(AI22:AI30)</f>
        <v>1.3079000000000003</v>
      </c>
      <c r="AL22">
        <f>STDEV(AI22:AI30)</f>
        <v>0.30338465683023513</v>
      </c>
    </row>
    <row r="23" spans="1:38">
      <c r="A23" s="100" t="s">
        <v>251</v>
      </c>
      <c r="B23" s="96" t="s">
        <v>130</v>
      </c>
      <c r="C23" s="28">
        <v>1212</v>
      </c>
      <c r="D23" s="57">
        <v>298</v>
      </c>
      <c r="E23" s="57">
        <f t="shared" si="13"/>
        <v>255.7</v>
      </c>
      <c r="F23" s="28"/>
      <c r="G23" s="28"/>
      <c r="H23" s="28">
        <v>144.69999999999999</v>
      </c>
      <c r="I23" s="28">
        <f t="shared" si="14"/>
        <v>102.39999999999999</v>
      </c>
      <c r="J23" s="27">
        <f t="shared" si="11"/>
        <v>2979.9999999999995</v>
      </c>
      <c r="K23" s="27">
        <f t="shared" si="15"/>
        <v>1023.9999999999999</v>
      </c>
      <c r="L23" s="92">
        <f t="shared" si="12"/>
        <v>988.89999999999986</v>
      </c>
      <c r="M23" s="98"/>
      <c r="N23" s="97"/>
      <c r="O23" s="27"/>
      <c r="P23" s="27"/>
      <c r="Q23" s="27"/>
      <c r="R23" s="27"/>
      <c r="S23" s="28"/>
      <c r="T23" s="28"/>
      <c r="U23" s="91"/>
      <c r="V23" s="90" t="s">
        <v>259</v>
      </c>
      <c r="W23" s="94">
        <v>2</v>
      </c>
      <c r="X23" s="24">
        <v>60.7</v>
      </c>
      <c r="Y23" s="24">
        <f>X23-$T$1</f>
        <v>26.64</v>
      </c>
      <c r="Z23" s="24">
        <v>35.200000000000003</v>
      </c>
      <c r="AA23" s="24">
        <f t="shared" ref="AA23:AA32" si="16">Z23-$T$1</f>
        <v>1.1400000000000006</v>
      </c>
      <c r="AB23" s="25">
        <f t="shared" ref="AB23:AB32" si="17">((Y23-AA23)/Y23)*100</f>
        <v>95.72072072072072</v>
      </c>
      <c r="AC23" s="19"/>
      <c r="AE23" s="15">
        <v>4</v>
      </c>
      <c r="AF23" s="15">
        <v>2</v>
      </c>
      <c r="AG23" s="15">
        <v>1278.9999999999998</v>
      </c>
      <c r="AH23" s="15">
        <v>1243.8999999999999</v>
      </c>
      <c r="AI23" s="15">
        <f t="shared" ref="AI23:AI30" si="18">AH23/1000</f>
        <v>1.2438999999999998</v>
      </c>
    </row>
    <row r="24" spans="1:38">
      <c r="A24" s="100" t="s">
        <v>252</v>
      </c>
      <c r="B24" s="96" t="s">
        <v>132</v>
      </c>
      <c r="C24" s="28">
        <v>1517.6</v>
      </c>
      <c r="D24" s="57">
        <v>501</v>
      </c>
      <c r="E24" s="57">
        <f t="shared" si="13"/>
        <v>458.7</v>
      </c>
      <c r="F24" s="28"/>
      <c r="G24" s="28"/>
      <c r="H24" s="28">
        <v>214.4</v>
      </c>
      <c r="I24" s="28">
        <f t="shared" si="14"/>
        <v>172.10000000000002</v>
      </c>
      <c r="J24" s="27">
        <f t="shared" si="11"/>
        <v>5010</v>
      </c>
      <c r="K24" s="27">
        <f t="shared" si="15"/>
        <v>1721.0000000000002</v>
      </c>
      <c r="L24" s="92">
        <f t="shared" si="12"/>
        <v>1685.9000000000003</v>
      </c>
      <c r="M24" s="98"/>
      <c r="Q24" s="27"/>
      <c r="R24" s="27"/>
      <c r="S24" s="28"/>
      <c r="T24" s="28"/>
      <c r="U24" s="91"/>
      <c r="V24" s="90" t="s">
        <v>260</v>
      </c>
      <c r="W24" s="94">
        <v>3</v>
      </c>
      <c r="X24" s="24">
        <v>80.3</v>
      </c>
      <c r="Y24" s="24">
        <f t="shared" ref="Y24:Y32" si="19">X24-$T$1</f>
        <v>46.239999999999995</v>
      </c>
      <c r="Z24" s="24">
        <v>36.9</v>
      </c>
      <c r="AA24" s="24">
        <f t="shared" si="16"/>
        <v>2.8399999999999963</v>
      </c>
      <c r="AB24" s="25">
        <f t="shared" si="17"/>
        <v>93.858131487889281</v>
      </c>
      <c r="AC24" s="19"/>
      <c r="AE24" s="15">
        <v>4</v>
      </c>
      <c r="AF24" s="15">
        <v>3</v>
      </c>
      <c r="AG24" s="15">
        <v>1613</v>
      </c>
      <c r="AH24" s="15">
        <v>1577.9</v>
      </c>
      <c r="AI24" s="15">
        <f t="shared" si="18"/>
        <v>1.5779000000000001</v>
      </c>
    </row>
    <row r="25" spans="1:38">
      <c r="A25" s="100" t="s">
        <v>253</v>
      </c>
      <c r="B25" s="96" t="s">
        <v>134</v>
      </c>
      <c r="C25" s="28">
        <v>1320.3</v>
      </c>
      <c r="D25" s="57">
        <v>462.4</v>
      </c>
      <c r="E25" s="57">
        <f t="shared" si="13"/>
        <v>420.09999999999997</v>
      </c>
      <c r="F25" s="28"/>
      <c r="G25" s="28"/>
      <c r="H25" s="28">
        <v>214.4</v>
      </c>
      <c r="I25" s="28">
        <f t="shared" si="14"/>
        <v>172.10000000000002</v>
      </c>
      <c r="J25" s="27">
        <f t="shared" si="11"/>
        <v>4624</v>
      </c>
      <c r="K25" s="27">
        <f t="shared" si="15"/>
        <v>1721.0000000000002</v>
      </c>
      <c r="L25" s="92">
        <f t="shared" si="12"/>
        <v>1685.9000000000003</v>
      </c>
      <c r="M25" s="98"/>
      <c r="N25" s="97"/>
      <c r="O25" s="27"/>
      <c r="P25" s="27"/>
      <c r="Q25" s="27"/>
      <c r="R25" s="27"/>
      <c r="S25" s="28"/>
      <c r="T25" s="28"/>
      <c r="U25" s="91"/>
      <c r="V25" s="90" t="s">
        <v>261</v>
      </c>
      <c r="W25" s="94">
        <v>4</v>
      </c>
      <c r="X25" s="24">
        <v>58.5</v>
      </c>
      <c r="Y25" s="24">
        <f t="shared" si="19"/>
        <v>24.439999999999998</v>
      </c>
      <c r="Z25" s="24">
        <v>34.299999999999997</v>
      </c>
      <c r="AA25" s="24">
        <f>Z25-$T$1</f>
        <v>0.23999999999999488</v>
      </c>
      <c r="AB25" s="25">
        <f t="shared" si="17"/>
        <v>99.018003273322435</v>
      </c>
      <c r="AC25" s="19"/>
      <c r="AE25" s="15">
        <v>4</v>
      </c>
      <c r="AF25" s="15">
        <v>4</v>
      </c>
      <c r="AG25" s="15">
        <v>1023.9999999999999</v>
      </c>
      <c r="AH25" s="15">
        <v>988.89999999999986</v>
      </c>
      <c r="AI25" s="15">
        <f t="shared" si="18"/>
        <v>0.98889999999999989</v>
      </c>
    </row>
    <row r="26" spans="1:38">
      <c r="A26" s="100" t="s">
        <v>254</v>
      </c>
      <c r="B26" s="96" t="s">
        <v>136</v>
      </c>
      <c r="C26" s="28">
        <v>100.4</v>
      </c>
      <c r="D26" s="57">
        <f>F26+O26</f>
        <v>407.6</v>
      </c>
      <c r="E26" s="57">
        <f t="shared" si="13"/>
        <v>365.3</v>
      </c>
      <c r="F26" s="28">
        <v>347.6</v>
      </c>
      <c r="G26" s="28">
        <f>F26-T1</f>
        <v>313.54000000000002</v>
      </c>
      <c r="H26" s="28">
        <v>131.30000000000001</v>
      </c>
      <c r="I26" s="28">
        <f t="shared" si="14"/>
        <v>89.000000000000014</v>
      </c>
      <c r="J26" s="27">
        <f t="shared" si="11"/>
        <v>4076</v>
      </c>
      <c r="K26" s="27">
        <f t="shared" si="15"/>
        <v>890</v>
      </c>
      <c r="L26" s="92">
        <f t="shared" si="12"/>
        <v>854.9</v>
      </c>
      <c r="M26" s="90" t="s">
        <v>508</v>
      </c>
      <c r="N26" s="97" t="s">
        <v>136</v>
      </c>
      <c r="O26" s="27">
        <v>60</v>
      </c>
      <c r="P26" s="27">
        <f>O26-T2</f>
        <v>38.200000000000003</v>
      </c>
      <c r="Q26" s="27">
        <v>51.3</v>
      </c>
      <c r="R26" s="27">
        <f>Q26-T2</f>
        <v>29.499999999999996</v>
      </c>
      <c r="S26" s="27">
        <f>(O26/1000)/(1/10000)</f>
        <v>600</v>
      </c>
      <c r="T26" s="27">
        <f>(Q26/1000)/(1/10000)</f>
        <v>513</v>
      </c>
      <c r="U26" s="92">
        <f>((P26-R26)/P26)*100</f>
        <v>22.774869109947659</v>
      </c>
      <c r="V26" s="90" t="s">
        <v>262</v>
      </c>
      <c r="W26" s="94">
        <v>5</v>
      </c>
      <c r="X26" s="24">
        <v>92.3</v>
      </c>
      <c r="Y26" s="24">
        <f t="shared" si="19"/>
        <v>58.239999999999995</v>
      </c>
      <c r="Z26" s="24">
        <v>38.799999999999997</v>
      </c>
      <c r="AA26" s="24">
        <f t="shared" si="16"/>
        <v>4.7399999999999949</v>
      </c>
      <c r="AB26" s="25">
        <f t="shared" si="17"/>
        <v>91.861263736263737</v>
      </c>
      <c r="AC26" s="19"/>
      <c r="AE26" s="15">
        <v>4</v>
      </c>
      <c r="AF26" s="15">
        <v>5</v>
      </c>
      <c r="AG26" s="15">
        <v>1721.0000000000002</v>
      </c>
      <c r="AH26" s="15">
        <v>1685.9000000000003</v>
      </c>
      <c r="AI26" s="15">
        <f t="shared" si="18"/>
        <v>1.6859000000000004</v>
      </c>
    </row>
    <row r="27" spans="1:38">
      <c r="A27" s="100" t="s">
        <v>255</v>
      </c>
      <c r="B27" s="96" t="s">
        <v>138</v>
      </c>
      <c r="C27" s="28">
        <v>935</v>
      </c>
      <c r="D27" s="57">
        <v>341.2</v>
      </c>
      <c r="E27" s="57">
        <f t="shared" si="13"/>
        <v>298.89999999999998</v>
      </c>
      <c r="F27" s="28"/>
      <c r="G27" s="28"/>
      <c r="H27" s="28">
        <v>158.80000000000001</v>
      </c>
      <c r="I27" s="28">
        <f t="shared" si="14"/>
        <v>116.50000000000001</v>
      </c>
      <c r="J27" s="27">
        <f t="shared" si="11"/>
        <v>3412</v>
      </c>
      <c r="K27" s="27">
        <f t="shared" si="15"/>
        <v>1165.0000000000002</v>
      </c>
      <c r="L27" s="92">
        <f t="shared" si="12"/>
        <v>1129.9000000000003</v>
      </c>
      <c r="M27" s="98"/>
      <c r="N27" s="97"/>
      <c r="O27" s="27"/>
      <c r="P27" s="27"/>
      <c r="Q27" s="27"/>
      <c r="R27" s="27"/>
      <c r="S27" s="28"/>
      <c r="T27" s="28"/>
      <c r="U27" s="91"/>
      <c r="V27" s="90" t="s">
        <v>263</v>
      </c>
      <c r="W27" s="94">
        <v>6</v>
      </c>
      <c r="X27" s="24">
        <v>80.400000000000006</v>
      </c>
      <c r="Y27" s="24">
        <f>X27-$T$1</f>
        <v>46.34</v>
      </c>
      <c r="Z27" s="24">
        <v>36.799999999999997</v>
      </c>
      <c r="AA27" s="24">
        <f t="shared" si="16"/>
        <v>2.7399999999999949</v>
      </c>
      <c r="AB27" s="25">
        <f t="shared" si="17"/>
        <v>94.087181700474758</v>
      </c>
      <c r="AC27" s="19"/>
      <c r="AE27" s="15">
        <v>4</v>
      </c>
      <c r="AF27" s="15">
        <v>6</v>
      </c>
      <c r="AG27" s="15">
        <v>1721.0000000000002</v>
      </c>
      <c r="AH27" s="15">
        <v>1685.9000000000003</v>
      </c>
      <c r="AI27" s="15">
        <f t="shared" si="18"/>
        <v>1.6859000000000004</v>
      </c>
    </row>
    <row r="28" spans="1:38">
      <c r="A28" s="100" t="s">
        <v>256</v>
      </c>
      <c r="B28" s="96" t="s">
        <v>140</v>
      </c>
      <c r="C28" s="28">
        <v>1465</v>
      </c>
      <c r="D28" s="57">
        <f>F28+O28</f>
        <v>516.19999999999993</v>
      </c>
      <c r="E28" s="57">
        <f t="shared" si="13"/>
        <v>473.89999999999992</v>
      </c>
      <c r="F28" s="28">
        <v>462.4</v>
      </c>
      <c r="G28" s="28">
        <f>F28-T1</f>
        <v>428.34</v>
      </c>
      <c r="H28" s="28">
        <v>162.80000000000001</v>
      </c>
      <c r="I28" s="28">
        <f t="shared" si="14"/>
        <v>120.50000000000001</v>
      </c>
      <c r="J28" s="27">
        <f t="shared" si="11"/>
        <v>5161.9999999999982</v>
      </c>
      <c r="K28" s="27">
        <f t="shared" si="15"/>
        <v>1205</v>
      </c>
      <c r="L28" s="92">
        <f t="shared" si="12"/>
        <v>1169.9000000000001</v>
      </c>
      <c r="M28" s="90" t="s">
        <v>509</v>
      </c>
      <c r="N28" s="97" t="s">
        <v>140</v>
      </c>
      <c r="O28" s="27">
        <v>53.8</v>
      </c>
      <c r="P28" s="27">
        <f>O28-T2</f>
        <v>31.999999999999996</v>
      </c>
      <c r="Q28" s="27">
        <v>46.6</v>
      </c>
      <c r="R28" s="27">
        <f>Q28-T2</f>
        <v>24.8</v>
      </c>
      <c r="S28" s="27">
        <f>(O28/1000)/(1/10000)</f>
        <v>538</v>
      </c>
      <c r="T28" s="27">
        <f>(Q28/1000)/(1/10000)</f>
        <v>466</v>
      </c>
      <c r="U28" s="92">
        <f>((P28-R28)/P28)*100</f>
        <v>22.499999999999989</v>
      </c>
      <c r="V28" s="90" t="s">
        <v>264</v>
      </c>
      <c r="W28" s="94">
        <v>7</v>
      </c>
      <c r="X28" s="24">
        <v>68.5</v>
      </c>
      <c r="Y28" s="24">
        <f t="shared" si="19"/>
        <v>34.44</v>
      </c>
      <c r="Z28" s="24">
        <v>34.799999999999997</v>
      </c>
      <c r="AA28" s="24">
        <f t="shared" si="16"/>
        <v>0.73999999999999488</v>
      </c>
      <c r="AB28" s="25">
        <f t="shared" si="17"/>
        <v>97.85133565621372</v>
      </c>
      <c r="AC28" s="19"/>
      <c r="AE28" s="15">
        <v>4</v>
      </c>
      <c r="AF28" s="15">
        <v>7</v>
      </c>
      <c r="AG28" s="15">
        <v>890</v>
      </c>
      <c r="AH28" s="15">
        <v>854.9</v>
      </c>
      <c r="AI28" s="15">
        <f t="shared" si="18"/>
        <v>0.85489999999999999</v>
      </c>
    </row>
    <row r="29" spans="1:38" ht="18.75">
      <c r="A29" s="19"/>
      <c r="L29" s="42"/>
      <c r="M29" s="19"/>
      <c r="N29" s="37" t="s">
        <v>404</v>
      </c>
      <c r="O29" s="58"/>
      <c r="P29" s="58">
        <f t="shared" ref="P29:U29" si="20">AVERAGE(P26:P28)</f>
        <v>35.1</v>
      </c>
      <c r="Q29" s="58">
        <f t="shared" si="20"/>
        <v>48.95</v>
      </c>
      <c r="R29" s="58">
        <f t="shared" si="20"/>
        <v>27.15</v>
      </c>
      <c r="S29" s="58">
        <f t="shared" si="20"/>
        <v>569</v>
      </c>
      <c r="T29" s="58">
        <f t="shared" si="20"/>
        <v>489.5</v>
      </c>
      <c r="U29" s="58">
        <f t="shared" si="20"/>
        <v>22.637434554973822</v>
      </c>
      <c r="V29" s="90" t="s">
        <v>265</v>
      </c>
      <c r="W29" s="94">
        <v>8</v>
      </c>
      <c r="X29" s="24">
        <v>67.7</v>
      </c>
      <c r="Y29" s="24">
        <f t="shared" si="19"/>
        <v>33.64</v>
      </c>
      <c r="Z29" s="24">
        <v>35.700000000000003</v>
      </c>
      <c r="AA29" s="24">
        <f t="shared" si="16"/>
        <v>1.6400000000000006</v>
      </c>
      <c r="AB29" s="25">
        <f t="shared" si="17"/>
        <v>95.124851367419737</v>
      </c>
      <c r="AC29" s="19"/>
      <c r="AE29" s="15">
        <v>4</v>
      </c>
      <c r="AF29" s="15">
        <v>8</v>
      </c>
      <c r="AG29" s="15">
        <v>1165.0000000000002</v>
      </c>
      <c r="AH29" s="15">
        <v>1129.9000000000003</v>
      </c>
      <c r="AI29" s="15">
        <f t="shared" si="18"/>
        <v>1.1299000000000003</v>
      </c>
    </row>
    <row r="30" spans="1:38" ht="18.75">
      <c r="A30" s="19"/>
      <c r="M30" s="19"/>
      <c r="N30" s="37" t="s">
        <v>405</v>
      </c>
      <c r="O30" s="58"/>
      <c r="P30" s="58">
        <f t="shared" ref="P30:U30" si="21">_xlfn.STDEV.P(P26:P28)/SQRT(9)</f>
        <v>1.0333333333333343</v>
      </c>
      <c r="Q30" s="58">
        <f t="shared" si="21"/>
        <v>0.78333333333333266</v>
      </c>
      <c r="R30" s="58">
        <f t="shared" si="21"/>
        <v>0.78333333333333266</v>
      </c>
      <c r="S30" s="58">
        <f t="shared" si="21"/>
        <v>10.333333333333334</v>
      </c>
      <c r="T30" s="58">
        <f t="shared" si="21"/>
        <v>7.833333333333333</v>
      </c>
      <c r="U30" s="58">
        <f t="shared" si="21"/>
        <v>4.5811518324611576E-2</v>
      </c>
      <c r="V30" s="90" t="s">
        <v>266</v>
      </c>
      <c r="W30" s="94">
        <v>9</v>
      </c>
      <c r="X30" s="24">
        <v>67.2</v>
      </c>
      <c r="Y30" s="24">
        <f t="shared" si="19"/>
        <v>33.14</v>
      </c>
      <c r="Z30" s="24">
        <v>35.9</v>
      </c>
      <c r="AA30" s="24">
        <f t="shared" si="16"/>
        <v>1.8399999999999963</v>
      </c>
      <c r="AB30" s="25">
        <f t="shared" si="17"/>
        <v>94.447797223898618</v>
      </c>
      <c r="AC30" s="19"/>
      <c r="AE30" s="15">
        <v>4</v>
      </c>
      <c r="AF30" s="15">
        <v>9</v>
      </c>
      <c r="AG30" s="15">
        <v>1205</v>
      </c>
      <c r="AH30" s="15">
        <v>1169.9000000000001</v>
      </c>
      <c r="AI30" s="15">
        <f t="shared" si="18"/>
        <v>1.1699000000000002</v>
      </c>
    </row>
    <row r="31" spans="1:38">
      <c r="V31" s="90" t="s">
        <v>267</v>
      </c>
      <c r="W31" s="94">
        <v>10</v>
      </c>
      <c r="X31" s="24">
        <v>82.4</v>
      </c>
      <c r="Y31" s="24">
        <f t="shared" si="19"/>
        <v>48.34</v>
      </c>
      <c r="Z31" s="24">
        <v>37.1</v>
      </c>
      <c r="AA31" s="24">
        <f t="shared" si="16"/>
        <v>3.0399999999999991</v>
      </c>
      <c r="AB31" s="25">
        <f t="shared" si="17"/>
        <v>93.711212246586683</v>
      </c>
      <c r="AE31" s="15"/>
      <c r="AF31" s="15"/>
      <c r="AG31" s="15"/>
      <c r="AH31" s="15"/>
      <c r="AI31" s="15"/>
    </row>
    <row r="32" spans="1:38">
      <c r="V32" s="90" t="s">
        <v>268</v>
      </c>
      <c r="W32" s="94">
        <v>11</v>
      </c>
      <c r="X32" s="24">
        <v>68.3</v>
      </c>
      <c r="Y32" s="24">
        <f t="shared" si="19"/>
        <v>34.239999999999995</v>
      </c>
      <c r="Z32" s="24">
        <v>35.700000000000003</v>
      </c>
      <c r="AA32" s="24">
        <f t="shared" si="16"/>
        <v>1.6400000000000006</v>
      </c>
      <c r="AB32" s="25">
        <f t="shared" si="17"/>
        <v>95.210280373831765</v>
      </c>
      <c r="AE32" s="15"/>
      <c r="AF32" s="15"/>
      <c r="AG32" s="15"/>
      <c r="AH32" s="15"/>
      <c r="AI32" s="15"/>
    </row>
    <row r="33" spans="1:35" ht="28.5">
      <c r="A33" s="19"/>
      <c r="B33" s="19"/>
      <c r="C33" s="206" t="s">
        <v>439</v>
      </c>
      <c r="D33" s="206"/>
      <c r="E33" s="206"/>
      <c r="F33" s="206"/>
      <c r="G33" s="206"/>
      <c r="H33" s="206"/>
      <c r="I33" s="206"/>
      <c r="J33" s="206"/>
      <c r="K33" s="206"/>
      <c r="L33" s="206"/>
      <c r="M33" s="206"/>
      <c r="N33" s="206"/>
      <c r="O33" s="206"/>
      <c r="P33" s="206"/>
      <c r="Q33" s="19"/>
      <c r="R33" s="19"/>
      <c r="S33" s="19"/>
      <c r="T33" s="19"/>
      <c r="V33" s="90" t="s">
        <v>269</v>
      </c>
      <c r="W33" s="94">
        <v>12</v>
      </c>
      <c r="X33" s="24">
        <v>62.2</v>
      </c>
      <c r="Y33" s="24">
        <f>X33-$T$1</f>
        <v>28.14</v>
      </c>
      <c r="Z33" s="24">
        <v>35.200000000000003</v>
      </c>
      <c r="AA33" s="24">
        <f>Z33-$T$1</f>
        <v>1.1400000000000006</v>
      </c>
      <c r="AB33" s="25">
        <f>((Y33-AA33)/Y33)*100</f>
        <v>95.948827292110877</v>
      </c>
      <c r="AC33" s="19"/>
      <c r="AE33" s="15"/>
      <c r="AF33" s="15"/>
      <c r="AG33" s="15"/>
      <c r="AH33" s="15"/>
      <c r="AI33" s="15"/>
    </row>
    <row r="34" spans="1:35" ht="18.75">
      <c r="A34" s="19"/>
      <c r="B34" s="19"/>
      <c r="C34" s="207" t="s">
        <v>440</v>
      </c>
      <c r="D34" s="207"/>
      <c r="E34" s="207"/>
      <c r="F34" s="207"/>
      <c r="G34" s="207"/>
      <c r="H34" s="19"/>
      <c r="I34" s="19"/>
      <c r="J34" s="19"/>
      <c r="K34" s="19"/>
      <c r="L34" s="207" t="s">
        <v>441</v>
      </c>
      <c r="M34" s="207"/>
      <c r="N34" s="207"/>
      <c r="O34" s="207"/>
      <c r="P34" s="207"/>
      <c r="Q34" s="19"/>
      <c r="R34" s="19"/>
      <c r="S34" s="19"/>
      <c r="T34" s="19"/>
      <c r="W34" s="33" t="s">
        <v>437</v>
      </c>
      <c r="X34" s="34"/>
      <c r="Y34" s="35">
        <f>AVERAGE(Y22:Y33)</f>
        <v>37.656666666666666</v>
      </c>
      <c r="Z34" s="34"/>
      <c r="AA34" s="36">
        <f>AVERAGE(AA22:AA33)</f>
        <v>1.9983333333333306</v>
      </c>
      <c r="AB34" s="36">
        <f>AVERAGE(AA22:AA33)</f>
        <v>1.9983333333333306</v>
      </c>
      <c r="AC34" s="19"/>
      <c r="AE34" s="15"/>
      <c r="AF34" s="15"/>
      <c r="AG34" s="15"/>
      <c r="AH34" s="15"/>
      <c r="AI34" s="15"/>
    </row>
    <row r="35" spans="1:35" ht="18.75">
      <c r="A35" s="19"/>
      <c r="B35" s="59" t="s">
        <v>388</v>
      </c>
      <c r="C35" s="63" t="s">
        <v>389</v>
      </c>
      <c r="D35" s="64" t="s">
        <v>442</v>
      </c>
      <c r="E35" s="63" t="s">
        <v>390</v>
      </c>
      <c r="F35" s="63" t="s">
        <v>443</v>
      </c>
      <c r="G35" s="59" t="s">
        <v>399</v>
      </c>
      <c r="H35" s="59" t="s">
        <v>393</v>
      </c>
      <c r="I35" s="23" t="s">
        <v>394</v>
      </c>
      <c r="J35" s="19"/>
      <c r="K35" s="19"/>
      <c r="L35" s="19"/>
      <c r="M35" s="23" t="s">
        <v>388</v>
      </c>
      <c r="N35" s="63" t="s">
        <v>389</v>
      </c>
      <c r="O35" s="63" t="s">
        <v>444</v>
      </c>
      <c r="P35" s="63" t="s">
        <v>390</v>
      </c>
      <c r="Q35" s="64" t="s">
        <v>445</v>
      </c>
      <c r="R35" s="59" t="s">
        <v>399</v>
      </c>
      <c r="S35" s="59" t="s">
        <v>393</v>
      </c>
      <c r="T35" s="23" t="s">
        <v>394</v>
      </c>
      <c r="U35" s="19"/>
      <c r="V35" s="19"/>
      <c r="W35" s="33" t="s">
        <v>405</v>
      </c>
      <c r="X35" s="34"/>
      <c r="Y35" s="35">
        <f>_xlfn.STDEV.P(X22:X33)/SQRT(12)</f>
        <v>2.8040108508798331</v>
      </c>
      <c r="Z35" s="34"/>
      <c r="AA35" s="36">
        <f>_xlfn.STDEV.P(AA22:AA33)/SQRT(12)</f>
        <v>0.33695085640138889</v>
      </c>
      <c r="AB35" s="36">
        <f>_xlfn.STDEV.P(AA22:AA33)/SQRT(12)</f>
        <v>0.33695085640138889</v>
      </c>
      <c r="AC35" s="19"/>
      <c r="AE35" s="15"/>
      <c r="AF35" s="15"/>
      <c r="AG35" s="15"/>
      <c r="AH35" s="15"/>
      <c r="AI35" s="15"/>
    </row>
    <row r="36" spans="1:35">
      <c r="A36" s="19"/>
      <c r="B36" s="27" t="s">
        <v>106</v>
      </c>
      <c r="C36" s="27">
        <v>249.2</v>
      </c>
      <c r="D36" s="32">
        <f>C36-$T$2</f>
        <v>227.39999999999998</v>
      </c>
      <c r="E36" s="27">
        <v>44.8</v>
      </c>
      <c r="F36" s="27">
        <f>E36-$T$2</f>
        <v>22.999999999999996</v>
      </c>
      <c r="G36" s="27">
        <f t="shared" ref="G36:G44" si="22">(D36/1000)/(1/10000)</f>
        <v>2274</v>
      </c>
      <c r="H36" s="27">
        <f>(F36/1000)/(1/10000)</f>
        <v>229.99999999999994</v>
      </c>
      <c r="I36" s="29">
        <f>((D36-F36)/D36)*100</f>
        <v>89.885664028144248</v>
      </c>
      <c r="J36" s="19"/>
      <c r="K36" s="19"/>
      <c r="L36" s="19"/>
      <c r="M36" s="27" t="s">
        <v>106</v>
      </c>
      <c r="N36" s="28">
        <v>529.4</v>
      </c>
      <c r="O36" s="28">
        <f>N36-$T$2</f>
        <v>507.59999999999997</v>
      </c>
      <c r="P36" s="28">
        <v>94.9</v>
      </c>
      <c r="Q36" s="32">
        <f>P36-$T$2</f>
        <v>73.100000000000009</v>
      </c>
      <c r="R36" s="27">
        <f>(O36/1000)/(1/10000)</f>
        <v>5075.9999999999991</v>
      </c>
      <c r="S36" s="27">
        <f>(Q36/1000)/(1/10000)</f>
        <v>731.00000000000011</v>
      </c>
      <c r="T36" s="29">
        <f>((O36-Q36)/O36)*100</f>
        <v>85.59889676910953</v>
      </c>
      <c r="U36" s="19"/>
      <c r="V36" s="19"/>
      <c r="W36" s="19"/>
      <c r="X36" s="19"/>
      <c r="Y36" s="19"/>
      <c r="Z36" s="65"/>
      <c r="AA36" s="19"/>
      <c r="AB36" s="19"/>
      <c r="AC36" s="19"/>
      <c r="AE36" s="15"/>
      <c r="AF36" s="15"/>
      <c r="AG36" s="15"/>
      <c r="AH36" s="15"/>
      <c r="AI36" s="15"/>
    </row>
    <row r="37" spans="1:35">
      <c r="A37" s="19"/>
      <c r="B37" s="27" t="s">
        <v>108</v>
      </c>
      <c r="C37" s="27">
        <v>147.9</v>
      </c>
      <c r="D37" s="32">
        <f t="shared" ref="D37:D44" si="23">C37-$T$2</f>
        <v>126.10000000000001</v>
      </c>
      <c r="E37" s="27">
        <v>35.5</v>
      </c>
      <c r="F37" s="27">
        <f t="shared" ref="F37:F44" si="24">E37-$T$2</f>
        <v>13.7</v>
      </c>
      <c r="G37" s="27">
        <f t="shared" si="22"/>
        <v>1261.0000000000002</v>
      </c>
      <c r="H37" s="27">
        <f t="shared" ref="H37:H44" si="25">(F37/1000)/(1/10000)</f>
        <v>136.99999999999997</v>
      </c>
      <c r="I37" s="29">
        <f t="shared" ref="I37:I44" si="26">((D37-F37)/D37)*100</f>
        <v>89.135606661379853</v>
      </c>
      <c r="J37" s="19"/>
      <c r="K37" s="19"/>
      <c r="L37" s="19"/>
      <c r="M37" s="27" t="s">
        <v>108</v>
      </c>
      <c r="N37" s="28">
        <v>314.5</v>
      </c>
      <c r="O37" s="28">
        <f t="shared" ref="O37:O44" si="27">N37-$T$2</f>
        <v>292.7</v>
      </c>
      <c r="P37" s="28">
        <v>65</v>
      </c>
      <c r="Q37" s="32">
        <f t="shared" ref="Q37:Q44" si="28">P37-$T$2</f>
        <v>43.2</v>
      </c>
      <c r="R37" s="27">
        <f t="shared" ref="R37:R44" si="29">(O37/1000)/(1/10000)</f>
        <v>2927</v>
      </c>
      <c r="S37" s="27">
        <f t="shared" ref="S37:S44" si="30">(Q37/1000)/(1/10000)</f>
        <v>432</v>
      </c>
      <c r="T37" s="29">
        <f t="shared" ref="T37:T44" si="31">((O37-Q37)/O37)*100</f>
        <v>85.240860949777925</v>
      </c>
      <c r="U37" s="19"/>
      <c r="V37" s="19"/>
      <c r="W37" s="19"/>
      <c r="X37" s="19"/>
      <c r="Y37" s="19"/>
      <c r="Z37" s="19"/>
      <c r="AA37" s="19"/>
      <c r="AB37" s="19"/>
      <c r="AC37" s="19"/>
      <c r="AE37" s="15"/>
      <c r="AF37" s="15"/>
      <c r="AG37" s="15"/>
      <c r="AH37" s="15"/>
      <c r="AI37" s="15"/>
    </row>
    <row r="38" spans="1:35">
      <c r="A38" s="19"/>
      <c r="B38" s="27" t="s">
        <v>110</v>
      </c>
      <c r="C38" s="27">
        <v>140.1</v>
      </c>
      <c r="D38" s="32">
        <f t="shared" si="23"/>
        <v>118.3</v>
      </c>
      <c r="E38" s="27">
        <v>34.5</v>
      </c>
      <c r="F38" s="27">
        <f t="shared" si="24"/>
        <v>12.7</v>
      </c>
      <c r="G38" s="27">
        <f t="shared" si="22"/>
        <v>1183</v>
      </c>
      <c r="H38" s="27">
        <f t="shared" si="25"/>
        <v>126.99999999999999</v>
      </c>
      <c r="I38" s="29">
        <f t="shared" si="26"/>
        <v>89.264581572273883</v>
      </c>
      <c r="J38" s="19"/>
      <c r="K38" s="19"/>
      <c r="L38" s="19"/>
      <c r="M38" s="27" t="s">
        <v>110</v>
      </c>
      <c r="N38" s="28">
        <v>275.5</v>
      </c>
      <c r="O38" s="28">
        <f t="shared" si="27"/>
        <v>253.7</v>
      </c>
      <c r="P38" s="28">
        <v>61.6</v>
      </c>
      <c r="Q38" s="32">
        <f t="shared" si="28"/>
        <v>39.799999999999997</v>
      </c>
      <c r="R38" s="27">
        <f t="shared" si="29"/>
        <v>2536.9999999999995</v>
      </c>
      <c r="S38" s="27">
        <f t="shared" si="30"/>
        <v>397.99999999999994</v>
      </c>
      <c r="T38" s="29">
        <f t="shared" si="31"/>
        <v>84.312179739850208</v>
      </c>
      <c r="U38" s="19"/>
      <c r="V38" s="19"/>
      <c r="W38" s="19"/>
      <c r="X38" s="19"/>
      <c r="Y38" s="19"/>
      <c r="Z38" s="19"/>
      <c r="AA38" s="19"/>
      <c r="AB38" s="19"/>
      <c r="AC38" s="19"/>
      <c r="AE38" s="15"/>
      <c r="AF38" s="15"/>
      <c r="AG38" s="15"/>
      <c r="AH38" s="15"/>
      <c r="AI38" s="15"/>
    </row>
    <row r="39" spans="1:35" ht="18.75">
      <c r="A39" s="19"/>
      <c r="B39" s="27" t="s">
        <v>112</v>
      </c>
      <c r="C39" s="27">
        <v>86</v>
      </c>
      <c r="D39" s="32">
        <f t="shared" si="23"/>
        <v>64.2</v>
      </c>
      <c r="E39" s="27">
        <v>37.9</v>
      </c>
      <c r="F39" s="27">
        <f t="shared" si="24"/>
        <v>16.099999999999998</v>
      </c>
      <c r="G39" s="27">
        <f t="shared" si="22"/>
        <v>642</v>
      </c>
      <c r="H39" s="27">
        <f t="shared" si="25"/>
        <v>160.99999999999994</v>
      </c>
      <c r="I39" s="29">
        <f t="shared" si="26"/>
        <v>74.922118380062315</v>
      </c>
      <c r="J39" s="19"/>
      <c r="K39" s="19"/>
      <c r="L39" s="19"/>
      <c r="M39" s="27" t="s">
        <v>112</v>
      </c>
      <c r="N39" s="28">
        <v>331</v>
      </c>
      <c r="O39" s="28">
        <f t="shared" si="27"/>
        <v>309.2</v>
      </c>
      <c r="P39" s="28">
        <v>86.3</v>
      </c>
      <c r="Q39" s="32">
        <f t="shared" si="28"/>
        <v>64.5</v>
      </c>
      <c r="R39" s="27">
        <f t="shared" si="29"/>
        <v>3091.9999999999995</v>
      </c>
      <c r="S39" s="27">
        <f t="shared" si="30"/>
        <v>645</v>
      </c>
      <c r="T39" s="29">
        <f t="shared" si="31"/>
        <v>79.139715394566622</v>
      </c>
      <c r="U39" s="19"/>
      <c r="V39" s="19"/>
      <c r="W39" s="19"/>
      <c r="X39" s="66" t="s">
        <v>446</v>
      </c>
      <c r="Y39" s="66"/>
      <c r="Z39" s="19"/>
      <c r="AA39" s="19"/>
      <c r="AB39" s="19"/>
      <c r="AC39" s="19"/>
      <c r="AE39" s="15"/>
      <c r="AF39" s="15"/>
      <c r="AG39" s="15"/>
      <c r="AH39" s="15"/>
      <c r="AI39" s="15"/>
    </row>
    <row r="40" spans="1:35">
      <c r="A40" s="19"/>
      <c r="B40" s="27" t="s">
        <v>114</v>
      </c>
      <c r="C40" s="27">
        <v>57.7</v>
      </c>
      <c r="D40" s="32">
        <f t="shared" si="23"/>
        <v>35.900000000000006</v>
      </c>
      <c r="E40" s="27">
        <v>24.2</v>
      </c>
      <c r="F40" s="27">
        <f t="shared" si="24"/>
        <v>2.3999999999999986</v>
      </c>
      <c r="G40" s="27">
        <f t="shared" si="22"/>
        <v>359.00000000000006</v>
      </c>
      <c r="H40" s="27">
        <f t="shared" si="25"/>
        <v>23.999999999999982</v>
      </c>
      <c r="I40" s="29">
        <f t="shared" si="26"/>
        <v>93.314763231197773</v>
      </c>
      <c r="J40" s="19"/>
      <c r="K40" s="19"/>
      <c r="L40" s="19"/>
      <c r="M40" s="27" t="s">
        <v>114</v>
      </c>
      <c r="N40" s="28">
        <v>319.39999999999998</v>
      </c>
      <c r="O40" s="28">
        <f t="shared" si="27"/>
        <v>297.59999999999997</v>
      </c>
      <c r="P40" s="28">
        <v>69.2</v>
      </c>
      <c r="Q40" s="32">
        <f t="shared" si="28"/>
        <v>47.400000000000006</v>
      </c>
      <c r="R40" s="27">
        <f t="shared" si="29"/>
        <v>2975.9999999999995</v>
      </c>
      <c r="S40" s="27">
        <f t="shared" si="30"/>
        <v>474</v>
      </c>
      <c r="T40" s="29">
        <f t="shared" si="31"/>
        <v>84.072580645161281</v>
      </c>
      <c r="U40" s="19"/>
      <c r="V40" s="19"/>
      <c r="W40" s="19"/>
      <c r="X40" s="19" t="s">
        <v>447</v>
      </c>
      <c r="Y40" s="67">
        <f>O45/Y34</f>
        <v>7.8265616240299769</v>
      </c>
      <c r="Z40" s="19"/>
      <c r="AA40" s="19"/>
      <c r="AB40" s="19"/>
      <c r="AC40" s="19"/>
      <c r="AE40" s="15"/>
      <c r="AF40" s="15"/>
      <c r="AG40" s="15"/>
      <c r="AH40" s="15"/>
      <c r="AI40" s="15"/>
    </row>
    <row r="41" spans="1:35">
      <c r="A41" s="19"/>
      <c r="B41" s="27" t="s">
        <v>116</v>
      </c>
      <c r="C41" s="27">
        <v>101.1</v>
      </c>
      <c r="D41" s="32">
        <f t="shared" si="23"/>
        <v>79.3</v>
      </c>
      <c r="E41" s="27">
        <v>40.1</v>
      </c>
      <c r="F41" s="27">
        <f t="shared" si="24"/>
        <v>18.3</v>
      </c>
      <c r="G41" s="27">
        <f t="shared" si="22"/>
        <v>792.99999999999989</v>
      </c>
      <c r="H41" s="27">
        <f t="shared" si="25"/>
        <v>183</v>
      </c>
      <c r="I41" s="29">
        <f t="shared" si="26"/>
        <v>76.923076923076934</v>
      </c>
      <c r="J41" s="19"/>
      <c r="K41" s="19"/>
      <c r="L41" s="19"/>
      <c r="M41" s="27" t="s">
        <v>116</v>
      </c>
      <c r="N41" s="28">
        <v>293.39999999999998</v>
      </c>
      <c r="O41" s="28">
        <f t="shared" si="27"/>
        <v>271.59999999999997</v>
      </c>
      <c r="P41" s="28">
        <v>77.2</v>
      </c>
      <c r="Q41" s="32">
        <f t="shared" si="28"/>
        <v>55.400000000000006</v>
      </c>
      <c r="R41" s="27">
        <f t="shared" si="29"/>
        <v>2715.9999999999995</v>
      </c>
      <c r="S41" s="27">
        <f t="shared" si="30"/>
        <v>554</v>
      </c>
      <c r="T41" s="29">
        <f t="shared" si="31"/>
        <v>79.602356406480112</v>
      </c>
      <c r="U41" s="19"/>
      <c r="V41" s="19"/>
      <c r="W41" s="19"/>
      <c r="X41" s="19" t="s">
        <v>448</v>
      </c>
      <c r="Y41" s="67">
        <f>O59/Y34</f>
        <v>13.672361393880379</v>
      </c>
      <c r="Z41" s="19"/>
      <c r="AA41" s="19"/>
      <c r="AB41" s="19"/>
      <c r="AC41" s="19"/>
      <c r="AE41" s="15"/>
      <c r="AF41" s="15"/>
      <c r="AG41" s="15"/>
      <c r="AH41" s="15"/>
      <c r="AI41" s="15"/>
    </row>
    <row r="42" spans="1:35">
      <c r="A42" s="19"/>
      <c r="B42" s="27" t="s">
        <v>118</v>
      </c>
      <c r="C42" s="27">
        <v>108.4</v>
      </c>
      <c r="D42" s="32">
        <f t="shared" si="23"/>
        <v>86.600000000000009</v>
      </c>
      <c r="E42" s="27">
        <v>30.2</v>
      </c>
      <c r="F42" s="27">
        <f t="shared" si="24"/>
        <v>8.3999999999999986</v>
      </c>
      <c r="G42" s="27">
        <f t="shared" si="22"/>
        <v>866.00000000000011</v>
      </c>
      <c r="H42" s="27">
        <f t="shared" si="25"/>
        <v>83.999999999999972</v>
      </c>
      <c r="I42" s="29">
        <f t="shared" si="26"/>
        <v>90.300230946882238</v>
      </c>
      <c r="J42" s="19"/>
      <c r="K42" s="19"/>
      <c r="L42" s="19"/>
      <c r="M42" s="27" t="s">
        <v>118</v>
      </c>
      <c r="N42" s="28">
        <v>325.60000000000002</v>
      </c>
      <c r="O42" s="28">
        <f t="shared" si="27"/>
        <v>303.8</v>
      </c>
      <c r="P42" s="28">
        <v>65.3</v>
      </c>
      <c r="Q42" s="32">
        <f t="shared" si="28"/>
        <v>43.5</v>
      </c>
      <c r="R42" s="27">
        <f t="shared" si="29"/>
        <v>3038</v>
      </c>
      <c r="S42" s="27">
        <f t="shared" si="30"/>
        <v>434.99999999999994</v>
      </c>
      <c r="T42" s="29">
        <f t="shared" si="31"/>
        <v>85.681369321922318</v>
      </c>
      <c r="U42" s="19"/>
      <c r="V42" s="19"/>
      <c r="W42" s="19"/>
      <c r="X42" s="19"/>
      <c r="Y42" s="19"/>
      <c r="Z42" s="19"/>
      <c r="AA42" s="19"/>
      <c r="AB42" s="19"/>
      <c r="AC42" s="19"/>
      <c r="AE42" s="15"/>
      <c r="AF42" s="15"/>
      <c r="AG42" s="15"/>
      <c r="AH42" s="15"/>
      <c r="AI42" s="15"/>
    </row>
    <row r="43" spans="1:35">
      <c r="A43" s="19"/>
      <c r="B43" s="27" t="s">
        <v>120</v>
      </c>
      <c r="C43" s="27">
        <v>104</v>
      </c>
      <c r="D43" s="32">
        <f t="shared" si="23"/>
        <v>82.2</v>
      </c>
      <c r="E43" s="27">
        <v>29.2</v>
      </c>
      <c r="F43" s="27">
        <f t="shared" si="24"/>
        <v>7.3999999999999986</v>
      </c>
      <c r="G43" s="27">
        <f t="shared" si="22"/>
        <v>822</v>
      </c>
      <c r="H43" s="27">
        <f t="shared" si="25"/>
        <v>73.999999999999986</v>
      </c>
      <c r="I43" s="29">
        <f t="shared" si="26"/>
        <v>90.997566909975674</v>
      </c>
      <c r="J43" s="19"/>
      <c r="K43" s="19"/>
      <c r="L43" s="19"/>
      <c r="M43" s="27" t="s">
        <v>120</v>
      </c>
      <c r="N43" s="28">
        <v>235.5</v>
      </c>
      <c r="O43" s="28">
        <f t="shared" si="27"/>
        <v>213.7</v>
      </c>
      <c r="P43" s="28">
        <v>51.4</v>
      </c>
      <c r="Q43" s="32">
        <f t="shared" si="28"/>
        <v>29.599999999999998</v>
      </c>
      <c r="R43" s="27">
        <f t="shared" si="29"/>
        <v>2137</v>
      </c>
      <c r="S43" s="27">
        <f t="shared" si="30"/>
        <v>295.99999999999994</v>
      </c>
      <c r="T43" s="29">
        <f t="shared" si="31"/>
        <v>86.148806738418344</v>
      </c>
      <c r="U43" s="19"/>
      <c r="V43" s="19"/>
      <c r="W43" s="19"/>
      <c r="AA43" s="19"/>
      <c r="AB43" s="19"/>
      <c r="AC43" s="19"/>
      <c r="AE43" s="15"/>
      <c r="AF43" s="15"/>
      <c r="AG43" s="15"/>
      <c r="AH43" s="15"/>
      <c r="AI43" s="15"/>
    </row>
    <row r="44" spans="1:35">
      <c r="A44" s="19"/>
      <c r="B44" s="27" t="s">
        <v>122</v>
      </c>
      <c r="C44" s="27">
        <v>73.099999999999994</v>
      </c>
      <c r="D44" s="32">
        <f t="shared" si="23"/>
        <v>51.3</v>
      </c>
      <c r="E44" s="27">
        <v>26.1</v>
      </c>
      <c r="F44" s="27">
        <f t="shared" si="24"/>
        <v>4.3000000000000007</v>
      </c>
      <c r="G44" s="27">
        <f t="shared" si="22"/>
        <v>513</v>
      </c>
      <c r="H44" s="27">
        <f t="shared" si="25"/>
        <v>43.000000000000007</v>
      </c>
      <c r="I44" s="29">
        <f t="shared" si="26"/>
        <v>91.617933723196884</v>
      </c>
      <c r="J44" s="19"/>
      <c r="K44" s="19"/>
      <c r="L44" s="19"/>
      <c r="M44" s="27" t="s">
        <v>122</v>
      </c>
      <c r="N44" s="28">
        <v>224.4</v>
      </c>
      <c r="O44" s="28">
        <f t="shared" si="27"/>
        <v>202.6</v>
      </c>
      <c r="P44" s="28">
        <v>58.1</v>
      </c>
      <c r="Q44" s="32">
        <f t="shared" si="28"/>
        <v>36.299999999999997</v>
      </c>
      <c r="R44" s="27">
        <f t="shared" si="29"/>
        <v>2026</v>
      </c>
      <c r="S44" s="27">
        <f t="shared" si="30"/>
        <v>363</v>
      </c>
      <c r="T44" s="29">
        <f t="shared" si="31"/>
        <v>82.082922013820351</v>
      </c>
      <c r="U44" s="19"/>
      <c r="V44" s="19"/>
      <c r="W44" s="19"/>
      <c r="AA44" s="19"/>
      <c r="AB44" s="19"/>
      <c r="AC44" s="19"/>
      <c r="AE44" s="15"/>
      <c r="AF44" s="15"/>
      <c r="AG44" s="15"/>
      <c r="AH44" s="15"/>
      <c r="AI44" s="15"/>
    </row>
    <row r="45" spans="1:35" ht="18.75">
      <c r="A45" s="19"/>
      <c r="B45" s="37" t="s">
        <v>404</v>
      </c>
      <c r="D45" s="39">
        <f>AVERAGE(D36:D44)</f>
        <v>96.811111111111103</v>
      </c>
      <c r="G45" s="39">
        <f>AVERAGE(G36:G44)</f>
        <v>968.11111111111109</v>
      </c>
      <c r="H45" s="39">
        <f>AVERAGE(H36:H44)</f>
        <v>118.11111111111109</v>
      </c>
      <c r="M45" s="37" t="s">
        <v>404</v>
      </c>
      <c r="O45" s="39">
        <f>AVERAGE(O36:O44)</f>
        <v>294.72222222222217</v>
      </c>
      <c r="Q45" s="39">
        <f>AVERAGE(Q36:Q44)</f>
        <v>48.088888888888889</v>
      </c>
      <c r="R45" s="19"/>
      <c r="S45" s="19"/>
      <c r="U45" s="19"/>
      <c r="V45" s="19"/>
      <c r="W45" s="19"/>
      <c r="AA45" s="19"/>
      <c r="AB45" s="19"/>
      <c r="AC45" s="19"/>
    </row>
    <row r="46" spans="1:35" ht="18.75">
      <c r="A46" s="19"/>
      <c r="B46" s="37" t="s">
        <v>405</v>
      </c>
      <c r="D46" s="39">
        <f>_xlfn.STDEV.P(D36:D44)/SQRT(9)</f>
        <v>17.86173539219665</v>
      </c>
      <c r="G46" s="39">
        <f>_xlfn.STDEV.P(G36:G44)/SQRT(9)</f>
        <v>178.6173539219665</v>
      </c>
      <c r="H46" s="39">
        <f>_xlfn.STDEV.P(H36:H44)/SQRT(9)</f>
        <v>21.260549709189082</v>
      </c>
      <c r="M46" s="37" t="s">
        <v>405</v>
      </c>
      <c r="O46" s="39">
        <f>_xlfn.STDEV.P(O36:O44)/SQRT(9)</f>
        <v>27.864286526822038</v>
      </c>
      <c r="Q46" s="39">
        <f>_xlfn.STDEV.P(Q36:Q44)/SQRT(9)</f>
        <v>4.3649684128916499</v>
      </c>
      <c r="R46" s="19"/>
      <c r="S46" s="19"/>
      <c r="U46" s="19"/>
      <c r="V46" s="19"/>
      <c r="W46" s="65"/>
      <c r="X46" s="19"/>
      <c r="Y46" s="19"/>
      <c r="Z46" s="19"/>
      <c r="AA46" s="19"/>
      <c r="AB46" s="19"/>
      <c r="AC46" s="19"/>
    </row>
    <row r="47" spans="1:35">
      <c r="A47" s="19"/>
      <c r="B47" s="19"/>
      <c r="C47" s="19"/>
      <c r="D47" s="19"/>
      <c r="E47" s="50"/>
      <c r="F47" s="50"/>
      <c r="G47" s="50"/>
      <c r="H47" s="50"/>
      <c r="I47" s="19"/>
      <c r="J47" s="19"/>
      <c r="K47" s="19"/>
      <c r="L47" s="19"/>
      <c r="M47" s="19"/>
      <c r="N47" s="19"/>
      <c r="O47" s="19"/>
      <c r="P47" s="19"/>
      <c r="Q47" s="19"/>
      <c r="R47" s="19"/>
      <c r="S47" s="19"/>
      <c r="U47" s="19"/>
      <c r="V47" s="19"/>
      <c r="W47" s="65"/>
      <c r="X47" s="19"/>
      <c r="Y47" s="19"/>
      <c r="Z47" s="19"/>
      <c r="AA47" s="19"/>
      <c r="AB47" s="19"/>
      <c r="AC47" s="19"/>
    </row>
    <row r="48" spans="1:35">
      <c r="A48" s="19"/>
      <c r="B48" s="19"/>
      <c r="C48" s="205" t="s">
        <v>440</v>
      </c>
      <c r="D48" s="205"/>
      <c r="E48" s="205"/>
      <c r="F48" s="205"/>
      <c r="G48" s="205"/>
      <c r="H48" s="19"/>
      <c r="I48" s="19"/>
      <c r="J48" s="19"/>
      <c r="K48" s="19"/>
      <c r="L48" s="19"/>
      <c r="M48" s="205" t="s">
        <v>441</v>
      </c>
      <c r="N48" s="205"/>
      <c r="O48" s="205"/>
      <c r="P48" s="205"/>
      <c r="Q48" s="205"/>
      <c r="R48" s="19"/>
      <c r="S48" s="19"/>
      <c r="U48" s="19"/>
      <c r="V48" s="19"/>
      <c r="X48" s="19"/>
      <c r="Y48" s="19"/>
      <c r="Z48" s="19"/>
      <c r="AA48" s="19"/>
      <c r="AB48" s="19"/>
      <c r="AC48" s="19"/>
    </row>
    <row r="49" spans="1:29">
      <c r="A49" s="19"/>
      <c r="B49" s="59" t="s">
        <v>388</v>
      </c>
      <c r="C49" s="23" t="s">
        <v>389</v>
      </c>
      <c r="D49" s="64" t="s">
        <v>442</v>
      </c>
      <c r="E49" s="23" t="s">
        <v>390</v>
      </c>
      <c r="F49" s="23" t="s">
        <v>443</v>
      </c>
      <c r="G49" s="59" t="s">
        <v>399</v>
      </c>
      <c r="H49" s="59" t="s">
        <v>393</v>
      </c>
      <c r="I49" s="23" t="s">
        <v>394</v>
      </c>
      <c r="J49" s="19"/>
      <c r="K49" s="19"/>
      <c r="L49" s="19"/>
      <c r="M49" s="59" t="s">
        <v>388</v>
      </c>
      <c r="N49" s="23" t="s">
        <v>389</v>
      </c>
      <c r="O49" s="63" t="s">
        <v>444</v>
      </c>
      <c r="P49" s="23" t="s">
        <v>390</v>
      </c>
      <c r="Q49" s="64" t="s">
        <v>445</v>
      </c>
      <c r="R49" s="59" t="s">
        <v>399</v>
      </c>
      <c r="S49" s="59" t="s">
        <v>393</v>
      </c>
      <c r="T49" s="23" t="s">
        <v>394</v>
      </c>
      <c r="U49" s="19"/>
      <c r="V49" s="19"/>
      <c r="W49" s="19"/>
      <c r="X49" s="19"/>
      <c r="Y49" s="19"/>
      <c r="Z49" s="19"/>
      <c r="AA49" s="19"/>
      <c r="AB49" s="19"/>
      <c r="AC49" s="19"/>
    </row>
    <row r="50" spans="1:29">
      <c r="A50" s="19"/>
      <c r="B50" s="27" t="s">
        <v>124</v>
      </c>
      <c r="C50" s="27">
        <v>125.8</v>
      </c>
      <c r="D50" s="32">
        <f>C50-$T$2</f>
        <v>104</v>
      </c>
      <c r="E50" s="27">
        <v>31.2</v>
      </c>
      <c r="F50" s="27">
        <f>E50-$T$2</f>
        <v>9.3999999999999986</v>
      </c>
      <c r="G50" s="27">
        <f>(D50/1000)/(1/10000)</f>
        <v>1040</v>
      </c>
      <c r="H50" s="27">
        <f>(F50/1000)/(1/10000)</f>
        <v>93.999999999999986</v>
      </c>
      <c r="I50" s="29">
        <f>((D50-F50)/D50)*100</f>
        <v>90.961538461538467</v>
      </c>
      <c r="J50" s="19"/>
      <c r="K50" s="19"/>
      <c r="L50" s="19"/>
      <c r="M50" s="27" t="s">
        <v>124</v>
      </c>
      <c r="N50" s="27">
        <v>502.9</v>
      </c>
      <c r="O50" s="27">
        <f>N50-$T$2</f>
        <v>481.09999999999997</v>
      </c>
      <c r="P50" s="27">
        <v>92</v>
      </c>
      <c r="Q50" s="32">
        <f>P50-$T$2</f>
        <v>70.2</v>
      </c>
      <c r="R50" s="27">
        <f>(O50/1000)/(1/10000)</f>
        <v>4810.9999999999991</v>
      </c>
      <c r="S50" s="27">
        <f>(Q50/1000)/(1/10000)</f>
        <v>702</v>
      </c>
      <c r="T50" s="29">
        <f>((O50-Q50)/O50)*100</f>
        <v>85.40843899397214</v>
      </c>
      <c r="U50" s="19"/>
      <c r="V50" s="19"/>
      <c r="W50" s="19"/>
      <c r="X50" s="19"/>
      <c r="Y50" s="19"/>
      <c r="Z50" s="19"/>
      <c r="AA50" s="19"/>
      <c r="AB50" s="19"/>
      <c r="AC50" s="19"/>
    </row>
    <row r="51" spans="1:29">
      <c r="A51" s="19"/>
      <c r="B51" s="27" t="s">
        <v>126</v>
      </c>
      <c r="C51" s="27">
        <v>116</v>
      </c>
      <c r="D51" s="32">
        <f t="shared" ref="D51:D58" si="32">C51-$T$2</f>
        <v>94.2</v>
      </c>
      <c r="E51" s="27">
        <v>29.7</v>
      </c>
      <c r="F51" s="27">
        <f t="shared" ref="F51:F58" si="33">E51-$T$2</f>
        <v>7.8999999999999986</v>
      </c>
      <c r="G51" s="27">
        <f t="shared" ref="G51:G58" si="34">(D51/1000)/(1/10000)</f>
        <v>942</v>
      </c>
      <c r="H51" s="27">
        <f t="shared" ref="H51:H58" si="35">(F51/1000)/(1/10000)</f>
        <v>78.999999999999986</v>
      </c>
      <c r="I51" s="29">
        <f t="shared" ref="I51:I58" si="36">((D51-F51)/D51)*100</f>
        <v>91.613588110403413</v>
      </c>
      <c r="J51" s="19"/>
      <c r="K51" s="19"/>
      <c r="L51" s="19"/>
      <c r="M51" s="27" t="s">
        <v>126</v>
      </c>
      <c r="N51" s="27">
        <v>347</v>
      </c>
      <c r="O51" s="27">
        <f t="shared" ref="O51:O58" si="37">N51-$T$2</f>
        <v>325.2</v>
      </c>
      <c r="P51" s="27">
        <v>67.5</v>
      </c>
      <c r="Q51" s="32">
        <f t="shared" ref="Q51:Q58" si="38">P51-$T$2</f>
        <v>45.7</v>
      </c>
      <c r="R51" s="27">
        <f t="shared" ref="R51:R58" si="39">(O51/1000)/(1/10000)</f>
        <v>3251.9999999999995</v>
      </c>
      <c r="S51" s="27">
        <f t="shared" ref="S51:S58" si="40">(Q51/1000)/(1/10000)</f>
        <v>457</v>
      </c>
      <c r="T51" s="29">
        <f t="shared" ref="T51:T58" si="41">((O51-Q51)/O51)*100</f>
        <v>85.94710947109472</v>
      </c>
      <c r="U51" s="19"/>
      <c r="V51" s="19"/>
      <c r="Y51" s="19"/>
      <c r="Z51" s="19"/>
      <c r="AA51" s="19"/>
      <c r="AB51" s="19"/>
      <c r="AC51" s="19"/>
    </row>
    <row r="52" spans="1:29">
      <c r="A52" s="19"/>
      <c r="B52" s="27" t="s">
        <v>128</v>
      </c>
      <c r="C52" s="27">
        <v>128.19999999999999</v>
      </c>
      <c r="D52" s="32">
        <f t="shared" si="32"/>
        <v>106.39999999999999</v>
      </c>
      <c r="E52" s="27">
        <v>31.2</v>
      </c>
      <c r="F52" s="27">
        <f t="shared" si="33"/>
        <v>9.3999999999999986</v>
      </c>
      <c r="G52" s="27">
        <f t="shared" si="34"/>
        <v>1064</v>
      </c>
      <c r="H52" s="27">
        <f t="shared" si="35"/>
        <v>93.999999999999986</v>
      </c>
      <c r="I52" s="29">
        <f t="shared" si="36"/>
        <v>91.165413533834595</v>
      </c>
      <c r="J52" s="19"/>
      <c r="K52" s="19"/>
      <c r="L52" s="19"/>
      <c r="M52" s="27" t="s">
        <v>128</v>
      </c>
      <c r="N52" s="27">
        <v>721</v>
      </c>
      <c r="O52" s="27">
        <f t="shared" si="37"/>
        <v>699.2</v>
      </c>
      <c r="P52" s="27">
        <v>110.4</v>
      </c>
      <c r="Q52" s="32">
        <f t="shared" si="38"/>
        <v>88.600000000000009</v>
      </c>
      <c r="R52" s="27">
        <f t="shared" si="39"/>
        <v>6992</v>
      </c>
      <c r="S52" s="27">
        <f t="shared" si="40"/>
        <v>886.00000000000011</v>
      </c>
      <c r="T52" s="29">
        <f t="shared" si="41"/>
        <v>87.328375286041179</v>
      </c>
      <c r="U52" s="19"/>
      <c r="V52" s="19"/>
      <c r="Y52" s="19"/>
      <c r="Z52" s="19"/>
      <c r="AA52" s="19"/>
      <c r="AB52" s="19"/>
      <c r="AC52" s="19"/>
    </row>
    <row r="53" spans="1:29">
      <c r="A53" s="19"/>
      <c r="B53" s="27" t="s">
        <v>130</v>
      </c>
      <c r="C53" s="27">
        <v>127.5</v>
      </c>
      <c r="D53" s="32">
        <f t="shared" si="32"/>
        <v>105.7</v>
      </c>
      <c r="E53" s="27">
        <v>30.7</v>
      </c>
      <c r="F53" s="27">
        <f t="shared" si="33"/>
        <v>8.8999999999999986</v>
      </c>
      <c r="G53" s="27">
        <f t="shared" si="34"/>
        <v>1057</v>
      </c>
      <c r="H53" s="27">
        <f t="shared" si="35"/>
        <v>88.999999999999972</v>
      </c>
      <c r="I53" s="29">
        <f t="shared" si="36"/>
        <v>91.579943235572387</v>
      </c>
      <c r="J53" s="19"/>
      <c r="K53" s="19"/>
      <c r="L53" s="19"/>
      <c r="M53" s="27" t="s">
        <v>130</v>
      </c>
      <c r="N53" s="27">
        <v>522.5</v>
      </c>
      <c r="O53" s="27">
        <f t="shared" si="37"/>
        <v>500.7</v>
      </c>
      <c r="P53" s="27">
        <v>83</v>
      </c>
      <c r="Q53" s="32">
        <f t="shared" si="38"/>
        <v>61.2</v>
      </c>
      <c r="R53" s="27">
        <f t="shared" si="39"/>
        <v>5007</v>
      </c>
      <c r="S53" s="27">
        <f t="shared" si="40"/>
        <v>612</v>
      </c>
      <c r="T53" s="29">
        <f t="shared" si="41"/>
        <v>87.77711204313961</v>
      </c>
      <c r="U53" s="19"/>
      <c r="V53" s="19"/>
      <c r="Y53" s="19"/>
      <c r="Z53" s="19"/>
      <c r="AA53" s="19"/>
      <c r="AB53" s="19"/>
      <c r="AC53" s="19"/>
    </row>
    <row r="54" spans="1:29">
      <c r="A54" s="19"/>
      <c r="B54" s="27" t="s">
        <v>132</v>
      </c>
      <c r="C54" s="27">
        <v>320</v>
      </c>
      <c r="D54" s="32">
        <f t="shared" si="32"/>
        <v>298.2</v>
      </c>
      <c r="E54" s="27">
        <v>51.5</v>
      </c>
      <c r="F54" s="27">
        <f t="shared" si="33"/>
        <v>29.7</v>
      </c>
      <c r="G54" s="27">
        <f t="shared" si="34"/>
        <v>2981.9999999999995</v>
      </c>
      <c r="H54" s="27">
        <f t="shared" si="35"/>
        <v>297</v>
      </c>
      <c r="I54" s="29">
        <f t="shared" si="36"/>
        <v>90.040241448692157</v>
      </c>
      <c r="J54" s="19"/>
      <c r="K54" s="19"/>
      <c r="L54" s="19"/>
      <c r="M54" s="27" t="s">
        <v>132</v>
      </c>
      <c r="N54" s="27">
        <v>615</v>
      </c>
      <c r="O54" s="27">
        <f t="shared" si="37"/>
        <v>593.20000000000005</v>
      </c>
      <c r="P54" s="27">
        <v>99</v>
      </c>
      <c r="Q54" s="32">
        <f t="shared" si="38"/>
        <v>77.2</v>
      </c>
      <c r="R54" s="27">
        <f t="shared" si="39"/>
        <v>5932</v>
      </c>
      <c r="S54" s="27">
        <f t="shared" si="40"/>
        <v>772</v>
      </c>
      <c r="T54" s="29">
        <f t="shared" si="41"/>
        <v>86.985839514497627</v>
      </c>
      <c r="U54" s="19"/>
      <c r="V54" s="19"/>
      <c r="Y54" s="19"/>
      <c r="Z54" s="19"/>
      <c r="AA54" s="19"/>
      <c r="AB54" s="19"/>
      <c r="AC54" s="19"/>
    </row>
    <row r="55" spans="1:29">
      <c r="A55" s="19"/>
      <c r="B55" s="27" t="s">
        <v>134</v>
      </c>
      <c r="C55" s="27">
        <v>203.6</v>
      </c>
      <c r="D55" s="32">
        <f t="shared" si="32"/>
        <v>181.79999999999998</v>
      </c>
      <c r="E55" s="27">
        <v>40.9</v>
      </c>
      <c r="F55" s="27">
        <f t="shared" si="33"/>
        <v>19.099999999999998</v>
      </c>
      <c r="G55" s="27">
        <f t="shared" si="34"/>
        <v>1817.9999999999998</v>
      </c>
      <c r="H55" s="27">
        <f t="shared" si="35"/>
        <v>190.99999999999997</v>
      </c>
      <c r="I55" s="29">
        <f t="shared" si="36"/>
        <v>89.493949394939492</v>
      </c>
      <c r="J55" s="19"/>
      <c r="K55" s="19"/>
      <c r="L55" s="19"/>
      <c r="M55" s="27" t="s">
        <v>134</v>
      </c>
      <c r="N55" s="27">
        <v>562.29999999999995</v>
      </c>
      <c r="O55" s="27">
        <f t="shared" si="37"/>
        <v>540.5</v>
      </c>
      <c r="P55" s="27">
        <v>97</v>
      </c>
      <c r="Q55" s="32">
        <f t="shared" si="38"/>
        <v>75.2</v>
      </c>
      <c r="R55" s="27">
        <f t="shared" si="39"/>
        <v>5405</v>
      </c>
      <c r="S55" s="27">
        <f t="shared" si="40"/>
        <v>752</v>
      </c>
      <c r="T55" s="29">
        <f t="shared" si="41"/>
        <v>86.08695652173914</v>
      </c>
      <c r="U55" s="19"/>
      <c r="V55" s="19"/>
      <c r="Y55" s="19"/>
      <c r="Z55" s="19"/>
      <c r="AA55" s="19"/>
      <c r="AB55" s="19"/>
      <c r="AC55" s="19"/>
    </row>
    <row r="56" spans="1:29">
      <c r="A56" s="19"/>
      <c r="B56" s="27" t="s">
        <v>136</v>
      </c>
      <c r="C56" s="27">
        <v>128.69999999999999</v>
      </c>
      <c r="D56" s="32">
        <f t="shared" si="32"/>
        <v>106.89999999999999</v>
      </c>
      <c r="E56" s="27">
        <v>32.6</v>
      </c>
      <c r="F56" s="27">
        <f t="shared" si="33"/>
        <v>10.8</v>
      </c>
      <c r="G56" s="27">
        <f t="shared" si="34"/>
        <v>1069</v>
      </c>
      <c r="H56" s="27">
        <f t="shared" si="35"/>
        <v>108</v>
      </c>
      <c r="I56" s="29">
        <f t="shared" si="36"/>
        <v>89.897100093545362</v>
      </c>
      <c r="J56" s="19"/>
      <c r="K56" s="19"/>
      <c r="L56" s="19"/>
      <c r="M56" s="27" t="s">
        <v>136</v>
      </c>
      <c r="N56" s="27">
        <v>448.9</v>
      </c>
      <c r="O56" s="27">
        <f t="shared" si="37"/>
        <v>427.09999999999997</v>
      </c>
      <c r="P56" s="27">
        <v>82.8</v>
      </c>
      <c r="Q56" s="32">
        <f t="shared" si="38"/>
        <v>61</v>
      </c>
      <c r="R56" s="27">
        <f t="shared" si="39"/>
        <v>4271</v>
      </c>
      <c r="S56" s="27">
        <f t="shared" si="40"/>
        <v>610</v>
      </c>
      <c r="T56" s="29">
        <f t="shared" si="41"/>
        <v>85.717630531491452</v>
      </c>
      <c r="U56" s="19"/>
      <c r="V56" s="19"/>
      <c r="Y56" s="19"/>
      <c r="Z56" s="19"/>
      <c r="AA56" s="19"/>
      <c r="AB56" s="19"/>
      <c r="AC56" s="19"/>
    </row>
    <row r="57" spans="1:29">
      <c r="A57" s="19"/>
      <c r="B57" s="27" t="s">
        <v>138</v>
      </c>
      <c r="C57" s="27">
        <v>79.3</v>
      </c>
      <c r="D57" s="32">
        <f t="shared" si="32"/>
        <v>57.5</v>
      </c>
      <c r="E57" s="27">
        <v>26.1</v>
      </c>
      <c r="F57" s="27">
        <f t="shared" si="33"/>
        <v>4.3000000000000007</v>
      </c>
      <c r="G57" s="27">
        <f t="shared" si="34"/>
        <v>575</v>
      </c>
      <c r="H57" s="27">
        <f t="shared" si="35"/>
        <v>43.000000000000007</v>
      </c>
      <c r="I57" s="29">
        <f t="shared" si="36"/>
        <v>92.521739130434781</v>
      </c>
      <c r="J57" s="19"/>
      <c r="K57" s="19"/>
      <c r="L57" s="19"/>
      <c r="M57" s="27" t="s">
        <v>138</v>
      </c>
      <c r="N57" s="27">
        <v>482.2</v>
      </c>
      <c r="O57" s="27">
        <f t="shared" si="37"/>
        <v>460.4</v>
      </c>
      <c r="P57" s="27">
        <v>87.4</v>
      </c>
      <c r="Q57" s="32">
        <f t="shared" si="38"/>
        <v>65.600000000000009</v>
      </c>
      <c r="R57" s="27">
        <f t="shared" si="39"/>
        <v>4603.9999999999991</v>
      </c>
      <c r="S57" s="27">
        <f t="shared" si="40"/>
        <v>656</v>
      </c>
      <c r="T57" s="29">
        <f t="shared" si="41"/>
        <v>85.751520417028672</v>
      </c>
      <c r="U57" s="19"/>
      <c r="V57" s="19"/>
      <c r="Y57" s="19"/>
      <c r="Z57" s="19"/>
      <c r="AA57" s="19"/>
      <c r="AB57" s="19"/>
      <c r="AC57" s="19"/>
    </row>
    <row r="58" spans="1:29">
      <c r="A58" s="19"/>
      <c r="B58" s="27" t="s">
        <v>140</v>
      </c>
      <c r="C58" s="27">
        <v>230.2</v>
      </c>
      <c r="D58" s="32">
        <f t="shared" si="32"/>
        <v>208.39999999999998</v>
      </c>
      <c r="E58" s="27">
        <v>39.9</v>
      </c>
      <c r="F58" s="27">
        <f t="shared" si="33"/>
        <v>18.099999999999998</v>
      </c>
      <c r="G58" s="27">
        <f t="shared" si="34"/>
        <v>2083.9999999999995</v>
      </c>
      <c r="H58" s="27">
        <f t="shared" si="35"/>
        <v>180.99999999999997</v>
      </c>
      <c r="I58" s="29">
        <f t="shared" si="36"/>
        <v>91.314779270633395</v>
      </c>
      <c r="J58" s="19"/>
      <c r="K58" s="19"/>
      <c r="L58" s="19"/>
      <c r="M58" s="27" t="s">
        <v>140</v>
      </c>
      <c r="N58" s="27">
        <v>628.1</v>
      </c>
      <c r="O58" s="27">
        <f t="shared" si="37"/>
        <v>606.30000000000007</v>
      </c>
      <c r="P58" s="27">
        <v>100.4</v>
      </c>
      <c r="Q58" s="32">
        <f t="shared" si="38"/>
        <v>78.600000000000009</v>
      </c>
      <c r="R58" s="27">
        <f t="shared" si="39"/>
        <v>6063</v>
      </c>
      <c r="S58" s="27">
        <f t="shared" si="40"/>
        <v>786</v>
      </c>
      <c r="T58" s="29">
        <f t="shared" si="41"/>
        <v>87.036120732310735</v>
      </c>
      <c r="U58" s="19"/>
      <c r="V58" s="19"/>
      <c r="Y58" s="19"/>
      <c r="Z58" s="19"/>
      <c r="AA58" s="19"/>
      <c r="AB58" s="19"/>
      <c r="AC58" s="19"/>
    </row>
    <row r="59" spans="1:29" ht="18.75">
      <c r="A59" s="19"/>
      <c r="B59" s="37" t="s">
        <v>404</v>
      </c>
      <c r="D59" s="39">
        <f>AVERAGE(D50:D58)</f>
        <v>140.34444444444443</v>
      </c>
      <c r="G59" s="39">
        <f>AVERAGE(G50:G58)</f>
        <v>1403.4444444444443</v>
      </c>
      <c r="H59" s="19"/>
      <c r="I59" s="19"/>
      <c r="J59" s="19"/>
      <c r="K59" s="19"/>
      <c r="L59" s="19"/>
      <c r="M59" s="37" t="s">
        <v>404</v>
      </c>
      <c r="N59" s="19"/>
      <c r="O59" s="39">
        <f>AVERAGE(O50:O58)</f>
        <v>514.8555555555555</v>
      </c>
      <c r="P59" s="19"/>
      <c r="Q59" s="39">
        <f>AVERAGE(Q50:Q58)</f>
        <v>69.255555555555546</v>
      </c>
      <c r="R59" s="19"/>
      <c r="S59" s="19"/>
      <c r="W59" s="19"/>
      <c r="X59" s="19"/>
      <c r="Y59" s="19"/>
      <c r="Z59" s="19"/>
      <c r="AA59" s="19"/>
      <c r="AB59" s="19"/>
      <c r="AC59" s="19"/>
    </row>
    <row r="60" spans="1:29" ht="18.75">
      <c r="A60" s="19"/>
      <c r="B60" s="37" t="s">
        <v>405</v>
      </c>
      <c r="D60" s="39">
        <f>_xlfn.STDEV.P(D50:D58)/SQRT(9)</f>
        <v>23.584081841863821</v>
      </c>
      <c r="G60" s="39">
        <f>_xlfn.STDEV.P(G50:G58)/SQRT(9)</f>
        <v>235.84081841863812</v>
      </c>
      <c r="I60" s="19"/>
      <c r="J60" s="19"/>
      <c r="K60" s="19"/>
      <c r="M60" s="37" t="s">
        <v>405</v>
      </c>
      <c r="N60" s="19"/>
      <c r="O60" s="39">
        <f>_xlfn.STDEV.P(O50:O58)/SQRT(9)</f>
        <v>34.626034275629443</v>
      </c>
      <c r="P60" s="19"/>
      <c r="Q60" s="39">
        <f>_xlfn.STDEV.P(Q50:Q58)/SQRT(9)</f>
        <v>3.9474045578689121</v>
      </c>
      <c r="R60" s="19"/>
      <c r="S60" s="19"/>
      <c r="W60" s="19"/>
      <c r="X60" s="19"/>
      <c r="Y60" s="19"/>
      <c r="Z60" s="19"/>
      <c r="AA60" s="19"/>
      <c r="AB60" s="19"/>
      <c r="AC60" s="19"/>
    </row>
    <row r="61" spans="1:29">
      <c r="A61" s="19"/>
      <c r="H61" s="19"/>
      <c r="I61" s="19"/>
      <c r="J61" s="19"/>
      <c r="M61" s="19"/>
      <c r="N61" s="19"/>
      <c r="O61" s="19"/>
      <c r="P61" s="19"/>
      <c r="Q61" s="19"/>
      <c r="R61" s="19"/>
      <c r="V61" s="19"/>
      <c r="W61" s="19"/>
      <c r="X61" s="19"/>
      <c r="Y61" s="19"/>
      <c r="Z61" s="19"/>
      <c r="AA61" s="19"/>
      <c r="AB61" s="19"/>
      <c r="AC61" s="19"/>
    </row>
    <row r="62" spans="1:29">
      <c r="A62" s="19"/>
      <c r="H62" s="19"/>
      <c r="I62" s="19"/>
      <c r="J62" s="19"/>
      <c r="M62" s="19"/>
      <c r="N62" s="19"/>
      <c r="O62" s="19"/>
      <c r="P62" s="19"/>
      <c r="Q62" s="19"/>
      <c r="T62" s="19"/>
      <c r="U62" s="19"/>
      <c r="V62" s="19"/>
      <c r="W62" s="19"/>
      <c r="X62" s="19"/>
      <c r="Y62" s="19"/>
      <c r="Z62" s="19"/>
      <c r="AA62" s="19"/>
      <c r="AB62" s="19"/>
      <c r="AC62" s="19"/>
    </row>
    <row r="63" spans="1:29">
      <c r="A63" s="19"/>
      <c r="H63" s="19"/>
      <c r="I63" s="19"/>
      <c r="J63" s="19"/>
      <c r="M63" s="19"/>
      <c r="N63" s="19"/>
      <c r="O63" s="19"/>
      <c r="P63" s="19"/>
      <c r="Q63" s="19"/>
      <c r="T63" s="19"/>
      <c r="U63" s="19"/>
      <c r="V63" s="19"/>
      <c r="W63" s="19"/>
      <c r="X63" s="19"/>
      <c r="Y63" s="19"/>
      <c r="Z63" s="19"/>
      <c r="AA63" s="19"/>
      <c r="AB63" s="19"/>
      <c r="AC63" s="19"/>
    </row>
    <row r="68" spans="7:7">
      <c r="G68" t="s">
        <v>633</v>
      </c>
    </row>
  </sheetData>
  <mergeCells count="14">
    <mergeCell ref="C48:G48"/>
    <mergeCell ref="M48:Q48"/>
    <mergeCell ref="D18:E18"/>
    <mergeCell ref="O18:S18"/>
    <mergeCell ref="W20:AB20"/>
    <mergeCell ref="C33:P33"/>
    <mergeCell ref="C34:G34"/>
    <mergeCell ref="L34:P34"/>
    <mergeCell ref="W4:AB4"/>
    <mergeCell ref="B1:E1"/>
    <mergeCell ref="F1:K1"/>
    <mergeCell ref="D3:E3"/>
    <mergeCell ref="F3:G3"/>
    <mergeCell ref="P3:T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471E5-52A5-3C43-81BC-48E5DD812FD1}">
  <dimension ref="A2:R14"/>
  <sheetViews>
    <sheetView topLeftCell="I1" zoomScale="75" workbookViewId="0">
      <selection activeCell="Q11" sqref="Q11"/>
    </sheetView>
  </sheetViews>
  <sheetFormatPr defaultColWidth="11" defaultRowHeight="15.75"/>
  <cols>
    <col min="1" max="1" width="12" customWidth="1"/>
    <col min="2" max="2" width="23.375" customWidth="1"/>
    <col min="3" max="3" width="18.875" customWidth="1"/>
    <col min="4" max="4" width="19.5" customWidth="1"/>
    <col min="5" max="5" width="15.375" customWidth="1"/>
    <col min="6" max="6" width="19.625" customWidth="1"/>
    <col min="7" max="7" width="22.875" customWidth="1"/>
    <col min="8" max="8" width="22.625" customWidth="1"/>
    <col min="9" max="9" width="22.875" customWidth="1"/>
    <col min="10" max="10" width="19.375" customWidth="1"/>
    <col min="11" max="11" width="26.375" customWidth="1"/>
    <col min="12" max="12" width="26.625" customWidth="1"/>
    <col min="13" max="13" width="26" customWidth="1"/>
    <col min="14" max="14" width="26.625" customWidth="1"/>
    <col min="15" max="15" width="23.625" customWidth="1"/>
    <col min="17" max="17" width="22.5" customWidth="1"/>
  </cols>
  <sheetData>
    <row r="2" spans="1:18">
      <c r="H2" s="15" t="s">
        <v>454</v>
      </c>
      <c r="I2">
        <v>55.8</v>
      </c>
      <c r="J2" t="s">
        <v>492</v>
      </c>
      <c r="M2" t="s">
        <v>660</v>
      </c>
      <c r="N2" t="s">
        <v>661</v>
      </c>
    </row>
    <row r="3" spans="1:18">
      <c r="A3" t="s">
        <v>377</v>
      </c>
      <c r="H3" s="15"/>
      <c r="N3" t="s">
        <v>662</v>
      </c>
    </row>
    <row r="4" spans="1:18">
      <c r="H4" s="15"/>
    </row>
    <row r="5" spans="1:18">
      <c r="A5" s="86" t="s">
        <v>36</v>
      </c>
      <c r="B5" s="86" t="s">
        <v>37</v>
      </c>
      <c r="C5" s="86" t="s">
        <v>43</v>
      </c>
      <c r="D5" s="86" t="s">
        <v>38</v>
      </c>
      <c r="E5" s="86" t="s">
        <v>39</v>
      </c>
      <c r="F5" s="86" t="s">
        <v>40</v>
      </c>
      <c r="G5" s="86" t="s">
        <v>41</v>
      </c>
      <c r="H5" s="86" t="s">
        <v>645</v>
      </c>
      <c r="I5" s="86" t="s">
        <v>644</v>
      </c>
      <c r="J5" s="86" t="s">
        <v>643</v>
      </c>
      <c r="K5" s="86" t="s">
        <v>493</v>
      </c>
      <c r="L5" s="86" t="s">
        <v>642</v>
      </c>
      <c r="M5" s="86" t="s">
        <v>677</v>
      </c>
      <c r="N5" s="86" t="s">
        <v>494</v>
      </c>
      <c r="O5" s="86" t="s">
        <v>455</v>
      </c>
      <c r="Q5" s="3" t="s">
        <v>678</v>
      </c>
      <c r="R5" s="3" t="s">
        <v>679</v>
      </c>
    </row>
    <row r="6" spans="1:18">
      <c r="A6" s="10">
        <v>2021</v>
      </c>
      <c r="B6" s="88">
        <v>44326</v>
      </c>
      <c r="C6" s="10">
        <v>130</v>
      </c>
      <c r="D6" s="10" t="s">
        <v>157</v>
      </c>
      <c r="E6" s="89" t="s">
        <v>376</v>
      </c>
      <c r="F6" s="10">
        <v>1</v>
      </c>
      <c r="G6" s="10">
        <v>776.1</v>
      </c>
      <c r="H6" s="10">
        <f>Table3[[#This Row],[Wet Weight (g)]]-55.8</f>
        <v>720.30000000000007</v>
      </c>
      <c r="I6" s="10">
        <v>206.4</v>
      </c>
      <c r="J6" s="10">
        <f>Table3[[#This Row],[Dry Weight (g) ]]-55.8</f>
        <v>150.60000000000002</v>
      </c>
      <c r="K6" s="10">
        <f>(Table3[[#This Row],[Wet Weight (g)]]/1000)/0.0001</f>
        <v>7761</v>
      </c>
      <c r="L6" s="10">
        <f>(Table3[[#This Row],[Dry Weight (g) ]]/1000)/0.0001</f>
        <v>2064</v>
      </c>
      <c r="M6" s="89">
        <f>Table3[[#This Row],[Dry Yield (kg/ha)]]/1000</f>
        <v>2.0640000000000001</v>
      </c>
      <c r="N6" s="10">
        <f>((Table3[[#This Row],[Wet -Bag Weight (g) ]]-Table3[[#This Row],[Dry - Bag (g)]])/Table3[[#This Row],[Wet -Bag Weight (g) ]])*100</f>
        <v>79.0920449812578</v>
      </c>
      <c r="O6" s="89">
        <f>Table3[[#This Row],[Dry Yield (kg/ha)]]*1.155</f>
        <v>2383.92</v>
      </c>
      <c r="Q6" s="7">
        <f>AVERAGE(Table3[Dry Yield (tones/ha)])</f>
        <v>2.7078888888888892</v>
      </c>
      <c r="R6" s="7">
        <f>STDEV(Table3[Dry Yield (tones/ha)])</f>
        <v>0.69985613601018781</v>
      </c>
    </row>
    <row r="7" spans="1:18">
      <c r="A7" s="6">
        <v>2021</v>
      </c>
      <c r="B7" s="127">
        <v>44326</v>
      </c>
      <c r="C7" s="6">
        <v>130</v>
      </c>
      <c r="D7" s="6" t="s">
        <v>158</v>
      </c>
      <c r="E7" s="166" t="s">
        <v>376</v>
      </c>
      <c r="F7" s="6">
        <v>2</v>
      </c>
      <c r="G7" s="6">
        <v>1043.9000000000001</v>
      </c>
      <c r="H7" s="6">
        <f>Table3[[#This Row],[Wet Weight (g)]]-55.8</f>
        <v>988.10000000000014</v>
      </c>
      <c r="I7" s="6">
        <v>334.5</v>
      </c>
      <c r="J7" s="6">
        <f>Table3[[#This Row],[Dry Weight (g) ]]-55.8</f>
        <v>278.7</v>
      </c>
      <c r="K7" s="6">
        <f>(Table3[[#This Row],[Wet Weight (g)]]/1000)/0.0001</f>
        <v>10439</v>
      </c>
      <c r="L7" s="6">
        <f>(Table3[[#This Row],[Dry Weight (g) ]]/1000)/0.0001</f>
        <v>3345</v>
      </c>
      <c r="M7" s="166">
        <f>Table3[[#This Row],[Dry Yield (kg/ha)]]/1000</f>
        <v>3.3450000000000002</v>
      </c>
      <c r="N7" s="6">
        <f>((Table3[[#This Row],[Wet -Bag Weight (g) ]]-Table3[[#This Row],[Dry - Bag (g)]])/Table3[[#This Row],[Wet -Bag Weight (g) ]])*100</f>
        <v>71.794352798299769</v>
      </c>
      <c r="O7" s="166">
        <f>Table3[[#This Row],[Dry Yield (kg/ha)]]*1.155</f>
        <v>3863.4749999999999</v>
      </c>
    </row>
    <row r="8" spans="1:18">
      <c r="A8" s="10">
        <v>2021</v>
      </c>
      <c r="B8" s="88">
        <v>44326</v>
      </c>
      <c r="C8" s="10">
        <v>130</v>
      </c>
      <c r="D8" s="10" t="s">
        <v>159</v>
      </c>
      <c r="E8" s="89" t="s">
        <v>376</v>
      </c>
      <c r="F8" s="10">
        <v>3</v>
      </c>
      <c r="G8" s="10">
        <v>1124.0999999999999</v>
      </c>
      <c r="H8" s="10">
        <f>Table3[[#This Row],[Wet Weight (g)]]-55.8</f>
        <v>1068.3</v>
      </c>
      <c r="I8" s="10">
        <v>325.5</v>
      </c>
      <c r="J8" s="10">
        <f>Table3[[#This Row],[Dry Weight (g) ]]-55.8</f>
        <v>269.7</v>
      </c>
      <c r="K8" s="10">
        <f>(Table3[[#This Row],[Wet Weight (g)]]/1000)/0.0001</f>
        <v>11240.999999999998</v>
      </c>
      <c r="L8" s="10">
        <f>(Table3[[#This Row],[Dry Weight (g) ]]/1000)/0.0001</f>
        <v>3255</v>
      </c>
      <c r="M8" s="89">
        <f>Table3[[#This Row],[Dry Yield (kg/ha)]]/1000</f>
        <v>3.2549999999999999</v>
      </c>
      <c r="N8" s="10">
        <f>((Table3[[#This Row],[Wet -Bag Weight (g) ]]-Table3[[#This Row],[Dry - Bag (g)]])/Table3[[#This Row],[Wet -Bag Weight (g) ]])*100</f>
        <v>74.754282504914343</v>
      </c>
      <c r="O8" s="89">
        <f>Table3[[#This Row],[Dry Yield (kg/ha)]]*1.155</f>
        <v>3759.5250000000001</v>
      </c>
    </row>
    <row r="9" spans="1:18">
      <c r="A9" s="6">
        <v>2021</v>
      </c>
      <c r="B9" s="127">
        <v>44326</v>
      </c>
      <c r="C9" s="6">
        <v>130</v>
      </c>
      <c r="D9" s="6" t="s">
        <v>160</v>
      </c>
      <c r="E9" s="166" t="s">
        <v>376</v>
      </c>
      <c r="F9" s="6">
        <v>4</v>
      </c>
      <c r="G9" s="6">
        <v>570.79999999999995</v>
      </c>
      <c r="H9" s="6">
        <f>Table3[[#This Row],[Wet Weight (g)]]-55.8</f>
        <v>515</v>
      </c>
      <c r="I9" s="6">
        <v>182</v>
      </c>
      <c r="J9" s="6">
        <f>Table3[[#This Row],[Dry Weight (g) ]]-55.8</f>
        <v>126.2</v>
      </c>
      <c r="K9" s="6">
        <f>(Table3[[#This Row],[Wet Weight (g)]]/1000)/0.0001</f>
        <v>5707.9999999999991</v>
      </c>
      <c r="L9" s="6">
        <f>(Table3[[#This Row],[Dry Weight (g) ]]/1000)/0.0001</f>
        <v>1819.9999999999998</v>
      </c>
      <c r="M9" s="166">
        <f>Table3[[#This Row],[Dry Yield (kg/ha)]]/1000</f>
        <v>1.8199999999999998</v>
      </c>
      <c r="N9" s="6">
        <f>((Table3[[#This Row],[Wet -Bag Weight (g) ]]-Table3[[#This Row],[Dry - Bag (g)]])/Table3[[#This Row],[Wet -Bag Weight (g) ]])*100</f>
        <v>75.495145631067956</v>
      </c>
      <c r="O9" s="166">
        <f>Table3[[#This Row],[Dry Yield (kg/ha)]]*1.155</f>
        <v>2102.1</v>
      </c>
    </row>
    <row r="10" spans="1:18">
      <c r="A10" s="10">
        <v>2021</v>
      </c>
      <c r="B10" s="88">
        <v>44326</v>
      </c>
      <c r="C10" s="10">
        <v>130</v>
      </c>
      <c r="D10" s="10" t="s">
        <v>161</v>
      </c>
      <c r="E10" s="89" t="s">
        <v>376</v>
      </c>
      <c r="F10" s="10">
        <v>5</v>
      </c>
      <c r="G10" s="10">
        <v>777.7</v>
      </c>
      <c r="H10" s="10">
        <f>Table3[[#This Row],[Wet Weight (g)]]-55.8</f>
        <v>721.90000000000009</v>
      </c>
      <c r="I10" s="10">
        <v>209.9</v>
      </c>
      <c r="J10" s="10">
        <f>Table3[[#This Row],[Dry Weight (g) ]]-55.8</f>
        <v>154.10000000000002</v>
      </c>
      <c r="K10" s="10">
        <f>(Table3[[#This Row],[Wet Weight (g)]]/1000)/0.0001</f>
        <v>7777</v>
      </c>
      <c r="L10" s="10">
        <f>(Table3[[#This Row],[Dry Weight (g) ]]/1000)/0.0001</f>
        <v>2099</v>
      </c>
      <c r="M10" s="89">
        <f>Table3[[#This Row],[Dry Yield (kg/ha)]]/1000</f>
        <v>2.0990000000000002</v>
      </c>
      <c r="N10" s="10">
        <f>((Table3[[#This Row],[Wet -Bag Weight (g) ]]-Table3[[#This Row],[Dry - Bag (g)]])/Table3[[#This Row],[Wet -Bag Weight (g) ]])*100</f>
        <v>78.653553123701343</v>
      </c>
      <c r="O10" s="89">
        <f>Table3[[#This Row],[Dry Yield (kg/ha)]]*1.155</f>
        <v>2424.3450000000003</v>
      </c>
    </row>
    <row r="11" spans="1:18">
      <c r="A11" s="6">
        <v>2021</v>
      </c>
      <c r="B11" s="127">
        <v>44326</v>
      </c>
      <c r="C11" s="6">
        <v>130</v>
      </c>
      <c r="D11" s="6" t="s">
        <v>162</v>
      </c>
      <c r="E11" s="166" t="s">
        <v>376</v>
      </c>
      <c r="F11" s="6">
        <v>6</v>
      </c>
      <c r="G11" s="6">
        <v>779.4</v>
      </c>
      <c r="H11" s="6">
        <f>Table3[[#This Row],[Wet Weight (g)]]-55.8</f>
        <v>723.6</v>
      </c>
      <c r="I11" s="6">
        <v>211.4</v>
      </c>
      <c r="J11" s="6">
        <f>Table3[[#This Row],[Dry Weight (g) ]]-55.8</f>
        <v>155.60000000000002</v>
      </c>
      <c r="K11" s="6">
        <f>(Table3[[#This Row],[Wet Weight (g)]]/1000)/0.0001</f>
        <v>7793.9999999999991</v>
      </c>
      <c r="L11" s="6">
        <f>(Table3[[#This Row],[Dry Weight (g) ]]/1000)/0.0001</f>
        <v>2114</v>
      </c>
      <c r="M11" s="166">
        <f>Table3[[#This Row],[Dry Yield (kg/ha)]]/1000</f>
        <v>2.1139999999999999</v>
      </c>
      <c r="N11" s="6">
        <f>((Table3[[#This Row],[Wet -Bag Weight (g) ]]-Table3[[#This Row],[Dry - Bag (g)]])/Table3[[#This Row],[Wet -Bag Weight (g) ]])*100</f>
        <v>78.496406854615813</v>
      </c>
      <c r="O11" s="166">
        <f>Table3[[#This Row],[Dry Yield (kg/ha)]]*1.155</f>
        <v>2441.67</v>
      </c>
    </row>
    <row r="12" spans="1:18">
      <c r="A12" s="10">
        <v>2021</v>
      </c>
      <c r="B12" s="88">
        <v>44326</v>
      </c>
      <c r="C12" s="10">
        <v>130</v>
      </c>
      <c r="D12" s="10" t="s">
        <v>163</v>
      </c>
      <c r="E12" s="89" t="s">
        <v>376</v>
      </c>
      <c r="F12" s="10">
        <v>7</v>
      </c>
      <c r="G12" s="10">
        <v>1013.4</v>
      </c>
      <c r="H12" s="10">
        <f>Table3[[#This Row],[Wet Weight (g)]]-55.8</f>
        <v>957.6</v>
      </c>
      <c r="I12" s="10">
        <v>285.89999999999998</v>
      </c>
      <c r="J12" s="10">
        <f>Table3[[#This Row],[Dry Weight (g) ]]-55.8</f>
        <v>230.09999999999997</v>
      </c>
      <c r="K12" s="10">
        <f>(Table3[[#This Row],[Wet Weight (g)]]/1000)/0.0001</f>
        <v>10134</v>
      </c>
      <c r="L12" s="10">
        <f>(Table3[[#This Row],[Dry Weight (g) ]]/1000)/0.0001</f>
        <v>2858.9999999999995</v>
      </c>
      <c r="M12" s="89">
        <f>Table3[[#This Row],[Dry Yield (kg/ha)]]/1000</f>
        <v>2.8589999999999995</v>
      </c>
      <c r="N12" s="10">
        <f>((Table3[[#This Row],[Wet -Bag Weight (g) ]]-Table3[[#This Row],[Dry - Bag (g)]])/Table3[[#This Row],[Wet -Bag Weight (g) ]])*100</f>
        <v>75.971177944862163</v>
      </c>
      <c r="O12" s="89">
        <f>Table3[[#This Row],[Dry Yield (kg/ha)]]*1.155</f>
        <v>3302.1449999999995</v>
      </c>
    </row>
    <row r="13" spans="1:18">
      <c r="A13" s="6">
        <v>2021</v>
      </c>
      <c r="B13" s="127">
        <v>44326</v>
      </c>
      <c r="C13" s="6">
        <v>130</v>
      </c>
      <c r="D13" s="6" t="s">
        <v>164</v>
      </c>
      <c r="E13" s="166" t="s">
        <v>376</v>
      </c>
      <c r="F13" s="6">
        <v>8</v>
      </c>
      <c r="G13" s="6">
        <v>1120.9000000000001</v>
      </c>
      <c r="H13" s="6">
        <f>Table3[[#This Row],[Wet Weight (g)]]-55.8</f>
        <v>1065.1000000000001</v>
      </c>
      <c r="I13" s="6">
        <v>378.5</v>
      </c>
      <c r="J13" s="6">
        <f>Table3[[#This Row],[Dry Weight (g) ]]-55.8</f>
        <v>322.7</v>
      </c>
      <c r="K13" s="6">
        <f>(Table3[[#This Row],[Wet Weight (g)]]/1000)/0.0001</f>
        <v>11209</v>
      </c>
      <c r="L13" s="6">
        <f>(Table3[[#This Row],[Dry Weight (g) ]]/1000)/0.0001</f>
        <v>3785</v>
      </c>
      <c r="M13" s="166">
        <f>Table3[[#This Row],[Dry Yield (kg/ha)]]/1000</f>
        <v>3.7850000000000001</v>
      </c>
      <c r="N13" s="6">
        <f>((Table3[[#This Row],[Wet -Bag Weight (g) ]]-Table3[[#This Row],[Dry - Bag (g)]])/Table3[[#This Row],[Wet -Bag Weight (g) ]])*100</f>
        <v>69.702375363815605</v>
      </c>
      <c r="O13" s="166">
        <f>Table3[[#This Row],[Dry Yield (kg/ha)]]*1.155</f>
        <v>4371.6750000000002</v>
      </c>
    </row>
    <row r="14" spans="1:18">
      <c r="A14" s="10">
        <v>2021</v>
      </c>
      <c r="B14" s="88">
        <v>44326</v>
      </c>
      <c r="C14" s="10">
        <v>130</v>
      </c>
      <c r="D14" s="10" t="s">
        <v>165</v>
      </c>
      <c r="E14" s="89" t="s">
        <v>376</v>
      </c>
      <c r="F14" s="10">
        <v>9</v>
      </c>
      <c r="G14" s="10">
        <v>1117.5</v>
      </c>
      <c r="H14" s="10">
        <f>Table3[[#This Row],[Wet Weight (g)]]-55.8</f>
        <v>1061.7</v>
      </c>
      <c r="I14" s="10">
        <v>303</v>
      </c>
      <c r="J14" s="10">
        <f>Table3[[#This Row],[Dry Weight (g) ]]-55.8</f>
        <v>247.2</v>
      </c>
      <c r="K14" s="10">
        <f>(Table3[[#This Row],[Wet Weight (g)]]/1000)/0.0001</f>
        <v>11174.999999999998</v>
      </c>
      <c r="L14" s="10">
        <f>(Table3[[#This Row],[Dry Weight (g) ]]/1000)/0.0001</f>
        <v>3029.9999999999995</v>
      </c>
      <c r="M14" s="89">
        <f>Table3[[#This Row],[Dry Yield (kg/ha)]]/1000</f>
        <v>3.0299999999999994</v>
      </c>
      <c r="N14" s="10">
        <f>((Table3[[#This Row],[Wet -Bag Weight (g) ]]-Table3[[#This Row],[Dry - Bag (g)]])/Table3[[#This Row],[Wet -Bag Weight (g) ]])*100</f>
        <v>76.716586606385988</v>
      </c>
      <c r="O14" s="89">
        <f>Table3[[#This Row],[Dry Yield (kg/ha)]]*1.155</f>
        <v>3499.6499999999996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8344-4587-5549-9E6F-ADB6FA71BE81}">
  <dimension ref="A1:AE109"/>
  <sheetViews>
    <sheetView topLeftCell="N1" zoomScale="75" zoomScaleNormal="50" workbookViewId="0">
      <selection activeCell="X24" sqref="X24"/>
    </sheetView>
  </sheetViews>
  <sheetFormatPr defaultColWidth="11" defaultRowHeight="15.75"/>
  <cols>
    <col min="1" max="1" width="17.125" customWidth="1"/>
    <col min="2" max="2" width="30.875" customWidth="1"/>
    <col min="3" max="3" width="17.375" customWidth="1"/>
    <col min="4" max="4" width="25.5" customWidth="1"/>
    <col min="5" max="5" width="19.375" customWidth="1"/>
    <col min="6" max="6" width="22.625" customWidth="1"/>
    <col min="7" max="7" width="41.125" customWidth="1"/>
    <col min="8" max="8" width="36" customWidth="1"/>
    <col min="9" max="9" width="39.375" customWidth="1"/>
    <col min="10" max="10" width="36.125" customWidth="1"/>
    <col min="11" max="11" width="45.125" customWidth="1"/>
    <col min="12" max="12" width="42.5" customWidth="1"/>
    <col min="13" max="13" width="28.125" customWidth="1"/>
    <col min="14" max="14" width="47.5" customWidth="1"/>
    <col min="15" max="15" width="53" customWidth="1"/>
    <col min="16" max="16" width="36.5" customWidth="1"/>
    <col min="17" max="17" width="32.625" customWidth="1"/>
    <col min="18" max="18" width="27.5" customWidth="1"/>
    <col min="19" max="19" width="15.5" customWidth="1"/>
    <col min="20" max="20" width="20" customWidth="1"/>
    <col min="25" max="25" width="11" customWidth="1"/>
    <col min="26" max="26" width="15.875" customWidth="1"/>
    <col min="27" max="27" width="25.125" customWidth="1"/>
    <col min="28" max="28" width="30.375" customWidth="1"/>
    <col min="29" max="29" width="16.625" customWidth="1"/>
    <col min="30" max="30" width="22" customWidth="1"/>
  </cols>
  <sheetData>
    <row r="1" spans="1:31" ht="23.25">
      <c r="A1" s="72" t="s">
        <v>42</v>
      </c>
      <c r="B1" s="72"/>
      <c r="C1" s="72"/>
      <c r="D1" s="72"/>
      <c r="E1" s="72" t="s">
        <v>1</v>
      </c>
      <c r="F1" s="72"/>
      <c r="G1" s="72"/>
      <c r="H1" s="72"/>
      <c r="I1" s="72" t="s">
        <v>495</v>
      </c>
      <c r="J1" s="72">
        <v>55.8</v>
      </c>
      <c r="K1" s="72"/>
      <c r="L1" s="72" t="s">
        <v>660</v>
      </c>
      <c r="M1" s="72" t="s">
        <v>661</v>
      </c>
      <c r="N1" s="72"/>
      <c r="O1" s="72"/>
      <c r="P1" s="72"/>
      <c r="Q1" s="72"/>
      <c r="R1" s="72"/>
      <c r="S1" s="72"/>
    </row>
    <row r="2" spans="1:31" ht="23.25">
      <c r="A2" s="72"/>
      <c r="B2" s="72" t="s">
        <v>504</v>
      </c>
      <c r="C2" s="72"/>
      <c r="D2" s="72"/>
      <c r="E2" s="72"/>
      <c r="F2" s="72"/>
      <c r="G2" s="72"/>
      <c r="H2" s="72"/>
      <c r="I2" s="72"/>
      <c r="J2" s="72"/>
      <c r="K2" s="72"/>
      <c r="L2" s="72"/>
      <c r="M2" s="72" t="s">
        <v>662</v>
      </c>
      <c r="N2" s="72"/>
      <c r="O2" s="72"/>
      <c r="P2" s="72"/>
      <c r="Q2" s="72"/>
      <c r="R2" s="72"/>
      <c r="S2" s="72"/>
    </row>
    <row r="3" spans="1:31" ht="23.25">
      <c r="A3" s="72"/>
      <c r="B3" s="72"/>
      <c r="C3" s="72"/>
      <c r="D3" s="72"/>
      <c r="E3" s="72"/>
      <c r="F3" s="72"/>
      <c r="G3" s="72"/>
      <c r="H3" s="72"/>
      <c r="I3" s="72"/>
      <c r="J3" s="72"/>
      <c r="K3" s="72"/>
      <c r="L3" s="72"/>
      <c r="M3" s="72"/>
      <c r="N3" s="72"/>
      <c r="O3" s="72"/>
      <c r="P3" s="72"/>
      <c r="Q3" s="72"/>
      <c r="R3" s="72"/>
      <c r="S3" s="72"/>
    </row>
    <row r="4" spans="1:31" ht="26.25">
      <c r="A4" s="73" t="s">
        <v>36</v>
      </c>
      <c r="B4" s="73" t="s">
        <v>37</v>
      </c>
      <c r="C4" s="73" t="s">
        <v>43</v>
      </c>
      <c r="D4" s="73" t="s">
        <v>38</v>
      </c>
      <c r="E4" s="73" t="s">
        <v>39</v>
      </c>
      <c r="F4" s="73" t="s">
        <v>40</v>
      </c>
      <c r="G4" s="73" t="s">
        <v>48</v>
      </c>
      <c r="H4" s="73" t="s">
        <v>456</v>
      </c>
      <c r="I4" s="73" t="s">
        <v>49</v>
      </c>
      <c r="J4" s="73" t="s">
        <v>457</v>
      </c>
      <c r="K4" s="73" t="s">
        <v>51</v>
      </c>
      <c r="L4" s="73" t="s">
        <v>474</v>
      </c>
      <c r="M4" s="73" t="s">
        <v>469</v>
      </c>
      <c r="N4" s="73" t="s">
        <v>470</v>
      </c>
      <c r="O4" s="73" t="s">
        <v>684</v>
      </c>
      <c r="P4" s="73" t="s">
        <v>700</v>
      </c>
      <c r="S4" s="185" t="s">
        <v>692</v>
      </c>
      <c r="T4" s="185" t="s">
        <v>695</v>
      </c>
      <c r="U4" s="185" t="s">
        <v>694</v>
      </c>
      <c r="V4" s="185"/>
      <c r="W4" s="185"/>
      <c r="X4" s="18"/>
      <c r="Y4" s="18"/>
      <c r="Z4" s="185" t="s">
        <v>66</v>
      </c>
      <c r="AA4" s="186" t="s">
        <v>693</v>
      </c>
      <c r="AB4" s="186" t="s">
        <v>690</v>
      </c>
      <c r="AC4" s="186" t="s">
        <v>685</v>
      </c>
      <c r="AD4" s="186" t="s">
        <v>687</v>
      </c>
      <c r="AE4" s="18"/>
    </row>
    <row r="5" spans="1:31" ht="26.25">
      <c r="A5" s="73">
        <v>2021</v>
      </c>
      <c r="B5" s="74">
        <v>44370</v>
      </c>
      <c r="C5" s="73">
        <v>174</v>
      </c>
      <c r="D5" s="73" t="s">
        <v>166</v>
      </c>
      <c r="E5" s="73">
        <v>1</v>
      </c>
      <c r="F5" s="73">
        <v>1</v>
      </c>
      <c r="G5" s="73">
        <v>1375.5</v>
      </c>
      <c r="H5" s="73">
        <f>Table7[[#This Row],[Sample Wet Weight (g)]]-55.8</f>
        <v>1319.7</v>
      </c>
      <c r="I5" s="73">
        <v>605.79999999999995</v>
      </c>
      <c r="J5" s="73">
        <f>Table7[[#This Row],[Sample Dry Weight (g) ]]-55.8</f>
        <v>550</v>
      </c>
      <c r="K5" s="73">
        <v>133.6</v>
      </c>
      <c r="L5" s="73">
        <f>((Table7[[#This Row],[Wet - Bag Weight (g) ]]-Table7[[#This Row],[Redry (post Mold Weight) (g) ]])/Table7[[#This Row],[Wet - Bag Weight (g) ]])*100</f>
        <v>89.876487080397069</v>
      </c>
      <c r="M5" s="73">
        <f>(Table7[[#This Row],[Redry (post Mold Weight) (g) ]]/1000)/0.0001</f>
        <v>1336</v>
      </c>
      <c r="N5" s="73">
        <f>Table7[[#This Row],[Yield (kg/ha)]]*1.155</f>
        <v>1543.08</v>
      </c>
      <c r="O5" s="73">
        <f>Table7[[#This Row],[Yield @ 15% Moisture (kg/ha)]]/1000</f>
        <v>1.54308</v>
      </c>
      <c r="P5" s="73">
        <f>Table7[[#This Row],[Yield (kg/ha)]]/1000</f>
        <v>1.3360000000000001</v>
      </c>
      <c r="S5" s="187">
        <f>AVERAGE(O5:O13)</f>
        <v>1.5043874999999998</v>
      </c>
      <c r="T5" s="187">
        <f>STDEV(O5:O13)</f>
        <v>0.10549501812881969</v>
      </c>
      <c r="U5" s="187" t="s">
        <v>693</v>
      </c>
      <c r="V5" s="187"/>
      <c r="W5" s="187"/>
      <c r="X5" s="18"/>
      <c r="Y5" s="18"/>
      <c r="Z5" s="18" t="s">
        <v>734</v>
      </c>
      <c r="AA5" s="18">
        <v>1.5043874999999998</v>
      </c>
      <c r="AB5" s="18">
        <v>1.4539800000000001</v>
      </c>
      <c r="AC5" s="18">
        <v>1.3496816666666667</v>
      </c>
      <c r="AD5" s="18">
        <v>1.4209066666666665</v>
      </c>
      <c r="AE5" s="18"/>
    </row>
    <row r="6" spans="1:31" ht="26.25">
      <c r="A6" s="73">
        <v>2021</v>
      </c>
      <c r="B6" s="74">
        <v>44370</v>
      </c>
      <c r="C6" s="73">
        <v>174</v>
      </c>
      <c r="D6" s="73" t="s">
        <v>168</v>
      </c>
      <c r="E6" s="73">
        <v>1</v>
      </c>
      <c r="F6" s="73">
        <v>2</v>
      </c>
      <c r="G6" s="73">
        <v>1231.5</v>
      </c>
      <c r="H6" s="73">
        <f>Table7[[#This Row],[Sample Wet Weight (g)]]-55.8</f>
        <v>1175.7</v>
      </c>
      <c r="I6" s="73">
        <v>456.5</v>
      </c>
      <c r="J6" s="73">
        <f>Table7[[#This Row],[Sample Dry Weight (g) ]]-55.8</f>
        <v>400.7</v>
      </c>
      <c r="K6" s="73">
        <v>130.9</v>
      </c>
      <c r="L6" s="73">
        <f>((Table7[[#This Row],[Wet - Bag Weight (g) ]]-Table7[[#This Row],[Redry (post Mold Weight) (g) ]])/Table7[[#This Row],[Wet - Bag Weight (g) ]])*100</f>
        <v>88.866207365824607</v>
      </c>
      <c r="M6" s="73">
        <f>(Table7[[#This Row],[Redry (post Mold Weight) (g) ]]/1000)/0.0001</f>
        <v>1309</v>
      </c>
      <c r="N6" s="73">
        <f>Table7[[#This Row],[Yield (kg/ha)]]*1.155</f>
        <v>1511.895</v>
      </c>
      <c r="O6" s="73">
        <f>Table7[[#This Row],[Yield @ 15% Moisture (kg/ha)]]/1000</f>
        <v>1.511895</v>
      </c>
      <c r="P6" s="73">
        <f>Table7[[#This Row],[Yield (kg/ha)]]/1000</f>
        <v>1.3089999999999999</v>
      </c>
      <c r="S6" s="187">
        <f>AVERAGE(O14:O16)</f>
        <v>1.08185</v>
      </c>
      <c r="T6" s="187">
        <f>STDEV(O14:O16)</f>
        <v>3.4656416072640701E-2</v>
      </c>
      <c r="U6" s="187" t="s">
        <v>689</v>
      </c>
      <c r="V6" s="187"/>
      <c r="W6" s="187"/>
      <c r="X6" s="18"/>
      <c r="Y6" s="18"/>
      <c r="Z6" s="18" t="s">
        <v>732</v>
      </c>
      <c r="AA6" s="18">
        <v>1.08185</v>
      </c>
      <c r="AB6" s="18">
        <v>1.15577</v>
      </c>
      <c r="AC6" s="18">
        <v>0.99060499999999996</v>
      </c>
      <c r="AD6" s="18">
        <v>0.97366499999999989</v>
      </c>
      <c r="AE6" s="18"/>
    </row>
    <row r="7" spans="1:31" ht="26.25">
      <c r="A7" s="73">
        <v>2021</v>
      </c>
      <c r="B7" s="74">
        <v>44370</v>
      </c>
      <c r="C7" s="73">
        <v>174</v>
      </c>
      <c r="D7" s="73" t="s">
        <v>170</v>
      </c>
      <c r="E7" s="73">
        <v>1</v>
      </c>
      <c r="F7" s="73">
        <v>3</v>
      </c>
      <c r="G7" s="73">
        <v>1507.5</v>
      </c>
      <c r="H7" s="73">
        <f>Table7[[#This Row],[Sample Wet Weight (g)]]-55.8</f>
        <v>1451.7</v>
      </c>
      <c r="I7" s="73">
        <v>620.1</v>
      </c>
      <c r="J7" s="73">
        <f>Table7[[#This Row],[Sample Dry Weight (g) ]]-55.8</f>
        <v>564.30000000000007</v>
      </c>
      <c r="K7" s="73">
        <v>131</v>
      </c>
      <c r="L7" s="73">
        <f>((Table7[[#This Row],[Wet - Bag Weight (g) ]]-Table7[[#This Row],[Redry (post Mold Weight) (g) ]])/Table7[[#This Row],[Wet - Bag Weight (g) ]])*100</f>
        <v>90.976096989736178</v>
      </c>
      <c r="M7" s="73">
        <f>(Table7[[#This Row],[Redry (post Mold Weight) (g) ]]/1000)/0.0001</f>
        <v>1310</v>
      </c>
      <c r="N7" s="73">
        <f>Table7[[#This Row],[Yield (kg/ha)]]*1.155</f>
        <v>1513.05</v>
      </c>
      <c r="O7" s="73">
        <f>Table7[[#This Row],[Yield @ 15% Moisture (kg/ha)]]/1000</f>
        <v>1.51305</v>
      </c>
      <c r="P7" s="73">
        <f>Table7[[#This Row],[Yield (kg/ha)]]/1000</f>
        <v>1.31</v>
      </c>
      <c r="S7" s="187">
        <f>AVERAGE(O17:O25)</f>
        <v>1.4539800000000001</v>
      </c>
      <c r="T7" s="187">
        <f>STDEV(O17:O25)</f>
        <v>0.21881324725665022</v>
      </c>
      <c r="U7" s="187" t="s">
        <v>690</v>
      </c>
      <c r="V7" s="187"/>
      <c r="W7" s="187"/>
      <c r="X7" s="18"/>
      <c r="Y7" s="18"/>
      <c r="Z7" s="18"/>
      <c r="AA7" s="18"/>
      <c r="AB7" s="18"/>
      <c r="AC7" s="18"/>
      <c r="AD7" s="18"/>
      <c r="AE7" s="18"/>
    </row>
    <row r="8" spans="1:31" ht="26.25">
      <c r="A8" s="73">
        <v>2021</v>
      </c>
      <c r="B8" s="74">
        <v>44370</v>
      </c>
      <c r="C8" s="73">
        <v>174</v>
      </c>
      <c r="D8" s="73" t="s">
        <v>172</v>
      </c>
      <c r="E8" s="73">
        <v>1</v>
      </c>
      <c r="F8" s="73">
        <v>4</v>
      </c>
      <c r="G8" s="73">
        <v>1542.9</v>
      </c>
      <c r="H8" s="73">
        <f>Table7[[#This Row],[Sample Wet Weight (g)]]-55.8</f>
        <v>1487.1000000000001</v>
      </c>
      <c r="I8" s="73">
        <v>667.1</v>
      </c>
      <c r="J8" s="73">
        <f>Table7[[#This Row],[Sample Dry Weight (g) ]]-55.8</f>
        <v>611.30000000000007</v>
      </c>
      <c r="K8" s="73">
        <v>129.6</v>
      </c>
      <c r="L8" s="73">
        <f>((Table7[[#This Row],[Wet - Bag Weight (g) ]]-Table7[[#This Row],[Redry (post Mold Weight) (g) ]])/Table7[[#This Row],[Wet - Bag Weight (g) ]])*100</f>
        <v>91.285051442404679</v>
      </c>
      <c r="M8" s="73">
        <f>(Table7[[#This Row],[Redry (post Mold Weight) (g) ]]/1000)/0.0001</f>
        <v>1295.9999999999998</v>
      </c>
      <c r="N8" s="73">
        <f>Table7[[#This Row],[Yield (kg/ha)]]*1.155</f>
        <v>1496.8799999999999</v>
      </c>
      <c r="O8" s="73">
        <f>Table7[[#This Row],[Yield @ 15% Moisture (kg/ha)]]/1000</f>
        <v>1.49688</v>
      </c>
      <c r="P8" s="73">
        <f>Table7[[#This Row],[Yield (kg/ha)]]/1000</f>
        <v>1.2959999999999998</v>
      </c>
      <c r="S8" s="187">
        <f>AVERAGE(O26:O28)</f>
        <v>1.15577</v>
      </c>
      <c r="T8" s="187">
        <f>STDEV(O26:O28)</f>
        <v>7.4534051110884875E-2</v>
      </c>
      <c r="U8" s="187" t="s">
        <v>691</v>
      </c>
      <c r="V8" s="187"/>
      <c r="W8" s="187"/>
      <c r="X8" s="18"/>
      <c r="Y8" s="18"/>
      <c r="Z8" s="18"/>
      <c r="AA8" s="18"/>
      <c r="AB8" s="18"/>
      <c r="AC8" s="18"/>
      <c r="AD8" s="18"/>
      <c r="AE8" s="18"/>
    </row>
    <row r="9" spans="1:31" ht="26.25">
      <c r="A9" s="73">
        <v>2021</v>
      </c>
      <c r="B9" s="74">
        <v>44370</v>
      </c>
      <c r="C9" s="73">
        <v>174</v>
      </c>
      <c r="D9" s="73" t="s">
        <v>173</v>
      </c>
      <c r="E9" s="73">
        <v>1</v>
      </c>
      <c r="F9" s="73">
        <v>5</v>
      </c>
      <c r="G9" s="73">
        <v>1455.4</v>
      </c>
      <c r="H9" s="73">
        <f>Table7[[#This Row],[Sample Wet Weight (g)]]-55.8</f>
        <v>1399.6000000000001</v>
      </c>
      <c r="I9" s="73">
        <v>612.6</v>
      </c>
      <c r="J9" s="73">
        <f>Table7[[#This Row],[Sample Dry Weight (g) ]]-55.8</f>
        <v>556.80000000000007</v>
      </c>
      <c r="K9" s="73">
        <v>118.4</v>
      </c>
      <c r="L9" s="73">
        <f>((Table7[[#This Row],[Wet - Bag Weight (g) ]]-Table7[[#This Row],[Redry (post Mold Weight) (g) ]])/Table7[[#This Row],[Wet - Bag Weight (g) ]])*100</f>
        <v>91.540440125750209</v>
      </c>
      <c r="M9" s="73">
        <f>(Table7[[#This Row],[Redry (post Mold Weight) (g) ]]/1000)/0.0001</f>
        <v>1184</v>
      </c>
      <c r="N9" s="73">
        <f>Table7[[#This Row],[Yield (kg/ha)]]*1.155</f>
        <v>1367.52</v>
      </c>
      <c r="O9" s="73">
        <f>Table7[[#This Row],[Yield @ 15% Moisture (kg/ha)]]/1000</f>
        <v>1.3675200000000001</v>
      </c>
      <c r="P9" s="73">
        <f>Table7[[#This Row],[Yield (kg/ha)]]/1000</f>
        <v>1.1839999999999999</v>
      </c>
      <c r="S9" s="187">
        <f>AVERAGE(O29:O37)</f>
        <v>1.3496816666666667</v>
      </c>
      <c r="T9" s="187">
        <f>STDEV(O29:O37)</f>
        <v>0.15606729001459557</v>
      </c>
      <c r="U9" s="187" t="s">
        <v>685</v>
      </c>
      <c r="V9" s="187"/>
      <c r="W9" s="187"/>
      <c r="X9" s="18"/>
      <c r="Y9" s="18"/>
      <c r="Z9" s="18"/>
      <c r="AA9" s="18"/>
      <c r="AB9" s="18"/>
      <c r="AC9" s="18"/>
      <c r="AD9" s="18"/>
      <c r="AE9" s="18"/>
    </row>
    <row r="10" spans="1:31" ht="26.25">
      <c r="A10" s="174">
        <v>2021</v>
      </c>
      <c r="B10" s="175">
        <v>44370</v>
      </c>
      <c r="C10" s="174">
        <v>174</v>
      </c>
      <c r="D10" s="174" t="s">
        <v>174</v>
      </c>
      <c r="E10" s="174">
        <v>1</v>
      </c>
      <c r="F10" s="174">
        <v>6</v>
      </c>
      <c r="G10" s="174">
        <v>1744.2</v>
      </c>
      <c r="H10" s="174">
        <f>Table7[[#This Row],[Sample Wet Weight (g)]]-55.8</f>
        <v>1688.4</v>
      </c>
      <c r="I10" s="174">
        <v>829.2</v>
      </c>
      <c r="J10" s="174">
        <f>Table7[[#This Row],[Sample Dry Weight (g) ]]-55.8</f>
        <v>773.40000000000009</v>
      </c>
      <c r="K10" s="174" t="s">
        <v>52</v>
      </c>
      <c r="L10" s="126" t="s">
        <v>52</v>
      </c>
      <c r="M10" s="126" t="s">
        <v>52</v>
      </c>
      <c r="N10" s="126" t="s">
        <v>52</v>
      </c>
      <c r="O10" s="176" t="s">
        <v>707</v>
      </c>
      <c r="P10" s="176" t="s">
        <v>707</v>
      </c>
      <c r="S10" s="187">
        <f>AVERAGE(O38:O40)</f>
        <v>0.99060499999999996</v>
      </c>
      <c r="T10" s="187">
        <f>STDEV(O38:O40)</f>
        <v>7.7706124758605735E-2</v>
      </c>
      <c r="U10" s="187" t="s">
        <v>686</v>
      </c>
      <c r="V10" s="187"/>
      <c r="W10" s="187"/>
      <c r="X10" s="18"/>
      <c r="Y10" s="18"/>
      <c r="Z10" s="18"/>
      <c r="AA10" s="18"/>
      <c r="AB10" s="18"/>
      <c r="AC10" s="18"/>
      <c r="AD10" s="18"/>
      <c r="AE10" s="18"/>
    </row>
    <row r="11" spans="1:31" ht="26.25">
      <c r="A11" s="73">
        <v>2021</v>
      </c>
      <c r="B11" s="74">
        <v>44370</v>
      </c>
      <c r="C11" s="73">
        <v>174</v>
      </c>
      <c r="D11" s="73" t="s">
        <v>175</v>
      </c>
      <c r="E11" s="73">
        <v>1</v>
      </c>
      <c r="F11" s="73">
        <v>7</v>
      </c>
      <c r="G11" s="73">
        <v>1552.4</v>
      </c>
      <c r="H11" s="73">
        <f>Table7[[#This Row],[Sample Wet Weight (g)]]-55.8</f>
        <v>1496.6000000000001</v>
      </c>
      <c r="I11" s="73">
        <v>693.1</v>
      </c>
      <c r="J11" s="73">
        <f>Table7[[#This Row],[Sample Dry Weight (g) ]]-55.8</f>
        <v>637.30000000000007</v>
      </c>
      <c r="K11" s="73">
        <v>147.69999999999999</v>
      </c>
      <c r="L11" s="73">
        <f>((Table7[[#This Row],[Wet - Bag Weight (g) ]]-Table7[[#This Row],[Redry (post Mold Weight) (g) ]])/Table7[[#This Row],[Wet - Bag Weight (g) ]])*100</f>
        <v>90.130963517305901</v>
      </c>
      <c r="M11" s="73">
        <f>(Table7[[#This Row],[Redry (post Mold Weight) (g) ]]/1000)/0.0001</f>
        <v>1477</v>
      </c>
      <c r="N11" s="73">
        <f>Table7[[#This Row],[Yield (kg/ha)]]*1.155</f>
        <v>1705.9349999999999</v>
      </c>
      <c r="O11" s="73">
        <f>Table7[[#This Row],[Yield @ 15% Moisture (kg/ha)]]/1000</f>
        <v>1.705935</v>
      </c>
      <c r="P11" s="73">
        <f>Table7[[#This Row],[Yield (kg/ha)]]/1000</f>
        <v>1.4770000000000001</v>
      </c>
      <c r="S11" s="187">
        <f>AVERAGE(O41:O49)</f>
        <v>1.4209066666666665</v>
      </c>
      <c r="T11" s="187">
        <f>STDEV(O41:O49)</f>
        <v>0.17733649155630649</v>
      </c>
      <c r="U11" s="187" t="s">
        <v>687</v>
      </c>
      <c r="V11" s="187"/>
      <c r="W11" s="187"/>
      <c r="X11" s="18"/>
      <c r="Y11" s="18"/>
      <c r="Z11" s="18"/>
      <c r="AA11" s="18"/>
      <c r="AB11" s="18"/>
      <c r="AC11" s="18"/>
      <c r="AD11" s="18"/>
      <c r="AE11" s="18"/>
    </row>
    <row r="12" spans="1:31" ht="26.25">
      <c r="A12" s="73">
        <v>2021</v>
      </c>
      <c r="B12" s="74">
        <v>44370</v>
      </c>
      <c r="C12" s="73">
        <v>174</v>
      </c>
      <c r="D12" s="73" t="s">
        <v>176</v>
      </c>
      <c r="E12" s="73">
        <v>1</v>
      </c>
      <c r="F12" s="73">
        <v>8</v>
      </c>
      <c r="G12" s="73">
        <v>1222.5</v>
      </c>
      <c r="H12" s="73">
        <f>Table7[[#This Row],[Sample Wet Weight (g)]]-55.8</f>
        <v>1166.7</v>
      </c>
      <c r="I12" s="73">
        <v>464.8</v>
      </c>
      <c r="J12" s="73">
        <f>Table7[[#This Row],[Sample Dry Weight (g) ]]-55.8</f>
        <v>409</v>
      </c>
      <c r="K12" s="73">
        <v>131.69999999999999</v>
      </c>
      <c r="L12" s="73">
        <f>((Table7[[#This Row],[Wet - Bag Weight (g) ]]-Table7[[#This Row],[Redry (post Mold Weight) (g) ]])/Table7[[#This Row],[Wet - Bag Weight (g) ]])*100</f>
        <v>88.711751092825921</v>
      </c>
      <c r="M12" s="73">
        <f>(Table7[[#This Row],[Redry (post Mold Weight) (g) ]]/1000)/0.0001</f>
        <v>1316.9999999999998</v>
      </c>
      <c r="N12" s="73">
        <f>Table7[[#This Row],[Yield (kg/ha)]]*1.155</f>
        <v>1521.1349999999998</v>
      </c>
      <c r="O12" s="73">
        <f>Table7[[#This Row],[Yield @ 15% Moisture (kg/ha)]]/1000</f>
        <v>1.5211349999999997</v>
      </c>
      <c r="P12" s="73">
        <f>Table7[[#This Row],[Yield (kg/ha)]]/1000</f>
        <v>1.3169999999999997</v>
      </c>
      <c r="S12" s="187">
        <f>AVERAGE(O50:O52)</f>
        <v>0.97366499999999989</v>
      </c>
      <c r="T12" s="187">
        <f>STDEV(O50:O52)</f>
        <v>0.14390298841580809</v>
      </c>
      <c r="U12" s="187" t="s">
        <v>688</v>
      </c>
      <c r="V12" s="187"/>
      <c r="W12" s="187"/>
      <c r="X12" s="18"/>
      <c r="Y12" s="18"/>
      <c r="Z12" s="18"/>
      <c r="AA12" s="18"/>
      <c r="AB12" s="18"/>
      <c r="AC12" s="18"/>
      <c r="AD12" s="18"/>
      <c r="AE12" s="18"/>
    </row>
    <row r="13" spans="1:31" ht="26.25">
      <c r="A13" s="73">
        <v>2021</v>
      </c>
      <c r="B13" s="74">
        <v>44370</v>
      </c>
      <c r="C13" s="73">
        <v>174</v>
      </c>
      <c r="D13" s="73" t="s">
        <v>177</v>
      </c>
      <c r="E13" s="73">
        <v>1</v>
      </c>
      <c r="F13" s="73">
        <v>9</v>
      </c>
      <c r="G13" s="73">
        <v>1505.4</v>
      </c>
      <c r="H13" s="73">
        <f>Table7[[#This Row],[Sample Wet Weight (g)]]-55.8</f>
        <v>1449.6000000000001</v>
      </c>
      <c r="I13" s="73">
        <v>730.8</v>
      </c>
      <c r="J13" s="73">
        <f>Table7[[#This Row],[Sample Dry Weight (g) ]]-55.8</f>
        <v>675</v>
      </c>
      <c r="K13" s="73">
        <v>119.1</v>
      </c>
      <c r="L13" s="73">
        <f>((Table7[[#This Row],[Wet - Bag Weight (g) ]]-Table7[[#This Row],[Redry (post Mold Weight) (g) ]])/Table7[[#This Row],[Wet - Bag Weight (g) ]])*100</f>
        <v>91.783940397351003</v>
      </c>
      <c r="M13" s="73">
        <f>(Table7[[#This Row],[Redry (post Mold Weight) (g) ]]/1000)/0.0001</f>
        <v>1191</v>
      </c>
      <c r="N13" s="73">
        <f>Table7[[#This Row],[Yield (kg/ha)]]*1.155</f>
        <v>1375.605</v>
      </c>
      <c r="O13" s="73">
        <f>Table7[[#This Row],[Yield @ 15% Moisture (kg/ha)]]/1000</f>
        <v>1.375605</v>
      </c>
      <c r="P13" s="73">
        <f>Table7[[#This Row],[Yield (kg/ha)]]/1000</f>
        <v>1.1910000000000001</v>
      </c>
      <c r="S13" s="18"/>
      <c r="T13" s="18"/>
      <c r="U13" s="18"/>
      <c r="V13" s="18"/>
      <c r="W13" s="18"/>
      <c r="X13" s="18"/>
      <c r="Y13" s="18"/>
      <c r="Z13" s="18"/>
      <c r="AA13" s="18"/>
      <c r="AB13" s="18"/>
      <c r="AC13" s="18"/>
      <c r="AD13" s="18"/>
      <c r="AE13" s="18"/>
    </row>
    <row r="14" spans="1:31" ht="26.25">
      <c r="A14" s="128">
        <v>2021</v>
      </c>
      <c r="B14" s="129">
        <v>44370</v>
      </c>
      <c r="C14" s="128">
        <v>174</v>
      </c>
      <c r="D14" s="128" t="s">
        <v>178</v>
      </c>
      <c r="E14" s="128">
        <v>1</v>
      </c>
      <c r="F14" s="128">
        <v>11</v>
      </c>
      <c r="G14" s="128">
        <v>790.1</v>
      </c>
      <c r="H14" s="128">
        <f>Table7[[#This Row],[Sample Wet Weight (g)]]-55.8</f>
        <v>734.30000000000007</v>
      </c>
      <c r="I14" s="128">
        <v>293.8</v>
      </c>
      <c r="J14" s="128">
        <f>Table7[[#This Row],[Sample Dry Weight (g) ]]-55.8</f>
        <v>238</v>
      </c>
      <c r="K14" s="128">
        <v>96.3</v>
      </c>
      <c r="L14" s="128">
        <f>((Table7[[#This Row],[Wet - Bag Weight (g) ]]-Table7[[#This Row],[Redry (post Mold Weight) (g) ]])/Table7[[#This Row],[Wet - Bag Weight (g) ]])*100</f>
        <v>86.885469154296615</v>
      </c>
      <c r="M14" s="128">
        <f>(Table7[[#This Row],[Redry (post Mold Weight) (g) ]]/1000)/0.0001</f>
        <v>962.99999999999989</v>
      </c>
      <c r="N14" s="128">
        <f>Table7[[#This Row],[Yield (kg/ha)]]*1.155</f>
        <v>1112.2649999999999</v>
      </c>
      <c r="O14" s="128">
        <f>Table7[[#This Row],[Yield @ 15% Moisture (kg/ha)]]/1000</f>
        <v>1.1122649999999998</v>
      </c>
      <c r="P14" s="73">
        <f>Table7[[#This Row],[Yield (kg/ha)]]/1000</f>
        <v>0.96299999999999986</v>
      </c>
      <c r="S14" s="18" t="s">
        <v>738</v>
      </c>
      <c r="T14" s="18"/>
      <c r="U14" s="18"/>
      <c r="V14" s="18"/>
      <c r="W14" s="18"/>
      <c r="X14" s="18"/>
      <c r="Y14" s="18"/>
      <c r="Z14" s="18"/>
      <c r="AA14" s="18"/>
      <c r="AB14" s="18"/>
      <c r="AC14" s="18"/>
      <c r="AD14" s="18"/>
      <c r="AE14" s="18"/>
    </row>
    <row r="15" spans="1:31" ht="26.25">
      <c r="A15" s="128">
        <v>2021</v>
      </c>
      <c r="B15" s="129">
        <v>44370</v>
      </c>
      <c r="C15" s="128">
        <v>174</v>
      </c>
      <c r="D15" s="128" t="s">
        <v>179</v>
      </c>
      <c r="E15" s="128">
        <v>1</v>
      </c>
      <c r="F15" s="128">
        <v>12</v>
      </c>
      <c r="G15" s="128">
        <v>687.4</v>
      </c>
      <c r="H15" s="128">
        <f>Table7[[#This Row],[Sample Wet Weight (g)]]-55.8</f>
        <v>631.6</v>
      </c>
      <c r="I15" s="128">
        <v>263.39999999999998</v>
      </c>
      <c r="J15" s="128">
        <f>Table7[[#This Row],[Sample Dry Weight (g) ]]-55.8</f>
        <v>207.59999999999997</v>
      </c>
      <c r="K15" s="128">
        <v>94.3</v>
      </c>
      <c r="L15" s="128">
        <f>((Table7[[#This Row],[Wet - Bag Weight (g) ]]-Table7[[#This Row],[Redry (post Mold Weight) (g) ]])/Table7[[#This Row],[Wet - Bag Weight (g) ]])*100</f>
        <v>85.069664344521854</v>
      </c>
      <c r="M15" s="128">
        <f>(Table7[[#This Row],[Redry (post Mold Weight) (g) ]]/1000)/0.0001</f>
        <v>942.99999999999989</v>
      </c>
      <c r="N15" s="128">
        <f>Table7[[#This Row],[Yield (kg/ha)]]*1.155</f>
        <v>1089.165</v>
      </c>
      <c r="O15" s="128">
        <f>Table7[[#This Row],[Yield @ 15% Moisture (kg/ha)]]/1000</f>
        <v>1.0891649999999999</v>
      </c>
      <c r="P15" s="73">
        <f>Table7[[#This Row],[Yield (kg/ha)]]/1000</f>
        <v>0.94299999999999984</v>
      </c>
      <c r="S15" s="18" t="s">
        <v>739</v>
      </c>
      <c r="T15" s="18">
        <f>STDEV(P5:P13,P17:P25,P29:P37,P41:P49)</f>
        <v>0.1466971795911528</v>
      </c>
      <c r="U15" s="18"/>
      <c r="V15" s="18"/>
      <c r="W15" s="18"/>
      <c r="X15" s="18"/>
      <c r="Y15" s="18"/>
      <c r="Z15" s="18"/>
      <c r="AA15" s="18"/>
      <c r="AB15" s="18"/>
      <c r="AC15" s="18"/>
      <c r="AD15" s="18"/>
      <c r="AE15" s="18"/>
    </row>
    <row r="16" spans="1:31" ht="26.25">
      <c r="A16" s="128">
        <v>2021</v>
      </c>
      <c r="B16" s="129">
        <v>44370</v>
      </c>
      <c r="C16" s="128">
        <v>174</v>
      </c>
      <c r="D16" s="128" t="s">
        <v>180</v>
      </c>
      <c r="E16" s="128">
        <v>1</v>
      </c>
      <c r="F16" s="128">
        <v>13</v>
      </c>
      <c r="G16" s="128">
        <v>819.6</v>
      </c>
      <c r="H16" s="128">
        <f>Table7[[#This Row],[Sample Wet Weight (g)]]-55.8</f>
        <v>763.80000000000007</v>
      </c>
      <c r="I16" s="128">
        <v>319.7</v>
      </c>
      <c r="J16" s="128">
        <f>Table7[[#This Row],[Sample Dry Weight (g) ]]-55.8</f>
        <v>263.89999999999998</v>
      </c>
      <c r="K16" s="128">
        <v>90.4</v>
      </c>
      <c r="L16" s="128">
        <f>((Table7[[#This Row],[Wet - Bag Weight (g) ]]-Table7[[#This Row],[Redry (post Mold Weight) (g) ]])/Table7[[#This Row],[Wet - Bag Weight (g) ]])*100</f>
        <v>88.164440953129102</v>
      </c>
      <c r="M16" s="128">
        <f>(Table7[[#This Row],[Redry (post Mold Weight) (g) ]]/1000)/0.0001</f>
        <v>904</v>
      </c>
      <c r="N16" s="128">
        <f>Table7[[#This Row],[Yield (kg/ha)]]*1.155</f>
        <v>1044.1200000000001</v>
      </c>
      <c r="O16" s="128">
        <f>Table7[[#This Row],[Yield @ 15% Moisture (kg/ha)]]/1000</f>
        <v>1.0441200000000002</v>
      </c>
      <c r="P16" s="73">
        <f>Table7[[#This Row],[Yield (kg/ha)]]/1000</f>
        <v>0.90400000000000003</v>
      </c>
      <c r="S16" s="18" t="s">
        <v>740</v>
      </c>
      <c r="T16" s="18">
        <f>STDEV(P14:P16,P26:P28,P38:P40,P50:P52)</f>
        <v>9.4725920423081672E-2</v>
      </c>
      <c r="U16" s="18"/>
      <c r="V16" s="18"/>
      <c r="W16" s="18"/>
      <c r="X16" s="18"/>
      <c r="Y16" s="18"/>
      <c r="Z16" s="18"/>
      <c r="AA16" s="18"/>
      <c r="AB16" s="18"/>
      <c r="AC16" s="18"/>
      <c r="AD16" s="18"/>
      <c r="AE16" s="18"/>
    </row>
    <row r="17" spans="1:31" ht="26.25">
      <c r="A17" s="73">
        <v>2021</v>
      </c>
      <c r="B17" s="74">
        <v>44370</v>
      </c>
      <c r="C17" s="73">
        <v>174</v>
      </c>
      <c r="D17" s="73" t="s">
        <v>181</v>
      </c>
      <c r="E17" s="73">
        <v>2</v>
      </c>
      <c r="F17" s="73">
        <v>1</v>
      </c>
      <c r="G17" s="73">
        <v>1372.6</v>
      </c>
      <c r="H17" s="73">
        <f>Table7[[#This Row],[Sample Wet Weight (g)]]-55.8</f>
        <v>1316.8</v>
      </c>
      <c r="I17" s="73">
        <v>595.6</v>
      </c>
      <c r="J17" s="73">
        <f>Table7[[#This Row],[Sample Dry Weight (g) ]]-55.8</f>
        <v>539.80000000000007</v>
      </c>
      <c r="K17" s="73">
        <v>123.4</v>
      </c>
      <c r="L17" s="73">
        <f>((Table7[[#This Row],[Wet - Bag Weight (g) ]]-Table7[[#This Row],[Redry (post Mold Weight) (g) ]])/Table7[[#This Row],[Wet - Bag Weight (g) ]])*100</f>
        <v>90.628797083839601</v>
      </c>
      <c r="M17" s="73">
        <f>(Table7[[#This Row],[Redry (post Mold Weight) (g) ]]/1000)/0.0001</f>
        <v>1234</v>
      </c>
      <c r="N17" s="73">
        <f>Table7[[#This Row],[Yield (kg/ha)]]*1.155</f>
        <v>1425.27</v>
      </c>
      <c r="O17" s="73">
        <f>Table7[[#This Row],[Yield @ 15% Moisture (kg/ha)]]/1000</f>
        <v>1.42527</v>
      </c>
      <c r="P17" s="73">
        <f>Table7[[#This Row],[Yield (kg/ha)]]/1000</f>
        <v>1.234</v>
      </c>
      <c r="S17" s="18"/>
      <c r="T17" s="18"/>
      <c r="U17" s="18"/>
      <c r="V17" s="18"/>
      <c r="W17" s="18"/>
      <c r="X17" s="18"/>
      <c r="Y17" s="18"/>
      <c r="Z17" s="18"/>
      <c r="AA17" s="18"/>
      <c r="AB17" s="18"/>
      <c r="AC17" s="18"/>
      <c r="AD17" s="18"/>
      <c r="AE17" s="18"/>
    </row>
    <row r="18" spans="1:31" ht="26.25">
      <c r="A18" s="174">
        <v>2021</v>
      </c>
      <c r="B18" s="175">
        <v>44370</v>
      </c>
      <c r="C18" s="174">
        <v>174</v>
      </c>
      <c r="D18" s="174" t="s">
        <v>183</v>
      </c>
      <c r="E18" s="174">
        <v>2</v>
      </c>
      <c r="F18" s="174">
        <v>2</v>
      </c>
      <c r="G18" s="174">
        <v>1177</v>
      </c>
      <c r="H18" s="174">
        <f>Table7[[#This Row],[Sample Wet Weight (g)]]-55.8</f>
        <v>1121.2</v>
      </c>
      <c r="I18" s="174">
        <v>522.6</v>
      </c>
      <c r="J18" s="174">
        <f>Table7[[#This Row],[Sample Dry Weight (g) ]]-55.8</f>
        <v>466.8</v>
      </c>
      <c r="K18" s="174" t="s">
        <v>52</v>
      </c>
      <c r="L18" s="126" t="s">
        <v>52</v>
      </c>
      <c r="M18" s="126" t="s">
        <v>52</v>
      </c>
      <c r="N18" s="126" t="s">
        <v>52</v>
      </c>
      <c r="O18" s="176" t="s">
        <v>707</v>
      </c>
      <c r="P18" s="176" t="s">
        <v>707</v>
      </c>
      <c r="S18" s="18"/>
      <c r="T18" s="18"/>
      <c r="U18" s="18"/>
      <c r="V18" s="18"/>
      <c r="W18" s="18"/>
      <c r="X18" s="18"/>
      <c r="Y18" s="18"/>
      <c r="Z18" s="18"/>
      <c r="AA18" s="18"/>
      <c r="AB18" s="18"/>
      <c r="AC18" s="18"/>
      <c r="AD18" s="18"/>
      <c r="AE18" s="18"/>
    </row>
    <row r="19" spans="1:31" ht="23.25">
      <c r="A19" s="73">
        <v>2021</v>
      </c>
      <c r="B19" s="74">
        <v>44370</v>
      </c>
      <c r="C19" s="73">
        <v>174</v>
      </c>
      <c r="D19" s="73" t="s">
        <v>185</v>
      </c>
      <c r="E19" s="73">
        <v>2</v>
      </c>
      <c r="F19" s="73">
        <v>3</v>
      </c>
      <c r="G19" s="73">
        <v>1807.5</v>
      </c>
      <c r="H19" s="73">
        <f>Table7[[#This Row],[Sample Wet Weight (g)]]-55.8</f>
        <v>1751.7</v>
      </c>
      <c r="I19" s="73">
        <v>763.3</v>
      </c>
      <c r="J19" s="73">
        <f>Table7[[#This Row],[Sample Dry Weight (g) ]]-55.8</f>
        <v>707.5</v>
      </c>
      <c r="K19" s="73">
        <v>91.5</v>
      </c>
      <c r="L19" s="73">
        <f>((Table7[[#This Row],[Wet - Bag Weight (g) ]]-Table7[[#This Row],[Redry (post Mold Weight) (g) ]])/Table7[[#This Row],[Wet - Bag Weight (g) ]])*100</f>
        <v>94.776502825826341</v>
      </c>
      <c r="M19" s="73">
        <f>(Table7[[#This Row],[Redry (post Mold Weight) (g) ]]/1000)/0.0001</f>
        <v>914.99999999999989</v>
      </c>
      <c r="N19" s="73">
        <f>Table7[[#This Row],[Yield (kg/ha)]]*1.155</f>
        <v>1056.8249999999998</v>
      </c>
      <c r="O19" s="73">
        <f>Table7[[#This Row],[Yield @ 15% Moisture (kg/ha)]]/1000</f>
        <v>1.0568249999999999</v>
      </c>
      <c r="P19" s="73">
        <f>Table7[[#This Row],[Yield (kg/ha)]]/1000</f>
        <v>0.91499999999999992</v>
      </c>
      <c r="Q19" s="72"/>
      <c r="R19" s="72"/>
    </row>
    <row r="20" spans="1:31" ht="23.25">
      <c r="A20" s="73">
        <v>2021</v>
      </c>
      <c r="B20" s="74">
        <v>44370</v>
      </c>
      <c r="C20" s="73">
        <v>174</v>
      </c>
      <c r="D20" s="73" t="s">
        <v>187</v>
      </c>
      <c r="E20" s="73">
        <v>2</v>
      </c>
      <c r="F20" s="73">
        <v>4</v>
      </c>
      <c r="G20" s="73">
        <v>1400.1</v>
      </c>
      <c r="H20" s="73">
        <f>Table7[[#This Row],[Sample Wet Weight (g)]]-55.8</f>
        <v>1344.3</v>
      </c>
      <c r="I20" s="73">
        <v>607.20000000000005</v>
      </c>
      <c r="J20" s="73">
        <f>Table7[[#This Row],[Sample Dry Weight (g) ]]-55.8</f>
        <v>551.40000000000009</v>
      </c>
      <c r="K20" s="73">
        <v>136.5</v>
      </c>
      <c r="L20" s="73">
        <f>((Table7[[#This Row],[Wet - Bag Weight (g) ]]-Table7[[#This Row],[Redry (post Mold Weight) (g) ]])/Table7[[#This Row],[Wet - Bag Weight (g) ]])*100</f>
        <v>89.846016514170941</v>
      </c>
      <c r="M20" s="73">
        <f>(Table7[[#This Row],[Redry (post Mold Weight) (g) ]]/1000)/0.0001</f>
        <v>1365</v>
      </c>
      <c r="N20" s="73">
        <f>Table7[[#This Row],[Yield (kg/ha)]]*1.155</f>
        <v>1576.575</v>
      </c>
      <c r="O20" s="73">
        <f>Table7[[#This Row],[Yield @ 15% Moisture (kg/ha)]]/1000</f>
        <v>1.5765750000000001</v>
      </c>
      <c r="P20" s="73">
        <f>Table7[[#This Row],[Yield (kg/ha)]]/1000</f>
        <v>1.365</v>
      </c>
      <c r="Q20" s="72"/>
      <c r="R20" s="72"/>
    </row>
    <row r="21" spans="1:31" ht="23.25">
      <c r="A21" s="73">
        <v>2021</v>
      </c>
      <c r="B21" s="74">
        <v>44370</v>
      </c>
      <c r="C21" s="73">
        <v>174</v>
      </c>
      <c r="D21" s="73" t="s">
        <v>188</v>
      </c>
      <c r="E21" s="73">
        <v>2</v>
      </c>
      <c r="F21" s="73">
        <v>5</v>
      </c>
      <c r="G21" s="73">
        <v>1365.1</v>
      </c>
      <c r="H21" s="73">
        <f>Table7[[#This Row],[Sample Wet Weight (g)]]-55.8</f>
        <v>1309.3</v>
      </c>
      <c r="I21" s="73">
        <v>543.20000000000005</v>
      </c>
      <c r="J21" s="73">
        <f>Table7[[#This Row],[Sample Dry Weight (g) ]]-55.8</f>
        <v>487.40000000000003</v>
      </c>
      <c r="K21" s="73">
        <v>148.1</v>
      </c>
      <c r="L21" s="73">
        <f>((Table7[[#This Row],[Wet - Bag Weight (g) ]]-Table7[[#This Row],[Redry (post Mold Weight) (g) ]])/Table7[[#This Row],[Wet - Bag Weight (g) ]])*100</f>
        <v>88.688612235545719</v>
      </c>
      <c r="M21" s="73">
        <f>(Table7[[#This Row],[Redry (post Mold Weight) (g) ]]/1000)/0.0001</f>
        <v>1480.9999999999998</v>
      </c>
      <c r="N21" s="73">
        <f>Table7[[#This Row],[Yield (kg/ha)]]*1.155</f>
        <v>1710.5549999999998</v>
      </c>
      <c r="O21" s="73">
        <f>Table7[[#This Row],[Yield @ 15% Moisture (kg/ha)]]/1000</f>
        <v>1.7105549999999998</v>
      </c>
      <c r="P21" s="73">
        <f>Table7[[#This Row],[Yield (kg/ha)]]/1000</f>
        <v>1.4809999999999999</v>
      </c>
      <c r="Q21" s="72"/>
      <c r="R21" s="72"/>
    </row>
    <row r="22" spans="1:31" ht="23.25">
      <c r="A22" s="174">
        <v>2021</v>
      </c>
      <c r="B22" s="175">
        <v>44370</v>
      </c>
      <c r="C22" s="174">
        <v>174</v>
      </c>
      <c r="D22" s="174" t="s">
        <v>189</v>
      </c>
      <c r="E22" s="174">
        <v>2</v>
      </c>
      <c r="F22" s="174">
        <v>6</v>
      </c>
      <c r="G22" s="174">
        <v>1343.6</v>
      </c>
      <c r="H22" s="174">
        <f>Table7[[#This Row],[Sample Wet Weight (g)]]-55.8</f>
        <v>1287.8</v>
      </c>
      <c r="I22" s="174">
        <v>586.9</v>
      </c>
      <c r="J22" s="174">
        <f>Table7[[#This Row],[Sample Dry Weight (g) ]]-55.8</f>
        <v>531.1</v>
      </c>
      <c r="K22" s="174" t="s">
        <v>52</v>
      </c>
      <c r="L22" s="126" t="s">
        <v>52</v>
      </c>
      <c r="M22" s="126" t="s">
        <v>52</v>
      </c>
      <c r="N22" s="126" t="s">
        <v>52</v>
      </c>
      <c r="O22" s="176" t="s">
        <v>707</v>
      </c>
      <c r="P22" s="176" t="s">
        <v>707</v>
      </c>
      <c r="Q22" s="72"/>
      <c r="R22" s="72"/>
    </row>
    <row r="23" spans="1:31" ht="23.25">
      <c r="A23" s="73">
        <v>2021</v>
      </c>
      <c r="B23" s="74">
        <v>44370</v>
      </c>
      <c r="C23" s="73">
        <v>174</v>
      </c>
      <c r="D23" s="73" t="s">
        <v>190</v>
      </c>
      <c r="E23" s="73">
        <v>2</v>
      </c>
      <c r="F23" s="73">
        <v>7</v>
      </c>
      <c r="G23" s="73">
        <v>1607.6</v>
      </c>
      <c r="H23" s="73">
        <f>Table7[[#This Row],[Sample Wet Weight (g)]]-55.8</f>
        <v>1551.8</v>
      </c>
      <c r="I23" s="73">
        <v>763.1</v>
      </c>
      <c r="J23" s="73">
        <f>Table7[[#This Row],[Sample Dry Weight (g) ]]-55.8</f>
        <v>707.30000000000007</v>
      </c>
      <c r="K23" s="73">
        <v>142.1</v>
      </c>
      <c r="L23" s="73">
        <f>((Table7[[#This Row],[Wet - Bag Weight (g) ]]-Table7[[#This Row],[Redry (post Mold Weight) (g) ]])/Table7[[#This Row],[Wet - Bag Weight (g) ]])*100</f>
        <v>90.842892125273877</v>
      </c>
      <c r="M23" s="73">
        <f>(Table7[[#This Row],[Redry (post Mold Weight) (g) ]]/1000)/0.0001</f>
        <v>1421</v>
      </c>
      <c r="N23" s="73">
        <f>Table7[[#This Row],[Yield (kg/ha)]]*1.155</f>
        <v>1641.2550000000001</v>
      </c>
      <c r="O23" s="73">
        <f>Table7[[#This Row],[Yield @ 15% Moisture (kg/ha)]]/1000</f>
        <v>1.6412550000000001</v>
      </c>
      <c r="P23" s="73">
        <f>Table7[[#This Row],[Yield (kg/ha)]]/1000</f>
        <v>1.421</v>
      </c>
      <c r="Q23" s="72"/>
      <c r="R23" s="72"/>
    </row>
    <row r="24" spans="1:31" ht="23.25">
      <c r="A24" s="73">
        <v>2021</v>
      </c>
      <c r="B24" s="74">
        <v>44370</v>
      </c>
      <c r="C24" s="73">
        <v>174</v>
      </c>
      <c r="D24" s="73" t="s">
        <v>191</v>
      </c>
      <c r="E24" s="73">
        <v>2</v>
      </c>
      <c r="F24" s="73">
        <v>8</v>
      </c>
      <c r="G24" s="73">
        <v>1369.7</v>
      </c>
      <c r="H24" s="73">
        <f>Table7[[#This Row],[Sample Wet Weight (g)]]-55.8</f>
        <v>1313.9</v>
      </c>
      <c r="I24" s="73">
        <v>652</v>
      </c>
      <c r="J24" s="73">
        <f>Table7[[#This Row],[Sample Dry Weight (g) ]]-55.8</f>
        <v>596.20000000000005</v>
      </c>
      <c r="K24" s="73">
        <v>123.1</v>
      </c>
      <c r="L24" s="73">
        <f>((Table7[[#This Row],[Wet - Bag Weight (g) ]]-Table7[[#This Row],[Redry (post Mold Weight) (g) ]])/Table7[[#This Row],[Wet - Bag Weight (g) ]])*100</f>
        <v>90.630946038511311</v>
      </c>
      <c r="M24" s="73">
        <f>(Table7[[#This Row],[Redry (post Mold Weight) (g) ]]/1000)/0.0001</f>
        <v>1231</v>
      </c>
      <c r="N24" s="73">
        <f>Table7[[#This Row],[Yield (kg/ha)]]*1.155</f>
        <v>1421.8050000000001</v>
      </c>
      <c r="O24" s="73">
        <f>Table7[[#This Row],[Yield @ 15% Moisture (kg/ha)]]/1000</f>
        <v>1.421805</v>
      </c>
      <c r="P24" s="73">
        <f>Table7[[#This Row],[Yield (kg/ha)]]/1000</f>
        <v>1.2310000000000001</v>
      </c>
      <c r="Q24" s="72"/>
      <c r="R24" s="72"/>
    </row>
    <row r="25" spans="1:31" ht="23.25">
      <c r="A25" s="73">
        <v>2021</v>
      </c>
      <c r="B25" s="74">
        <v>44370</v>
      </c>
      <c r="C25" s="73">
        <v>174</v>
      </c>
      <c r="D25" s="73" t="s">
        <v>192</v>
      </c>
      <c r="E25" s="73">
        <v>2</v>
      </c>
      <c r="F25" s="73">
        <v>9</v>
      </c>
      <c r="G25" s="73">
        <v>1373.5</v>
      </c>
      <c r="H25" s="73">
        <f>Table7[[#This Row],[Sample Wet Weight (g)]]-55.8</f>
        <v>1317.7</v>
      </c>
      <c r="I25" s="73">
        <v>647.20000000000005</v>
      </c>
      <c r="J25" s="73">
        <f>Table7[[#This Row],[Sample Dry Weight (g) ]]-55.8</f>
        <v>591.40000000000009</v>
      </c>
      <c r="K25" s="73">
        <v>116.5</v>
      </c>
      <c r="L25" s="73">
        <f>((Table7[[#This Row],[Wet - Bag Weight (g) ]]-Table7[[#This Row],[Redry (post Mold Weight) (g) ]])/Table7[[#This Row],[Wet - Bag Weight (g) ]])*100</f>
        <v>91.158837368141448</v>
      </c>
      <c r="M25" s="73">
        <f>(Table7[[#This Row],[Redry (post Mold Weight) (g) ]]/1000)/0.0001</f>
        <v>1165</v>
      </c>
      <c r="N25" s="73">
        <f>Table7[[#This Row],[Yield (kg/ha)]]*1.155</f>
        <v>1345.575</v>
      </c>
      <c r="O25" s="73">
        <f>Table7[[#This Row],[Yield @ 15% Moisture (kg/ha)]]/1000</f>
        <v>1.345575</v>
      </c>
      <c r="P25" s="73">
        <f>Table7[[#This Row],[Yield (kg/ha)]]/1000</f>
        <v>1.165</v>
      </c>
      <c r="Q25" s="72"/>
      <c r="R25" s="72"/>
    </row>
    <row r="26" spans="1:31" ht="23.25">
      <c r="A26" s="128">
        <v>2021</v>
      </c>
      <c r="B26" s="129">
        <v>44370</v>
      </c>
      <c r="C26" s="128">
        <v>174</v>
      </c>
      <c r="D26" s="128" t="s">
        <v>193</v>
      </c>
      <c r="E26" s="128">
        <v>2</v>
      </c>
      <c r="F26" s="128">
        <v>11</v>
      </c>
      <c r="G26" s="128">
        <v>628.1</v>
      </c>
      <c r="H26" s="128">
        <f>Table7[[#This Row],[Sample Wet Weight (g)]]-55.8</f>
        <v>572.30000000000007</v>
      </c>
      <c r="I26" s="128">
        <v>202</v>
      </c>
      <c r="J26" s="128">
        <f>Table7[[#This Row],[Sample Dry Weight (g) ]]-55.8</f>
        <v>146.19999999999999</v>
      </c>
      <c r="K26" s="128">
        <v>93.5</v>
      </c>
      <c r="L26" s="128">
        <f>((Table7[[#This Row],[Wet - Bag Weight (g) ]]-Table7[[#This Row],[Redry (post Mold Weight) (g) ]])/Table7[[#This Row],[Wet - Bag Weight (g) ]])*100</f>
        <v>83.662414817403459</v>
      </c>
      <c r="M26" s="128">
        <f>(Table7[[#This Row],[Redry (post Mold Weight) (g) ]]/1000)/0.0001</f>
        <v>935</v>
      </c>
      <c r="N26" s="128">
        <f>Table7[[#This Row],[Yield (kg/ha)]]*1.155</f>
        <v>1079.925</v>
      </c>
      <c r="O26" s="128">
        <f>Table7[[#This Row],[Yield @ 15% Moisture (kg/ha)]]/1000</f>
        <v>1.079925</v>
      </c>
      <c r="P26" s="73">
        <f>Table7[[#This Row],[Yield (kg/ha)]]/1000</f>
        <v>0.93500000000000005</v>
      </c>
    </row>
    <row r="27" spans="1:31" ht="23.25">
      <c r="A27" s="128">
        <v>2021</v>
      </c>
      <c r="B27" s="129">
        <v>44370</v>
      </c>
      <c r="C27" s="128">
        <v>174</v>
      </c>
      <c r="D27" s="128" t="s">
        <v>194</v>
      </c>
      <c r="E27" s="128">
        <v>2</v>
      </c>
      <c r="F27" s="128">
        <v>12</v>
      </c>
      <c r="G27" s="128">
        <v>763.1</v>
      </c>
      <c r="H27" s="128">
        <f>Table7[[#This Row],[Sample Wet Weight (g)]]-55.8</f>
        <v>707.30000000000007</v>
      </c>
      <c r="I27" s="128">
        <v>344.2</v>
      </c>
      <c r="J27" s="128">
        <f>Table7[[#This Row],[Sample Dry Weight (g) ]]-55.8</f>
        <v>288.39999999999998</v>
      </c>
      <c r="K27" s="128">
        <v>100.3</v>
      </c>
      <c r="L27" s="128">
        <f>((Table7[[#This Row],[Wet - Bag Weight (g) ]]-Table7[[#This Row],[Redry (post Mold Weight) (g) ]])/Table7[[#This Row],[Wet - Bag Weight (g) ]])*100</f>
        <v>85.819312879966077</v>
      </c>
      <c r="M27" s="128">
        <f>(Table7[[#This Row],[Redry (post Mold Weight) (g) ]]/1000)/0.0001</f>
        <v>1003</v>
      </c>
      <c r="N27" s="128">
        <f>Table7[[#This Row],[Yield (kg/ha)]]*1.155</f>
        <v>1158.4649999999999</v>
      </c>
      <c r="O27" s="128">
        <f>Table7[[#This Row],[Yield @ 15% Moisture (kg/ha)]]/1000</f>
        <v>1.1584649999999999</v>
      </c>
      <c r="P27" s="73">
        <f>Table7[[#This Row],[Yield (kg/ha)]]/1000</f>
        <v>1.0029999999999999</v>
      </c>
      <c r="Q27" s="72"/>
      <c r="R27" s="72"/>
    </row>
    <row r="28" spans="1:31" ht="23.25">
      <c r="A28" s="128">
        <v>2021</v>
      </c>
      <c r="B28" s="129">
        <v>44370</v>
      </c>
      <c r="C28" s="128">
        <v>174</v>
      </c>
      <c r="D28" s="128" t="s">
        <v>195</v>
      </c>
      <c r="E28" s="128">
        <v>2</v>
      </c>
      <c r="F28" s="128">
        <v>13</v>
      </c>
      <c r="G28" s="128">
        <v>731.5</v>
      </c>
      <c r="H28" s="128">
        <f>Table7[[#This Row],[Sample Wet Weight (g)]]-55.8</f>
        <v>675.7</v>
      </c>
      <c r="I28" s="128">
        <v>254.8</v>
      </c>
      <c r="J28" s="128">
        <f>Table7[[#This Row],[Sample Dry Weight (g) ]]-55.8</f>
        <v>199</v>
      </c>
      <c r="K28" s="128">
        <v>106.4</v>
      </c>
      <c r="L28" s="128">
        <f>((Table7[[#This Row],[Wet - Bag Weight (g) ]]-Table7[[#This Row],[Redry (post Mold Weight) (g) ]])/Table7[[#This Row],[Wet - Bag Weight (g) ]])*100</f>
        <v>84.253366878792363</v>
      </c>
      <c r="M28" s="128">
        <f>(Table7[[#This Row],[Redry (post Mold Weight) (g) ]]/1000)/0.0001</f>
        <v>1064</v>
      </c>
      <c r="N28" s="128">
        <f>Table7[[#This Row],[Yield (kg/ha)]]*1.155</f>
        <v>1228.92</v>
      </c>
      <c r="O28" s="128">
        <f>Table7[[#This Row],[Yield @ 15% Moisture (kg/ha)]]/1000</f>
        <v>1.22892</v>
      </c>
      <c r="P28" s="73">
        <f>Table7[[#This Row],[Yield (kg/ha)]]/1000</f>
        <v>1.0640000000000001</v>
      </c>
      <c r="Q28" s="72"/>
      <c r="R28" s="72"/>
    </row>
    <row r="29" spans="1:31" ht="23.25">
      <c r="A29" s="73">
        <v>2021</v>
      </c>
      <c r="B29" s="74">
        <v>44370</v>
      </c>
      <c r="C29" s="73">
        <v>174</v>
      </c>
      <c r="D29" s="73" t="s">
        <v>196</v>
      </c>
      <c r="E29" s="73">
        <v>3</v>
      </c>
      <c r="F29" s="73">
        <v>1</v>
      </c>
      <c r="G29" s="73">
        <v>1488.2</v>
      </c>
      <c r="H29" s="73">
        <f>Table7[[#This Row],[Sample Wet Weight (g)]]-55.8</f>
        <v>1432.4</v>
      </c>
      <c r="I29" s="73">
        <v>619.5</v>
      </c>
      <c r="J29" s="73">
        <f>Table7[[#This Row],[Sample Dry Weight (g) ]]-55.8</f>
        <v>563.70000000000005</v>
      </c>
      <c r="K29" s="73">
        <v>138</v>
      </c>
      <c r="L29" s="73">
        <f>((Table7[[#This Row],[Wet - Bag Weight (g) ]]-Table7[[#This Row],[Redry (post Mold Weight) (g) ]])/Table7[[#This Row],[Wet - Bag Weight (g) ]])*100</f>
        <v>90.365819603462711</v>
      </c>
      <c r="M29" s="73">
        <f>(Table7[[#This Row],[Redry (post Mold Weight) (g) ]]/1000)/0.0001</f>
        <v>1380</v>
      </c>
      <c r="N29" s="73">
        <f>Table7[[#This Row],[Yield (kg/ha)]]*1.155</f>
        <v>1593.9</v>
      </c>
      <c r="O29" s="73">
        <f>Table7[[#This Row],[Yield @ 15% Moisture (kg/ha)]]/1000</f>
        <v>1.5939000000000001</v>
      </c>
      <c r="P29" s="73">
        <f>Table7[[#This Row],[Yield (kg/ha)]]/1000</f>
        <v>1.38</v>
      </c>
    </row>
    <row r="30" spans="1:31" ht="23.25">
      <c r="A30" s="73">
        <v>2021</v>
      </c>
      <c r="B30" s="74">
        <v>44370</v>
      </c>
      <c r="C30" s="73">
        <v>174</v>
      </c>
      <c r="D30" s="73" t="s">
        <v>198</v>
      </c>
      <c r="E30" s="73">
        <v>3</v>
      </c>
      <c r="F30" s="73">
        <v>2</v>
      </c>
      <c r="G30" s="73">
        <v>938.9</v>
      </c>
      <c r="H30" s="73">
        <f>Table7[[#This Row],[Sample Wet Weight (g)]]-55.8</f>
        <v>883.1</v>
      </c>
      <c r="I30" s="73">
        <v>294.3</v>
      </c>
      <c r="J30" s="73">
        <f>Table7[[#This Row],[Sample Dry Weight (g) ]]-55.8</f>
        <v>238.5</v>
      </c>
      <c r="K30" s="73">
        <v>132.5</v>
      </c>
      <c r="L30" s="73">
        <f>((Table7[[#This Row],[Wet - Bag Weight (g) ]]-Table7[[#This Row],[Redry (post Mold Weight) (g) ]])/Table7[[#This Row],[Wet - Bag Weight (g) ]])*100</f>
        <v>84.996036688936698</v>
      </c>
      <c r="M30" s="73">
        <f>(Table7[[#This Row],[Redry (post Mold Weight) (g) ]]/1000)/0.0001</f>
        <v>1325</v>
      </c>
      <c r="N30" s="73">
        <f>Table7[[#This Row],[Yield (kg/ha)]]*1.155</f>
        <v>1530.375</v>
      </c>
      <c r="O30" s="73">
        <f>Table7[[#This Row],[Yield @ 15% Moisture (kg/ha)]]/1000</f>
        <v>1.530375</v>
      </c>
      <c r="P30" s="73">
        <f>Table7[[#This Row],[Yield (kg/ha)]]/1000</f>
        <v>1.325</v>
      </c>
      <c r="Q30" s="72"/>
      <c r="R30" s="72"/>
    </row>
    <row r="31" spans="1:31" ht="23.25">
      <c r="A31" s="73">
        <v>2021</v>
      </c>
      <c r="B31" s="74">
        <v>44370</v>
      </c>
      <c r="C31" s="73">
        <v>174</v>
      </c>
      <c r="D31" s="73" t="s">
        <v>200</v>
      </c>
      <c r="E31" s="73">
        <v>3</v>
      </c>
      <c r="F31" s="73">
        <v>3</v>
      </c>
      <c r="G31" s="73">
        <v>789.3</v>
      </c>
      <c r="H31" s="73">
        <f>Table7[[#This Row],[Sample Wet Weight (g)]]-55.8</f>
        <v>733.5</v>
      </c>
      <c r="I31" s="73">
        <v>309.3</v>
      </c>
      <c r="J31" s="73">
        <f>Table7[[#This Row],[Sample Dry Weight (g) ]]-55.8</f>
        <v>253.5</v>
      </c>
      <c r="K31" s="73">
        <v>107.3</v>
      </c>
      <c r="L31" s="73">
        <f>((Table7[[#This Row],[Wet - Bag Weight (g) ]]-Table7[[#This Row],[Redry (post Mold Weight) (g) ]])/Table7[[#This Row],[Wet - Bag Weight (g) ]])*100</f>
        <v>85.371506475800956</v>
      </c>
      <c r="M31" s="73">
        <f>(Table7[[#This Row],[Redry (post Mold Weight) (g) ]]/1000)/0.0001</f>
        <v>1072.9999999999998</v>
      </c>
      <c r="N31" s="73">
        <f>Table7[[#This Row],[Yield (kg/ha)]]*1.155</f>
        <v>1239.3149999999998</v>
      </c>
      <c r="O31" s="73">
        <f>Table7[[#This Row],[Yield @ 15% Moisture (kg/ha)]]/1000</f>
        <v>1.2393149999999997</v>
      </c>
      <c r="P31" s="73">
        <f>Table7[[#This Row],[Yield (kg/ha)]]/1000</f>
        <v>1.0729999999999997</v>
      </c>
      <c r="Q31" s="72"/>
      <c r="R31" s="72"/>
    </row>
    <row r="32" spans="1:31" ht="23.25">
      <c r="A32" s="73">
        <v>2021</v>
      </c>
      <c r="B32" s="74">
        <v>44370</v>
      </c>
      <c r="C32" s="73">
        <v>174</v>
      </c>
      <c r="D32" s="73" t="s">
        <v>551</v>
      </c>
      <c r="E32" s="73">
        <v>3</v>
      </c>
      <c r="F32" s="73">
        <v>4</v>
      </c>
      <c r="G32" s="73">
        <v>671.9</v>
      </c>
      <c r="H32" s="73">
        <f>Table7[[#This Row],[Sample Wet Weight (g)]]-55.8</f>
        <v>616.1</v>
      </c>
      <c r="I32" s="73">
        <v>218</v>
      </c>
      <c r="J32" s="73">
        <f>Table7[[#This Row],[Sample Dry Weight (g) ]]-55.8</f>
        <v>162.19999999999999</v>
      </c>
      <c r="K32" s="73">
        <v>99.2</v>
      </c>
      <c r="L32" s="73">
        <f>((Table7[[#This Row],[Wet - Bag Weight (g) ]]-Table7[[#This Row],[Redry (post Mold Weight) (g) ]])/Table7[[#This Row],[Wet - Bag Weight (g) ]])*100</f>
        <v>83.898717740626523</v>
      </c>
      <c r="M32" s="73">
        <f>(Table7[[#This Row],[Redry (post Mold Weight) (g) ]]/1000)/0.0001</f>
        <v>991.99999999999989</v>
      </c>
      <c r="N32" s="73">
        <f>Table7[[#This Row],[Yield (kg/ha)]]*1.155</f>
        <v>1145.76</v>
      </c>
      <c r="O32" s="73">
        <f>Table7[[#This Row],[Yield @ 15% Moisture (kg/ha)]]/1000</f>
        <v>1.1457599999999999</v>
      </c>
      <c r="P32" s="73">
        <f>Table7[[#This Row],[Yield (kg/ha)]]/1000</f>
        <v>0.99199999999999988</v>
      </c>
      <c r="Q32" s="72"/>
      <c r="R32" s="72"/>
    </row>
    <row r="33" spans="1:18" ht="23.25">
      <c r="A33" s="73">
        <v>2021</v>
      </c>
      <c r="B33" s="74">
        <v>44370</v>
      </c>
      <c r="C33" s="73">
        <v>174</v>
      </c>
      <c r="D33" s="73" t="s">
        <v>552</v>
      </c>
      <c r="E33" s="73">
        <v>3</v>
      </c>
      <c r="F33" s="73">
        <v>5</v>
      </c>
      <c r="G33" s="73">
        <v>695.7</v>
      </c>
      <c r="H33" s="73">
        <f>Table7[[#This Row],[Sample Wet Weight (g)]]-55.8</f>
        <v>639.90000000000009</v>
      </c>
      <c r="I33" s="73">
        <v>189.6</v>
      </c>
      <c r="J33" s="73">
        <f>Table7[[#This Row],[Sample Dry Weight (g) ]]-55.8</f>
        <v>133.80000000000001</v>
      </c>
      <c r="K33" s="73">
        <v>115.5</v>
      </c>
      <c r="L33" s="73">
        <f>((Table7[[#This Row],[Wet - Bag Weight (g) ]]-Table7[[#This Row],[Redry (post Mold Weight) (g) ]])/Table7[[#This Row],[Wet - Bag Weight (g) ]])*100</f>
        <v>81.950304735114869</v>
      </c>
      <c r="M33" s="73">
        <f>(Table7[[#This Row],[Redry (post Mold Weight) (g) ]]/1000)/0.0001</f>
        <v>1155</v>
      </c>
      <c r="N33" s="73">
        <f>Table7[[#This Row],[Yield (kg/ha)]]*1.155</f>
        <v>1334.0250000000001</v>
      </c>
      <c r="O33" s="73">
        <f>Table7[[#This Row],[Yield @ 15% Moisture (kg/ha)]]/1000</f>
        <v>1.334025</v>
      </c>
      <c r="P33" s="73">
        <f>Table7[[#This Row],[Yield (kg/ha)]]/1000</f>
        <v>1.155</v>
      </c>
      <c r="Q33" s="72"/>
      <c r="R33" s="72"/>
    </row>
    <row r="34" spans="1:18" ht="23.25">
      <c r="A34" s="73">
        <v>2021</v>
      </c>
      <c r="B34" s="74">
        <v>44370</v>
      </c>
      <c r="C34" s="73">
        <v>174</v>
      </c>
      <c r="D34" s="73" t="s">
        <v>553</v>
      </c>
      <c r="E34" s="73">
        <v>3</v>
      </c>
      <c r="F34" s="73">
        <v>6</v>
      </c>
      <c r="G34" s="73">
        <v>886.9</v>
      </c>
      <c r="H34" s="73">
        <f>Table7[[#This Row],[Sample Wet Weight (g)]]-55.8</f>
        <v>831.1</v>
      </c>
      <c r="I34" s="73">
        <v>259.8</v>
      </c>
      <c r="J34" s="73">
        <f>Table7[[#This Row],[Sample Dry Weight (g) ]]-55.8</f>
        <v>204</v>
      </c>
      <c r="K34" s="73">
        <v>129.19999999999999</v>
      </c>
      <c r="L34" s="73">
        <f>((Table7[[#This Row],[Wet - Bag Weight (g) ]]-Table7[[#This Row],[Redry (post Mold Weight) (g) ]])/Table7[[#This Row],[Wet - Bag Weight (g) ]])*100</f>
        <v>84.454337624834565</v>
      </c>
      <c r="M34" s="73">
        <f>(Table7[[#This Row],[Redry (post Mold Weight) (g) ]]/1000)/0.0001</f>
        <v>1291.9999999999998</v>
      </c>
      <c r="N34" s="73">
        <f>Table7[[#This Row],[Yield (kg/ha)]]*1.155</f>
        <v>1492.2599999999998</v>
      </c>
      <c r="O34" s="73">
        <f>Table7[[#This Row],[Yield @ 15% Moisture (kg/ha)]]/1000</f>
        <v>1.4922599999999997</v>
      </c>
      <c r="P34" s="73">
        <f>Table7[[#This Row],[Yield (kg/ha)]]/1000</f>
        <v>1.2919999999999998</v>
      </c>
      <c r="Q34" s="72"/>
      <c r="R34" s="72"/>
    </row>
    <row r="35" spans="1:18" ht="23.25">
      <c r="A35" s="73">
        <v>2021</v>
      </c>
      <c r="B35" s="74">
        <v>44370</v>
      </c>
      <c r="C35" s="73">
        <v>174</v>
      </c>
      <c r="D35" s="73" t="s">
        <v>554</v>
      </c>
      <c r="E35" s="73">
        <v>3</v>
      </c>
      <c r="F35" s="73">
        <v>7</v>
      </c>
      <c r="G35" s="73">
        <v>713.3</v>
      </c>
      <c r="H35" s="73">
        <f>Table7[[#This Row],[Sample Wet Weight (g)]]-55.8</f>
        <v>657.5</v>
      </c>
      <c r="I35" s="73">
        <v>205.2</v>
      </c>
      <c r="J35" s="73">
        <f>Table7[[#This Row],[Sample Dry Weight (g) ]]-55.8</f>
        <v>149.39999999999998</v>
      </c>
      <c r="K35" s="73">
        <v>115.5</v>
      </c>
      <c r="L35" s="73">
        <f>((Table7[[#This Row],[Wet - Bag Weight (g) ]]-Table7[[#This Row],[Redry (post Mold Weight) (g) ]])/Table7[[#This Row],[Wet - Bag Weight (g) ]])*100</f>
        <v>82.433460076045634</v>
      </c>
      <c r="M35" s="73">
        <f>(Table7[[#This Row],[Redry (post Mold Weight) (g) ]]/1000)/0.0001</f>
        <v>1155</v>
      </c>
      <c r="N35" s="73">
        <f>Table7[[#This Row],[Yield (kg/ha)]]*1.155</f>
        <v>1334.0250000000001</v>
      </c>
      <c r="O35" s="73">
        <f>Table7[[#This Row],[Yield @ 15% Moisture (kg/ha)]]/1000</f>
        <v>1.334025</v>
      </c>
      <c r="P35" s="73">
        <f>Table7[[#This Row],[Yield (kg/ha)]]/1000</f>
        <v>1.155</v>
      </c>
      <c r="Q35" s="72"/>
      <c r="R35" s="72"/>
    </row>
    <row r="36" spans="1:18" ht="23.25">
      <c r="A36" s="73">
        <v>2021</v>
      </c>
      <c r="B36" s="74">
        <v>44370</v>
      </c>
      <c r="C36" s="73">
        <v>174</v>
      </c>
      <c r="D36" s="73" t="s">
        <v>555</v>
      </c>
      <c r="E36" s="73">
        <v>3</v>
      </c>
      <c r="F36" s="73">
        <v>8</v>
      </c>
      <c r="G36" s="73">
        <v>849.2</v>
      </c>
      <c r="H36" s="73">
        <f>Table7[[#This Row],[Sample Wet Weight (g)]]-55.8</f>
        <v>793.40000000000009</v>
      </c>
      <c r="I36" s="73">
        <v>337</v>
      </c>
      <c r="J36" s="73">
        <f>Table7[[#This Row],[Sample Dry Weight (g) ]]-55.8</f>
        <v>281.2</v>
      </c>
      <c r="K36" s="73">
        <v>103.7</v>
      </c>
      <c r="L36" s="73">
        <f>((Table7[[#This Row],[Wet - Bag Weight (g) ]]-Table7[[#This Row],[Redry (post Mold Weight) (g) ]])/Table7[[#This Row],[Wet - Bag Weight (g) ]])*100</f>
        <v>86.929669775649103</v>
      </c>
      <c r="M36" s="73">
        <f>(Table7[[#This Row],[Redry (post Mold Weight) (g) ]]/1000)/0.0001</f>
        <v>1037</v>
      </c>
      <c r="N36" s="73">
        <f>Table7[[#This Row],[Yield (kg/ha)]]*1.155</f>
        <v>1197.7350000000001</v>
      </c>
      <c r="O36" s="73">
        <f>Table7[[#This Row],[Yield @ 15% Moisture (kg/ha)]]/1000</f>
        <v>1.1977350000000002</v>
      </c>
      <c r="P36" s="73">
        <f>Table7[[#This Row],[Yield (kg/ha)]]/1000</f>
        <v>1.0369999999999999</v>
      </c>
      <c r="Q36" s="72"/>
      <c r="R36" s="72"/>
    </row>
    <row r="37" spans="1:18" ht="23.25">
      <c r="A37" s="73">
        <v>2021</v>
      </c>
      <c r="B37" s="74">
        <v>44370</v>
      </c>
      <c r="C37" s="73">
        <v>174</v>
      </c>
      <c r="D37" s="73" t="s">
        <v>556</v>
      </c>
      <c r="E37" s="73">
        <v>3</v>
      </c>
      <c r="F37" s="73">
        <v>9</v>
      </c>
      <c r="G37" s="73">
        <v>637.5</v>
      </c>
      <c r="H37" s="73">
        <f>Table7[[#This Row],[Sample Wet Weight (g)]]-55.8</f>
        <v>581.70000000000005</v>
      </c>
      <c r="I37" s="73">
        <v>158.80000000000001</v>
      </c>
      <c r="J37" s="73">
        <f>Table7[[#This Row],[Sample Dry Weight (g) ]]-55.8</f>
        <v>103.00000000000001</v>
      </c>
      <c r="K37" s="73">
        <v>110.8</v>
      </c>
      <c r="L37" s="73">
        <f>((Table7[[#This Row],[Wet - Bag Weight (g) ]]-Table7[[#This Row],[Redry (post Mold Weight) (g) ]])/Table7[[#This Row],[Wet - Bag Weight (g) ]])*100</f>
        <v>80.952380952380949</v>
      </c>
      <c r="M37" s="73">
        <f>(Table7[[#This Row],[Redry (post Mold Weight) (g) ]]/1000)/0.0001</f>
        <v>1108</v>
      </c>
      <c r="N37" s="73">
        <f>Table7[[#This Row],[Yield (kg/ha)]]*1.155</f>
        <v>1279.74</v>
      </c>
      <c r="O37" s="73">
        <f>Table7[[#This Row],[Yield @ 15% Moisture (kg/ha)]]/1000</f>
        <v>1.2797400000000001</v>
      </c>
      <c r="P37" s="73">
        <f>Table7[[#This Row],[Yield (kg/ha)]]/1000</f>
        <v>1.1080000000000001</v>
      </c>
      <c r="Q37" s="72"/>
      <c r="R37" s="72"/>
    </row>
    <row r="38" spans="1:18" ht="23.25">
      <c r="A38" s="128">
        <v>2021</v>
      </c>
      <c r="B38" s="129">
        <v>44370</v>
      </c>
      <c r="C38" s="128">
        <v>174</v>
      </c>
      <c r="D38" s="128" t="s">
        <v>557</v>
      </c>
      <c r="E38" s="128">
        <v>3</v>
      </c>
      <c r="F38" s="128">
        <v>11</v>
      </c>
      <c r="G38" s="128">
        <v>345.6</v>
      </c>
      <c r="H38" s="128">
        <f>Table7[[#This Row],[Sample Wet Weight (g)]]-55.8</f>
        <v>289.8</v>
      </c>
      <c r="I38" s="128">
        <v>117.5</v>
      </c>
      <c r="J38" s="128">
        <f>Table7[[#This Row],[Sample Dry Weight (g) ]]-55.8</f>
        <v>61.7</v>
      </c>
      <c r="K38" s="128">
        <v>89.8</v>
      </c>
      <c r="L38" s="128">
        <f>((Table7[[#This Row],[Wet - Bag Weight (g) ]]-Table7[[#This Row],[Redry (post Mold Weight) (g) ]])/Table7[[#This Row],[Wet - Bag Weight (g) ]])*100</f>
        <v>69.013112491373363</v>
      </c>
      <c r="M38" s="128">
        <f>(Table7[[#This Row],[Redry (post Mold Weight) (g) ]]/1000)/0.0001</f>
        <v>897.99999999999989</v>
      </c>
      <c r="N38" s="128">
        <f>Table7[[#This Row],[Yield (kg/ha)]]*1.155</f>
        <v>1037.1899999999998</v>
      </c>
      <c r="O38" s="128">
        <f>Table7[[#This Row],[Yield @ 15% Moisture (kg/ha)]]/1000</f>
        <v>1.0371899999999998</v>
      </c>
      <c r="P38" s="73">
        <f>Table7[[#This Row],[Yield (kg/ha)]]/1000</f>
        <v>0.89799999999999991</v>
      </c>
    </row>
    <row r="39" spans="1:18" ht="23.25">
      <c r="A39" s="128">
        <v>2021</v>
      </c>
      <c r="B39" s="129">
        <v>44370</v>
      </c>
      <c r="C39" s="128">
        <v>174</v>
      </c>
      <c r="D39" s="128" t="s">
        <v>558</v>
      </c>
      <c r="E39" s="128">
        <v>3</v>
      </c>
      <c r="F39" s="128">
        <v>12</v>
      </c>
      <c r="G39" s="128">
        <v>467.3</v>
      </c>
      <c r="H39" s="128">
        <f>Table7[[#This Row],[Sample Wet Weight (g)]]-55.8</f>
        <v>411.5</v>
      </c>
      <c r="I39" s="128">
        <v>155.1</v>
      </c>
      <c r="J39" s="128">
        <f>Table7[[#This Row],[Sample Dry Weight (g) ]]-55.8</f>
        <v>99.3</v>
      </c>
      <c r="K39" s="128">
        <v>89.5</v>
      </c>
      <c r="L39" s="128">
        <f>((Table7[[#This Row],[Wet - Bag Weight (g) ]]-Table7[[#This Row],[Redry (post Mold Weight) (g) ]])/Table7[[#This Row],[Wet - Bag Weight (g) ]])*100</f>
        <v>78.250303766707177</v>
      </c>
      <c r="M39" s="128">
        <f>(Table7[[#This Row],[Redry (post Mold Weight) (g) ]]/1000)/0.0001</f>
        <v>894.99999999999989</v>
      </c>
      <c r="N39" s="128">
        <f>Table7[[#This Row],[Yield (kg/ha)]]*1.155</f>
        <v>1033.7249999999999</v>
      </c>
      <c r="O39" s="128">
        <f>Table7[[#This Row],[Yield @ 15% Moisture (kg/ha)]]/1000</f>
        <v>1.033725</v>
      </c>
      <c r="P39" s="73">
        <f>Table7[[#This Row],[Yield (kg/ha)]]/1000</f>
        <v>0.89499999999999991</v>
      </c>
    </row>
    <row r="40" spans="1:18" ht="23.25">
      <c r="A40" s="128">
        <v>2021</v>
      </c>
      <c r="B40" s="129">
        <v>44370</v>
      </c>
      <c r="C40" s="128">
        <v>174</v>
      </c>
      <c r="D40" s="128" t="s">
        <v>559</v>
      </c>
      <c r="E40" s="128">
        <v>3</v>
      </c>
      <c r="F40" s="128">
        <v>13</v>
      </c>
      <c r="G40" s="128">
        <v>342</v>
      </c>
      <c r="H40" s="128">
        <f>Table7[[#This Row],[Sample Wet Weight (g)]]-55.8</f>
        <v>286.2</v>
      </c>
      <c r="I40" s="128">
        <v>95.2</v>
      </c>
      <c r="J40" s="128">
        <f>Table7[[#This Row],[Sample Dry Weight (g) ]]-55.8</f>
        <v>39.400000000000006</v>
      </c>
      <c r="K40" s="128">
        <v>78</v>
      </c>
      <c r="L40" s="128">
        <f>((Table7[[#This Row],[Wet - Bag Weight (g) ]]-Table7[[#This Row],[Redry (post Mold Weight) (g) ]])/Table7[[#This Row],[Wet - Bag Weight (g) ]])*100</f>
        <v>72.746331236897277</v>
      </c>
      <c r="M40" s="128">
        <f>(Table7[[#This Row],[Redry (post Mold Weight) (g) ]]/1000)/0.0001</f>
        <v>780</v>
      </c>
      <c r="N40" s="128">
        <f>Table7[[#This Row],[Yield (kg/ha)]]*1.155</f>
        <v>900.9</v>
      </c>
      <c r="O40" s="128">
        <f>Table7[[#This Row],[Yield @ 15% Moisture (kg/ha)]]/1000</f>
        <v>0.90089999999999992</v>
      </c>
      <c r="P40" s="73">
        <f>Table7[[#This Row],[Yield (kg/ha)]]/1000</f>
        <v>0.78</v>
      </c>
    </row>
    <row r="41" spans="1:18" ht="23.25">
      <c r="A41" s="73">
        <v>2021</v>
      </c>
      <c r="B41" s="74">
        <v>44370</v>
      </c>
      <c r="C41" s="73">
        <v>174</v>
      </c>
      <c r="D41" s="73" t="s">
        <v>560</v>
      </c>
      <c r="E41" s="73">
        <v>4</v>
      </c>
      <c r="F41" s="73">
        <v>1</v>
      </c>
      <c r="G41" s="73">
        <v>996.6</v>
      </c>
      <c r="H41" s="73">
        <f>Table7[[#This Row],[Sample Wet Weight (g)]]-55.8</f>
        <v>940.80000000000007</v>
      </c>
      <c r="I41" s="73">
        <v>268</v>
      </c>
      <c r="J41" s="73">
        <f>Table7[[#This Row],[Sample Dry Weight (g) ]]-55.8</f>
        <v>212.2</v>
      </c>
      <c r="K41" s="73">
        <v>145</v>
      </c>
      <c r="L41" s="73">
        <f>((Table7[[#This Row],[Wet - Bag Weight (g) ]]-Table7[[#This Row],[Redry (post Mold Weight) (g) ]])/Table7[[#This Row],[Wet - Bag Weight (g) ]])*100</f>
        <v>84.5875850340136</v>
      </c>
      <c r="M41" s="73">
        <f>(Table7[[#This Row],[Redry (post Mold Weight) (g) ]]/1000)/0.0001</f>
        <v>1449.9999999999998</v>
      </c>
      <c r="N41" s="73">
        <f>Table7[[#This Row],[Yield (kg/ha)]]*1.155</f>
        <v>1674.7499999999998</v>
      </c>
      <c r="O41" s="73">
        <f>Table7[[#This Row],[Yield @ 15% Moisture (kg/ha)]]/1000</f>
        <v>1.6747499999999997</v>
      </c>
      <c r="P41" s="73">
        <f>Table7[[#This Row],[Yield (kg/ha)]]/1000</f>
        <v>1.4499999999999997</v>
      </c>
    </row>
    <row r="42" spans="1:18" ht="23.25">
      <c r="A42" s="73">
        <v>2021</v>
      </c>
      <c r="B42" s="74">
        <v>44370</v>
      </c>
      <c r="C42" s="73">
        <v>174</v>
      </c>
      <c r="D42" s="73" t="s">
        <v>561</v>
      </c>
      <c r="E42" s="73">
        <v>4</v>
      </c>
      <c r="F42" s="73">
        <v>2</v>
      </c>
      <c r="G42" s="73">
        <v>505.9</v>
      </c>
      <c r="H42" s="73">
        <f>Table7[[#This Row],[Sample Wet Weight (g)]]-55.8</f>
        <v>450.09999999999997</v>
      </c>
      <c r="I42" s="73">
        <v>153.19999999999999</v>
      </c>
      <c r="J42" s="73">
        <f>Table7[[#This Row],[Sample Dry Weight (g) ]]-55.8</f>
        <v>97.399999999999991</v>
      </c>
      <c r="K42" s="73">
        <v>94.5</v>
      </c>
      <c r="L42" s="73">
        <f>((Table7[[#This Row],[Wet - Bag Weight (g) ]]-Table7[[#This Row],[Redry (post Mold Weight) (g) ]])/Table7[[#This Row],[Wet - Bag Weight (g) ]])*100</f>
        <v>79.004665629860028</v>
      </c>
      <c r="M42" s="73">
        <f>(Table7[[#This Row],[Redry (post Mold Weight) (g) ]]/1000)/0.0001</f>
        <v>945</v>
      </c>
      <c r="N42" s="73">
        <f>Table7[[#This Row],[Yield (kg/ha)]]*1.155</f>
        <v>1091.4750000000001</v>
      </c>
      <c r="O42" s="73">
        <f>Table7[[#This Row],[Yield @ 15% Moisture (kg/ha)]]/1000</f>
        <v>1.0914750000000002</v>
      </c>
      <c r="P42" s="73">
        <f>Table7[[#This Row],[Yield (kg/ha)]]/1000</f>
        <v>0.94499999999999995</v>
      </c>
      <c r="Q42" s="72"/>
      <c r="R42" s="72"/>
    </row>
    <row r="43" spans="1:18" ht="23.25">
      <c r="A43" s="73">
        <v>2021</v>
      </c>
      <c r="B43" s="74">
        <v>44370</v>
      </c>
      <c r="C43" s="73">
        <v>174</v>
      </c>
      <c r="D43" s="73" t="s">
        <v>562</v>
      </c>
      <c r="E43" s="73">
        <v>4</v>
      </c>
      <c r="F43" s="73">
        <v>3</v>
      </c>
      <c r="G43" s="73">
        <v>862</v>
      </c>
      <c r="H43" s="73">
        <f>Table7[[#This Row],[Sample Wet Weight (g)]]-55.8</f>
        <v>806.2</v>
      </c>
      <c r="I43" s="73">
        <v>272.39999999999998</v>
      </c>
      <c r="J43" s="73">
        <f>Table7[[#This Row],[Sample Dry Weight (g) ]]-55.8</f>
        <v>216.59999999999997</v>
      </c>
      <c r="K43" s="73">
        <v>126.1</v>
      </c>
      <c r="L43" s="73">
        <f>((Table7[[#This Row],[Wet - Bag Weight (g) ]]-Table7[[#This Row],[Redry (post Mold Weight) (g) ]])/Table7[[#This Row],[Wet - Bag Weight (g) ]])*100</f>
        <v>84.358719920615229</v>
      </c>
      <c r="M43" s="73">
        <f>(Table7[[#This Row],[Redry (post Mold Weight) (g) ]]/1000)/0.0001</f>
        <v>1260.9999999999998</v>
      </c>
      <c r="N43" s="73">
        <f>Table7[[#This Row],[Yield (kg/ha)]]*1.155</f>
        <v>1456.4549999999997</v>
      </c>
      <c r="O43" s="73">
        <f>Table7[[#This Row],[Yield @ 15% Moisture (kg/ha)]]/1000</f>
        <v>1.4564549999999996</v>
      </c>
      <c r="P43" s="73">
        <f>Table7[[#This Row],[Yield (kg/ha)]]/1000</f>
        <v>1.2609999999999997</v>
      </c>
      <c r="Q43" s="72"/>
      <c r="R43" s="72"/>
    </row>
    <row r="44" spans="1:18" ht="23.25">
      <c r="A44" s="73">
        <v>2021</v>
      </c>
      <c r="B44" s="74">
        <v>44370</v>
      </c>
      <c r="C44" s="73">
        <v>174</v>
      </c>
      <c r="D44" s="73" t="s">
        <v>563</v>
      </c>
      <c r="E44" s="73">
        <v>4</v>
      </c>
      <c r="F44" s="73">
        <v>4</v>
      </c>
      <c r="G44" s="73">
        <v>787.6</v>
      </c>
      <c r="H44" s="73">
        <f>Table7[[#This Row],[Sample Wet Weight (g)]]-55.8</f>
        <v>731.80000000000007</v>
      </c>
      <c r="I44" s="73">
        <v>241.6</v>
      </c>
      <c r="J44" s="73">
        <f>Table7[[#This Row],[Sample Dry Weight (g) ]]-55.8</f>
        <v>185.8</v>
      </c>
      <c r="K44" s="73">
        <v>119.5</v>
      </c>
      <c r="L44" s="73">
        <f>((Table7[[#This Row],[Wet - Bag Weight (g) ]]-Table7[[#This Row],[Redry (post Mold Weight) (g) ]])/Table7[[#This Row],[Wet - Bag Weight (g) ]])*100</f>
        <v>83.670401749111775</v>
      </c>
      <c r="M44" s="73">
        <f>(Table7[[#This Row],[Redry (post Mold Weight) (g) ]]/1000)/0.0001</f>
        <v>1195</v>
      </c>
      <c r="N44" s="73">
        <f>Table7[[#This Row],[Yield (kg/ha)]]*1.155</f>
        <v>1380.2250000000001</v>
      </c>
      <c r="O44" s="73">
        <f>Table7[[#This Row],[Yield @ 15% Moisture (kg/ha)]]/1000</f>
        <v>1.380225</v>
      </c>
      <c r="P44" s="73">
        <f>Table7[[#This Row],[Yield (kg/ha)]]/1000</f>
        <v>1.1950000000000001</v>
      </c>
      <c r="Q44" s="72"/>
      <c r="R44" s="72"/>
    </row>
    <row r="45" spans="1:18" ht="23.25">
      <c r="A45" s="73">
        <v>2021</v>
      </c>
      <c r="B45" s="74">
        <v>44370</v>
      </c>
      <c r="C45" s="73">
        <v>174</v>
      </c>
      <c r="D45" s="73" t="s">
        <v>564</v>
      </c>
      <c r="E45" s="73">
        <v>4</v>
      </c>
      <c r="F45" s="73">
        <v>5</v>
      </c>
      <c r="G45" s="73">
        <v>999.9</v>
      </c>
      <c r="H45" s="73">
        <f>Table7[[#This Row],[Sample Wet Weight (g)]]-55.8</f>
        <v>944.1</v>
      </c>
      <c r="I45" s="73">
        <v>323.8</v>
      </c>
      <c r="J45" s="73">
        <f>Table7[[#This Row],[Sample Dry Weight (g) ]]-55.8</f>
        <v>268</v>
      </c>
      <c r="K45" s="73">
        <v>126.2</v>
      </c>
      <c r="L45" s="73">
        <f>((Table7[[#This Row],[Wet - Bag Weight (g) ]]-Table7[[#This Row],[Redry (post Mold Weight) (g) ]])/Table7[[#This Row],[Wet - Bag Weight (g) ]])*100</f>
        <v>86.632771952123704</v>
      </c>
      <c r="M45" s="73">
        <f>(Table7[[#This Row],[Redry (post Mold Weight) (g) ]]/1000)/0.0001</f>
        <v>1262</v>
      </c>
      <c r="N45" s="73">
        <f>Table7[[#This Row],[Yield (kg/ha)]]*1.155</f>
        <v>1457.6100000000001</v>
      </c>
      <c r="O45" s="73">
        <f>Table7[[#This Row],[Yield @ 15% Moisture (kg/ha)]]/1000</f>
        <v>1.4576100000000001</v>
      </c>
      <c r="P45" s="73">
        <f>Table7[[#This Row],[Yield (kg/ha)]]/1000</f>
        <v>1.262</v>
      </c>
      <c r="Q45" s="72"/>
      <c r="R45" s="72"/>
    </row>
    <row r="46" spans="1:18" ht="23.25">
      <c r="A46" s="73">
        <v>2021</v>
      </c>
      <c r="B46" s="74">
        <v>44370</v>
      </c>
      <c r="C46" s="73">
        <v>174</v>
      </c>
      <c r="D46" s="73" t="s">
        <v>565</v>
      </c>
      <c r="E46" s="73">
        <v>4</v>
      </c>
      <c r="F46" s="73">
        <v>6</v>
      </c>
      <c r="G46" s="73">
        <v>932.2</v>
      </c>
      <c r="H46" s="73">
        <f>Table7[[#This Row],[Sample Wet Weight (g)]]-55.8</f>
        <v>876.40000000000009</v>
      </c>
      <c r="I46" s="73">
        <v>338.7</v>
      </c>
      <c r="J46" s="73">
        <f>Table7[[#This Row],[Sample Dry Weight (g) ]]-55.8</f>
        <v>282.89999999999998</v>
      </c>
      <c r="K46" s="73">
        <v>105.9</v>
      </c>
      <c r="L46" s="73">
        <f>((Table7[[#This Row],[Wet - Bag Weight (g) ]]-Table7[[#This Row],[Redry (post Mold Weight) (g) ]])/Table7[[#This Row],[Wet - Bag Weight (g) ]])*100</f>
        <v>87.916476494751265</v>
      </c>
      <c r="M46" s="73">
        <f>(Table7[[#This Row],[Redry (post Mold Weight) (g) ]]/1000)/0.0001</f>
        <v>1059</v>
      </c>
      <c r="N46" s="73">
        <f>Table7[[#This Row],[Yield (kg/ha)]]*1.155</f>
        <v>1223.145</v>
      </c>
      <c r="O46" s="73">
        <f>Table7[[#This Row],[Yield @ 15% Moisture (kg/ha)]]/1000</f>
        <v>1.2231449999999999</v>
      </c>
      <c r="P46" s="73">
        <f>Table7[[#This Row],[Yield (kg/ha)]]/1000</f>
        <v>1.0589999999999999</v>
      </c>
      <c r="Q46" s="72"/>
      <c r="R46" s="72"/>
    </row>
    <row r="47" spans="1:18" ht="23.25">
      <c r="A47" s="73">
        <v>2021</v>
      </c>
      <c r="B47" s="74">
        <v>44370</v>
      </c>
      <c r="C47" s="73">
        <v>174</v>
      </c>
      <c r="D47" s="73" t="s">
        <v>566</v>
      </c>
      <c r="E47" s="73">
        <v>4</v>
      </c>
      <c r="F47" s="73">
        <v>7</v>
      </c>
      <c r="G47" s="73">
        <v>838</v>
      </c>
      <c r="H47" s="73">
        <f>Table7[[#This Row],[Sample Wet Weight (g)]]-55.8</f>
        <v>782.2</v>
      </c>
      <c r="I47" s="73">
        <v>234.7</v>
      </c>
      <c r="J47" s="73">
        <f>Table7[[#This Row],[Sample Dry Weight (g) ]]-55.8</f>
        <v>178.89999999999998</v>
      </c>
      <c r="K47" s="73">
        <v>133.4</v>
      </c>
      <c r="L47" s="73">
        <f>((Table7[[#This Row],[Wet - Bag Weight (g) ]]-Table7[[#This Row],[Redry (post Mold Weight) (g) ]])/Table7[[#This Row],[Wet - Bag Weight (g) ]])*100</f>
        <v>82.94553822551778</v>
      </c>
      <c r="M47" s="73">
        <f>(Table7[[#This Row],[Redry (post Mold Weight) (g) ]]/1000)/0.0001</f>
        <v>1334.0000000000002</v>
      </c>
      <c r="N47" s="73">
        <f>Table7[[#This Row],[Yield (kg/ha)]]*1.155</f>
        <v>1540.7700000000002</v>
      </c>
      <c r="O47" s="73">
        <f>Table7[[#This Row],[Yield @ 15% Moisture (kg/ha)]]/1000</f>
        <v>1.5407700000000002</v>
      </c>
      <c r="P47" s="73">
        <f>Table7[[#This Row],[Yield (kg/ha)]]/1000</f>
        <v>1.3340000000000003</v>
      </c>
      <c r="Q47" s="72"/>
      <c r="R47" s="72"/>
    </row>
    <row r="48" spans="1:18" ht="23.25">
      <c r="A48" s="73">
        <v>2021</v>
      </c>
      <c r="B48" s="74">
        <v>44370</v>
      </c>
      <c r="C48" s="73">
        <v>174</v>
      </c>
      <c r="D48" s="73" t="s">
        <v>567</v>
      </c>
      <c r="E48" s="73">
        <v>4</v>
      </c>
      <c r="F48" s="73">
        <v>8</v>
      </c>
      <c r="G48" s="73">
        <v>1100.8</v>
      </c>
      <c r="H48" s="73">
        <f>Table7[[#This Row],[Sample Wet Weight (g)]]-55.8</f>
        <v>1045</v>
      </c>
      <c r="I48" s="73">
        <v>349.1</v>
      </c>
      <c r="J48" s="73">
        <f>Table7[[#This Row],[Sample Dry Weight (g) ]]-55.8</f>
        <v>293.3</v>
      </c>
      <c r="K48" s="73">
        <v>135.4</v>
      </c>
      <c r="L48" s="73">
        <f>((Table7[[#This Row],[Wet - Bag Weight (g) ]]-Table7[[#This Row],[Redry (post Mold Weight) (g) ]])/Table7[[#This Row],[Wet - Bag Weight (g) ]])*100</f>
        <v>87.043062200956939</v>
      </c>
      <c r="M48" s="73">
        <f>(Table7[[#This Row],[Redry (post Mold Weight) (g) ]]/1000)/0.0001</f>
        <v>1353.9999999999998</v>
      </c>
      <c r="N48" s="73">
        <f>Table7[[#This Row],[Yield (kg/ha)]]*1.155</f>
        <v>1563.8699999999997</v>
      </c>
      <c r="O48" s="73">
        <f>Table7[[#This Row],[Yield @ 15% Moisture (kg/ha)]]/1000</f>
        <v>1.5638699999999996</v>
      </c>
      <c r="P48" s="73">
        <f>Table7[[#This Row],[Yield (kg/ha)]]/1000</f>
        <v>1.3539999999999999</v>
      </c>
      <c r="Q48" s="72"/>
      <c r="R48" s="72"/>
    </row>
    <row r="49" spans="1:19" ht="23.25">
      <c r="A49" s="73">
        <v>2021</v>
      </c>
      <c r="B49" s="74">
        <v>44370</v>
      </c>
      <c r="C49" s="73">
        <v>174</v>
      </c>
      <c r="D49" s="73" t="s">
        <v>568</v>
      </c>
      <c r="E49" s="73">
        <v>4</v>
      </c>
      <c r="F49" s="73">
        <v>9</v>
      </c>
      <c r="G49" s="73">
        <v>951.1</v>
      </c>
      <c r="H49" s="73">
        <f>Table7[[#This Row],[Sample Wet Weight (g)]]-55.8</f>
        <v>895.30000000000007</v>
      </c>
      <c r="I49" s="73">
        <v>334</v>
      </c>
      <c r="J49" s="73">
        <f>Table7[[#This Row],[Sample Dry Weight (g) ]]-55.8</f>
        <v>278.2</v>
      </c>
      <c r="K49" s="73">
        <v>121.2</v>
      </c>
      <c r="L49" s="73">
        <f>((Table7[[#This Row],[Wet - Bag Weight (g) ]]-Table7[[#This Row],[Redry (post Mold Weight) (g) ]])/Table7[[#This Row],[Wet - Bag Weight (g) ]])*100</f>
        <v>86.462638221825088</v>
      </c>
      <c r="M49" s="73">
        <f>(Table7[[#This Row],[Redry (post Mold Weight) (g) ]]/1000)/0.0001</f>
        <v>1212</v>
      </c>
      <c r="N49" s="73">
        <f>Table7[[#This Row],[Yield (kg/ha)]]*1.155</f>
        <v>1399.8600000000001</v>
      </c>
      <c r="O49" s="73">
        <f>Table7[[#This Row],[Yield @ 15% Moisture (kg/ha)]]/1000</f>
        <v>1.3998600000000001</v>
      </c>
      <c r="P49" s="73">
        <f>Table7[[#This Row],[Yield (kg/ha)]]/1000</f>
        <v>1.212</v>
      </c>
      <c r="Q49" s="72"/>
      <c r="R49" s="72"/>
    </row>
    <row r="50" spans="1:19" ht="23.25">
      <c r="A50" s="128">
        <v>2021</v>
      </c>
      <c r="B50" s="129">
        <v>44370</v>
      </c>
      <c r="C50" s="128">
        <v>174</v>
      </c>
      <c r="D50" s="128" t="s">
        <v>569</v>
      </c>
      <c r="E50" s="128">
        <v>4</v>
      </c>
      <c r="F50" s="128">
        <v>11</v>
      </c>
      <c r="G50" s="128">
        <v>527.5</v>
      </c>
      <c r="H50" s="128">
        <f>Table7[[#This Row],[Sample Wet Weight (g)]]-55.8</f>
        <v>471.7</v>
      </c>
      <c r="I50" s="128">
        <v>147.5</v>
      </c>
      <c r="J50" s="128">
        <f>Table7[[#This Row],[Sample Dry Weight (g) ]]-55.8</f>
        <v>91.7</v>
      </c>
      <c r="K50" s="128">
        <v>95.7</v>
      </c>
      <c r="L50" s="128">
        <f>((Table7[[#This Row],[Wet - Bag Weight (g) ]]-Table7[[#This Row],[Redry (post Mold Weight) (g) ]])/Table7[[#This Row],[Wet - Bag Weight (g) ]])*100</f>
        <v>79.711681153275393</v>
      </c>
      <c r="M50" s="128">
        <f>(Table7[[#This Row],[Redry (post Mold Weight) (g) ]]/1000)/0.0001</f>
        <v>957</v>
      </c>
      <c r="N50" s="128">
        <f>Table7[[#This Row],[Yield (kg/ha)]]*1.155</f>
        <v>1105.335</v>
      </c>
      <c r="O50" s="128">
        <f>Table7[[#This Row],[Yield @ 15% Moisture (kg/ha)]]/1000</f>
        <v>1.105335</v>
      </c>
      <c r="P50" s="73">
        <f>Table7[[#This Row],[Yield (kg/ha)]]/1000</f>
        <v>0.95699999999999996</v>
      </c>
    </row>
    <row r="51" spans="1:19" ht="23.25">
      <c r="A51" s="128">
        <v>2021</v>
      </c>
      <c r="B51" s="129">
        <v>44370</v>
      </c>
      <c r="C51" s="128">
        <v>174</v>
      </c>
      <c r="D51" s="128" t="s">
        <v>570</v>
      </c>
      <c r="E51" s="128">
        <v>4</v>
      </c>
      <c r="F51" s="128">
        <v>12</v>
      </c>
      <c r="G51" s="128">
        <v>443.2</v>
      </c>
      <c r="H51" s="128">
        <f>Table7[[#This Row],[Sample Wet Weight (g)]]-55.8</f>
        <v>387.4</v>
      </c>
      <c r="I51" s="128">
        <v>131.80000000000001</v>
      </c>
      <c r="J51" s="128">
        <f>Table7[[#This Row],[Sample Dry Weight (g) ]]-55.8</f>
        <v>76.000000000000014</v>
      </c>
      <c r="K51" s="128">
        <v>86.2</v>
      </c>
      <c r="L51" s="128">
        <f>((Table7[[#This Row],[Wet - Bag Weight (g) ]]-Table7[[#This Row],[Redry (post Mold Weight) (g) ]])/Table7[[#This Row],[Wet - Bag Weight (g) ]])*100</f>
        <v>77.749096541042846</v>
      </c>
      <c r="M51" s="128">
        <f>(Table7[[#This Row],[Redry (post Mold Weight) (g) ]]/1000)/0.0001</f>
        <v>862</v>
      </c>
      <c r="N51" s="128">
        <f>Table7[[#This Row],[Yield (kg/ha)]]*1.155</f>
        <v>995.61</v>
      </c>
      <c r="O51" s="128">
        <f>Table7[[#This Row],[Yield @ 15% Moisture (kg/ha)]]/1000</f>
        <v>0.99560999999999999</v>
      </c>
      <c r="P51" s="73">
        <f>Table7[[#This Row],[Yield (kg/ha)]]/1000</f>
        <v>0.86199999999999999</v>
      </c>
      <c r="Q51" s="72"/>
    </row>
    <row r="52" spans="1:19" ht="23.25">
      <c r="A52" s="128">
        <v>2021</v>
      </c>
      <c r="B52" s="129">
        <v>44370</v>
      </c>
      <c r="C52" s="128">
        <v>174</v>
      </c>
      <c r="D52" s="128" t="s">
        <v>571</v>
      </c>
      <c r="E52" s="128">
        <v>4</v>
      </c>
      <c r="F52" s="128">
        <v>13</v>
      </c>
      <c r="G52" s="128">
        <v>275.8</v>
      </c>
      <c r="H52" s="128">
        <f>Table7[[#This Row],[Sample Wet Weight (g)]]-55.8</f>
        <v>220</v>
      </c>
      <c r="I52" s="128">
        <v>89.2</v>
      </c>
      <c r="J52" s="128">
        <f>Table7[[#This Row],[Sample Dry Weight (g) ]]-55.8</f>
        <v>33.400000000000006</v>
      </c>
      <c r="K52" s="128">
        <v>71</v>
      </c>
      <c r="L52" s="128">
        <f>((Table7[[#This Row],[Wet - Bag Weight (g) ]]-Table7[[#This Row],[Redry (post Mold Weight) (g) ]])/Table7[[#This Row],[Wet - Bag Weight (g) ]])*100</f>
        <v>67.72727272727272</v>
      </c>
      <c r="M52" s="128">
        <f>(Table7[[#This Row],[Redry (post Mold Weight) (g) ]]/1000)/0.0001</f>
        <v>709.99999999999989</v>
      </c>
      <c r="N52" s="128">
        <f>Table7[[#This Row],[Yield (kg/ha)]]*1.155</f>
        <v>820.04999999999984</v>
      </c>
      <c r="O52" s="128">
        <f>Table7[[#This Row],[Yield @ 15% Moisture (kg/ha)]]/1000</f>
        <v>0.82004999999999983</v>
      </c>
      <c r="P52" s="73">
        <f>Table7[[#This Row],[Yield (kg/ha)]]/1000</f>
        <v>0.70999999999999985</v>
      </c>
      <c r="Q52" s="72"/>
    </row>
    <row r="53" spans="1:19" ht="23.25">
      <c r="A53" s="72"/>
      <c r="B53" s="72"/>
      <c r="C53" s="72"/>
      <c r="D53" s="72"/>
      <c r="E53" s="72"/>
      <c r="F53" s="72"/>
      <c r="G53" s="72"/>
      <c r="H53" s="72"/>
      <c r="I53" s="72"/>
      <c r="J53" s="72"/>
      <c r="K53" s="72"/>
      <c r="L53" s="72"/>
      <c r="M53" s="72"/>
      <c r="N53" s="72"/>
      <c r="O53" s="72"/>
      <c r="P53" s="72"/>
      <c r="Q53" s="72"/>
      <c r="R53" s="72"/>
      <c r="S53" s="72"/>
    </row>
    <row r="54" spans="1:19" ht="23.25">
      <c r="A54" s="72"/>
      <c r="B54" s="72"/>
      <c r="C54" s="72"/>
      <c r="D54" s="72"/>
      <c r="E54" s="72"/>
      <c r="F54" s="72"/>
      <c r="G54" s="72"/>
      <c r="H54" s="72"/>
      <c r="I54" s="72"/>
      <c r="J54" s="72"/>
      <c r="K54" s="72"/>
      <c r="L54" s="72"/>
      <c r="M54" s="72"/>
      <c r="N54" s="72"/>
      <c r="O54" s="72"/>
      <c r="P54" s="72"/>
      <c r="Q54" s="72"/>
      <c r="R54" s="72"/>
      <c r="S54" s="72"/>
    </row>
    <row r="55" spans="1:19" ht="23.25">
      <c r="A55" s="72"/>
      <c r="B55" s="72"/>
      <c r="C55" s="72"/>
      <c r="D55" s="72"/>
      <c r="E55" s="72"/>
      <c r="F55" s="72"/>
      <c r="G55" s="72"/>
      <c r="H55" s="72"/>
      <c r="I55" s="72"/>
      <c r="J55" s="72"/>
      <c r="K55" s="72"/>
      <c r="L55" s="72"/>
      <c r="M55" s="72"/>
      <c r="N55" s="72"/>
      <c r="O55" s="72"/>
      <c r="P55" s="72"/>
      <c r="Q55" s="72"/>
      <c r="R55" s="72"/>
      <c r="S55" s="72"/>
    </row>
    <row r="56" spans="1:19" ht="23.25">
      <c r="A56" s="72"/>
      <c r="B56" s="72"/>
      <c r="C56" s="72"/>
      <c r="D56" s="72"/>
      <c r="E56" s="72"/>
      <c r="F56" s="72"/>
      <c r="G56" s="72"/>
      <c r="H56" s="72"/>
      <c r="I56" s="72"/>
      <c r="J56" s="72"/>
      <c r="K56" s="72"/>
      <c r="L56" s="72"/>
      <c r="M56" s="72"/>
      <c r="N56" s="72"/>
      <c r="O56" s="72"/>
      <c r="P56" s="72"/>
      <c r="Q56" s="72"/>
      <c r="R56" s="72"/>
      <c r="S56" s="72"/>
    </row>
    <row r="57" spans="1:19" ht="23.25">
      <c r="A57" s="72"/>
      <c r="B57" s="72"/>
      <c r="C57" s="72"/>
      <c r="D57" s="72"/>
      <c r="E57" s="72"/>
      <c r="F57" s="72"/>
      <c r="G57" s="72"/>
      <c r="H57" s="72"/>
      <c r="I57" s="72"/>
      <c r="J57" s="72"/>
      <c r="K57" s="72"/>
      <c r="L57" s="72"/>
      <c r="M57" s="72"/>
      <c r="N57" s="72"/>
      <c r="O57" s="72"/>
      <c r="P57" s="72"/>
      <c r="Q57" s="72"/>
      <c r="R57" s="72"/>
      <c r="S57" s="72"/>
    </row>
    <row r="58" spans="1:19" ht="23.25">
      <c r="A58" s="72"/>
      <c r="B58" s="72"/>
      <c r="C58" s="72"/>
      <c r="D58" s="72"/>
      <c r="E58" s="72"/>
      <c r="F58" s="72"/>
      <c r="G58" s="72"/>
      <c r="H58" s="72"/>
      <c r="I58" s="72"/>
      <c r="J58" s="72"/>
      <c r="K58" s="72"/>
      <c r="L58" s="72"/>
      <c r="M58" s="72"/>
      <c r="N58" s="72"/>
      <c r="O58" s="72"/>
      <c r="P58" s="72"/>
      <c r="Q58" s="72"/>
      <c r="R58" s="72"/>
      <c r="S58" s="72"/>
    </row>
    <row r="59" spans="1:19" ht="23.25">
      <c r="A59" s="72"/>
      <c r="B59" s="72"/>
      <c r="C59" s="72"/>
      <c r="D59" s="72"/>
      <c r="E59" s="72"/>
      <c r="F59" s="72"/>
      <c r="G59" s="72"/>
      <c r="H59" s="72"/>
      <c r="I59" s="72"/>
      <c r="J59" s="72"/>
      <c r="K59" s="72"/>
      <c r="L59" s="72"/>
      <c r="M59" s="72"/>
      <c r="N59" s="72"/>
      <c r="O59" s="72"/>
      <c r="P59" s="72"/>
      <c r="Q59" s="72"/>
      <c r="R59" s="72"/>
      <c r="S59" s="72"/>
    </row>
    <row r="60" spans="1:19" ht="23.25">
      <c r="A60" s="72"/>
      <c r="B60" s="72"/>
      <c r="C60" s="72"/>
      <c r="D60" s="72"/>
      <c r="E60" s="72"/>
      <c r="F60" s="72"/>
      <c r="G60" s="72"/>
      <c r="H60" s="72"/>
      <c r="I60" s="72"/>
      <c r="J60" s="72"/>
      <c r="K60" s="72"/>
      <c r="L60" s="72"/>
      <c r="M60" s="72"/>
      <c r="N60" s="72"/>
      <c r="O60" s="72"/>
      <c r="P60" s="72"/>
      <c r="Q60" s="72"/>
      <c r="R60" s="72"/>
      <c r="S60" s="72"/>
    </row>
    <row r="61" spans="1:19" ht="23.25">
      <c r="A61" s="72"/>
      <c r="B61" s="72"/>
      <c r="C61" s="72"/>
      <c r="D61" s="72"/>
      <c r="E61" s="72"/>
      <c r="F61" s="72"/>
      <c r="G61" s="72"/>
      <c r="H61" s="72"/>
      <c r="I61" s="72"/>
      <c r="J61" s="72"/>
      <c r="K61" s="72"/>
      <c r="L61" s="72"/>
      <c r="M61" s="72"/>
      <c r="N61" s="72"/>
      <c r="O61" s="72"/>
      <c r="P61" s="72"/>
      <c r="Q61" s="72"/>
      <c r="R61" s="72"/>
      <c r="S61" s="72"/>
    </row>
    <row r="62" spans="1:19" ht="23.25">
      <c r="A62" s="72"/>
      <c r="B62" s="72"/>
      <c r="C62" s="72"/>
      <c r="D62" s="72"/>
      <c r="E62" s="72"/>
      <c r="F62" s="72"/>
      <c r="G62" s="72"/>
      <c r="H62" s="72"/>
      <c r="I62" s="72"/>
      <c r="J62" s="72"/>
      <c r="K62" s="72"/>
      <c r="L62" s="72"/>
      <c r="M62" s="72"/>
      <c r="N62" s="72"/>
      <c r="O62" s="72"/>
      <c r="P62" s="72"/>
      <c r="Q62" s="72"/>
      <c r="R62" s="72"/>
      <c r="S62" s="72"/>
    </row>
    <row r="63" spans="1:19" ht="23.25">
      <c r="A63" s="72"/>
      <c r="B63" s="72"/>
      <c r="C63" s="72"/>
      <c r="D63" s="72"/>
      <c r="E63" s="72"/>
      <c r="F63" s="72"/>
      <c r="G63" s="72"/>
      <c r="H63" s="72"/>
      <c r="I63" s="72"/>
      <c r="J63" s="72"/>
      <c r="K63" s="72"/>
      <c r="L63" s="72"/>
      <c r="M63" s="72"/>
      <c r="N63" s="72"/>
      <c r="O63" s="72"/>
      <c r="P63" s="72"/>
      <c r="Q63" s="72"/>
      <c r="R63" s="72"/>
      <c r="S63" s="72"/>
    </row>
    <row r="64" spans="1:19" ht="23.25">
      <c r="A64" s="72"/>
      <c r="B64" s="72"/>
      <c r="C64" s="72"/>
      <c r="D64" s="72"/>
      <c r="E64" s="72"/>
      <c r="F64" s="72"/>
      <c r="G64" s="72"/>
      <c r="H64" s="72"/>
      <c r="I64" s="72"/>
      <c r="J64" s="72"/>
      <c r="K64" s="72"/>
      <c r="L64" s="72"/>
      <c r="M64" s="72"/>
      <c r="N64" s="72"/>
      <c r="O64" s="72"/>
      <c r="P64" s="72"/>
      <c r="Q64" s="72"/>
      <c r="R64" s="72"/>
      <c r="S64" s="72"/>
    </row>
    <row r="65" spans="1:19" ht="23.25">
      <c r="A65" s="72"/>
      <c r="B65" s="72"/>
      <c r="C65" s="72"/>
      <c r="D65" s="72"/>
      <c r="E65" s="72"/>
      <c r="F65" s="72"/>
      <c r="G65" s="72"/>
      <c r="H65" s="72"/>
      <c r="I65" s="72"/>
      <c r="J65" s="72"/>
      <c r="K65" s="72"/>
      <c r="L65" s="72"/>
      <c r="M65" s="72"/>
      <c r="N65" s="72"/>
      <c r="O65" s="72"/>
      <c r="P65" s="72"/>
      <c r="Q65" s="72"/>
      <c r="R65" s="72"/>
      <c r="S65" s="72"/>
    </row>
    <row r="66" spans="1:19" ht="23.25">
      <c r="A66" s="72"/>
      <c r="B66" s="72"/>
      <c r="C66" s="72"/>
      <c r="D66" s="72"/>
      <c r="E66" s="72"/>
      <c r="F66" s="72"/>
      <c r="G66" s="72"/>
      <c r="H66" s="72"/>
      <c r="I66" s="72"/>
      <c r="J66" s="72"/>
      <c r="K66" s="72"/>
      <c r="L66" s="72"/>
      <c r="M66" s="72"/>
      <c r="N66" s="72"/>
      <c r="O66" s="72"/>
      <c r="P66" s="72"/>
      <c r="Q66" s="72"/>
      <c r="R66" s="72"/>
      <c r="S66" s="72"/>
    </row>
    <row r="67" spans="1:19" ht="23.25">
      <c r="A67" s="72"/>
      <c r="B67" s="72"/>
      <c r="C67" s="72"/>
      <c r="D67" s="72"/>
      <c r="E67" s="72"/>
      <c r="F67" s="72"/>
      <c r="G67" s="72"/>
      <c r="H67" s="72"/>
      <c r="I67" s="72"/>
      <c r="J67" s="72"/>
      <c r="K67" s="72"/>
      <c r="L67" s="72"/>
      <c r="M67" s="72"/>
      <c r="N67" s="72"/>
      <c r="O67" s="72"/>
      <c r="P67" s="72"/>
      <c r="Q67" s="72"/>
      <c r="R67" s="72"/>
      <c r="S67" s="72"/>
    </row>
    <row r="68" spans="1:19" ht="23.25">
      <c r="A68" s="72"/>
      <c r="B68" s="72"/>
      <c r="C68" s="72"/>
      <c r="D68" s="72"/>
      <c r="E68" s="72"/>
      <c r="F68" s="72"/>
      <c r="G68" s="72"/>
      <c r="H68" s="72"/>
      <c r="I68" s="72"/>
      <c r="J68" s="72"/>
      <c r="K68" s="72"/>
      <c r="L68" s="72"/>
      <c r="M68" s="72"/>
      <c r="N68" s="72"/>
      <c r="O68" s="72"/>
      <c r="P68" s="72"/>
      <c r="Q68" s="72"/>
      <c r="R68" s="72"/>
      <c r="S68" s="72"/>
    </row>
    <row r="69" spans="1:19" ht="23.25">
      <c r="A69" s="72"/>
      <c r="B69" s="72"/>
      <c r="C69" s="72"/>
      <c r="D69" s="72"/>
      <c r="E69" s="72"/>
      <c r="F69" s="72"/>
      <c r="G69" s="72"/>
      <c r="H69" s="72"/>
      <c r="I69" s="72"/>
      <c r="J69" s="72"/>
      <c r="K69" s="72"/>
      <c r="L69" s="72"/>
      <c r="M69" s="72"/>
      <c r="N69" s="72"/>
      <c r="O69" s="72"/>
      <c r="P69" s="72"/>
      <c r="Q69" s="72"/>
      <c r="R69" s="72"/>
      <c r="S69" s="72"/>
    </row>
    <row r="70" spans="1:19" ht="23.25">
      <c r="A70" s="72"/>
      <c r="B70" s="72"/>
      <c r="C70" s="72"/>
      <c r="D70" s="72"/>
      <c r="E70" s="72"/>
      <c r="F70" s="72"/>
      <c r="G70" s="72"/>
      <c r="H70" s="72"/>
      <c r="I70" s="72"/>
      <c r="J70" s="72"/>
      <c r="K70" s="72"/>
      <c r="L70" s="72"/>
      <c r="M70" s="72"/>
      <c r="N70" s="72"/>
      <c r="O70" s="72"/>
      <c r="P70" s="72"/>
      <c r="Q70" s="72"/>
      <c r="R70" s="72"/>
      <c r="S70" s="72"/>
    </row>
    <row r="71" spans="1:19" ht="23.25">
      <c r="A71" s="72"/>
      <c r="B71" s="72"/>
      <c r="C71" s="72"/>
      <c r="D71" s="72"/>
      <c r="E71" s="72"/>
      <c r="F71" s="72"/>
      <c r="G71" s="72"/>
      <c r="H71" s="72"/>
      <c r="I71" s="72"/>
      <c r="J71" s="72"/>
      <c r="K71" s="72"/>
      <c r="L71" s="72"/>
      <c r="M71" s="72"/>
      <c r="N71" s="72"/>
      <c r="O71" s="72"/>
      <c r="P71" s="72"/>
      <c r="Q71" s="72"/>
      <c r="R71" s="72"/>
      <c r="S71" s="72"/>
    </row>
    <row r="72" spans="1:19" ht="23.25">
      <c r="A72" s="72"/>
      <c r="B72" s="72"/>
      <c r="C72" s="72"/>
      <c r="D72" s="72"/>
      <c r="E72" s="72"/>
      <c r="F72" s="72"/>
      <c r="G72" s="72"/>
      <c r="H72" s="72"/>
      <c r="I72" s="72"/>
      <c r="J72" s="72"/>
      <c r="K72" s="72"/>
      <c r="L72" s="72"/>
      <c r="M72" s="72"/>
      <c r="N72" s="72"/>
      <c r="O72" s="72"/>
      <c r="P72" s="72"/>
      <c r="Q72" s="72"/>
      <c r="R72" s="72"/>
      <c r="S72" s="72"/>
    </row>
    <row r="73" spans="1:19" ht="23.25">
      <c r="A73" s="72"/>
      <c r="B73" s="72"/>
      <c r="C73" s="72"/>
      <c r="D73" s="72"/>
      <c r="E73" s="72"/>
      <c r="F73" s="72"/>
      <c r="G73" s="72"/>
      <c r="H73" s="72"/>
      <c r="I73" s="72"/>
      <c r="J73" s="72"/>
      <c r="K73" s="72"/>
      <c r="L73" s="72"/>
      <c r="M73" s="72"/>
      <c r="N73" s="72"/>
      <c r="O73" s="72"/>
      <c r="P73" s="72"/>
      <c r="Q73" s="72"/>
      <c r="R73" s="72"/>
      <c r="S73" s="72"/>
    </row>
    <row r="74" spans="1:19" ht="23.25">
      <c r="A74" s="72"/>
      <c r="B74" s="72"/>
      <c r="C74" s="72"/>
      <c r="D74" s="72"/>
      <c r="E74" s="72"/>
      <c r="F74" s="72"/>
      <c r="G74" s="72"/>
      <c r="H74" s="72"/>
      <c r="I74" s="72"/>
      <c r="J74" s="72"/>
      <c r="K74" s="72"/>
      <c r="L74" s="72"/>
      <c r="M74" s="72"/>
      <c r="N74" s="72"/>
      <c r="O74" s="72"/>
      <c r="P74" s="72"/>
      <c r="Q74" s="72"/>
      <c r="R74" s="72"/>
      <c r="S74" s="72"/>
    </row>
    <row r="75" spans="1:19" ht="23.25">
      <c r="A75" s="72"/>
      <c r="B75" s="72"/>
      <c r="C75" s="72"/>
      <c r="D75" s="72"/>
      <c r="E75" s="72"/>
      <c r="F75" s="72"/>
      <c r="G75" s="72"/>
      <c r="H75" s="72"/>
      <c r="I75" s="72"/>
      <c r="J75" s="72"/>
      <c r="K75" s="72"/>
      <c r="L75" s="72"/>
      <c r="M75" s="72"/>
      <c r="N75" s="72"/>
      <c r="O75" s="72"/>
      <c r="P75" s="72"/>
      <c r="Q75" s="72"/>
      <c r="R75" s="72"/>
      <c r="S75" s="72"/>
    </row>
    <row r="76" spans="1:19" ht="23.25">
      <c r="A76" s="72"/>
      <c r="B76" s="72"/>
      <c r="C76" s="72"/>
      <c r="D76" s="72"/>
      <c r="E76" s="72"/>
      <c r="F76" s="72"/>
      <c r="G76" s="72"/>
      <c r="H76" s="72"/>
      <c r="I76" s="72"/>
      <c r="J76" s="72"/>
      <c r="K76" s="72"/>
      <c r="L76" s="72"/>
      <c r="M76" s="72"/>
      <c r="N76" s="72"/>
      <c r="O76" s="72"/>
      <c r="P76" s="72"/>
      <c r="Q76" s="72"/>
      <c r="R76" s="72"/>
      <c r="S76" s="72"/>
    </row>
    <row r="77" spans="1:19" ht="23.25">
      <c r="A77" s="72"/>
      <c r="B77" s="72"/>
      <c r="C77" s="72"/>
      <c r="D77" s="72"/>
      <c r="E77" s="72"/>
      <c r="F77" s="72"/>
      <c r="G77" s="72"/>
      <c r="H77" s="72"/>
      <c r="I77" s="72"/>
      <c r="J77" s="72"/>
      <c r="K77" s="72"/>
      <c r="L77" s="72"/>
      <c r="M77" s="72"/>
      <c r="N77" s="72"/>
      <c r="O77" s="72"/>
      <c r="P77" s="72"/>
      <c r="Q77" s="72"/>
      <c r="R77" s="72"/>
      <c r="S77" s="72"/>
    </row>
    <row r="78" spans="1:19" ht="23.25">
      <c r="A78" s="72"/>
      <c r="B78" s="72"/>
      <c r="C78" s="72"/>
      <c r="D78" s="72"/>
      <c r="E78" s="72"/>
      <c r="F78" s="72"/>
      <c r="G78" s="72"/>
      <c r="H78" s="72"/>
      <c r="I78" s="72"/>
      <c r="J78" s="72"/>
      <c r="K78" s="72"/>
      <c r="L78" s="72"/>
      <c r="M78" s="72"/>
      <c r="N78" s="72"/>
      <c r="O78" s="72"/>
      <c r="P78" s="72"/>
      <c r="Q78" s="72"/>
      <c r="R78" s="72"/>
      <c r="S78" s="72"/>
    </row>
    <row r="79" spans="1:19" ht="23.25">
      <c r="A79" s="72"/>
      <c r="B79" s="72"/>
      <c r="C79" s="72"/>
      <c r="D79" s="72"/>
      <c r="E79" s="72"/>
      <c r="F79" s="72"/>
      <c r="G79" s="72"/>
      <c r="H79" s="72"/>
      <c r="I79" s="72"/>
      <c r="J79" s="72"/>
      <c r="K79" s="72"/>
      <c r="L79" s="72"/>
      <c r="M79" s="72"/>
      <c r="N79" s="72"/>
      <c r="O79" s="72"/>
      <c r="P79" s="72"/>
      <c r="Q79" s="72"/>
      <c r="R79" s="72"/>
      <c r="S79" s="72"/>
    </row>
    <row r="80" spans="1:19" ht="23.25">
      <c r="A80" s="72"/>
      <c r="B80" s="72"/>
      <c r="C80" s="72"/>
      <c r="D80" s="72"/>
      <c r="E80" s="72"/>
      <c r="F80" s="72"/>
      <c r="G80" s="72"/>
      <c r="H80" s="72"/>
      <c r="I80" s="72"/>
      <c r="J80" s="72"/>
      <c r="K80" s="72"/>
      <c r="L80" s="72"/>
      <c r="M80" s="72"/>
      <c r="N80" s="72"/>
      <c r="O80" s="72"/>
      <c r="P80" s="72"/>
      <c r="Q80" s="72"/>
      <c r="R80" s="72"/>
      <c r="S80" s="72"/>
    </row>
    <row r="81" spans="1:19" ht="23.25">
      <c r="A81" s="72"/>
      <c r="B81" s="72"/>
      <c r="C81" s="72"/>
      <c r="D81" s="72"/>
      <c r="E81" s="72"/>
      <c r="F81" s="72"/>
      <c r="G81" s="72"/>
      <c r="H81" s="72"/>
      <c r="I81" s="72"/>
      <c r="J81" s="72"/>
      <c r="K81" s="72"/>
      <c r="L81" s="72"/>
      <c r="M81" s="72"/>
      <c r="N81" s="72"/>
      <c r="O81" s="72"/>
      <c r="P81" s="72"/>
      <c r="Q81" s="72"/>
      <c r="R81" s="72"/>
      <c r="S81" s="72"/>
    </row>
    <row r="82" spans="1:19" ht="23.25">
      <c r="A82" s="72"/>
      <c r="B82" s="72"/>
      <c r="C82" s="72"/>
      <c r="D82" s="72"/>
      <c r="E82" s="72"/>
      <c r="F82" s="72"/>
      <c r="G82" s="72"/>
      <c r="H82" s="72"/>
      <c r="I82" s="72"/>
      <c r="J82" s="72"/>
      <c r="K82" s="72"/>
      <c r="L82" s="72"/>
      <c r="M82" s="72"/>
      <c r="N82" s="72"/>
      <c r="O82" s="72"/>
      <c r="P82" s="72"/>
      <c r="Q82" s="72"/>
      <c r="R82" s="72"/>
      <c r="S82" s="72"/>
    </row>
    <row r="83" spans="1:19" ht="23.25">
      <c r="A83" s="72"/>
      <c r="B83" s="72"/>
      <c r="C83" s="72"/>
      <c r="D83" s="72"/>
      <c r="E83" s="72"/>
      <c r="F83" s="72"/>
      <c r="G83" s="72"/>
      <c r="H83" s="72"/>
      <c r="I83" s="72"/>
      <c r="J83" s="72"/>
      <c r="K83" s="72"/>
      <c r="L83" s="72"/>
      <c r="M83" s="72"/>
      <c r="N83" s="72"/>
      <c r="O83" s="72"/>
      <c r="P83" s="72"/>
      <c r="Q83" s="72"/>
      <c r="R83" s="72"/>
      <c r="S83" s="72"/>
    </row>
    <row r="84" spans="1:19" ht="23.25">
      <c r="A84" s="72"/>
      <c r="B84" s="72"/>
      <c r="C84" s="72"/>
      <c r="D84" s="72"/>
      <c r="E84" s="72"/>
      <c r="F84" s="72"/>
      <c r="G84" s="72"/>
      <c r="H84" s="72"/>
      <c r="I84" s="72"/>
      <c r="J84" s="72"/>
      <c r="K84" s="72"/>
      <c r="L84" s="72"/>
      <c r="M84" s="72"/>
      <c r="N84" s="72"/>
      <c r="O84" s="72"/>
      <c r="P84" s="72"/>
      <c r="Q84" s="72"/>
      <c r="R84" s="72"/>
      <c r="S84" s="72"/>
    </row>
    <row r="85" spans="1:19" ht="23.25">
      <c r="A85" s="72"/>
      <c r="B85" s="72"/>
      <c r="C85" s="72"/>
      <c r="D85" s="72"/>
      <c r="E85" s="72"/>
      <c r="F85" s="72"/>
      <c r="G85" s="72"/>
      <c r="H85" s="72"/>
      <c r="I85" s="72"/>
      <c r="J85" s="72"/>
      <c r="K85" s="72"/>
      <c r="L85" s="72"/>
      <c r="M85" s="72"/>
      <c r="N85" s="72"/>
      <c r="O85" s="72"/>
      <c r="P85" s="72"/>
      <c r="Q85" s="72"/>
      <c r="R85" s="72"/>
      <c r="S85" s="72"/>
    </row>
    <row r="86" spans="1:19" ht="23.25">
      <c r="A86" s="72"/>
      <c r="B86" s="72"/>
      <c r="C86" s="72"/>
      <c r="D86" s="72"/>
      <c r="E86" s="72"/>
      <c r="F86" s="72"/>
      <c r="G86" s="72"/>
      <c r="H86" s="72"/>
      <c r="I86" s="72"/>
      <c r="J86" s="72"/>
      <c r="K86" s="72"/>
      <c r="L86" s="72"/>
      <c r="M86" s="72"/>
      <c r="N86" s="72"/>
      <c r="O86" s="72"/>
      <c r="P86" s="72"/>
      <c r="Q86" s="72"/>
      <c r="R86" s="72"/>
      <c r="S86" s="72"/>
    </row>
    <row r="87" spans="1:19" ht="23.25">
      <c r="A87" s="72"/>
      <c r="B87" s="72"/>
      <c r="C87" s="72"/>
      <c r="D87" s="72"/>
      <c r="E87" s="72"/>
      <c r="F87" s="72"/>
      <c r="G87" s="72"/>
      <c r="H87" s="72"/>
      <c r="I87" s="72"/>
      <c r="J87" s="72"/>
      <c r="K87" s="72"/>
      <c r="L87" s="72"/>
      <c r="M87" s="72"/>
      <c r="N87" s="72"/>
      <c r="O87" s="72"/>
      <c r="P87" s="72"/>
      <c r="Q87" s="72"/>
      <c r="R87" s="72"/>
      <c r="S87" s="72"/>
    </row>
    <row r="88" spans="1:19" ht="23.25">
      <c r="A88" s="72"/>
      <c r="B88" s="72"/>
      <c r="C88" s="72"/>
      <c r="D88" s="72"/>
      <c r="E88" s="72"/>
      <c r="F88" s="72"/>
      <c r="G88" s="72"/>
      <c r="H88" s="72"/>
      <c r="I88" s="72"/>
      <c r="J88" s="72"/>
      <c r="K88" s="72"/>
      <c r="L88" s="72"/>
      <c r="M88" s="72"/>
      <c r="N88" s="72"/>
      <c r="O88" s="72"/>
      <c r="P88" s="72"/>
      <c r="Q88" s="72"/>
      <c r="R88" s="72"/>
      <c r="S88" s="72"/>
    </row>
    <row r="89" spans="1:19" ht="23.25">
      <c r="A89" s="72"/>
      <c r="B89" s="72"/>
      <c r="C89" s="72"/>
      <c r="D89" s="72"/>
      <c r="E89" s="72"/>
      <c r="F89" s="72"/>
      <c r="G89" s="72"/>
      <c r="H89" s="72"/>
      <c r="I89" s="72"/>
      <c r="J89" s="72"/>
      <c r="K89" s="72"/>
      <c r="L89" s="72"/>
      <c r="M89" s="72"/>
      <c r="N89" s="72"/>
      <c r="O89" s="72"/>
      <c r="P89" s="72"/>
      <c r="Q89" s="72"/>
      <c r="R89" s="72"/>
      <c r="S89" s="72"/>
    </row>
    <row r="90" spans="1:19" ht="23.25">
      <c r="A90" s="72"/>
      <c r="B90" s="72"/>
      <c r="C90" s="72"/>
      <c r="D90" s="72"/>
      <c r="E90" s="72"/>
      <c r="F90" s="72"/>
      <c r="G90" s="72"/>
      <c r="H90" s="72"/>
      <c r="I90" s="72"/>
      <c r="J90" s="72"/>
      <c r="K90" s="72"/>
      <c r="L90" s="72"/>
      <c r="M90" s="72"/>
      <c r="N90" s="72"/>
      <c r="O90" s="72"/>
      <c r="P90" s="72"/>
      <c r="Q90" s="72"/>
      <c r="R90" s="72"/>
      <c r="S90" s="72"/>
    </row>
    <row r="91" spans="1:19" ht="23.25">
      <c r="A91" s="72"/>
      <c r="B91" s="72"/>
      <c r="C91" s="72"/>
      <c r="D91" s="72"/>
      <c r="E91" s="72"/>
      <c r="F91" s="72"/>
      <c r="G91" s="72"/>
      <c r="H91" s="72"/>
      <c r="I91" s="72"/>
      <c r="J91" s="72"/>
      <c r="K91" s="72"/>
      <c r="L91" s="72"/>
      <c r="M91" s="72"/>
      <c r="N91" s="72"/>
      <c r="O91" s="72"/>
      <c r="P91" s="72"/>
      <c r="Q91" s="72"/>
      <c r="R91" s="72"/>
      <c r="S91" s="72"/>
    </row>
    <row r="92" spans="1:19" ht="23.25">
      <c r="A92" s="72"/>
      <c r="B92" s="72"/>
      <c r="C92" s="72"/>
      <c r="D92" s="72"/>
      <c r="E92" s="72"/>
      <c r="F92" s="72"/>
      <c r="G92" s="72"/>
      <c r="H92" s="72"/>
      <c r="I92" s="72"/>
      <c r="J92" s="72"/>
      <c r="K92" s="72"/>
      <c r="L92" s="72"/>
      <c r="M92" s="72"/>
      <c r="N92" s="72"/>
      <c r="O92" s="72"/>
      <c r="P92" s="72"/>
      <c r="Q92" s="72"/>
      <c r="R92" s="72"/>
      <c r="S92" s="72"/>
    </row>
    <row r="93" spans="1:19" ht="23.25">
      <c r="A93" s="72"/>
      <c r="B93" s="72"/>
      <c r="C93" s="72"/>
      <c r="D93" s="72"/>
      <c r="E93" s="72"/>
      <c r="F93" s="72"/>
      <c r="G93" s="72"/>
      <c r="H93" s="72"/>
      <c r="I93" s="72"/>
      <c r="J93" s="72"/>
      <c r="K93" s="72"/>
      <c r="L93" s="72"/>
      <c r="M93" s="72"/>
      <c r="N93" s="72"/>
      <c r="O93" s="72"/>
      <c r="P93" s="72"/>
      <c r="Q93" s="72"/>
      <c r="R93" s="72"/>
      <c r="S93" s="72"/>
    </row>
    <row r="94" spans="1:19" ht="23.25">
      <c r="A94" s="72"/>
      <c r="B94" s="72"/>
      <c r="C94" s="72"/>
      <c r="D94" s="72"/>
      <c r="E94" s="72"/>
      <c r="F94" s="72"/>
      <c r="G94" s="72"/>
      <c r="H94" s="72"/>
      <c r="I94" s="72"/>
      <c r="J94" s="72"/>
      <c r="K94" s="72"/>
      <c r="L94" s="72"/>
      <c r="M94" s="72"/>
      <c r="N94" s="72"/>
      <c r="O94" s="72"/>
      <c r="P94" s="72"/>
      <c r="Q94" s="72"/>
      <c r="R94" s="72"/>
      <c r="S94" s="72"/>
    </row>
    <row r="95" spans="1:19" ht="23.25">
      <c r="A95" s="72"/>
      <c r="B95" s="72"/>
      <c r="C95" s="72"/>
      <c r="D95" s="72"/>
      <c r="E95" s="72"/>
      <c r="F95" s="72"/>
      <c r="G95" s="72"/>
      <c r="H95" s="72"/>
      <c r="I95" s="72"/>
      <c r="J95" s="72"/>
      <c r="K95" s="72"/>
      <c r="L95" s="72"/>
      <c r="M95" s="72"/>
      <c r="N95" s="72"/>
      <c r="O95" s="72"/>
      <c r="P95" s="72"/>
      <c r="Q95" s="72"/>
      <c r="R95" s="72"/>
      <c r="S95" s="72"/>
    </row>
    <row r="96" spans="1:19" ht="23.25">
      <c r="A96" s="72"/>
      <c r="B96" s="72"/>
      <c r="C96" s="72"/>
      <c r="D96" s="72"/>
      <c r="E96" s="72"/>
      <c r="F96" s="72"/>
      <c r="G96" s="72"/>
      <c r="H96" s="72"/>
      <c r="I96" s="72"/>
      <c r="J96" s="72"/>
      <c r="K96" s="72"/>
      <c r="L96" s="72"/>
      <c r="M96" s="72"/>
      <c r="N96" s="72"/>
      <c r="O96" s="72"/>
      <c r="P96" s="72"/>
      <c r="Q96" s="72"/>
      <c r="R96" s="72"/>
      <c r="S96" s="72"/>
    </row>
    <row r="97" spans="1:19" ht="23.25">
      <c r="A97" s="72"/>
      <c r="B97" s="72"/>
      <c r="C97" s="72"/>
      <c r="D97" s="72"/>
      <c r="E97" s="72"/>
      <c r="F97" s="72"/>
      <c r="G97" s="72"/>
      <c r="H97" s="72"/>
      <c r="I97" s="72"/>
      <c r="J97" s="72"/>
      <c r="K97" s="72"/>
      <c r="L97" s="72"/>
      <c r="M97" s="72"/>
      <c r="N97" s="72"/>
      <c r="O97" s="72"/>
      <c r="P97" s="72"/>
      <c r="Q97" s="72"/>
      <c r="R97" s="72"/>
      <c r="S97" s="72"/>
    </row>
    <row r="98" spans="1:19" ht="23.25">
      <c r="A98" s="72"/>
      <c r="B98" s="72"/>
      <c r="C98" s="72"/>
      <c r="D98" s="72"/>
      <c r="E98" s="72"/>
      <c r="F98" s="72"/>
      <c r="G98" s="72"/>
      <c r="H98" s="72"/>
      <c r="I98" s="72"/>
      <c r="J98" s="72"/>
      <c r="K98" s="72"/>
      <c r="L98" s="72"/>
      <c r="M98" s="72"/>
      <c r="N98" s="72"/>
      <c r="O98" s="72"/>
      <c r="P98" s="72"/>
      <c r="Q98" s="72"/>
      <c r="R98" s="72"/>
      <c r="S98" s="72"/>
    </row>
    <row r="99" spans="1:19" ht="23.25">
      <c r="A99" s="72"/>
      <c r="B99" s="72"/>
      <c r="C99" s="72"/>
      <c r="D99" s="72"/>
      <c r="E99" s="72"/>
      <c r="F99" s="72"/>
      <c r="G99" s="72"/>
      <c r="H99" s="72"/>
      <c r="I99" s="72"/>
      <c r="J99" s="72"/>
      <c r="K99" s="72"/>
      <c r="L99" s="72"/>
      <c r="M99" s="72"/>
      <c r="N99" s="72"/>
      <c r="O99" s="72"/>
      <c r="P99" s="72"/>
      <c r="Q99" s="72"/>
      <c r="R99" s="72"/>
      <c r="S99" s="72"/>
    </row>
    <row r="100" spans="1:19" ht="23.25">
      <c r="A100" s="72"/>
      <c r="B100" s="72"/>
      <c r="C100" s="72"/>
      <c r="D100" s="72"/>
      <c r="E100" s="72"/>
      <c r="F100" s="72"/>
      <c r="G100" s="72"/>
      <c r="H100" s="72"/>
      <c r="I100" s="72"/>
      <c r="J100" s="72"/>
      <c r="K100" s="72"/>
      <c r="L100" s="72"/>
      <c r="M100" s="72"/>
      <c r="N100" s="72"/>
      <c r="O100" s="72"/>
      <c r="P100" s="72"/>
      <c r="Q100" s="72"/>
      <c r="R100" s="72"/>
      <c r="S100" s="72"/>
    </row>
    <row r="101" spans="1:19" ht="23.25">
      <c r="A101" s="72"/>
      <c r="B101" s="72"/>
      <c r="C101" s="72"/>
      <c r="D101" s="72"/>
      <c r="E101" s="72"/>
      <c r="F101" s="72"/>
      <c r="G101" s="72"/>
      <c r="H101" s="72"/>
      <c r="I101" s="72"/>
      <c r="J101" s="72"/>
      <c r="K101" s="72"/>
      <c r="L101" s="72"/>
      <c r="M101" s="72"/>
      <c r="N101" s="72"/>
      <c r="O101" s="72"/>
      <c r="P101" s="72"/>
      <c r="Q101" s="72"/>
      <c r="R101" s="72"/>
      <c r="S101" s="72"/>
    </row>
    <row r="102" spans="1:19" ht="23.25">
      <c r="A102" s="72"/>
      <c r="B102" s="72"/>
      <c r="C102" s="72"/>
      <c r="D102" s="72"/>
      <c r="E102" s="72"/>
      <c r="F102" s="72"/>
      <c r="G102" s="72"/>
      <c r="H102" s="72"/>
      <c r="I102" s="72"/>
      <c r="J102" s="72"/>
      <c r="K102" s="72"/>
      <c r="L102" s="72"/>
      <c r="M102" s="72"/>
      <c r="N102" s="72"/>
      <c r="O102" s="72"/>
      <c r="P102" s="72"/>
      <c r="Q102" s="72"/>
      <c r="R102" s="72"/>
      <c r="S102" s="72"/>
    </row>
    <row r="103" spans="1:19" ht="23.25">
      <c r="A103" s="72"/>
      <c r="B103" s="72"/>
      <c r="C103" s="72"/>
      <c r="D103" s="72"/>
      <c r="E103" s="72"/>
      <c r="F103" s="72"/>
      <c r="G103" s="72"/>
      <c r="H103" s="72"/>
      <c r="I103" s="72"/>
      <c r="J103" s="72"/>
      <c r="K103" s="72"/>
      <c r="L103" s="72"/>
      <c r="M103" s="72"/>
      <c r="N103" s="72"/>
      <c r="O103" s="72"/>
      <c r="P103" s="72"/>
      <c r="Q103" s="72"/>
      <c r="R103" s="72"/>
      <c r="S103" s="72"/>
    </row>
    <row r="104" spans="1:19" ht="23.25">
      <c r="A104" s="72"/>
      <c r="B104" s="72"/>
      <c r="C104" s="72"/>
      <c r="D104" s="72"/>
      <c r="E104" s="72"/>
      <c r="F104" s="72"/>
      <c r="G104" s="72"/>
      <c r="H104" s="72"/>
      <c r="I104" s="72"/>
      <c r="J104" s="72"/>
      <c r="K104" s="72"/>
      <c r="L104" s="72"/>
      <c r="M104" s="72"/>
      <c r="N104" s="72"/>
      <c r="O104" s="72"/>
      <c r="P104" s="72"/>
      <c r="Q104" s="72"/>
      <c r="R104" s="72"/>
      <c r="S104" s="72"/>
    </row>
    <row r="105" spans="1:19" ht="23.25">
      <c r="A105" s="72"/>
      <c r="B105" s="72"/>
      <c r="C105" s="72"/>
      <c r="D105" s="72"/>
      <c r="E105" s="72"/>
      <c r="F105" s="72"/>
      <c r="G105" s="72"/>
      <c r="H105" s="72"/>
      <c r="I105" s="72"/>
      <c r="J105" s="72"/>
      <c r="K105" s="72"/>
      <c r="L105" s="72"/>
      <c r="M105" s="72"/>
      <c r="N105" s="72"/>
      <c r="O105" s="72"/>
      <c r="P105" s="72"/>
      <c r="Q105" s="72"/>
      <c r="R105" s="72"/>
      <c r="S105" s="72"/>
    </row>
    <row r="106" spans="1:19" ht="23.25">
      <c r="A106" s="72"/>
      <c r="B106" s="72"/>
      <c r="C106" s="72"/>
      <c r="D106" s="72"/>
      <c r="E106" s="72"/>
      <c r="F106" s="72"/>
      <c r="G106" s="72"/>
      <c r="H106" s="72"/>
      <c r="I106" s="72"/>
      <c r="J106" s="72"/>
      <c r="K106" s="72"/>
      <c r="L106" s="72"/>
      <c r="M106" s="72"/>
      <c r="N106" s="72"/>
      <c r="O106" s="72"/>
      <c r="P106" s="72"/>
      <c r="Q106" s="72"/>
      <c r="R106" s="72"/>
      <c r="S106" s="72"/>
    </row>
    <row r="107" spans="1:19" ht="23.25">
      <c r="A107" s="72"/>
      <c r="B107" s="72"/>
      <c r="C107" s="72"/>
      <c r="D107" s="72"/>
      <c r="E107" s="72"/>
      <c r="F107" s="72"/>
      <c r="G107" s="72"/>
      <c r="H107" s="72"/>
      <c r="I107" s="72"/>
      <c r="J107" s="72"/>
      <c r="K107" s="72"/>
      <c r="L107" s="72"/>
      <c r="M107" s="72"/>
      <c r="N107" s="72"/>
      <c r="O107" s="72"/>
      <c r="P107" s="72"/>
      <c r="Q107" s="72"/>
      <c r="R107" s="72"/>
      <c r="S107" s="72"/>
    </row>
    <row r="108" spans="1:19" ht="23.25">
      <c r="A108" s="72"/>
      <c r="B108" s="72"/>
      <c r="C108" s="72"/>
      <c r="D108" s="72"/>
      <c r="E108" s="72"/>
      <c r="F108" s="72"/>
      <c r="G108" s="72"/>
      <c r="H108" s="72"/>
      <c r="I108" s="72"/>
      <c r="J108" s="72"/>
      <c r="K108" s="72"/>
      <c r="L108" s="72"/>
      <c r="M108" s="72"/>
      <c r="N108" s="72"/>
      <c r="O108" s="72"/>
      <c r="P108" s="72"/>
      <c r="Q108" s="72"/>
      <c r="R108" s="72"/>
      <c r="S108" s="72"/>
    </row>
    <row r="109" spans="1:19" ht="23.25">
      <c r="A109" s="72"/>
      <c r="B109" s="72"/>
      <c r="C109" s="72"/>
      <c r="D109" s="72"/>
      <c r="E109" s="72"/>
      <c r="F109" s="72"/>
      <c r="G109" s="72"/>
      <c r="H109" s="72"/>
      <c r="I109" s="72"/>
      <c r="J109" s="72"/>
      <c r="K109" s="72"/>
      <c r="L109" s="72"/>
      <c r="M109" s="72"/>
      <c r="N109" s="72"/>
      <c r="O109" s="72"/>
      <c r="P109" s="72"/>
      <c r="Q109" s="72"/>
      <c r="R109" s="72"/>
      <c r="S109" s="72"/>
    </row>
  </sheetData>
  <phoneticPr fontId="32" type="noConversion"/>
  <pageMargins left="0.7" right="0.7" top="0.75" bottom="0.75" header="0.3" footer="0.3"/>
  <ignoredErrors>
    <ignoredError sqref="L22:N22 L10:N10 L18:N18" calculatedColumn="1"/>
  </ignoredErrors>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87DD-E1A0-1042-8716-9407D06B8A2E}">
  <dimension ref="A1:AG89"/>
  <sheetViews>
    <sheetView topLeftCell="Q1" zoomScale="60" zoomScaleNormal="70" workbookViewId="0">
      <selection activeCell="AA6" sqref="AA6:AA13"/>
    </sheetView>
  </sheetViews>
  <sheetFormatPr defaultColWidth="11" defaultRowHeight="15.75"/>
  <cols>
    <col min="2" max="2" width="14" customWidth="1"/>
    <col min="3" max="3" width="14.625" customWidth="1"/>
    <col min="4" max="4" width="8.875" customWidth="1"/>
    <col min="5" max="5" width="8.5" customWidth="1"/>
    <col min="6" max="6" width="24" customWidth="1"/>
    <col min="7" max="7" width="30.125" customWidth="1"/>
    <col min="8" max="8" width="23" customWidth="1"/>
    <col min="9" max="9" width="24.375" customWidth="1"/>
    <col min="10" max="10" width="29.625" customWidth="1"/>
    <col min="11" max="11" width="31.875" customWidth="1"/>
    <col min="12" max="12" width="30.375" customWidth="1"/>
    <col min="13" max="13" width="23.375" customWidth="1"/>
    <col min="14" max="14" width="13" customWidth="1"/>
    <col min="15" max="15" width="15" customWidth="1"/>
    <col min="16" max="16" width="10.5" customWidth="1"/>
    <col min="17" max="17" width="32" customWidth="1"/>
    <col min="18" max="18" width="40.375" customWidth="1"/>
    <col min="19" max="19" width="17.625" customWidth="1"/>
    <col min="20" max="20" width="29.5" customWidth="1"/>
    <col min="21" max="21" width="25.5" customWidth="1"/>
    <col min="22" max="22" width="33.5" customWidth="1"/>
    <col min="23" max="23" width="29" customWidth="1"/>
    <col min="24" max="24" width="20.875" customWidth="1"/>
    <col min="25" max="25" width="23.5" customWidth="1"/>
    <col min="26" max="26" width="22.375" customWidth="1"/>
    <col min="27" max="27" width="20" customWidth="1"/>
    <col min="28" max="28" width="16.5" customWidth="1"/>
    <col min="30" max="30" width="17.125" customWidth="1"/>
    <col min="31" max="31" width="17.5" customWidth="1"/>
    <col min="33" max="33" width="16" customWidth="1"/>
  </cols>
  <sheetData>
    <row r="1" spans="1:33" ht="23.25">
      <c r="A1" t="s">
        <v>380</v>
      </c>
      <c r="R1" s="72" t="s">
        <v>660</v>
      </c>
      <c r="S1" s="72" t="s">
        <v>663</v>
      </c>
    </row>
    <row r="2" spans="1:33" ht="23.25">
      <c r="H2" t="s">
        <v>459</v>
      </c>
      <c r="I2">
        <v>55.8</v>
      </c>
      <c r="R2" s="72"/>
      <c r="S2" s="72" t="s">
        <v>662</v>
      </c>
    </row>
    <row r="3" spans="1:33">
      <c r="R3" s="15"/>
    </row>
    <row r="4" spans="1:33" ht="23.25">
      <c r="G4" s="16" t="s">
        <v>56</v>
      </c>
      <c r="H4" s="16" t="s">
        <v>56</v>
      </c>
      <c r="L4" s="16" t="s">
        <v>59</v>
      </c>
      <c r="R4" s="109" t="s">
        <v>639</v>
      </c>
    </row>
    <row r="5" spans="1:33">
      <c r="A5" s="86" t="s">
        <v>36</v>
      </c>
      <c r="B5" s="86" t="s">
        <v>37</v>
      </c>
      <c r="C5" s="86" t="s">
        <v>46</v>
      </c>
      <c r="D5" s="86" t="s">
        <v>47</v>
      </c>
      <c r="E5" s="86" t="s">
        <v>53</v>
      </c>
      <c r="F5" s="86" t="s">
        <v>514</v>
      </c>
      <c r="G5" s="86" t="s">
        <v>502</v>
      </c>
      <c r="H5" s="86" t="s">
        <v>456</v>
      </c>
      <c r="I5" s="86" t="s">
        <v>57</v>
      </c>
      <c r="J5" s="86" t="s">
        <v>457</v>
      </c>
      <c r="K5" s="86" t="s">
        <v>58</v>
      </c>
      <c r="L5" s="86" t="s">
        <v>458</v>
      </c>
      <c r="N5" s="105" t="s">
        <v>505</v>
      </c>
      <c r="O5" s="86" t="s">
        <v>46</v>
      </c>
      <c r="P5" s="86" t="s">
        <v>47</v>
      </c>
      <c r="Q5" s="86" t="s">
        <v>650</v>
      </c>
      <c r="R5" s="86" t="s">
        <v>651</v>
      </c>
      <c r="S5" s="86" t="s">
        <v>652</v>
      </c>
      <c r="T5" s="86" t="s">
        <v>653</v>
      </c>
      <c r="U5" s="86" t="s">
        <v>469</v>
      </c>
      <c r="V5" s="86" t="s">
        <v>681</v>
      </c>
      <c r="W5" s="86" t="s">
        <v>712</v>
      </c>
      <c r="Y5" s="3" t="s">
        <v>694</v>
      </c>
      <c r="Z5" s="3" t="s">
        <v>692</v>
      </c>
      <c r="AA5" s="3" t="s">
        <v>695</v>
      </c>
      <c r="AC5" s="3" t="s">
        <v>66</v>
      </c>
      <c r="AD5" s="10" t="s">
        <v>693</v>
      </c>
      <c r="AE5" s="10" t="s">
        <v>690</v>
      </c>
      <c r="AF5" s="10" t="s">
        <v>685</v>
      </c>
      <c r="AG5" s="10" t="s">
        <v>687</v>
      </c>
    </row>
    <row r="6" spans="1:33">
      <c r="A6" s="10">
        <v>2021</v>
      </c>
      <c r="B6" s="10">
        <v>201</v>
      </c>
      <c r="C6" s="10">
        <v>1</v>
      </c>
      <c r="D6" s="10">
        <v>1</v>
      </c>
      <c r="E6" s="88" t="s">
        <v>54</v>
      </c>
      <c r="F6" s="10">
        <v>3620.5</v>
      </c>
      <c r="G6" s="10">
        <v>1655.9</v>
      </c>
      <c r="H6" s="10">
        <f>G6-55.8</f>
        <v>1600.1000000000001</v>
      </c>
      <c r="I6" s="10">
        <v>564.5</v>
      </c>
      <c r="J6" s="10">
        <f>I6-55.8</f>
        <v>508.7</v>
      </c>
      <c r="K6" s="10">
        <v>245.5</v>
      </c>
      <c r="L6" s="10">
        <f>K6-55.8</f>
        <v>189.7</v>
      </c>
      <c r="N6" s="113" t="s">
        <v>572</v>
      </c>
      <c r="O6" s="10">
        <v>1</v>
      </c>
      <c r="P6" s="10">
        <v>1</v>
      </c>
      <c r="Q6" s="10">
        <f>H6+H7</f>
        <v>3162</v>
      </c>
      <c r="R6" s="10">
        <f>L6+L7</f>
        <v>373.9</v>
      </c>
      <c r="S6" s="10">
        <f>Q6-R6</f>
        <v>2788.1</v>
      </c>
      <c r="T6" s="10">
        <f>(S6/Q6)*100</f>
        <v>88.175205566097404</v>
      </c>
      <c r="U6" s="10">
        <f>(R6/1000)/0.0001</f>
        <v>3738.9999999999995</v>
      </c>
      <c r="V6" s="7">
        <f>U6/1000</f>
        <v>3.7389999999999994</v>
      </c>
      <c r="W6" s="7">
        <f>V6*1.15</f>
        <v>4.2998499999999993</v>
      </c>
      <c r="X6" s="16">
        <v>1</v>
      </c>
      <c r="Y6" s="10" t="s">
        <v>693</v>
      </c>
      <c r="Z6" s="10">
        <f>AVERAGE(V6:V14)</f>
        <v>4.0231111111111106</v>
      </c>
      <c r="AA6" s="10">
        <f>STDEV(V6:V14)</f>
        <v>0.32194582014853212</v>
      </c>
      <c r="AC6" t="s">
        <v>734</v>
      </c>
      <c r="AD6">
        <v>4.0231111111111106</v>
      </c>
      <c r="AE6">
        <v>4.5348888888888892</v>
      </c>
      <c r="AF6">
        <v>3.3101111111111114</v>
      </c>
      <c r="AG6">
        <v>3.3356666666666666</v>
      </c>
    </row>
    <row r="7" spans="1:33">
      <c r="A7" s="10">
        <v>2021</v>
      </c>
      <c r="B7" s="10">
        <v>201</v>
      </c>
      <c r="C7" s="10">
        <v>1</v>
      </c>
      <c r="D7" s="10">
        <v>1</v>
      </c>
      <c r="E7" s="10" t="s">
        <v>55</v>
      </c>
      <c r="F7" s="10">
        <v>5074.1000000000004</v>
      </c>
      <c r="G7" s="10">
        <v>1617.7</v>
      </c>
      <c r="H7" s="10">
        <f t="shared" ref="H7:H70" si="0">G7-55.8</f>
        <v>1561.9</v>
      </c>
      <c r="I7" s="10">
        <v>650.5</v>
      </c>
      <c r="J7" s="10">
        <f t="shared" ref="J7:J70" si="1">I7-55.8</f>
        <v>594.70000000000005</v>
      </c>
      <c r="K7" s="10">
        <v>240</v>
      </c>
      <c r="L7" s="10">
        <f t="shared" ref="L7:L70" si="2">K7-55.8</f>
        <v>184.2</v>
      </c>
      <c r="N7" s="113" t="s">
        <v>573</v>
      </c>
      <c r="O7" s="10">
        <v>1</v>
      </c>
      <c r="P7" s="10">
        <v>2</v>
      </c>
      <c r="Q7" s="10">
        <f>H8+H9</f>
        <v>3330</v>
      </c>
      <c r="R7" s="10">
        <f>L8+L9</f>
        <v>433.79999999999995</v>
      </c>
      <c r="S7" s="10">
        <f t="shared" ref="S7:S53" si="3">Q7-R7</f>
        <v>2896.2</v>
      </c>
      <c r="T7" s="10">
        <f t="shared" ref="T7:T53" si="4">(S7/Q7)*100</f>
        <v>86.972972972972968</v>
      </c>
      <c r="U7" s="10">
        <f t="shared" ref="U7:U53" si="5">(R7/1000)/0.0001</f>
        <v>4337.9999999999991</v>
      </c>
      <c r="V7" s="7">
        <f t="shared" ref="V7:V53" si="6">U7/1000</f>
        <v>4.3379999999999992</v>
      </c>
      <c r="W7" s="7">
        <f t="shared" ref="W7:W53" si="7">V7*1.15</f>
        <v>4.9886999999999988</v>
      </c>
      <c r="X7" s="16" t="s">
        <v>670</v>
      </c>
      <c r="Y7" s="10" t="s">
        <v>689</v>
      </c>
      <c r="Z7" s="10">
        <f>AVERAGE(V15:V17)</f>
        <v>1.9886666666666668</v>
      </c>
      <c r="AA7" s="10">
        <f>STDEV(V15:V17)</f>
        <v>0.19774815633358819</v>
      </c>
      <c r="AC7" t="s">
        <v>732</v>
      </c>
      <c r="AD7">
        <v>1.9886666666666668</v>
      </c>
      <c r="AE7">
        <v>1.9113333333333331</v>
      </c>
      <c r="AF7">
        <v>1.3426666666666665</v>
      </c>
      <c r="AG7">
        <v>1.5763333333333334</v>
      </c>
    </row>
    <row r="8" spans="1:33">
      <c r="A8" s="10">
        <v>2021</v>
      </c>
      <c r="B8" s="10">
        <v>201</v>
      </c>
      <c r="C8" s="10">
        <v>1</v>
      </c>
      <c r="D8" s="10">
        <v>2</v>
      </c>
      <c r="E8" s="10" t="s">
        <v>54</v>
      </c>
      <c r="F8" s="10">
        <v>4631.6000000000004</v>
      </c>
      <c r="G8" s="10">
        <v>1812.7</v>
      </c>
      <c r="H8" s="10">
        <f t="shared" si="0"/>
        <v>1756.9</v>
      </c>
      <c r="I8" s="10">
        <v>555.4</v>
      </c>
      <c r="J8" s="10">
        <f t="shared" si="1"/>
        <v>499.59999999999997</v>
      </c>
      <c r="K8" s="10">
        <v>276.5</v>
      </c>
      <c r="L8" s="10">
        <f t="shared" si="2"/>
        <v>220.7</v>
      </c>
      <c r="N8" s="113" t="s">
        <v>574</v>
      </c>
      <c r="O8" s="10">
        <v>1</v>
      </c>
      <c r="P8" s="10">
        <v>3</v>
      </c>
      <c r="Q8" s="10">
        <f>H10+H11</f>
        <v>3344.7000000000003</v>
      </c>
      <c r="R8" s="10">
        <f>L10+L11</f>
        <v>397.6</v>
      </c>
      <c r="S8" s="10">
        <f t="shared" si="3"/>
        <v>2947.1000000000004</v>
      </c>
      <c r="T8" s="10">
        <f t="shared" si="4"/>
        <v>88.112536251382792</v>
      </c>
      <c r="U8" s="10">
        <f t="shared" si="5"/>
        <v>3976</v>
      </c>
      <c r="V8" s="7">
        <f t="shared" si="6"/>
        <v>3.976</v>
      </c>
      <c r="W8" s="7">
        <f t="shared" si="7"/>
        <v>4.5724</v>
      </c>
      <c r="X8" s="16">
        <v>2</v>
      </c>
      <c r="Y8" s="10" t="s">
        <v>690</v>
      </c>
      <c r="Z8" s="10">
        <f>AVERAGE(V18:V26)</f>
        <v>4.5348888888888892</v>
      </c>
      <c r="AA8" s="10">
        <f>STDEV(V18:V26)</f>
        <v>0.32899560956205937</v>
      </c>
    </row>
    <row r="9" spans="1:33">
      <c r="A9" s="10">
        <v>2021</v>
      </c>
      <c r="B9" s="10">
        <v>201</v>
      </c>
      <c r="C9" s="10">
        <v>1</v>
      </c>
      <c r="D9" s="10">
        <v>2</v>
      </c>
      <c r="E9" s="10" t="s">
        <v>55</v>
      </c>
      <c r="F9" s="10">
        <v>4816.3999999999996</v>
      </c>
      <c r="G9" s="10">
        <v>1628.9</v>
      </c>
      <c r="H9" s="10">
        <f t="shared" si="0"/>
        <v>1573.1000000000001</v>
      </c>
      <c r="I9" s="10">
        <v>477.4</v>
      </c>
      <c r="J9" s="10">
        <f t="shared" si="1"/>
        <v>421.59999999999997</v>
      </c>
      <c r="K9" s="10">
        <v>268.89999999999998</v>
      </c>
      <c r="L9" s="10">
        <f t="shared" si="2"/>
        <v>213.09999999999997</v>
      </c>
      <c r="N9" s="113" t="s">
        <v>575</v>
      </c>
      <c r="O9" s="10">
        <v>1</v>
      </c>
      <c r="P9" s="10">
        <v>4</v>
      </c>
      <c r="Q9" s="10">
        <f>H12+H13</f>
        <v>3432.5</v>
      </c>
      <c r="R9" s="10">
        <f>L12+L13</f>
        <v>411.5</v>
      </c>
      <c r="S9" s="10">
        <f t="shared" si="3"/>
        <v>3021</v>
      </c>
      <c r="T9" s="10">
        <f t="shared" si="4"/>
        <v>88.01165331391114</v>
      </c>
      <c r="U9" s="10">
        <f t="shared" si="5"/>
        <v>4115</v>
      </c>
      <c r="V9" s="7">
        <f t="shared" si="6"/>
        <v>4.1150000000000002</v>
      </c>
      <c r="W9" s="7">
        <f t="shared" si="7"/>
        <v>4.7322499999999996</v>
      </c>
      <c r="X9" s="16" t="s">
        <v>671</v>
      </c>
      <c r="Y9" s="10" t="s">
        <v>691</v>
      </c>
      <c r="Z9" s="10">
        <f>AVERAGE(V27:V29)</f>
        <v>1.9113333333333331</v>
      </c>
      <c r="AA9" s="10">
        <f>STDEV(V27:V29)</f>
        <v>0.21241547338490502</v>
      </c>
    </row>
    <row r="10" spans="1:33">
      <c r="A10" s="10">
        <v>2021</v>
      </c>
      <c r="B10" s="10">
        <v>201</v>
      </c>
      <c r="C10" s="10">
        <v>1</v>
      </c>
      <c r="D10" s="10">
        <v>3</v>
      </c>
      <c r="E10" s="88" t="s">
        <v>54</v>
      </c>
      <c r="F10" s="10">
        <v>4289.7</v>
      </c>
      <c r="G10" s="10">
        <v>1714.4</v>
      </c>
      <c r="H10" s="10">
        <f t="shared" si="0"/>
        <v>1658.6000000000001</v>
      </c>
      <c r="I10" s="10">
        <v>703</v>
      </c>
      <c r="J10" s="10">
        <f t="shared" si="1"/>
        <v>647.20000000000005</v>
      </c>
      <c r="K10" s="10">
        <v>259.3</v>
      </c>
      <c r="L10" s="10">
        <f t="shared" si="2"/>
        <v>203.5</v>
      </c>
      <c r="N10" s="113" t="s">
        <v>576</v>
      </c>
      <c r="O10" s="10">
        <v>1</v>
      </c>
      <c r="P10" s="10">
        <v>5</v>
      </c>
      <c r="Q10" s="10">
        <f>H14+H15</f>
        <v>3838.3</v>
      </c>
      <c r="R10" s="10">
        <f>L14+L15</f>
        <v>440.9</v>
      </c>
      <c r="S10" s="10">
        <f t="shared" si="3"/>
        <v>3397.4</v>
      </c>
      <c r="T10" s="10">
        <f t="shared" si="4"/>
        <v>88.513143839720712</v>
      </c>
      <c r="U10" s="10">
        <f t="shared" si="5"/>
        <v>4408.9999999999991</v>
      </c>
      <c r="V10" s="7">
        <f t="shared" si="6"/>
        <v>4.4089999999999989</v>
      </c>
      <c r="W10" s="7">
        <f t="shared" si="7"/>
        <v>5.0703499999999986</v>
      </c>
      <c r="X10" s="16">
        <v>3</v>
      </c>
      <c r="Y10" s="10" t="s">
        <v>685</v>
      </c>
      <c r="Z10" s="10">
        <f>AVERAGE(V30:V38)</f>
        <v>3.3101111111111114</v>
      </c>
      <c r="AA10" s="10">
        <f>STDEV(V30:V38)</f>
        <v>0.35607563959235999</v>
      </c>
    </row>
    <row r="11" spans="1:33">
      <c r="A11" s="10">
        <v>2021</v>
      </c>
      <c r="B11" s="10">
        <v>201</v>
      </c>
      <c r="C11" s="10">
        <v>1</v>
      </c>
      <c r="D11" s="10">
        <v>3</v>
      </c>
      <c r="E11" s="10" t="s">
        <v>55</v>
      </c>
      <c r="F11" s="10">
        <v>4278.7</v>
      </c>
      <c r="G11" s="10">
        <v>1741.9</v>
      </c>
      <c r="H11" s="10">
        <f t="shared" si="0"/>
        <v>1686.1000000000001</v>
      </c>
      <c r="I11" s="10">
        <v>601.20000000000005</v>
      </c>
      <c r="J11" s="10">
        <f t="shared" si="1"/>
        <v>545.40000000000009</v>
      </c>
      <c r="K11" s="10">
        <v>249.9</v>
      </c>
      <c r="L11" s="10">
        <f t="shared" si="2"/>
        <v>194.10000000000002</v>
      </c>
      <c r="N11" s="113" t="s">
        <v>577</v>
      </c>
      <c r="O11" s="10">
        <v>1</v>
      </c>
      <c r="P11" s="10">
        <v>6</v>
      </c>
      <c r="Q11" s="10">
        <f>H16+H17</f>
        <v>3031</v>
      </c>
      <c r="R11" s="10">
        <f>L16+L17</f>
        <v>336.3</v>
      </c>
      <c r="S11" s="10">
        <f t="shared" si="3"/>
        <v>2694.7</v>
      </c>
      <c r="T11" s="10">
        <f t="shared" si="4"/>
        <v>88.904651930056076</v>
      </c>
      <c r="U11" s="10">
        <f t="shared" si="5"/>
        <v>3362.9999999999995</v>
      </c>
      <c r="V11" s="7">
        <f t="shared" si="6"/>
        <v>3.3629999999999995</v>
      </c>
      <c r="W11" s="7">
        <f t="shared" si="7"/>
        <v>3.8674499999999994</v>
      </c>
      <c r="X11" s="16" t="s">
        <v>672</v>
      </c>
      <c r="Y11" s="10" t="s">
        <v>686</v>
      </c>
      <c r="Z11" s="10">
        <f>AVERAGE(V39:V41)</f>
        <v>1.3426666666666665</v>
      </c>
      <c r="AA11" s="10">
        <f>STDEV(V39:V41)</f>
        <v>0.1418673088957893</v>
      </c>
    </row>
    <row r="12" spans="1:33">
      <c r="A12" s="10">
        <v>2021</v>
      </c>
      <c r="B12" s="10">
        <v>201</v>
      </c>
      <c r="C12" s="10">
        <v>1</v>
      </c>
      <c r="D12" s="10">
        <v>4</v>
      </c>
      <c r="E12" s="10" t="s">
        <v>54</v>
      </c>
      <c r="F12" s="10">
        <v>4331</v>
      </c>
      <c r="G12" s="10">
        <v>1659.9</v>
      </c>
      <c r="H12" s="10">
        <f t="shared" si="0"/>
        <v>1604.1000000000001</v>
      </c>
      <c r="I12" s="10">
        <v>441.2</v>
      </c>
      <c r="J12" s="10">
        <f t="shared" si="1"/>
        <v>385.4</v>
      </c>
      <c r="K12" s="10">
        <v>254.1</v>
      </c>
      <c r="L12" s="10">
        <f t="shared" si="2"/>
        <v>198.3</v>
      </c>
      <c r="N12" s="113" t="s">
        <v>578</v>
      </c>
      <c r="O12" s="10">
        <v>1</v>
      </c>
      <c r="P12" s="10">
        <v>7</v>
      </c>
      <c r="Q12" s="10">
        <f>H18+H19</f>
        <v>3592.8</v>
      </c>
      <c r="R12" s="10">
        <f>L18+L19</f>
        <v>398.4</v>
      </c>
      <c r="S12" s="10">
        <f t="shared" si="3"/>
        <v>3194.4</v>
      </c>
      <c r="T12" s="10">
        <f t="shared" si="4"/>
        <v>88.911155644622568</v>
      </c>
      <c r="U12" s="10">
        <f t="shared" si="5"/>
        <v>3983.9999999999995</v>
      </c>
      <c r="V12" s="7">
        <f t="shared" si="6"/>
        <v>3.9839999999999995</v>
      </c>
      <c r="W12" s="7">
        <f t="shared" si="7"/>
        <v>4.581599999999999</v>
      </c>
      <c r="X12" s="16">
        <v>4</v>
      </c>
      <c r="Y12" s="10" t="s">
        <v>687</v>
      </c>
      <c r="Z12" s="10">
        <f>AVERAGE(V42:V50)</f>
        <v>3.3356666666666666</v>
      </c>
      <c r="AA12" s="10">
        <f>STDEV(V42:V50)</f>
        <v>0.35498521095955532</v>
      </c>
    </row>
    <row r="13" spans="1:33">
      <c r="A13" s="10">
        <v>2021</v>
      </c>
      <c r="B13" s="10">
        <v>201</v>
      </c>
      <c r="C13" s="10">
        <v>1</v>
      </c>
      <c r="D13" s="10">
        <v>4</v>
      </c>
      <c r="E13" s="10" t="s">
        <v>55</v>
      </c>
      <c r="F13" s="10">
        <v>4454.2</v>
      </c>
      <c r="G13" s="10">
        <v>1884.2</v>
      </c>
      <c r="H13" s="10">
        <f t="shared" si="0"/>
        <v>1828.4</v>
      </c>
      <c r="I13" s="10">
        <v>815.3</v>
      </c>
      <c r="J13" s="10">
        <f t="shared" si="1"/>
        <v>759.5</v>
      </c>
      <c r="K13" s="10">
        <v>269</v>
      </c>
      <c r="L13" s="10">
        <f t="shared" si="2"/>
        <v>213.2</v>
      </c>
      <c r="N13" s="113" t="s">
        <v>579</v>
      </c>
      <c r="O13" s="10">
        <v>1</v>
      </c>
      <c r="P13" s="10">
        <v>8</v>
      </c>
      <c r="Q13" s="10">
        <f>H20+H21</f>
        <v>3615.1000000000004</v>
      </c>
      <c r="R13" s="10">
        <f>L20+L21</f>
        <v>403.2</v>
      </c>
      <c r="S13" s="10">
        <f t="shared" si="3"/>
        <v>3211.9000000000005</v>
      </c>
      <c r="T13" s="10">
        <f t="shared" si="4"/>
        <v>88.846781555143707</v>
      </c>
      <c r="U13" s="10">
        <f t="shared" si="5"/>
        <v>4032</v>
      </c>
      <c r="V13" s="7">
        <f t="shared" si="6"/>
        <v>4.032</v>
      </c>
      <c r="W13" s="7">
        <f t="shared" si="7"/>
        <v>4.6368</v>
      </c>
      <c r="X13" s="16" t="s">
        <v>673</v>
      </c>
      <c r="Y13" s="10" t="s">
        <v>688</v>
      </c>
      <c r="Z13" s="10">
        <f>AVERAGE(V51:V53)</f>
        <v>1.5763333333333334</v>
      </c>
      <c r="AA13" s="10">
        <f>STDEV(V51:V53)</f>
        <v>0.49778040673908852</v>
      </c>
    </row>
    <row r="14" spans="1:33">
      <c r="A14" s="10">
        <v>2021</v>
      </c>
      <c r="B14" s="10">
        <v>201</v>
      </c>
      <c r="C14" s="10">
        <v>1</v>
      </c>
      <c r="D14" s="10">
        <v>5</v>
      </c>
      <c r="E14" s="88" t="s">
        <v>54</v>
      </c>
      <c r="F14" s="10">
        <v>4154.3999999999996</v>
      </c>
      <c r="G14" s="10">
        <v>1762.5</v>
      </c>
      <c r="H14" s="10">
        <f t="shared" si="0"/>
        <v>1706.7</v>
      </c>
      <c r="I14" s="10">
        <v>783.6</v>
      </c>
      <c r="J14" s="10">
        <f t="shared" si="1"/>
        <v>727.80000000000007</v>
      </c>
      <c r="K14" s="10">
        <v>261.10000000000002</v>
      </c>
      <c r="L14" s="10">
        <f t="shared" si="2"/>
        <v>205.3</v>
      </c>
      <c r="N14" s="113" t="s">
        <v>580</v>
      </c>
      <c r="O14" s="10">
        <v>1</v>
      </c>
      <c r="P14" s="10">
        <v>9</v>
      </c>
      <c r="Q14" s="10">
        <f>H22+H23</f>
        <v>3672.3</v>
      </c>
      <c r="R14" s="10">
        <f>L22+L23</f>
        <v>425.2</v>
      </c>
      <c r="S14" s="10">
        <f t="shared" si="3"/>
        <v>3247.1000000000004</v>
      </c>
      <c r="T14" s="10">
        <f t="shared" si="4"/>
        <v>88.421425264820414</v>
      </c>
      <c r="U14" s="10">
        <f t="shared" si="5"/>
        <v>4251.9999999999991</v>
      </c>
      <c r="V14" s="7">
        <f t="shared" si="6"/>
        <v>4.2519999999999989</v>
      </c>
      <c r="W14" s="7">
        <f t="shared" si="7"/>
        <v>4.8897999999999984</v>
      </c>
    </row>
    <row r="15" spans="1:33">
      <c r="A15" s="10">
        <v>2021</v>
      </c>
      <c r="B15" s="10">
        <v>201</v>
      </c>
      <c r="C15" s="10">
        <v>1</v>
      </c>
      <c r="D15" s="10">
        <v>5</v>
      </c>
      <c r="E15" s="10" t="s">
        <v>55</v>
      </c>
      <c r="F15" s="10">
        <v>4200.8</v>
      </c>
      <c r="G15" s="10">
        <v>2187.4</v>
      </c>
      <c r="H15" s="10">
        <f t="shared" si="0"/>
        <v>2131.6</v>
      </c>
      <c r="I15" s="10">
        <v>740</v>
      </c>
      <c r="J15" s="10">
        <f t="shared" si="1"/>
        <v>684.2</v>
      </c>
      <c r="K15" s="10">
        <v>291.39999999999998</v>
      </c>
      <c r="L15" s="10">
        <f t="shared" si="2"/>
        <v>235.59999999999997</v>
      </c>
      <c r="N15" s="177" t="s">
        <v>581</v>
      </c>
      <c r="O15" s="173">
        <v>1</v>
      </c>
      <c r="P15" s="173">
        <v>11</v>
      </c>
      <c r="Q15" s="173">
        <v>1604.6000000000001</v>
      </c>
      <c r="R15" s="173">
        <v>221.7</v>
      </c>
      <c r="S15" s="173">
        <f t="shared" si="3"/>
        <v>1382.9</v>
      </c>
      <c r="T15" s="173">
        <f t="shared" si="4"/>
        <v>86.18347251651501</v>
      </c>
      <c r="U15" s="173">
        <f t="shared" si="5"/>
        <v>2216.9999999999995</v>
      </c>
      <c r="V15" s="4">
        <f t="shared" si="6"/>
        <v>2.2169999999999996</v>
      </c>
      <c r="W15" s="4">
        <f t="shared" si="7"/>
        <v>2.5495499999999995</v>
      </c>
    </row>
    <row r="16" spans="1:33">
      <c r="A16" s="10">
        <v>2021</v>
      </c>
      <c r="B16" s="10">
        <v>201</v>
      </c>
      <c r="C16" s="10">
        <v>1</v>
      </c>
      <c r="D16" s="10">
        <v>6</v>
      </c>
      <c r="E16" s="10" t="s">
        <v>54</v>
      </c>
      <c r="F16" s="10">
        <v>3856.2</v>
      </c>
      <c r="G16" s="10">
        <v>1552.3</v>
      </c>
      <c r="H16" s="10">
        <f t="shared" si="0"/>
        <v>1496.5</v>
      </c>
      <c r="I16" s="10">
        <v>628.6</v>
      </c>
      <c r="J16" s="10">
        <f t="shared" si="1"/>
        <v>572.80000000000007</v>
      </c>
      <c r="K16" s="10">
        <v>219.3</v>
      </c>
      <c r="L16" s="10">
        <f t="shared" si="2"/>
        <v>163.5</v>
      </c>
      <c r="N16" s="177" t="s">
        <v>582</v>
      </c>
      <c r="O16" s="173">
        <v>1</v>
      </c>
      <c r="P16" s="173">
        <v>12</v>
      </c>
      <c r="Q16" s="173">
        <v>1696.5</v>
      </c>
      <c r="R16" s="173">
        <v>187.60000000000002</v>
      </c>
      <c r="S16" s="173">
        <f t="shared" si="3"/>
        <v>1508.9</v>
      </c>
      <c r="T16" s="173">
        <f t="shared" si="4"/>
        <v>88.941939286766882</v>
      </c>
      <c r="U16" s="173">
        <f t="shared" si="5"/>
        <v>1876</v>
      </c>
      <c r="V16" s="4">
        <f t="shared" si="6"/>
        <v>1.8759999999999999</v>
      </c>
      <c r="W16" s="4">
        <f t="shared" si="7"/>
        <v>2.1573999999999995</v>
      </c>
    </row>
    <row r="17" spans="1:26">
      <c r="A17" s="10">
        <v>2021</v>
      </c>
      <c r="B17" s="10">
        <v>201</v>
      </c>
      <c r="C17" s="10">
        <v>1</v>
      </c>
      <c r="D17" s="10">
        <v>6</v>
      </c>
      <c r="E17" s="10" t="s">
        <v>55</v>
      </c>
      <c r="F17" s="10">
        <v>4592.8</v>
      </c>
      <c r="G17" s="10">
        <v>1590.3</v>
      </c>
      <c r="H17" s="10">
        <f t="shared" si="0"/>
        <v>1534.5</v>
      </c>
      <c r="I17" s="10">
        <v>765.1</v>
      </c>
      <c r="J17" s="10">
        <f t="shared" si="1"/>
        <v>709.30000000000007</v>
      </c>
      <c r="K17" s="10">
        <v>228.6</v>
      </c>
      <c r="L17" s="10">
        <f t="shared" si="2"/>
        <v>172.8</v>
      </c>
      <c r="N17" s="177" t="s">
        <v>583</v>
      </c>
      <c r="O17" s="173">
        <v>1</v>
      </c>
      <c r="P17" s="173">
        <v>13</v>
      </c>
      <c r="Q17" s="173">
        <v>1563.1000000000001</v>
      </c>
      <c r="R17" s="173">
        <v>187.3</v>
      </c>
      <c r="S17" s="173">
        <f t="shared" si="3"/>
        <v>1375.8000000000002</v>
      </c>
      <c r="T17" s="173">
        <f t="shared" si="4"/>
        <v>88.017401317893928</v>
      </c>
      <c r="U17" s="173">
        <f t="shared" si="5"/>
        <v>1873.0000000000002</v>
      </c>
      <c r="V17" s="4">
        <f t="shared" si="6"/>
        <v>1.8730000000000002</v>
      </c>
      <c r="W17" s="4">
        <f t="shared" si="7"/>
        <v>2.15395</v>
      </c>
      <c r="Y17" t="s">
        <v>736</v>
      </c>
      <c r="Z17">
        <f>STDEV(V6:V14,V18:V26,V30:V38,V42:V50)</f>
        <v>0.61240583856713349</v>
      </c>
    </row>
    <row r="18" spans="1:26">
      <c r="A18" s="10">
        <v>2021</v>
      </c>
      <c r="B18" s="10">
        <v>201</v>
      </c>
      <c r="C18" s="10">
        <v>1</v>
      </c>
      <c r="D18" s="10">
        <v>7</v>
      </c>
      <c r="E18" s="88" t="s">
        <v>54</v>
      </c>
      <c r="F18" s="10">
        <v>4460.1000000000004</v>
      </c>
      <c r="G18" s="10">
        <v>1783.6</v>
      </c>
      <c r="H18" s="10">
        <f t="shared" si="0"/>
        <v>1727.8</v>
      </c>
      <c r="I18" s="10">
        <v>533.79999999999995</v>
      </c>
      <c r="J18" s="10">
        <f t="shared" si="1"/>
        <v>477.99999999999994</v>
      </c>
      <c r="K18" s="10">
        <v>252.7</v>
      </c>
      <c r="L18" s="10">
        <f t="shared" si="2"/>
        <v>196.89999999999998</v>
      </c>
      <c r="N18" s="113" t="s">
        <v>584</v>
      </c>
      <c r="O18" s="10">
        <v>2</v>
      </c>
      <c r="P18" s="10">
        <v>1</v>
      </c>
      <c r="Q18" s="10">
        <f>H27+H28</f>
        <v>2740.2000000000003</v>
      </c>
      <c r="R18" s="10">
        <f>L27+L28</f>
        <v>398.2</v>
      </c>
      <c r="S18" s="10">
        <f t="shared" si="3"/>
        <v>2342.0000000000005</v>
      </c>
      <c r="T18" s="10">
        <f t="shared" si="4"/>
        <v>85.468213998978186</v>
      </c>
      <c r="U18" s="10">
        <f t="shared" si="5"/>
        <v>3982</v>
      </c>
      <c r="V18" s="7">
        <f t="shared" si="6"/>
        <v>3.9820000000000002</v>
      </c>
      <c r="W18" s="7">
        <f t="shared" si="7"/>
        <v>4.5792999999999999</v>
      </c>
      <c r="Y18" t="s">
        <v>737</v>
      </c>
      <c r="Z18">
        <f>STDEV(V15:V17,V27:V29,V39:V41,V51:V53)</f>
        <v>0.37135063680374203</v>
      </c>
    </row>
    <row r="19" spans="1:26">
      <c r="A19" s="10">
        <v>2021</v>
      </c>
      <c r="B19" s="10">
        <v>201</v>
      </c>
      <c r="C19" s="10">
        <v>1</v>
      </c>
      <c r="D19" s="10">
        <v>7</v>
      </c>
      <c r="E19" s="10" t="s">
        <v>55</v>
      </c>
      <c r="F19" s="10">
        <v>4509.8</v>
      </c>
      <c r="G19" s="10">
        <v>1920.8</v>
      </c>
      <c r="H19" s="10">
        <f t="shared" si="0"/>
        <v>1865</v>
      </c>
      <c r="I19" s="10">
        <v>782.7</v>
      </c>
      <c r="J19" s="10">
        <f t="shared" si="1"/>
        <v>726.90000000000009</v>
      </c>
      <c r="K19" s="10">
        <v>257.3</v>
      </c>
      <c r="L19" s="10">
        <f t="shared" si="2"/>
        <v>201.5</v>
      </c>
      <c r="N19" s="113" t="s">
        <v>585</v>
      </c>
      <c r="O19" s="10">
        <v>2</v>
      </c>
      <c r="P19" s="10">
        <v>2</v>
      </c>
      <c r="Q19" s="10">
        <f>H29+H30</f>
        <v>3386.4</v>
      </c>
      <c r="R19" s="10">
        <f>L29+L30</f>
        <v>426</v>
      </c>
      <c r="S19" s="10">
        <f t="shared" si="3"/>
        <v>2960.4</v>
      </c>
      <c r="T19" s="10">
        <f t="shared" si="4"/>
        <v>87.420269312544292</v>
      </c>
      <c r="U19" s="10">
        <f t="shared" si="5"/>
        <v>4260</v>
      </c>
      <c r="V19" s="7">
        <f t="shared" si="6"/>
        <v>4.26</v>
      </c>
      <c r="W19" s="7">
        <f t="shared" si="7"/>
        <v>4.8989999999999991</v>
      </c>
    </row>
    <row r="20" spans="1:26">
      <c r="A20" s="10">
        <v>2021</v>
      </c>
      <c r="B20" s="10">
        <v>201</v>
      </c>
      <c r="C20" s="10">
        <v>1</v>
      </c>
      <c r="D20" s="10">
        <v>8</v>
      </c>
      <c r="E20" s="10" t="s">
        <v>54</v>
      </c>
      <c r="F20" s="10">
        <v>4255.6000000000004</v>
      </c>
      <c r="G20" s="10">
        <v>1715.8</v>
      </c>
      <c r="H20" s="10">
        <f t="shared" si="0"/>
        <v>1660</v>
      </c>
      <c r="I20" s="10">
        <v>552.20000000000005</v>
      </c>
      <c r="J20" s="10">
        <f t="shared" si="1"/>
        <v>496.40000000000003</v>
      </c>
      <c r="K20" s="10">
        <v>236.4</v>
      </c>
      <c r="L20" s="10">
        <f t="shared" si="2"/>
        <v>180.60000000000002</v>
      </c>
      <c r="N20" s="113" t="s">
        <v>586</v>
      </c>
      <c r="O20" s="10">
        <v>2</v>
      </c>
      <c r="P20" s="10">
        <v>3</v>
      </c>
      <c r="Q20" s="10">
        <f>H31+H32</f>
        <v>3710.9</v>
      </c>
      <c r="R20" s="10">
        <f>L31+L32</f>
        <v>489.3</v>
      </c>
      <c r="S20" s="10">
        <f t="shared" si="3"/>
        <v>3221.6</v>
      </c>
      <c r="T20" s="10">
        <f t="shared" si="4"/>
        <v>86.814519388827506</v>
      </c>
      <c r="U20" s="10">
        <f t="shared" si="5"/>
        <v>4893</v>
      </c>
      <c r="V20" s="7">
        <f t="shared" si="6"/>
        <v>4.8929999999999998</v>
      </c>
      <c r="W20" s="7">
        <f t="shared" si="7"/>
        <v>5.626949999999999</v>
      </c>
    </row>
    <row r="21" spans="1:26">
      <c r="A21" s="10">
        <v>2021</v>
      </c>
      <c r="B21" s="10">
        <v>201</v>
      </c>
      <c r="C21" s="10">
        <v>1</v>
      </c>
      <c r="D21" s="10">
        <v>8</v>
      </c>
      <c r="E21" s="10" t="s">
        <v>55</v>
      </c>
      <c r="F21" s="10">
        <v>3726.4</v>
      </c>
      <c r="G21" s="10">
        <v>2010.9</v>
      </c>
      <c r="H21" s="10">
        <f t="shared" si="0"/>
        <v>1955.1000000000001</v>
      </c>
      <c r="I21" s="10">
        <v>919.8</v>
      </c>
      <c r="J21" s="10">
        <f t="shared" si="1"/>
        <v>864</v>
      </c>
      <c r="K21" s="10">
        <v>278.39999999999998</v>
      </c>
      <c r="L21" s="10">
        <f t="shared" si="2"/>
        <v>222.59999999999997</v>
      </c>
      <c r="N21" s="113" t="s">
        <v>587</v>
      </c>
      <c r="O21" s="10">
        <v>2</v>
      </c>
      <c r="P21" s="10">
        <v>4</v>
      </c>
      <c r="Q21" s="10">
        <f>H33+H34</f>
        <v>3447.6000000000004</v>
      </c>
      <c r="R21" s="10">
        <f>L33+L34</f>
        <v>453.29999999999995</v>
      </c>
      <c r="S21" s="10">
        <f t="shared" si="3"/>
        <v>2994.3</v>
      </c>
      <c r="T21" s="10">
        <f t="shared" si="4"/>
        <v>86.851722937695783</v>
      </c>
      <c r="U21" s="10">
        <f t="shared" si="5"/>
        <v>4533</v>
      </c>
      <c r="V21" s="7">
        <f t="shared" si="6"/>
        <v>4.5330000000000004</v>
      </c>
      <c r="W21" s="7">
        <f t="shared" si="7"/>
        <v>5.2129500000000002</v>
      </c>
    </row>
    <row r="22" spans="1:26">
      <c r="A22" s="10">
        <v>2021</v>
      </c>
      <c r="B22" s="10">
        <v>201</v>
      </c>
      <c r="C22" s="10">
        <v>1</v>
      </c>
      <c r="D22" s="10">
        <v>9</v>
      </c>
      <c r="E22" s="88" t="s">
        <v>54</v>
      </c>
      <c r="F22" s="10">
        <v>4433.3999999999996</v>
      </c>
      <c r="G22" s="10">
        <v>1967.6</v>
      </c>
      <c r="H22" s="10">
        <f t="shared" si="0"/>
        <v>1911.8</v>
      </c>
      <c r="I22" s="10">
        <v>752.7</v>
      </c>
      <c r="J22" s="10">
        <f t="shared" si="1"/>
        <v>696.90000000000009</v>
      </c>
      <c r="K22" s="10">
        <v>280.10000000000002</v>
      </c>
      <c r="L22" s="10">
        <f t="shared" si="2"/>
        <v>224.3</v>
      </c>
      <c r="N22" s="113" t="s">
        <v>588</v>
      </c>
      <c r="O22" s="10">
        <v>2</v>
      </c>
      <c r="P22" s="10">
        <v>5</v>
      </c>
      <c r="Q22" s="10">
        <f>H35+H36</f>
        <v>3503.7</v>
      </c>
      <c r="R22" s="10">
        <f>L35+L36</f>
        <v>484.2</v>
      </c>
      <c r="S22" s="10">
        <f t="shared" si="3"/>
        <v>3019.5</v>
      </c>
      <c r="T22" s="10">
        <f t="shared" si="4"/>
        <v>86.180323657847424</v>
      </c>
      <c r="U22" s="10">
        <f t="shared" si="5"/>
        <v>4841.9999999999991</v>
      </c>
      <c r="V22" s="7">
        <f t="shared" si="6"/>
        <v>4.8419999999999987</v>
      </c>
      <c r="W22" s="7">
        <f t="shared" si="7"/>
        <v>5.568299999999998</v>
      </c>
    </row>
    <row r="23" spans="1:26">
      <c r="A23" s="10">
        <v>2021</v>
      </c>
      <c r="B23" s="10">
        <v>201</v>
      </c>
      <c r="C23" s="10">
        <v>1</v>
      </c>
      <c r="D23" s="10">
        <v>9</v>
      </c>
      <c r="E23" s="10" t="s">
        <v>55</v>
      </c>
      <c r="F23" s="10">
        <v>3561.5</v>
      </c>
      <c r="G23" s="10">
        <v>1816.3</v>
      </c>
      <c r="H23" s="10">
        <f t="shared" si="0"/>
        <v>1760.5</v>
      </c>
      <c r="I23" s="10">
        <v>626.1</v>
      </c>
      <c r="J23" s="10">
        <f t="shared" si="1"/>
        <v>570.30000000000007</v>
      </c>
      <c r="K23" s="10">
        <v>256.7</v>
      </c>
      <c r="L23" s="10">
        <f t="shared" si="2"/>
        <v>200.89999999999998</v>
      </c>
      <c r="N23" s="113" t="s">
        <v>589</v>
      </c>
      <c r="O23" s="10">
        <v>2</v>
      </c>
      <c r="P23" s="10">
        <v>6</v>
      </c>
      <c r="Q23" s="10">
        <f>H37+H38</f>
        <v>3655.2</v>
      </c>
      <c r="R23" s="10">
        <f>L37+L38</f>
        <v>469.2</v>
      </c>
      <c r="S23" s="10">
        <f t="shared" si="3"/>
        <v>3186</v>
      </c>
      <c r="T23" s="10">
        <f t="shared" si="4"/>
        <v>87.163493105712419</v>
      </c>
      <c r="U23" s="10">
        <f t="shared" si="5"/>
        <v>4692</v>
      </c>
      <c r="V23" s="7">
        <f t="shared" si="6"/>
        <v>4.6920000000000002</v>
      </c>
      <c r="W23" s="7">
        <f t="shared" si="7"/>
        <v>5.3957999999999995</v>
      </c>
    </row>
    <row r="24" spans="1:26">
      <c r="A24" s="10">
        <v>2021</v>
      </c>
      <c r="B24" s="10">
        <v>201</v>
      </c>
      <c r="C24" s="10">
        <v>1</v>
      </c>
      <c r="D24" s="10">
        <v>11</v>
      </c>
      <c r="E24" s="10" t="s">
        <v>54</v>
      </c>
      <c r="F24" s="10">
        <v>3953.1</v>
      </c>
      <c r="G24" s="10">
        <v>1660.4</v>
      </c>
      <c r="H24" s="10">
        <f t="shared" si="0"/>
        <v>1604.6000000000001</v>
      </c>
      <c r="I24" s="10">
        <v>575.9</v>
      </c>
      <c r="J24" s="10">
        <f t="shared" si="1"/>
        <v>520.1</v>
      </c>
      <c r="K24" s="10">
        <v>277.5</v>
      </c>
      <c r="L24" s="10">
        <f t="shared" si="2"/>
        <v>221.7</v>
      </c>
      <c r="N24" s="113" t="s">
        <v>590</v>
      </c>
      <c r="O24" s="10">
        <v>2</v>
      </c>
      <c r="P24" s="10">
        <v>7</v>
      </c>
      <c r="Q24" s="10">
        <f>H39+H40</f>
        <v>3360.2</v>
      </c>
      <c r="R24" s="10">
        <f>L39+L40</f>
        <v>432.9</v>
      </c>
      <c r="S24" s="10">
        <f t="shared" si="3"/>
        <v>2927.2999999999997</v>
      </c>
      <c r="T24" s="10">
        <f t="shared" si="4"/>
        <v>87.116838283435499</v>
      </c>
      <c r="U24" s="10">
        <f t="shared" si="5"/>
        <v>4328.9999999999991</v>
      </c>
      <c r="V24" s="7">
        <f t="shared" si="6"/>
        <v>4.3289999999999988</v>
      </c>
      <c r="W24" s="7">
        <f t="shared" si="7"/>
        <v>4.9783499999999981</v>
      </c>
    </row>
    <row r="25" spans="1:26">
      <c r="A25" s="10">
        <v>2021</v>
      </c>
      <c r="B25" s="10">
        <v>201</v>
      </c>
      <c r="C25" s="10">
        <v>1</v>
      </c>
      <c r="D25" s="10">
        <v>12</v>
      </c>
      <c r="E25" s="10" t="s">
        <v>54</v>
      </c>
      <c r="F25" s="10">
        <v>3775.8</v>
      </c>
      <c r="G25" s="10">
        <v>1752.3</v>
      </c>
      <c r="H25" s="10">
        <f t="shared" si="0"/>
        <v>1696.5</v>
      </c>
      <c r="I25" s="10">
        <v>767.5</v>
      </c>
      <c r="J25" s="10">
        <f t="shared" si="1"/>
        <v>711.7</v>
      </c>
      <c r="K25" s="10">
        <v>243.4</v>
      </c>
      <c r="L25" s="10">
        <f t="shared" si="2"/>
        <v>187.60000000000002</v>
      </c>
      <c r="N25" s="113" t="s">
        <v>591</v>
      </c>
      <c r="O25" s="10">
        <v>2</v>
      </c>
      <c r="P25" s="10">
        <v>8</v>
      </c>
      <c r="Q25" s="10">
        <f>H41+H42</f>
        <v>3361.5</v>
      </c>
      <c r="R25" s="10">
        <f>L41+L42</f>
        <v>434.8</v>
      </c>
      <c r="S25" s="10">
        <f t="shared" si="3"/>
        <v>2926.7</v>
      </c>
      <c r="T25" s="10">
        <f t="shared" si="4"/>
        <v>87.065298229956852</v>
      </c>
      <c r="U25" s="10">
        <f t="shared" si="5"/>
        <v>4348</v>
      </c>
      <c r="V25" s="7">
        <f t="shared" si="6"/>
        <v>4.3479999999999999</v>
      </c>
      <c r="W25" s="7">
        <f t="shared" si="7"/>
        <v>5.0001999999999995</v>
      </c>
    </row>
    <row r="26" spans="1:26">
      <c r="A26" s="10">
        <v>2021</v>
      </c>
      <c r="B26" s="10">
        <v>201</v>
      </c>
      <c r="C26" s="10">
        <v>1</v>
      </c>
      <c r="D26" s="10">
        <v>13</v>
      </c>
      <c r="E26" s="88" t="s">
        <v>54</v>
      </c>
      <c r="F26" s="10">
        <v>3550.3</v>
      </c>
      <c r="G26" s="10">
        <v>1618.9</v>
      </c>
      <c r="H26" s="10">
        <f t="shared" si="0"/>
        <v>1563.1000000000001</v>
      </c>
      <c r="I26" s="10">
        <v>635.1</v>
      </c>
      <c r="J26" s="10">
        <f t="shared" si="1"/>
        <v>579.30000000000007</v>
      </c>
      <c r="K26" s="10">
        <v>243.1</v>
      </c>
      <c r="L26" s="10">
        <f t="shared" si="2"/>
        <v>187.3</v>
      </c>
      <c r="N26" s="113" t="s">
        <v>592</v>
      </c>
      <c r="O26" s="10">
        <v>2</v>
      </c>
      <c r="P26" s="10">
        <v>9</v>
      </c>
      <c r="Q26" s="10">
        <f>H43+H44</f>
        <v>3891.7</v>
      </c>
      <c r="R26" s="10">
        <f>L43+L44</f>
        <v>493.5</v>
      </c>
      <c r="S26" s="10">
        <f t="shared" si="3"/>
        <v>3398.2</v>
      </c>
      <c r="T26" s="10">
        <f t="shared" si="4"/>
        <v>87.319166431122639</v>
      </c>
      <c r="U26" s="10">
        <f t="shared" si="5"/>
        <v>4935</v>
      </c>
      <c r="V26" s="7">
        <f t="shared" si="6"/>
        <v>4.9349999999999996</v>
      </c>
      <c r="W26" s="7">
        <f t="shared" si="7"/>
        <v>5.6752499999999992</v>
      </c>
    </row>
    <row r="27" spans="1:26">
      <c r="A27" s="10">
        <v>2021</v>
      </c>
      <c r="B27" s="10">
        <v>201</v>
      </c>
      <c r="C27" s="10">
        <v>2</v>
      </c>
      <c r="D27" s="10">
        <v>1</v>
      </c>
      <c r="E27" s="88" t="s">
        <v>54</v>
      </c>
      <c r="F27" s="10">
        <v>3123</v>
      </c>
      <c r="G27" s="10">
        <v>1457.4</v>
      </c>
      <c r="H27" s="10">
        <f t="shared" si="0"/>
        <v>1401.6000000000001</v>
      </c>
      <c r="I27" s="10">
        <v>454</v>
      </c>
      <c r="J27" s="10">
        <f t="shared" si="1"/>
        <v>398.2</v>
      </c>
      <c r="K27" s="10">
        <v>264</v>
      </c>
      <c r="L27" s="10">
        <f t="shared" si="2"/>
        <v>208.2</v>
      </c>
      <c r="N27" s="177" t="s">
        <v>593</v>
      </c>
      <c r="O27" s="173">
        <v>2</v>
      </c>
      <c r="P27" s="173">
        <v>11</v>
      </c>
      <c r="Q27" s="173">
        <v>1584.3</v>
      </c>
      <c r="R27" s="173">
        <v>214.89999999999998</v>
      </c>
      <c r="S27" s="173">
        <f t="shared" si="3"/>
        <v>1369.4</v>
      </c>
      <c r="T27" s="173">
        <f t="shared" si="4"/>
        <v>86.435649813797895</v>
      </c>
      <c r="U27" s="173">
        <f t="shared" si="5"/>
        <v>2148.9999999999995</v>
      </c>
      <c r="V27" s="4">
        <f t="shared" si="6"/>
        <v>2.1489999999999996</v>
      </c>
      <c r="W27" s="4">
        <f t="shared" si="7"/>
        <v>2.4713499999999993</v>
      </c>
    </row>
    <row r="28" spans="1:26">
      <c r="A28" s="10">
        <v>2021</v>
      </c>
      <c r="B28" s="10">
        <v>201</v>
      </c>
      <c r="C28" s="10">
        <v>2</v>
      </c>
      <c r="D28" s="10">
        <v>1</v>
      </c>
      <c r="E28" s="10" t="s">
        <v>55</v>
      </c>
      <c r="F28" s="10">
        <v>3169.8</v>
      </c>
      <c r="G28" s="10">
        <v>1394.4</v>
      </c>
      <c r="H28" s="10">
        <f t="shared" si="0"/>
        <v>1338.6000000000001</v>
      </c>
      <c r="I28" s="10">
        <v>361.9</v>
      </c>
      <c r="J28" s="10">
        <f t="shared" si="1"/>
        <v>306.09999999999997</v>
      </c>
      <c r="K28" s="10">
        <v>245.8</v>
      </c>
      <c r="L28" s="10">
        <f t="shared" si="2"/>
        <v>190</v>
      </c>
      <c r="N28" s="177" t="s">
        <v>594</v>
      </c>
      <c r="O28" s="173">
        <v>2</v>
      </c>
      <c r="P28" s="173">
        <v>12</v>
      </c>
      <c r="Q28" s="173">
        <v>1398.5</v>
      </c>
      <c r="R28" s="173">
        <v>184.5</v>
      </c>
      <c r="S28" s="173">
        <f t="shared" si="3"/>
        <v>1214</v>
      </c>
      <c r="T28" s="173">
        <f t="shared" si="4"/>
        <v>86.807293528780832</v>
      </c>
      <c r="U28" s="173">
        <f t="shared" si="5"/>
        <v>1844.9999999999998</v>
      </c>
      <c r="V28" s="4">
        <f t="shared" si="6"/>
        <v>1.8449999999999998</v>
      </c>
      <c r="W28" s="4">
        <f t="shared" si="7"/>
        <v>2.1217499999999996</v>
      </c>
    </row>
    <row r="29" spans="1:26">
      <c r="A29" s="10">
        <v>2021</v>
      </c>
      <c r="B29" s="10">
        <v>201</v>
      </c>
      <c r="C29" s="10">
        <v>2</v>
      </c>
      <c r="D29" s="10">
        <v>2</v>
      </c>
      <c r="E29" s="10" t="s">
        <v>54</v>
      </c>
      <c r="F29" s="10">
        <v>4277.5</v>
      </c>
      <c r="G29" s="10">
        <v>1584.5</v>
      </c>
      <c r="H29" s="10">
        <f t="shared" si="0"/>
        <v>1528.7</v>
      </c>
      <c r="I29" s="10">
        <v>591.5</v>
      </c>
      <c r="J29" s="10">
        <f t="shared" si="1"/>
        <v>535.70000000000005</v>
      </c>
      <c r="K29" s="10">
        <v>244.1</v>
      </c>
      <c r="L29" s="10">
        <f t="shared" si="2"/>
        <v>188.3</v>
      </c>
      <c r="N29" s="177" t="s">
        <v>595</v>
      </c>
      <c r="O29" s="173">
        <v>2</v>
      </c>
      <c r="P29" s="173">
        <v>13</v>
      </c>
      <c r="Q29" s="173">
        <v>1306.7</v>
      </c>
      <c r="R29" s="173">
        <v>174</v>
      </c>
      <c r="S29" s="173">
        <f t="shared" si="3"/>
        <v>1132.7</v>
      </c>
      <c r="T29" s="173">
        <f t="shared" si="4"/>
        <v>86.684013162929517</v>
      </c>
      <c r="U29" s="173">
        <f t="shared" si="5"/>
        <v>1739.9999999999998</v>
      </c>
      <c r="V29" s="4">
        <f t="shared" si="6"/>
        <v>1.7399999999999998</v>
      </c>
      <c r="W29" s="4">
        <f t="shared" si="7"/>
        <v>2.0009999999999994</v>
      </c>
    </row>
    <row r="30" spans="1:26">
      <c r="A30" s="10">
        <v>2021</v>
      </c>
      <c r="B30" s="10">
        <v>201</v>
      </c>
      <c r="C30" s="10">
        <v>2</v>
      </c>
      <c r="D30" s="10">
        <v>2</v>
      </c>
      <c r="E30" s="10" t="s">
        <v>55</v>
      </c>
      <c r="F30" s="10">
        <v>4638.3999999999996</v>
      </c>
      <c r="G30" s="10">
        <v>1913.5</v>
      </c>
      <c r="H30" s="10">
        <f t="shared" si="0"/>
        <v>1857.7</v>
      </c>
      <c r="I30" s="10">
        <v>591</v>
      </c>
      <c r="J30" s="10">
        <f t="shared" si="1"/>
        <v>535.20000000000005</v>
      </c>
      <c r="K30" s="10">
        <v>293.5</v>
      </c>
      <c r="L30" s="10">
        <f t="shared" si="2"/>
        <v>237.7</v>
      </c>
      <c r="N30" s="113" t="s">
        <v>596</v>
      </c>
      <c r="O30" s="10">
        <v>3</v>
      </c>
      <c r="P30" s="10">
        <v>1</v>
      </c>
      <c r="Q30" s="10">
        <f>H48+H49</f>
        <v>3285.4</v>
      </c>
      <c r="R30" s="10">
        <f>L48+L49</f>
        <v>377.1</v>
      </c>
      <c r="S30" s="10">
        <f t="shared" si="3"/>
        <v>2908.3</v>
      </c>
      <c r="T30" s="10">
        <f t="shared" si="4"/>
        <v>88.521945577403059</v>
      </c>
      <c r="U30" s="10">
        <f t="shared" si="5"/>
        <v>3771.0000000000005</v>
      </c>
      <c r="V30" s="7">
        <f t="shared" si="6"/>
        <v>3.7710000000000004</v>
      </c>
      <c r="W30" s="7">
        <f t="shared" si="7"/>
        <v>4.3366499999999997</v>
      </c>
    </row>
    <row r="31" spans="1:26">
      <c r="A31" s="10">
        <v>2021</v>
      </c>
      <c r="B31" s="10">
        <v>201</v>
      </c>
      <c r="C31" s="10">
        <v>2</v>
      </c>
      <c r="D31" s="10">
        <v>3</v>
      </c>
      <c r="E31" s="88" t="s">
        <v>54</v>
      </c>
      <c r="F31" s="10">
        <v>4384.1000000000004</v>
      </c>
      <c r="G31" s="10">
        <v>1786.9</v>
      </c>
      <c r="H31" s="10">
        <f t="shared" si="0"/>
        <v>1731.1000000000001</v>
      </c>
      <c r="I31" s="10">
        <v>589.6</v>
      </c>
      <c r="J31" s="10">
        <f t="shared" si="1"/>
        <v>533.80000000000007</v>
      </c>
      <c r="K31" s="10">
        <v>278.10000000000002</v>
      </c>
      <c r="L31" s="10">
        <f t="shared" si="2"/>
        <v>222.3</v>
      </c>
      <c r="N31" s="113" t="s">
        <v>597</v>
      </c>
      <c r="O31" s="10">
        <v>3</v>
      </c>
      <c r="P31" s="10">
        <v>2</v>
      </c>
      <c r="Q31" s="10">
        <f>H50+H51</f>
        <v>2970.3</v>
      </c>
      <c r="R31" s="10">
        <f>L50+L51</f>
        <v>389.4</v>
      </c>
      <c r="S31" s="10">
        <f t="shared" si="3"/>
        <v>2580.9</v>
      </c>
      <c r="T31" s="10">
        <f t="shared" si="4"/>
        <v>86.890213109786885</v>
      </c>
      <c r="U31" s="10">
        <f t="shared" si="5"/>
        <v>3893.9999999999995</v>
      </c>
      <c r="V31" s="7">
        <f t="shared" si="6"/>
        <v>3.8939999999999997</v>
      </c>
      <c r="W31" s="7">
        <f t="shared" si="7"/>
        <v>4.4780999999999995</v>
      </c>
    </row>
    <row r="32" spans="1:26">
      <c r="A32" s="10">
        <v>2021</v>
      </c>
      <c r="B32" s="10">
        <v>201</v>
      </c>
      <c r="C32" s="10">
        <v>2</v>
      </c>
      <c r="D32" s="10">
        <v>3</v>
      </c>
      <c r="E32" s="10" t="s">
        <v>55</v>
      </c>
      <c r="F32" s="10">
        <v>4854.2</v>
      </c>
      <c r="G32" s="10">
        <v>2035.6</v>
      </c>
      <c r="H32" s="10">
        <f t="shared" si="0"/>
        <v>1979.8</v>
      </c>
      <c r="I32" s="10">
        <v>566.5</v>
      </c>
      <c r="J32" s="10">
        <f t="shared" si="1"/>
        <v>510.7</v>
      </c>
      <c r="K32" s="10">
        <v>322.8</v>
      </c>
      <c r="L32" s="10">
        <f t="shared" si="2"/>
        <v>267</v>
      </c>
      <c r="N32" s="113" t="s">
        <v>598</v>
      </c>
      <c r="O32" s="10">
        <v>3</v>
      </c>
      <c r="P32" s="10">
        <v>3</v>
      </c>
      <c r="Q32" s="10">
        <f>H52+H53</f>
        <v>2989.8</v>
      </c>
      <c r="R32" s="10">
        <f>L52+L53</f>
        <v>291.60000000000002</v>
      </c>
      <c r="S32" s="10">
        <f t="shared" si="3"/>
        <v>2698.2000000000003</v>
      </c>
      <c r="T32" s="10">
        <f t="shared" si="4"/>
        <v>90.246839253461772</v>
      </c>
      <c r="U32" s="10">
        <f t="shared" si="5"/>
        <v>2916</v>
      </c>
      <c r="V32" s="7">
        <f t="shared" si="6"/>
        <v>2.9159999999999999</v>
      </c>
      <c r="W32" s="7">
        <f t="shared" si="7"/>
        <v>3.3533999999999997</v>
      </c>
    </row>
    <row r="33" spans="1:23">
      <c r="A33" s="10">
        <v>2021</v>
      </c>
      <c r="B33" s="10">
        <v>201</v>
      </c>
      <c r="C33" s="10">
        <v>2</v>
      </c>
      <c r="D33" s="10">
        <v>4</v>
      </c>
      <c r="E33" s="10" t="s">
        <v>54</v>
      </c>
      <c r="F33" s="10">
        <v>3930</v>
      </c>
      <c r="G33" s="10">
        <v>1712.9</v>
      </c>
      <c r="H33" s="10">
        <f t="shared" si="0"/>
        <v>1657.1000000000001</v>
      </c>
      <c r="I33" s="10">
        <v>731.1</v>
      </c>
      <c r="J33" s="10">
        <f t="shared" si="1"/>
        <v>675.30000000000007</v>
      </c>
      <c r="K33" s="10">
        <v>260.39999999999998</v>
      </c>
      <c r="L33" s="10">
        <f t="shared" si="2"/>
        <v>204.59999999999997</v>
      </c>
      <c r="N33" s="113" t="s">
        <v>599</v>
      </c>
      <c r="O33" s="10">
        <v>3</v>
      </c>
      <c r="P33" s="10">
        <v>4</v>
      </c>
      <c r="Q33" s="10">
        <f>H54+H55</f>
        <v>2600.3000000000002</v>
      </c>
      <c r="R33" s="10">
        <f>L54+L55</f>
        <v>325.8</v>
      </c>
      <c r="S33" s="10">
        <f t="shared" si="3"/>
        <v>2274.5</v>
      </c>
      <c r="T33" s="10">
        <f t="shared" si="4"/>
        <v>87.470676460408399</v>
      </c>
      <c r="U33" s="10">
        <f t="shared" si="5"/>
        <v>3258</v>
      </c>
      <c r="V33" s="7">
        <f t="shared" si="6"/>
        <v>3.258</v>
      </c>
      <c r="W33" s="7">
        <f t="shared" si="7"/>
        <v>3.7466999999999997</v>
      </c>
    </row>
    <row r="34" spans="1:23">
      <c r="A34" s="10">
        <v>2021</v>
      </c>
      <c r="B34" s="10">
        <v>201</v>
      </c>
      <c r="C34" s="10">
        <v>2</v>
      </c>
      <c r="D34" s="10">
        <v>4</v>
      </c>
      <c r="E34" s="10" t="s">
        <v>55</v>
      </c>
      <c r="F34" s="10">
        <v>4091.7</v>
      </c>
      <c r="G34" s="10">
        <v>1846.3</v>
      </c>
      <c r="H34" s="10">
        <f t="shared" si="0"/>
        <v>1790.5</v>
      </c>
      <c r="I34" s="10">
        <v>522.1</v>
      </c>
      <c r="J34" s="10">
        <f t="shared" si="1"/>
        <v>466.3</v>
      </c>
      <c r="K34" s="10">
        <v>304.5</v>
      </c>
      <c r="L34" s="10">
        <f t="shared" si="2"/>
        <v>248.7</v>
      </c>
      <c r="N34" s="113" t="s">
        <v>600</v>
      </c>
      <c r="O34" s="10">
        <v>3</v>
      </c>
      <c r="P34" s="10">
        <v>5</v>
      </c>
      <c r="Q34" s="10">
        <f>H56+H57</f>
        <v>2712.4</v>
      </c>
      <c r="R34" s="10">
        <f>L56+L57</f>
        <v>324</v>
      </c>
      <c r="S34" s="10">
        <f t="shared" si="3"/>
        <v>2388.4</v>
      </c>
      <c r="T34" s="10">
        <f t="shared" si="4"/>
        <v>88.054859165314852</v>
      </c>
      <c r="U34" s="10">
        <f t="shared" si="5"/>
        <v>3240</v>
      </c>
      <c r="V34" s="7">
        <f t="shared" si="6"/>
        <v>3.24</v>
      </c>
      <c r="W34" s="7">
        <f t="shared" si="7"/>
        <v>3.726</v>
      </c>
    </row>
    <row r="35" spans="1:23">
      <c r="A35" s="10">
        <v>2021</v>
      </c>
      <c r="B35" s="10">
        <v>201</v>
      </c>
      <c r="C35" s="10">
        <v>2</v>
      </c>
      <c r="D35" s="10">
        <v>5</v>
      </c>
      <c r="E35" s="88" t="s">
        <v>54</v>
      </c>
      <c r="F35" s="10">
        <v>3777.2</v>
      </c>
      <c r="G35" s="10">
        <v>1869.8</v>
      </c>
      <c r="H35" s="10">
        <f t="shared" si="0"/>
        <v>1814</v>
      </c>
      <c r="I35" s="10">
        <v>517.6</v>
      </c>
      <c r="J35" s="10">
        <f t="shared" si="1"/>
        <v>461.8</v>
      </c>
      <c r="K35" s="10">
        <v>323</v>
      </c>
      <c r="L35" s="10">
        <f t="shared" si="2"/>
        <v>267.2</v>
      </c>
      <c r="N35" s="113" t="s">
        <v>601</v>
      </c>
      <c r="O35" s="10">
        <v>3</v>
      </c>
      <c r="P35" s="10">
        <v>6</v>
      </c>
      <c r="Q35" s="10">
        <f>H58+H59</f>
        <v>2935.5</v>
      </c>
      <c r="R35" s="10">
        <f>L58+L59</f>
        <v>309.5</v>
      </c>
      <c r="S35" s="10">
        <f t="shared" si="3"/>
        <v>2626</v>
      </c>
      <c r="T35" s="10">
        <f t="shared" si="4"/>
        <v>89.456651337080558</v>
      </c>
      <c r="U35" s="10">
        <f t="shared" si="5"/>
        <v>3095</v>
      </c>
      <c r="V35" s="7">
        <f t="shared" si="6"/>
        <v>3.0950000000000002</v>
      </c>
      <c r="W35" s="7">
        <f t="shared" si="7"/>
        <v>3.55925</v>
      </c>
    </row>
    <row r="36" spans="1:23">
      <c r="A36" s="10">
        <v>2021</v>
      </c>
      <c r="B36" s="10">
        <v>201</v>
      </c>
      <c r="C36" s="10">
        <v>2</v>
      </c>
      <c r="D36" s="10">
        <v>5</v>
      </c>
      <c r="E36" s="10" t="s">
        <v>55</v>
      </c>
      <c r="F36" s="10">
        <v>3951.8</v>
      </c>
      <c r="G36" s="10">
        <v>1745.5</v>
      </c>
      <c r="H36" s="10">
        <f t="shared" si="0"/>
        <v>1689.7</v>
      </c>
      <c r="I36" s="10">
        <v>832.8</v>
      </c>
      <c r="J36" s="10">
        <f t="shared" si="1"/>
        <v>777</v>
      </c>
      <c r="K36" s="10">
        <v>272.8</v>
      </c>
      <c r="L36" s="10">
        <f t="shared" si="2"/>
        <v>217</v>
      </c>
      <c r="N36" s="113" t="s">
        <v>602</v>
      </c>
      <c r="O36" s="10">
        <v>3</v>
      </c>
      <c r="P36" s="10">
        <v>7</v>
      </c>
      <c r="Q36" s="10">
        <f>H60+H61</f>
        <v>2759.5</v>
      </c>
      <c r="R36" s="10">
        <f>L60+L61</f>
        <v>312</v>
      </c>
      <c r="S36" s="10">
        <f t="shared" si="3"/>
        <v>2447.5</v>
      </c>
      <c r="T36" s="10">
        <f t="shared" si="4"/>
        <v>88.693603913752497</v>
      </c>
      <c r="U36" s="10">
        <f t="shared" si="5"/>
        <v>3120</v>
      </c>
      <c r="V36" s="7">
        <f t="shared" si="6"/>
        <v>3.12</v>
      </c>
      <c r="W36" s="7">
        <f t="shared" si="7"/>
        <v>3.5879999999999996</v>
      </c>
    </row>
    <row r="37" spans="1:23">
      <c r="A37" s="10">
        <v>2021</v>
      </c>
      <c r="B37" s="10">
        <v>201</v>
      </c>
      <c r="C37" s="10">
        <v>2</v>
      </c>
      <c r="D37" s="10">
        <v>6</v>
      </c>
      <c r="E37" s="10" t="s">
        <v>54</v>
      </c>
      <c r="F37" s="10">
        <v>4144.3</v>
      </c>
      <c r="G37" s="10">
        <v>1817.7</v>
      </c>
      <c r="H37" s="10">
        <f t="shared" si="0"/>
        <v>1761.9</v>
      </c>
      <c r="I37" s="10">
        <v>710.5</v>
      </c>
      <c r="J37" s="10">
        <f t="shared" si="1"/>
        <v>654.70000000000005</v>
      </c>
      <c r="K37" s="10">
        <v>291.60000000000002</v>
      </c>
      <c r="L37" s="10">
        <f t="shared" si="2"/>
        <v>235.8</v>
      </c>
      <c r="N37" s="113" t="s">
        <v>603</v>
      </c>
      <c r="O37" s="10">
        <v>3</v>
      </c>
      <c r="P37" s="10">
        <v>8</v>
      </c>
      <c r="Q37" s="10">
        <f>H62+H63</f>
        <v>2890.6000000000004</v>
      </c>
      <c r="R37" s="10">
        <f>L62+L63</f>
        <v>357.1</v>
      </c>
      <c r="S37" s="10">
        <f t="shared" si="3"/>
        <v>2533.5000000000005</v>
      </c>
      <c r="T37" s="10">
        <f t="shared" si="4"/>
        <v>87.646163426278292</v>
      </c>
      <c r="U37" s="10">
        <f t="shared" si="5"/>
        <v>3571</v>
      </c>
      <c r="V37" s="7">
        <f t="shared" si="6"/>
        <v>3.5710000000000002</v>
      </c>
      <c r="W37" s="7">
        <f t="shared" si="7"/>
        <v>4.1066500000000001</v>
      </c>
    </row>
    <row r="38" spans="1:23">
      <c r="A38" s="10">
        <v>2021</v>
      </c>
      <c r="B38" s="10">
        <v>201</v>
      </c>
      <c r="C38" s="10">
        <v>2</v>
      </c>
      <c r="D38" s="10">
        <v>6</v>
      </c>
      <c r="E38" s="10" t="s">
        <v>55</v>
      </c>
      <c r="F38" s="10">
        <v>4173.3</v>
      </c>
      <c r="G38" s="10">
        <v>1949.1</v>
      </c>
      <c r="H38" s="10">
        <f t="shared" si="0"/>
        <v>1893.3</v>
      </c>
      <c r="I38" s="10">
        <v>824.3</v>
      </c>
      <c r="J38" s="10">
        <f t="shared" si="1"/>
        <v>768.5</v>
      </c>
      <c r="K38" s="10">
        <v>289.2</v>
      </c>
      <c r="L38" s="10">
        <f t="shared" si="2"/>
        <v>233.39999999999998</v>
      </c>
      <c r="N38" s="113" t="s">
        <v>604</v>
      </c>
      <c r="O38" s="10">
        <v>3</v>
      </c>
      <c r="P38" s="10">
        <v>9</v>
      </c>
      <c r="Q38" s="10">
        <f>H64+H65</f>
        <v>2799.4</v>
      </c>
      <c r="R38" s="10">
        <f>L64+L65</f>
        <v>292.60000000000002</v>
      </c>
      <c r="S38" s="10">
        <f t="shared" si="3"/>
        <v>2506.8000000000002</v>
      </c>
      <c r="T38" s="10">
        <f t="shared" si="4"/>
        <v>89.547760234335939</v>
      </c>
      <c r="U38" s="10">
        <f t="shared" si="5"/>
        <v>2926</v>
      </c>
      <c r="V38" s="7">
        <f t="shared" si="6"/>
        <v>2.9260000000000002</v>
      </c>
      <c r="W38" s="7">
        <f t="shared" si="7"/>
        <v>3.3649</v>
      </c>
    </row>
    <row r="39" spans="1:23">
      <c r="A39" s="10">
        <v>2021</v>
      </c>
      <c r="B39" s="10">
        <v>201</v>
      </c>
      <c r="C39" s="10">
        <v>2</v>
      </c>
      <c r="D39" s="10">
        <v>7</v>
      </c>
      <c r="E39" s="88" t="s">
        <v>54</v>
      </c>
      <c r="F39" s="10">
        <v>3907.3</v>
      </c>
      <c r="G39" s="10">
        <v>1596.6</v>
      </c>
      <c r="H39" s="10">
        <f t="shared" si="0"/>
        <v>1540.8</v>
      </c>
      <c r="I39" s="10">
        <v>673.2</v>
      </c>
      <c r="J39" s="10">
        <f t="shared" si="1"/>
        <v>617.40000000000009</v>
      </c>
      <c r="K39" s="10">
        <v>257.10000000000002</v>
      </c>
      <c r="L39" s="10">
        <f t="shared" si="2"/>
        <v>201.3</v>
      </c>
      <c r="N39" s="177" t="s">
        <v>605</v>
      </c>
      <c r="O39" s="173">
        <v>3</v>
      </c>
      <c r="P39" s="173">
        <v>11</v>
      </c>
      <c r="Q39" s="173">
        <v>943.80000000000007</v>
      </c>
      <c r="R39" s="173">
        <v>118.50000000000001</v>
      </c>
      <c r="S39" s="173">
        <f t="shared" si="3"/>
        <v>825.30000000000007</v>
      </c>
      <c r="T39" s="173">
        <f t="shared" si="4"/>
        <v>87.44437380801017</v>
      </c>
      <c r="U39" s="173">
        <f t="shared" si="5"/>
        <v>1185</v>
      </c>
      <c r="V39" s="4">
        <f t="shared" si="6"/>
        <v>1.1850000000000001</v>
      </c>
      <c r="W39" s="4">
        <f t="shared" si="7"/>
        <v>1.3627499999999999</v>
      </c>
    </row>
    <row r="40" spans="1:23">
      <c r="A40" s="10">
        <v>2021</v>
      </c>
      <c r="B40" s="10">
        <v>201</v>
      </c>
      <c r="C40" s="10">
        <v>2</v>
      </c>
      <c r="D40" s="10">
        <v>7</v>
      </c>
      <c r="E40" s="10" t="s">
        <v>55</v>
      </c>
      <c r="F40" s="10">
        <v>4210.3999999999996</v>
      </c>
      <c r="G40" s="10">
        <v>1875.2</v>
      </c>
      <c r="H40" s="10">
        <f t="shared" si="0"/>
        <v>1819.4</v>
      </c>
      <c r="I40" s="10">
        <v>702.3</v>
      </c>
      <c r="J40" s="10">
        <f t="shared" si="1"/>
        <v>646.5</v>
      </c>
      <c r="K40" s="10">
        <v>287.39999999999998</v>
      </c>
      <c r="L40" s="10">
        <f t="shared" si="2"/>
        <v>231.59999999999997</v>
      </c>
      <c r="N40" s="177" t="s">
        <v>606</v>
      </c>
      <c r="O40" s="173">
        <v>3</v>
      </c>
      <c r="P40" s="173">
        <v>12</v>
      </c>
      <c r="Q40" s="173">
        <v>1118.3</v>
      </c>
      <c r="R40" s="173">
        <v>146</v>
      </c>
      <c r="S40" s="173">
        <f t="shared" si="3"/>
        <v>972.3</v>
      </c>
      <c r="T40" s="173">
        <f t="shared" si="4"/>
        <v>86.944469283734236</v>
      </c>
      <c r="U40" s="173">
        <f t="shared" si="5"/>
        <v>1459.9999999999998</v>
      </c>
      <c r="V40" s="4">
        <f t="shared" si="6"/>
        <v>1.4599999999999997</v>
      </c>
      <c r="W40" s="4">
        <f t="shared" si="7"/>
        <v>1.6789999999999996</v>
      </c>
    </row>
    <row r="41" spans="1:23">
      <c r="A41" s="10">
        <v>2021</v>
      </c>
      <c r="B41" s="10">
        <v>201</v>
      </c>
      <c r="C41" s="10">
        <v>2</v>
      </c>
      <c r="D41" s="10">
        <v>8</v>
      </c>
      <c r="E41" s="10" t="s">
        <v>54</v>
      </c>
      <c r="F41" s="10">
        <v>4128.8</v>
      </c>
      <c r="G41" s="10">
        <v>1766.1</v>
      </c>
      <c r="H41" s="10">
        <f t="shared" si="0"/>
        <v>1710.3</v>
      </c>
      <c r="I41" s="10">
        <v>675.4</v>
      </c>
      <c r="J41" s="10">
        <f t="shared" si="1"/>
        <v>619.6</v>
      </c>
      <c r="K41" s="10">
        <v>264.10000000000002</v>
      </c>
      <c r="L41" s="10">
        <f t="shared" si="2"/>
        <v>208.3</v>
      </c>
      <c r="N41" s="177" t="s">
        <v>607</v>
      </c>
      <c r="O41" s="173">
        <v>3</v>
      </c>
      <c r="P41" s="173">
        <v>13</v>
      </c>
      <c r="Q41" s="173">
        <v>1063.7</v>
      </c>
      <c r="R41" s="173">
        <v>138.30000000000001</v>
      </c>
      <c r="S41" s="173">
        <f t="shared" si="3"/>
        <v>925.40000000000009</v>
      </c>
      <c r="T41" s="173">
        <f t="shared" si="4"/>
        <v>86.998213782081422</v>
      </c>
      <c r="U41" s="173">
        <f t="shared" si="5"/>
        <v>1383</v>
      </c>
      <c r="V41" s="4">
        <f t="shared" si="6"/>
        <v>1.383</v>
      </c>
      <c r="W41" s="4">
        <f t="shared" si="7"/>
        <v>1.5904499999999999</v>
      </c>
    </row>
    <row r="42" spans="1:23">
      <c r="A42" s="10">
        <v>2021</v>
      </c>
      <c r="B42" s="10">
        <v>201</v>
      </c>
      <c r="C42" s="10">
        <v>2</v>
      </c>
      <c r="D42" s="10">
        <v>8</v>
      </c>
      <c r="E42" s="10" t="s">
        <v>55</v>
      </c>
      <c r="F42" s="10">
        <v>3920.6</v>
      </c>
      <c r="G42" s="10">
        <v>1707</v>
      </c>
      <c r="H42" s="10">
        <f t="shared" si="0"/>
        <v>1651.2</v>
      </c>
      <c r="I42" s="10">
        <v>587.20000000000005</v>
      </c>
      <c r="J42" s="10">
        <f t="shared" si="1"/>
        <v>531.40000000000009</v>
      </c>
      <c r="K42" s="10">
        <v>282.3</v>
      </c>
      <c r="L42" s="10">
        <f t="shared" si="2"/>
        <v>226.5</v>
      </c>
      <c r="N42" s="113" t="s">
        <v>608</v>
      </c>
      <c r="O42" s="10">
        <v>4</v>
      </c>
      <c r="P42" s="10">
        <v>1</v>
      </c>
      <c r="Q42" s="10">
        <f>H69+H70</f>
        <v>3067.9</v>
      </c>
      <c r="R42" s="10">
        <f>L69+L70</f>
        <v>317.09999999999997</v>
      </c>
      <c r="S42" s="10">
        <f t="shared" si="3"/>
        <v>2750.8</v>
      </c>
      <c r="T42" s="10">
        <f t="shared" si="4"/>
        <v>89.663939502591347</v>
      </c>
      <c r="U42" s="10">
        <f t="shared" si="5"/>
        <v>3171</v>
      </c>
      <c r="V42" s="7">
        <f t="shared" si="6"/>
        <v>3.1709999999999998</v>
      </c>
      <c r="W42" s="7">
        <f t="shared" si="7"/>
        <v>3.6466499999999997</v>
      </c>
    </row>
    <row r="43" spans="1:23">
      <c r="A43" s="10">
        <v>2021</v>
      </c>
      <c r="B43" s="10">
        <v>201</v>
      </c>
      <c r="C43" s="10">
        <v>2</v>
      </c>
      <c r="D43" s="10">
        <v>9</v>
      </c>
      <c r="E43" s="88" t="s">
        <v>54</v>
      </c>
      <c r="F43" s="10">
        <v>4639.3</v>
      </c>
      <c r="G43" s="10">
        <v>2039.3</v>
      </c>
      <c r="H43" s="10">
        <f t="shared" si="0"/>
        <v>1983.5</v>
      </c>
      <c r="I43" s="10">
        <v>829.9</v>
      </c>
      <c r="J43" s="10">
        <f t="shared" si="1"/>
        <v>774.1</v>
      </c>
      <c r="K43" s="10">
        <v>295.60000000000002</v>
      </c>
      <c r="L43" s="10">
        <f t="shared" si="2"/>
        <v>239.8</v>
      </c>
      <c r="N43" s="113" t="s">
        <v>609</v>
      </c>
      <c r="O43" s="10">
        <v>4</v>
      </c>
      <c r="P43" s="10">
        <v>2</v>
      </c>
      <c r="Q43" s="10">
        <f>H71+H72</f>
        <v>3144.8</v>
      </c>
      <c r="R43" s="10">
        <f>L71+L72</f>
        <v>324.5</v>
      </c>
      <c r="S43" s="10">
        <f t="shared" si="3"/>
        <v>2820.3</v>
      </c>
      <c r="T43" s="10">
        <f t="shared" si="4"/>
        <v>89.681378784024417</v>
      </c>
      <c r="U43" s="10">
        <f t="shared" si="5"/>
        <v>3245</v>
      </c>
      <c r="V43" s="7">
        <f t="shared" si="6"/>
        <v>3.2450000000000001</v>
      </c>
      <c r="W43" s="7">
        <f t="shared" si="7"/>
        <v>3.7317499999999999</v>
      </c>
    </row>
    <row r="44" spans="1:23">
      <c r="A44" s="10">
        <v>2021</v>
      </c>
      <c r="B44" s="10">
        <v>201</v>
      </c>
      <c r="C44" s="10">
        <v>2</v>
      </c>
      <c r="D44" s="10">
        <v>9</v>
      </c>
      <c r="E44" s="10" t="s">
        <v>55</v>
      </c>
      <c r="F44" s="10">
        <v>4425.6000000000004</v>
      </c>
      <c r="G44" s="10">
        <v>1964</v>
      </c>
      <c r="H44" s="10">
        <f t="shared" si="0"/>
        <v>1908.2</v>
      </c>
      <c r="I44" s="10">
        <v>703.9</v>
      </c>
      <c r="J44" s="10">
        <f t="shared" si="1"/>
        <v>648.1</v>
      </c>
      <c r="K44" s="10">
        <v>309.5</v>
      </c>
      <c r="L44" s="10">
        <f t="shared" si="2"/>
        <v>253.7</v>
      </c>
      <c r="N44" s="113" t="s">
        <v>610</v>
      </c>
      <c r="O44" s="10">
        <v>4</v>
      </c>
      <c r="P44" s="10">
        <v>3</v>
      </c>
      <c r="Q44" s="10">
        <f>+H73+H74</f>
        <v>2737.6000000000004</v>
      </c>
      <c r="R44" s="10">
        <f>L73+L74</f>
        <v>320.39999999999998</v>
      </c>
      <c r="S44" s="10">
        <f t="shared" si="3"/>
        <v>2417.2000000000003</v>
      </c>
      <c r="T44" s="10">
        <f t="shared" si="4"/>
        <v>88.296317942723562</v>
      </c>
      <c r="U44" s="10">
        <f t="shared" si="5"/>
        <v>3203.9999999999995</v>
      </c>
      <c r="V44" s="7">
        <f t="shared" si="6"/>
        <v>3.2039999999999997</v>
      </c>
      <c r="W44" s="7">
        <f t="shared" si="7"/>
        <v>3.6845999999999992</v>
      </c>
    </row>
    <row r="45" spans="1:23">
      <c r="A45" s="10">
        <v>2021</v>
      </c>
      <c r="B45" s="10">
        <v>201</v>
      </c>
      <c r="C45" s="10">
        <v>2</v>
      </c>
      <c r="D45" s="10">
        <v>11</v>
      </c>
      <c r="E45" s="10" t="s">
        <v>54</v>
      </c>
      <c r="F45" s="10">
        <v>4044.3</v>
      </c>
      <c r="G45" s="10">
        <v>1640.1</v>
      </c>
      <c r="H45" s="10">
        <f t="shared" si="0"/>
        <v>1584.3</v>
      </c>
      <c r="I45" s="10">
        <v>428.8</v>
      </c>
      <c r="J45" s="10">
        <f t="shared" si="1"/>
        <v>373</v>
      </c>
      <c r="K45" s="10">
        <v>270.7</v>
      </c>
      <c r="L45" s="10">
        <f t="shared" si="2"/>
        <v>214.89999999999998</v>
      </c>
      <c r="N45" s="113" t="s">
        <v>611</v>
      </c>
      <c r="O45" s="10">
        <v>4</v>
      </c>
      <c r="P45" s="10">
        <v>4</v>
      </c>
      <c r="Q45" s="10">
        <f>H75+H76</f>
        <v>3410.2</v>
      </c>
      <c r="R45" s="10">
        <f>L75+L76</f>
        <v>365.7</v>
      </c>
      <c r="S45" s="10">
        <f t="shared" si="3"/>
        <v>3044.5</v>
      </c>
      <c r="T45" s="10">
        <f t="shared" si="4"/>
        <v>89.276288780716669</v>
      </c>
      <c r="U45" s="10">
        <f t="shared" si="5"/>
        <v>3656.9999999999995</v>
      </c>
      <c r="V45" s="7">
        <f t="shared" si="6"/>
        <v>3.6569999999999996</v>
      </c>
      <c r="W45" s="7">
        <f t="shared" si="7"/>
        <v>4.2055499999999988</v>
      </c>
    </row>
    <row r="46" spans="1:23">
      <c r="A46" s="10">
        <v>2021</v>
      </c>
      <c r="B46" s="10">
        <v>201</v>
      </c>
      <c r="C46" s="10">
        <v>2</v>
      </c>
      <c r="D46" s="10">
        <v>12</v>
      </c>
      <c r="E46" s="10" t="s">
        <v>54</v>
      </c>
      <c r="F46" s="10">
        <v>4385.5</v>
      </c>
      <c r="G46" s="10">
        <v>1454.3</v>
      </c>
      <c r="H46" s="10">
        <f t="shared" si="0"/>
        <v>1398.5</v>
      </c>
      <c r="I46" s="10">
        <v>377.3</v>
      </c>
      <c r="J46" s="10">
        <f t="shared" si="1"/>
        <v>321.5</v>
      </c>
      <c r="K46" s="10">
        <v>240.3</v>
      </c>
      <c r="L46" s="10">
        <f t="shared" si="2"/>
        <v>184.5</v>
      </c>
      <c r="N46" s="113" t="s">
        <v>612</v>
      </c>
      <c r="O46" s="10">
        <v>4</v>
      </c>
      <c r="P46" s="10">
        <v>5</v>
      </c>
      <c r="Q46" s="10">
        <f>H77+H78</f>
        <v>2958.6000000000004</v>
      </c>
      <c r="R46" s="10">
        <f>L77+L78</f>
        <v>296.8</v>
      </c>
      <c r="S46" s="10">
        <f t="shared" si="3"/>
        <v>2661.8</v>
      </c>
      <c r="T46" s="10">
        <f t="shared" si="4"/>
        <v>89.968228216048132</v>
      </c>
      <c r="U46" s="10">
        <f t="shared" si="5"/>
        <v>2968</v>
      </c>
      <c r="V46" s="7">
        <f t="shared" si="6"/>
        <v>2.968</v>
      </c>
      <c r="W46" s="7">
        <f t="shared" si="7"/>
        <v>3.4131999999999998</v>
      </c>
    </row>
    <row r="47" spans="1:23">
      <c r="A47" s="10">
        <v>2021</v>
      </c>
      <c r="B47" s="10">
        <v>201</v>
      </c>
      <c r="C47" s="10">
        <v>2</v>
      </c>
      <c r="D47" s="10">
        <v>13</v>
      </c>
      <c r="E47" s="88" t="s">
        <v>54</v>
      </c>
      <c r="F47" s="10">
        <v>3298.2</v>
      </c>
      <c r="G47" s="10">
        <v>1362.5</v>
      </c>
      <c r="H47" s="10">
        <f t="shared" si="0"/>
        <v>1306.7</v>
      </c>
      <c r="I47" s="10">
        <v>475.5</v>
      </c>
      <c r="J47" s="10">
        <f t="shared" si="1"/>
        <v>419.7</v>
      </c>
      <c r="K47" s="10">
        <v>229.8</v>
      </c>
      <c r="L47" s="10">
        <f t="shared" si="2"/>
        <v>174</v>
      </c>
      <c r="N47" s="113" t="s">
        <v>613</v>
      </c>
      <c r="O47" s="10">
        <v>4</v>
      </c>
      <c r="P47" s="10">
        <v>6</v>
      </c>
      <c r="Q47" s="10">
        <f>H79+H80</f>
        <v>2780.9</v>
      </c>
      <c r="R47" s="10">
        <f>L79+L80</f>
        <v>287.60000000000002</v>
      </c>
      <c r="S47" s="10">
        <f t="shared" si="3"/>
        <v>2493.3000000000002</v>
      </c>
      <c r="T47" s="10">
        <f t="shared" si="4"/>
        <v>89.658024380596217</v>
      </c>
      <c r="U47" s="10">
        <f t="shared" si="5"/>
        <v>2876</v>
      </c>
      <c r="V47" s="7">
        <f t="shared" si="6"/>
        <v>2.8759999999999999</v>
      </c>
      <c r="W47" s="7">
        <f t="shared" si="7"/>
        <v>3.3073999999999995</v>
      </c>
    </row>
    <row r="48" spans="1:23">
      <c r="A48" s="10">
        <v>2021</v>
      </c>
      <c r="B48" s="10">
        <v>201</v>
      </c>
      <c r="C48" s="10">
        <v>3</v>
      </c>
      <c r="D48" s="10">
        <v>1</v>
      </c>
      <c r="E48" s="88" t="s">
        <v>54</v>
      </c>
      <c r="F48" s="10">
        <v>4127</v>
      </c>
      <c r="G48" s="10">
        <v>1720.2</v>
      </c>
      <c r="H48" s="10">
        <f t="shared" si="0"/>
        <v>1664.4</v>
      </c>
      <c r="I48" s="10">
        <v>663.9</v>
      </c>
      <c r="J48" s="10">
        <f t="shared" si="1"/>
        <v>608.1</v>
      </c>
      <c r="K48" s="10">
        <v>251.6</v>
      </c>
      <c r="L48" s="10">
        <f t="shared" si="2"/>
        <v>195.8</v>
      </c>
      <c r="N48" s="113" t="s">
        <v>614</v>
      </c>
      <c r="O48" s="10">
        <v>4</v>
      </c>
      <c r="P48" s="10">
        <v>7</v>
      </c>
      <c r="Q48" s="10">
        <f>H81+H82</f>
        <v>3539.5</v>
      </c>
      <c r="R48" s="10">
        <f>L81+L82</f>
        <v>391.6</v>
      </c>
      <c r="S48" s="10">
        <f t="shared" si="3"/>
        <v>3147.9</v>
      </c>
      <c r="T48" s="10">
        <f t="shared" si="4"/>
        <v>88.936290436502333</v>
      </c>
      <c r="U48" s="10">
        <f t="shared" si="5"/>
        <v>3916</v>
      </c>
      <c r="V48" s="7">
        <f t="shared" si="6"/>
        <v>3.9159999999999999</v>
      </c>
      <c r="W48" s="7">
        <f t="shared" si="7"/>
        <v>4.5033999999999992</v>
      </c>
    </row>
    <row r="49" spans="1:23">
      <c r="A49" s="10">
        <v>2021</v>
      </c>
      <c r="B49" s="10">
        <v>201</v>
      </c>
      <c r="C49" s="10">
        <v>3</v>
      </c>
      <c r="D49" s="10">
        <v>1</v>
      </c>
      <c r="E49" s="10" t="s">
        <v>55</v>
      </c>
      <c r="F49" s="10">
        <v>4422.1000000000004</v>
      </c>
      <c r="G49" s="10">
        <v>1676.8</v>
      </c>
      <c r="H49" s="10">
        <f t="shared" si="0"/>
        <v>1621</v>
      </c>
      <c r="I49" s="10">
        <v>676.4</v>
      </c>
      <c r="J49" s="10">
        <f t="shared" si="1"/>
        <v>620.6</v>
      </c>
      <c r="K49" s="10">
        <v>237.1</v>
      </c>
      <c r="L49" s="10">
        <f t="shared" si="2"/>
        <v>181.3</v>
      </c>
      <c r="N49" s="113" t="s">
        <v>615</v>
      </c>
      <c r="O49" s="10">
        <v>4</v>
      </c>
      <c r="P49" s="10">
        <v>8</v>
      </c>
      <c r="Q49" s="10">
        <f>H83+H84</f>
        <v>3380.9</v>
      </c>
      <c r="R49" s="10">
        <f>L83+L84</f>
        <v>373.70000000000005</v>
      </c>
      <c r="S49" s="10">
        <f t="shared" si="3"/>
        <v>3007.2</v>
      </c>
      <c r="T49" s="10">
        <f t="shared" si="4"/>
        <v>88.946730160608112</v>
      </c>
      <c r="U49" s="10">
        <f t="shared" si="5"/>
        <v>3737</v>
      </c>
      <c r="V49" s="7">
        <f t="shared" si="6"/>
        <v>3.7370000000000001</v>
      </c>
      <c r="W49" s="7">
        <f t="shared" si="7"/>
        <v>4.2975500000000002</v>
      </c>
    </row>
    <row r="50" spans="1:23">
      <c r="A50" s="10">
        <v>2021</v>
      </c>
      <c r="B50" s="10">
        <v>201</v>
      </c>
      <c r="C50" s="10">
        <v>3</v>
      </c>
      <c r="D50" s="10">
        <v>2</v>
      </c>
      <c r="E50" s="10" t="s">
        <v>54</v>
      </c>
      <c r="F50" s="10">
        <v>3740.1</v>
      </c>
      <c r="G50" s="10">
        <v>1483.5</v>
      </c>
      <c r="H50" s="10">
        <f t="shared" si="0"/>
        <v>1427.7</v>
      </c>
      <c r="I50" s="10">
        <v>436.7</v>
      </c>
      <c r="J50" s="10">
        <f t="shared" si="1"/>
        <v>380.9</v>
      </c>
      <c r="K50" s="10">
        <v>246.5</v>
      </c>
      <c r="L50" s="10">
        <f t="shared" si="2"/>
        <v>190.7</v>
      </c>
      <c r="N50" s="113" t="s">
        <v>616</v>
      </c>
      <c r="O50" s="10">
        <v>4</v>
      </c>
      <c r="P50" s="10">
        <v>9</v>
      </c>
      <c r="Q50" s="10">
        <f>H85+H86</f>
        <v>2905.5</v>
      </c>
      <c r="R50" s="10">
        <f>L85+L86</f>
        <v>324.7</v>
      </c>
      <c r="S50" s="10">
        <f t="shared" si="3"/>
        <v>2580.8000000000002</v>
      </c>
      <c r="T50" s="10">
        <f t="shared" si="4"/>
        <v>88.824642918602663</v>
      </c>
      <c r="U50" s="10">
        <f t="shared" si="5"/>
        <v>3246.9999999999995</v>
      </c>
      <c r="V50" s="7">
        <f t="shared" si="6"/>
        <v>3.2469999999999994</v>
      </c>
      <c r="W50" s="7">
        <f t="shared" si="7"/>
        <v>3.734049999999999</v>
      </c>
    </row>
    <row r="51" spans="1:23">
      <c r="A51" s="10">
        <v>2021</v>
      </c>
      <c r="B51" s="10">
        <v>201</v>
      </c>
      <c r="C51" s="10">
        <v>3</v>
      </c>
      <c r="D51" s="10">
        <v>2</v>
      </c>
      <c r="E51" s="10" t="s">
        <v>55</v>
      </c>
      <c r="F51" s="10">
        <v>4028.3</v>
      </c>
      <c r="G51" s="10">
        <v>1598.4</v>
      </c>
      <c r="H51" s="10">
        <f t="shared" si="0"/>
        <v>1542.6000000000001</v>
      </c>
      <c r="I51" s="10">
        <v>482</v>
      </c>
      <c r="J51" s="10">
        <f t="shared" si="1"/>
        <v>426.2</v>
      </c>
      <c r="K51" s="10">
        <v>254.5</v>
      </c>
      <c r="L51" s="10">
        <f t="shared" si="2"/>
        <v>198.7</v>
      </c>
      <c r="N51" s="177" t="s">
        <v>617</v>
      </c>
      <c r="O51" s="173">
        <v>4</v>
      </c>
      <c r="P51" s="173">
        <v>11</v>
      </c>
      <c r="Q51" s="173">
        <v>1499</v>
      </c>
      <c r="R51" s="173">
        <v>204.09999999999997</v>
      </c>
      <c r="S51" s="173">
        <f t="shared" si="3"/>
        <v>1294.9000000000001</v>
      </c>
      <c r="T51" s="173">
        <f t="shared" si="4"/>
        <v>86.384256170780532</v>
      </c>
      <c r="U51" s="173">
        <f t="shared" si="5"/>
        <v>2040.9999999999998</v>
      </c>
      <c r="V51" s="4">
        <f t="shared" si="6"/>
        <v>2.0409999999999999</v>
      </c>
      <c r="W51" s="4">
        <f t="shared" si="7"/>
        <v>2.3471499999999996</v>
      </c>
    </row>
    <row r="52" spans="1:23">
      <c r="A52" s="10">
        <v>2021</v>
      </c>
      <c r="B52" s="10">
        <v>201</v>
      </c>
      <c r="C52" s="10">
        <v>3</v>
      </c>
      <c r="D52" s="10">
        <v>3</v>
      </c>
      <c r="E52" s="88" t="s">
        <v>54</v>
      </c>
      <c r="F52" s="10">
        <v>3971.1</v>
      </c>
      <c r="G52" s="10">
        <v>1677.2</v>
      </c>
      <c r="H52" s="10">
        <f t="shared" si="0"/>
        <v>1621.4</v>
      </c>
      <c r="I52" s="10">
        <v>455.2</v>
      </c>
      <c r="J52" s="10">
        <f t="shared" si="1"/>
        <v>399.4</v>
      </c>
      <c r="K52" s="10">
        <v>193.6</v>
      </c>
      <c r="L52" s="10">
        <f t="shared" si="2"/>
        <v>137.80000000000001</v>
      </c>
      <c r="N52" s="177" t="s">
        <v>618</v>
      </c>
      <c r="O52" s="173">
        <v>4</v>
      </c>
      <c r="P52" s="173">
        <v>12</v>
      </c>
      <c r="Q52" s="173">
        <v>1358.2</v>
      </c>
      <c r="R52" s="173">
        <v>163.69999999999999</v>
      </c>
      <c r="S52" s="173">
        <f t="shared" si="3"/>
        <v>1194.5</v>
      </c>
      <c r="T52" s="173">
        <f t="shared" si="4"/>
        <v>87.947283168900015</v>
      </c>
      <c r="U52" s="173">
        <f t="shared" si="5"/>
        <v>1636.9999999999998</v>
      </c>
      <c r="V52" s="4">
        <f t="shared" si="6"/>
        <v>1.6369999999999998</v>
      </c>
      <c r="W52" s="4">
        <f t="shared" si="7"/>
        <v>1.8825499999999995</v>
      </c>
    </row>
    <row r="53" spans="1:23">
      <c r="A53" s="10">
        <v>2021</v>
      </c>
      <c r="B53" s="10">
        <v>201</v>
      </c>
      <c r="C53" s="10">
        <v>3</v>
      </c>
      <c r="D53" s="10">
        <v>3</v>
      </c>
      <c r="E53" s="10" t="s">
        <v>55</v>
      </c>
      <c r="F53" s="10">
        <v>3192</v>
      </c>
      <c r="G53" s="10">
        <v>1424.2</v>
      </c>
      <c r="H53" s="10">
        <f t="shared" si="0"/>
        <v>1368.4</v>
      </c>
      <c r="I53" s="10">
        <v>575.1</v>
      </c>
      <c r="J53" s="10">
        <f t="shared" si="1"/>
        <v>519.30000000000007</v>
      </c>
      <c r="K53" s="10">
        <v>209.6</v>
      </c>
      <c r="L53" s="10">
        <f t="shared" si="2"/>
        <v>153.80000000000001</v>
      </c>
      <c r="N53" s="177" t="s">
        <v>619</v>
      </c>
      <c r="O53" s="173">
        <v>4</v>
      </c>
      <c r="P53" s="173">
        <v>13</v>
      </c>
      <c r="Q53" s="173">
        <v>922.1</v>
      </c>
      <c r="R53" s="173">
        <v>105.10000000000001</v>
      </c>
      <c r="S53" s="173">
        <f t="shared" si="3"/>
        <v>817</v>
      </c>
      <c r="T53" s="173">
        <f t="shared" si="4"/>
        <v>88.602103893287065</v>
      </c>
      <c r="U53" s="173">
        <f t="shared" si="5"/>
        <v>1051</v>
      </c>
      <c r="V53" s="4">
        <f t="shared" si="6"/>
        <v>1.0509999999999999</v>
      </c>
      <c r="W53" s="4">
        <f t="shared" si="7"/>
        <v>1.2086499999999998</v>
      </c>
    </row>
    <row r="54" spans="1:23">
      <c r="A54" s="10">
        <v>2021</v>
      </c>
      <c r="B54" s="10">
        <v>201</v>
      </c>
      <c r="C54" s="10">
        <v>3</v>
      </c>
      <c r="D54" s="10">
        <v>4</v>
      </c>
      <c r="E54" s="10" t="s">
        <v>54</v>
      </c>
      <c r="F54" s="10">
        <v>3722.6</v>
      </c>
      <c r="G54" s="10">
        <v>1366.8</v>
      </c>
      <c r="H54" s="10">
        <f t="shared" si="0"/>
        <v>1311</v>
      </c>
      <c r="I54" s="10">
        <v>364.1</v>
      </c>
      <c r="J54" s="10">
        <f t="shared" si="1"/>
        <v>308.3</v>
      </c>
      <c r="K54" s="10">
        <v>227.9</v>
      </c>
      <c r="L54" s="10">
        <f t="shared" si="2"/>
        <v>172.10000000000002</v>
      </c>
    </row>
    <row r="55" spans="1:23">
      <c r="A55" s="10">
        <v>2021</v>
      </c>
      <c r="B55" s="10">
        <v>201</v>
      </c>
      <c r="C55" s="10">
        <v>3</v>
      </c>
      <c r="D55" s="10">
        <v>4</v>
      </c>
      <c r="E55" s="10" t="s">
        <v>55</v>
      </c>
      <c r="F55" s="10">
        <v>3666.4</v>
      </c>
      <c r="G55" s="10">
        <v>1345.1</v>
      </c>
      <c r="H55" s="10">
        <f t="shared" si="0"/>
        <v>1289.3</v>
      </c>
      <c r="I55" s="10">
        <v>453.9</v>
      </c>
      <c r="J55" s="10">
        <f t="shared" si="1"/>
        <v>398.09999999999997</v>
      </c>
      <c r="K55" s="10">
        <v>209.5</v>
      </c>
      <c r="L55" s="10">
        <f t="shared" si="2"/>
        <v>153.69999999999999</v>
      </c>
    </row>
    <row r="56" spans="1:23">
      <c r="A56" s="10">
        <v>2021</v>
      </c>
      <c r="B56" s="10">
        <v>201</v>
      </c>
      <c r="C56" s="10">
        <v>3</v>
      </c>
      <c r="D56" s="10">
        <v>5</v>
      </c>
      <c r="E56" s="88" t="s">
        <v>54</v>
      </c>
      <c r="F56" s="10">
        <v>3596.6</v>
      </c>
      <c r="G56" s="10">
        <v>1510.6</v>
      </c>
      <c r="H56" s="10">
        <f t="shared" si="0"/>
        <v>1454.8</v>
      </c>
      <c r="I56" s="10">
        <v>585.29999999999995</v>
      </c>
      <c r="J56" s="10">
        <f t="shared" si="1"/>
        <v>529.5</v>
      </c>
      <c r="K56" s="10">
        <v>221.6</v>
      </c>
      <c r="L56" s="10">
        <f t="shared" si="2"/>
        <v>165.8</v>
      </c>
    </row>
    <row r="57" spans="1:23">
      <c r="A57" s="10">
        <v>2021</v>
      </c>
      <c r="B57" s="10">
        <v>201</v>
      </c>
      <c r="C57" s="10">
        <v>3</v>
      </c>
      <c r="D57" s="10">
        <v>5</v>
      </c>
      <c r="E57" s="10" t="s">
        <v>55</v>
      </c>
      <c r="F57" s="10">
        <v>2932</v>
      </c>
      <c r="G57" s="10">
        <v>1313.4</v>
      </c>
      <c r="H57" s="10">
        <f t="shared" si="0"/>
        <v>1257.6000000000001</v>
      </c>
      <c r="I57" s="10">
        <v>306.8</v>
      </c>
      <c r="J57" s="10">
        <f t="shared" si="1"/>
        <v>251</v>
      </c>
      <c r="K57" s="10">
        <v>214</v>
      </c>
      <c r="L57" s="10">
        <f t="shared" si="2"/>
        <v>158.19999999999999</v>
      </c>
    </row>
    <row r="58" spans="1:23">
      <c r="A58" s="10">
        <v>2021</v>
      </c>
      <c r="B58" s="10">
        <v>201</v>
      </c>
      <c r="C58" s="10">
        <v>3</v>
      </c>
      <c r="D58" s="10">
        <v>6</v>
      </c>
      <c r="E58" s="10" t="s">
        <v>54</v>
      </c>
      <c r="F58" s="10">
        <v>3131.8</v>
      </c>
      <c r="G58" s="10">
        <v>1522.5</v>
      </c>
      <c r="H58" s="10">
        <f t="shared" si="0"/>
        <v>1466.7</v>
      </c>
      <c r="I58" s="10">
        <v>441.2</v>
      </c>
      <c r="J58" s="10">
        <f t="shared" si="1"/>
        <v>385.4</v>
      </c>
      <c r="K58" s="10">
        <v>191.7</v>
      </c>
      <c r="L58" s="10">
        <f t="shared" si="2"/>
        <v>135.89999999999998</v>
      </c>
    </row>
    <row r="59" spans="1:23">
      <c r="A59" s="10">
        <v>2021</v>
      </c>
      <c r="B59" s="10">
        <v>201</v>
      </c>
      <c r="C59" s="10">
        <v>3</v>
      </c>
      <c r="D59" s="10">
        <v>6</v>
      </c>
      <c r="E59" s="10" t="s">
        <v>55</v>
      </c>
      <c r="F59" s="10">
        <v>3769.1</v>
      </c>
      <c r="G59" s="10">
        <v>1524.6</v>
      </c>
      <c r="H59" s="10">
        <f t="shared" si="0"/>
        <v>1468.8</v>
      </c>
      <c r="I59" s="10">
        <v>634.79999999999995</v>
      </c>
      <c r="J59" s="10">
        <f t="shared" si="1"/>
        <v>579</v>
      </c>
      <c r="K59" s="10">
        <v>229.4</v>
      </c>
      <c r="L59" s="10">
        <f t="shared" si="2"/>
        <v>173.60000000000002</v>
      </c>
    </row>
    <row r="60" spans="1:23">
      <c r="A60" s="10">
        <v>2021</v>
      </c>
      <c r="B60" s="10">
        <v>201</v>
      </c>
      <c r="C60" s="10">
        <v>3</v>
      </c>
      <c r="D60" s="10">
        <v>7</v>
      </c>
      <c r="E60" s="88" t="s">
        <v>54</v>
      </c>
      <c r="F60" s="10">
        <v>3237.3</v>
      </c>
      <c r="G60" s="10">
        <v>1299.7</v>
      </c>
      <c r="H60" s="10">
        <f t="shared" si="0"/>
        <v>1243.9000000000001</v>
      </c>
      <c r="I60" s="10">
        <v>358.4</v>
      </c>
      <c r="J60" s="10">
        <f t="shared" si="1"/>
        <v>302.59999999999997</v>
      </c>
      <c r="K60" s="10">
        <v>196.3</v>
      </c>
      <c r="L60" s="10">
        <f t="shared" si="2"/>
        <v>140.5</v>
      </c>
    </row>
    <row r="61" spans="1:23">
      <c r="A61" s="10">
        <v>2021</v>
      </c>
      <c r="B61" s="10">
        <v>201</v>
      </c>
      <c r="C61" s="10">
        <v>3</v>
      </c>
      <c r="D61" s="10">
        <v>7</v>
      </c>
      <c r="E61" s="10" t="s">
        <v>55</v>
      </c>
      <c r="F61" s="10">
        <v>3832.2</v>
      </c>
      <c r="G61" s="10">
        <v>1571.4</v>
      </c>
      <c r="H61" s="10">
        <f t="shared" si="0"/>
        <v>1515.6000000000001</v>
      </c>
      <c r="I61" s="10">
        <v>474.3</v>
      </c>
      <c r="J61" s="10">
        <f t="shared" si="1"/>
        <v>418.5</v>
      </c>
      <c r="K61" s="10">
        <v>227.3</v>
      </c>
      <c r="L61" s="10">
        <f t="shared" si="2"/>
        <v>171.5</v>
      </c>
    </row>
    <row r="62" spans="1:23">
      <c r="A62" s="10">
        <v>2021</v>
      </c>
      <c r="B62" s="10">
        <v>201</v>
      </c>
      <c r="C62" s="10">
        <v>3</v>
      </c>
      <c r="D62" s="10">
        <v>8</v>
      </c>
      <c r="E62" s="10" t="s">
        <v>54</v>
      </c>
      <c r="F62" s="10">
        <v>3085.8</v>
      </c>
      <c r="G62" s="10">
        <v>1301</v>
      </c>
      <c r="H62" s="10">
        <f t="shared" si="0"/>
        <v>1245.2</v>
      </c>
      <c r="I62" s="10">
        <v>337.2</v>
      </c>
      <c r="J62" s="10">
        <f t="shared" si="1"/>
        <v>281.39999999999998</v>
      </c>
      <c r="K62" s="10">
        <v>197.6</v>
      </c>
      <c r="L62" s="10">
        <f t="shared" si="2"/>
        <v>141.80000000000001</v>
      </c>
    </row>
    <row r="63" spans="1:23">
      <c r="A63" s="10">
        <v>2021</v>
      </c>
      <c r="B63" s="10">
        <v>201</v>
      </c>
      <c r="C63" s="10">
        <v>3</v>
      </c>
      <c r="D63" s="10">
        <v>8</v>
      </c>
      <c r="E63" s="10" t="s">
        <v>55</v>
      </c>
      <c r="F63" s="10">
        <v>3672.5</v>
      </c>
      <c r="G63" s="10">
        <v>1701.2</v>
      </c>
      <c r="H63" s="10">
        <f t="shared" si="0"/>
        <v>1645.4</v>
      </c>
      <c r="I63" s="10">
        <v>558.1</v>
      </c>
      <c r="J63" s="10">
        <f t="shared" si="1"/>
        <v>502.3</v>
      </c>
      <c r="K63" s="10">
        <v>271.10000000000002</v>
      </c>
      <c r="L63" s="10">
        <f t="shared" si="2"/>
        <v>215.3</v>
      </c>
    </row>
    <row r="64" spans="1:23">
      <c r="A64" s="10">
        <v>2021</v>
      </c>
      <c r="B64" s="10">
        <v>201</v>
      </c>
      <c r="C64" s="10">
        <v>3</v>
      </c>
      <c r="D64" s="10">
        <v>9</v>
      </c>
      <c r="E64" s="88" t="s">
        <v>54</v>
      </c>
      <c r="F64" s="10">
        <v>3540.4</v>
      </c>
      <c r="G64" s="10">
        <v>1668.4</v>
      </c>
      <c r="H64" s="10">
        <f t="shared" si="0"/>
        <v>1612.6000000000001</v>
      </c>
      <c r="I64" s="10">
        <v>514</v>
      </c>
      <c r="J64" s="10">
        <f t="shared" si="1"/>
        <v>458.2</v>
      </c>
      <c r="K64" s="10">
        <v>229.8</v>
      </c>
      <c r="L64" s="10">
        <f t="shared" si="2"/>
        <v>174</v>
      </c>
    </row>
    <row r="65" spans="1:12">
      <c r="A65" s="10">
        <v>2021</v>
      </c>
      <c r="B65" s="10">
        <v>201</v>
      </c>
      <c r="C65" s="10">
        <v>3</v>
      </c>
      <c r="D65" s="10">
        <v>9</v>
      </c>
      <c r="E65" s="10" t="s">
        <v>55</v>
      </c>
      <c r="F65" s="10">
        <v>3406.4</v>
      </c>
      <c r="G65" s="10">
        <v>1242.5999999999999</v>
      </c>
      <c r="H65" s="10">
        <f t="shared" si="0"/>
        <v>1186.8</v>
      </c>
      <c r="I65" s="10">
        <v>369.3</v>
      </c>
      <c r="J65" s="10">
        <f t="shared" si="1"/>
        <v>313.5</v>
      </c>
      <c r="K65" s="10">
        <v>174.4</v>
      </c>
      <c r="L65" s="10">
        <f t="shared" si="2"/>
        <v>118.60000000000001</v>
      </c>
    </row>
    <row r="66" spans="1:12">
      <c r="A66" s="10">
        <v>2021</v>
      </c>
      <c r="B66" s="10">
        <v>201</v>
      </c>
      <c r="C66" s="10">
        <v>3</v>
      </c>
      <c r="D66" s="10">
        <v>11</v>
      </c>
      <c r="E66" s="10" t="s">
        <v>54</v>
      </c>
      <c r="F66" s="10">
        <v>2072.8000000000002</v>
      </c>
      <c r="G66" s="10">
        <v>999.6</v>
      </c>
      <c r="H66" s="10">
        <f t="shared" si="0"/>
        <v>943.80000000000007</v>
      </c>
      <c r="I66" s="10">
        <v>329.9</v>
      </c>
      <c r="J66" s="10">
        <f t="shared" si="1"/>
        <v>274.09999999999997</v>
      </c>
      <c r="K66" s="10">
        <v>174.3</v>
      </c>
      <c r="L66" s="10">
        <f t="shared" si="2"/>
        <v>118.50000000000001</v>
      </c>
    </row>
    <row r="67" spans="1:12">
      <c r="A67" s="10">
        <v>2021</v>
      </c>
      <c r="B67" s="10">
        <v>201</v>
      </c>
      <c r="C67" s="10">
        <v>3</v>
      </c>
      <c r="D67" s="10">
        <v>12</v>
      </c>
      <c r="E67" s="10" t="s">
        <v>54</v>
      </c>
      <c r="F67" s="10">
        <v>2824.6</v>
      </c>
      <c r="G67" s="10">
        <v>1174.0999999999999</v>
      </c>
      <c r="H67" s="10">
        <f t="shared" si="0"/>
        <v>1118.3</v>
      </c>
      <c r="I67" s="10">
        <v>364.6</v>
      </c>
      <c r="J67" s="10">
        <f t="shared" si="1"/>
        <v>308.8</v>
      </c>
      <c r="K67" s="10">
        <v>201.8</v>
      </c>
      <c r="L67" s="10">
        <f t="shared" si="2"/>
        <v>146</v>
      </c>
    </row>
    <row r="68" spans="1:12">
      <c r="A68" s="10">
        <v>2021</v>
      </c>
      <c r="B68" s="10">
        <v>201</v>
      </c>
      <c r="C68" s="10">
        <v>3</v>
      </c>
      <c r="D68" s="10">
        <v>13</v>
      </c>
      <c r="E68" s="88" t="s">
        <v>54</v>
      </c>
      <c r="F68" s="10">
        <v>2754.5</v>
      </c>
      <c r="G68" s="10">
        <v>1119.5</v>
      </c>
      <c r="H68" s="10">
        <f t="shared" si="0"/>
        <v>1063.7</v>
      </c>
      <c r="I68" s="10">
        <v>304.3</v>
      </c>
      <c r="J68" s="10">
        <f t="shared" si="1"/>
        <v>248.5</v>
      </c>
      <c r="K68" s="10">
        <v>194.1</v>
      </c>
      <c r="L68" s="10">
        <f t="shared" si="2"/>
        <v>138.30000000000001</v>
      </c>
    </row>
    <row r="69" spans="1:12">
      <c r="A69" s="10">
        <v>2021</v>
      </c>
      <c r="B69" s="10">
        <v>202</v>
      </c>
      <c r="C69" s="10">
        <v>4</v>
      </c>
      <c r="D69" s="10">
        <v>1</v>
      </c>
      <c r="E69" s="88" t="s">
        <v>54</v>
      </c>
      <c r="F69" s="10">
        <v>2868</v>
      </c>
      <c r="G69" s="10">
        <v>1144.8</v>
      </c>
      <c r="H69" s="10">
        <f t="shared" si="0"/>
        <v>1089</v>
      </c>
      <c r="I69" s="10">
        <v>399.5</v>
      </c>
      <c r="J69" s="10">
        <f t="shared" si="1"/>
        <v>343.7</v>
      </c>
      <c r="K69" s="10">
        <v>151.80000000000001</v>
      </c>
      <c r="L69" s="10">
        <f t="shared" si="2"/>
        <v>96.000000000000014</v>
      </c>
    </row>
    <row r="70" spans="1:12">
      <c r="A70" s="10">
        <v>2021</v>
      </c>
      <c r="B70" s="10">
        <v>202</v>
      </c>
      <c r="C70" s="10">
        <v>4</v>
      </c>
      <c r="D70" s="10">
        <v>1</v>
      </c>
      <c r="E70" s="10" t="s">
        <v>55</v>
      </c>
      <c r="F70" s="10">
        <v>4184.3999999999996</v>
      </c>
      <c r="G70" s="10">
        <v>2034.7</v>
      </c>
      <c r="H70" s="10">
        <f t="shared" si="0"/>
        <v>1978.9</v>
      </c>
      <c r="I70" s="10">
        <v>1043.5999999999999</v>
      </c>
      <c r="J70" s="10">
        <f t="shared" si="1"/>
        <v>987.8</v>
      </c>
      <c r="K70" s="10">
        <v>276.89999999999998</v>
      </c>
      <c r="L70" s="10">
        <f t="shared" si="2"/>
        <v>221.09999999999997</v>
      </c>
    </row>
    <row r="71" spans="1:12">
      <c r="A71" s="10">
        <v>2021</v>
      </c>
      <c r="B71" s="10">
        <v>202</v>
      </c>
      <c r="C71" s="10">
        <v>4</v>
      </c>
      <c r="D71" s="10">
        <v>2</v>
      </c>
      <c r="E71" s="10" t="s">
        <v>54</v>
      </c>
      <c r="F71" s="10">
        <v>3064</v>
      </c>
      <c r="G71" s="10">
        <v>1541.8</v>
      </c>
      <c r="H71" s="10">
        <f t="shared" ref="H71:H89" si="8">G71-55.8</f>
        <v>1486</v>
      </c>
      <c r="I71" s="10">
        <v>591.5</v>
      </c>
      <c r="J71" s="10">
        <f t="shared" ref="J71:J89" si="9">I71-55.8</f>
        <v>535.70000000000005</v>
      </c>
      <c r="K71" s="10">
        <v>197.4</v>
      </c>
      <c r="L71" s="10">
        <f t="shared" ref="L71:L89" si="10">K71-55.8</f>
        <v>141.60000000000002</v>
      </c>
    </row>
    <row r="72" spans="1:12">
      <c r="A72" s="10">
        <v>2021</v>
      </c>
      <c r="B72" s="10">
        <v>202</v>
      </c>
      <c r="C72" s="10">
        <v>4</v>
      </c>
      <c r="D72" s="10">
        <v>2</v>
      </c>
      <c r="E72" s="10" t="s">
        <v>55</v>
      </c>
      <c r="F72" s="10">
        <v>3882.7</v>
      </c>
      <c r="G72" s="10">
        <v>1714.6</v>
      </c>
      <c r="H72" s="10">
        <f t="shared" si="8"/>
        <v>1658.8</v>
      </c>
      <c r="I72" s="10">
        <v>636.6</v>
      </c>
      <c r="J72" s="10">
        <f t="shared" si="9"/>
        <v>580.80000000000007</v>
      </c>
      <c r="K72" s="10">
        <v>238.7</v>
      </c>
      <c r="L72" s="10">
        <f t="shared" si="10"/>
        <v>182.89999999999998</v>
      </c>
    </row>
    <row r="73" spans="1:12">
      <c r="A73" s="10">
        <v>2021</v>
      </c>
      <c r="B73" s="10">
        <v>202</v>
      </c>
      <c r="C73" s="10">
        <v>4</v>
      </c>
      <c r="D73" s="10">
        <v>3</v>
      </c>
      <c r="E73" s="88" t="s">
        <v>54</v>
      </c>
      <c r="F73" s="10">
        <v>3557.9</v>
      </c>
      <c r="G73" s="10">
        <v>1301.4000000000001</v>
      </c>
      <c r="H73" s="10">
        <f t="shared" si="8"/>
        <v>1245.6000000000001</v>
      </c>
      <c r="I73" s="10">
        <v>325.60000000000002</v>
      </c>
      <c r="J73" s="10">
        <f t="shared" si="9"/>
        <v>269.8</v>
      </c>
      <c r="K73" s="10">
        <v>206.3</v>
      </c>
      <c r="L73" s="10">
        <f t="shared" si="10"/>
        <v>150.5</v>
      </c>
    </row>
    <row r="74" spans="1:12">
      <c r="A74" s="10">
        <v>2021</v>
      </c>
      <c r="B74" s="10">
        <v>202</v>
      </c>
      <c r="C74" s="10">
        <v>4</v>
      </c>
      <c r="D74" s="10">
        <v>3</v>
      </c>
      <c r="E74" s="10" t="s">
        <v>55</v>
      </c>
      <c r="F74" s="10">
        <v>3855.2</v>
      </c>
      <c r="G74" s="10">
        <v>1547.8</v>
      </c>
      <c r="H74" s="10">
        <f t="shared" si="8"/>
        <v>1492</v>
      </c>
      <c r="I74" s="10">
        <v>638.6</v>
      </c>
      <c r="J74" s="10">
        <f t="shared" si="9"/>
        <v>582.80000000000007</v>
      </c>
      <c r="K74" s="10">
        <v>225.7</v>
      </c>
      <c r="L74" s="10">
        <f t="shared" si="10"/>
        <v>169.89999999999998</v>
      </c>
    </row>
    <row r="75" spans="1:12">
      <c r="A75" s="10">
        <v>2021</v>
      </c>
      <c r="B75" s="10">
        <v>202</v>
      </c>
      <c r="C75" s="10">
        <v>4</v>
      </c>
      <c r="D75" s="10">
        <v>4</v>
      </c>
      <c r="E75" s="10" t="s">
        <v>54</v>
      </c>
      <c r="F75" s="10">
        <v>3612.5</v>
      </c>
      <c r="G75" s="10">
        <v>1976.1</v>
      </c>
      <c r="H75" s="10">
        <f t="shared" si="8"/>
        <v>1920.3</v>
      </c>
      <c r="I75" s="10">
        <v>735</v>
      </c>
      <c r="J75" s="10">
        <f t="shared" si="9"/>
        <v>679.2</v>
      </c>
      <c r="K75" s="10">
        <v>287.5</v>
      </c>
      <c r="L75" s="10">
        <f t="shared" si="10"/>
        <v>231.7</v>
      </c>
    </row>
    <row r="76" spans="1:12">
      <c r="A76" s="10">
        <v>2021</v>
      </c>
      <c r="B76" s="10">
        <v>202</v>
      </c>
      <c r="C76" s="10">
        <v>4</v>
      </c>
      <c r="D76" s="10">
        <v>4</v>
      </c>
      <c r="E76" s="10" t="s">
        <v>55</v>
      </c>
      <c r="F76" s="10">
        <v>3144.5</v>
      </c>
      <c r="G76" s="10">
        <v>1545.7</v>
      </c>
      <c r="H76" s="10">
        <f t="shared" si="8"/>
        <v>1489.9</v>
      </c>
      <c r="I76" s="10">
        <v>588</v>
      </c>
      <c r="J76" s="10">
        <f t="shared" si="9"/>
        <v>532.20000000000005</v>
      </c>
      <c r="K76" s="10">
        <v>189.8</v>
      </c>
      <c r="L76" s="10">
        <f t="shared" si="10"/>
        <v>134</v>
      </c>
    </row>
    <row r="77" spans="1:12">
      <c r="A77" s="10">
        <v>2021</v>
      </c>
      <c r="B77" s="10">
        <v>202</v>
      </c>
      <c r="C77" s="10">
        <v>4</v>
      </c>
      <c r="D77" s="10">
        <v>5</v>
      </c>
      <c r="E77" s="88" t="s">
        <v>54</v>
      </c>
      <c r="F77" s="10">
        <v>3218.1</v>
      </c>
      <c r="G77" s="10">
        <v>1556.8</v>
      </c>
      <c r="H77" s="10">
        <f t="shared" si="8"/>
        <v>1501</v>
      </c>
      <c r="I77" s="10">
        <v>500.7</v>
      </c>
      <c r="J77" s="10">
        <f t="shared" si="9"/>
        <v>444.9</v>
      </c>
      <c r="K77" s="10">
        <v>206.1</v>
      </c>
      <c r="L77" s="10">
        <f t="shared" si="10"/>
        <v>150.30000000000001</v>
      </c>
    </row>
    <row r="78" spans="1:12">
      <c r="A78" s="10">
        <v>2021</v>
      </c>
      <c r="B78" s="10">
        <v>202</v>
      </c>
      <c r="C78" s="10">
        <v>4</v>
      </c>
      <c r="D78" s="10">
        <v>5</v>
      </c>
      <c r="E78" s="10" t="s">
        <v>55</v>
      </c>
      <c r="F78" s="10">
        <v>4291.8</v>
      </c>
      <c r="G78" s="10">
        <v>1513.4</v>
      </c>
      <c r="H78" s="10">
        <f t="shared" si="8"/>
        <v>1457.6000000000001</v>
      </c>
      <c r="I78" s="10">
        <v>575.6</v>
      </c>
      <c r="J78" s="10">
        <f t="shared" si="9"/>
        <v>519.80000000000007</v>
      </c>
      <c r="K78" s="10">
        <v>202.3</v>
      </c>
      <c r="L78" s="10">
        <f t="shared" si="10"/>
        <v>146.5</v>
      </c>
    </row>
    <row r="79" spans="1:12">
      <c r="A79" s="10">
        <v>2021</v>
      </c>
      <c r="B79" s="10">
        <v>202</v>
      </c>
      <c r="C79" s="10">
        <v>4</v>
      </c>
      <c r="D79" s="10">
        <v>6</v>
      </c>
      <c r="E79" s="10" t="s">
        <v>54</v>
      </c>
      <c r="F79" s="10">
        <v>3493.6</v>
      </c>
      <c r="G79" s="10">
        <v>1324.4</v>
      </c>
      <c r="H79" s="10">
        <f t="shared" si="8"/>
        <v>1268.6000000000001</v>
      </c>
      <c r="I79" s="10">
        <v>368.1</v>
      </c>
      <c r="J79" s="10">
        <f t="shared" si="9"/>
        <v>312.3</v>
      </c>
      <c r="K79" s="10">
        <v>194.9</v>
      </c>
      <c r="L79" s="10">
        <f t="shared" si="10"/>
        <v>139.10000000000002</v>
      </c>
    </row>
    <row r="80" spans="1:12">
      <c r="A80" s="10">
        <v>2021</v>
      </c>
      <c r="B80" s="10">
        <v>202</v>
      </c>
      <c r="C80" s="10">
        <v>4</v>
      </c>
      <c r="D80" s="10">
        <v>6</v>
      </c>
      <c r="E80" s="10" t="s">
        <v>55</v>
      </c>
      <c r="F80" s="10">
        <v>3007.5</v>
      </c>
      <c r="G80" s="10">
        <v>1568.1</v>
      </c>
      <c r="H80" s="10">
        <f t="shared" si="8"/>
        <v>1512.3</v>
      </c>
      <c r="I80" s="10">
        <v>518.20000000000005</v>
      </c>
      <c r="J80" s="10">
        <f t="shared" si="9"/>
        <v>462.40000000000003</v>
      </c>
      <c r="K80" s="10">
        <v>204.3</v>
      </c>
      <c r="L80" s="10">
        <f t="shared" si="10"/>
        <v>148.5</v>
      </c>
    </row>
    <row r="81" spans="1:12">
      <c r="A81" s="10">
        <v>2021</v>
      </c>
      <c r="B81" s="10">
        <v>202</v>
      </c>
      <c r="C81" s="10">
        <v>4</v>
      </c>
      <c r="D81" s="10">
        <v>7</v>
      </c>
      <c r="E81" s="88" t="s">
        <v>54</v>
      </c>
      <c r="F81" s="10">
        <v>4066.7</v>
      </c>
      <c r="G81" s="10">
        <v>2019</v>
      </c>
      <c r="H81" s="10">
        <f t="shared" si="8"/>
        <v>1963.2</v>
      </c>
      <c r="I81" s="10">
        <v>703.4</v>
      </c>
      <c r="J81" s="10">
        <f t="shared" si="9"/>
        <v>647.6</v>
      </c>
      <c r="K81" s="10">
        <v>273.3</v>
      </c>
      <c r="L81" s="10">
        <f t="shared" si="10"/>
        <v>217.5</v>
      </c>
    </row>
    <row r="82" spans="1:12">
      <c r="A82" s="10">
        <v>2021</v>
      </c>
      <c r="B82" s="10">
        <v>202</v>
      </c>
      <c r="C82" s="10">
        <v>4</v>
      </c>
      <c r="D82" s="10">
        <v>7</v>
      </c>
      <c r="E82" s="10" t="s">
        <v>55</v>
      </c>
      <c r="F82" s="10">
        <v>4461.1000000000004</v>
      </c>
      <c r="G82" s="10">
        <v>1632.1</v>
      </c>
      <c r="H82" s="10">
        <f t="shared" si="8"/>
        <v>1576.3</v>
      </c>
      <c r="I82" s="10">
        <v>687.5</v>
      </c>
      <c r="J82" s="10">
        <f t="shared" si="9"/>
        <v>631.70000000000005</v>
      </c>
      <c r="K82" s="10">
        <v>229.9</v>
      </c>
      <c r="L82" s="10">
        <f t="shared" si="10"/>
        <v>174.10000000000002</v>
      </c>
    </row>
    <row r="83" spans="1:12">
      <c r="A83" s="10">
        <v>2021</v>
      </c>
      <c r="B83" s="10">
        <v>202</v>
      </c>
      <c r="C83" s="10">
        <v>4</v>
      </c>
      <c r="D83" s="10">
        <v>8</v>
      </c>
      <c r="E83" s="10" t="s">
        <v>54</v>
      </c>
      <c r="F83" s="10">
        <v>3478.1</v>
      </c>
      <c r="G83" s="10">
        <v>1841.6</v>
      </c>
      <c r="H83" s="10">
        <f t="shared" si="8"/>
        <v>1785.8</v>
      </c>
      <c r="I83" s="10">
        <v>629.9</v>
      </c>
      <c r="J83" s="10">
        <f t="shared" si="9"/>
        <v>574.1</v>
      </c>
      <c r="K83" s="10">
        <v>245.4</v>
      </c>
      <c r="L83" s="10">
        <f t="shared" si="10"/>
        <v>189.60000000000002</v>
      </c>
    </row>
    <row r="84" spans="1:12">
      <c r="A84" s="10">
        <v>2021</v>
      </c>
      <c r="B84" s="10">
        <v>202</v>
      </c>
      <c r="C84" s="10">
        <v>4</v>
      </c>
      <c r="D84" s="10">
        <v>8</v>
      </c>
      <c r="E84" s="10" t="s">
        <v>55</v>
      </c>
      <c r="F84" s="10">
        <v>4147.7</v>
      </c>
      <c r="G84" s="10">
        <v>1650.9</v>
      </c>
      <c r="H84" s="10">
        <f t="shared" si="8"/>
        <v>1595.1000000000001</v>
      </c>
      <c r="I84" s="10">
        <v>656.4</v>
      </c>
      <c r="J84" s="10">
        <f t="shared" si="9"/>
        <v>600.6</v>
      </c>
      <c r="K84" s="10">
        <v>239.9</v>
      </c>
      <c r="L84" s="10">
        <f t="shared" si="10"/>
        <v>184.10000000000002</v>
      </c>
    </row>
    <row r="85" spans="1:12">
      <c r="A85" s="10">
        <v>2021</v>
      </c>
      <c r="B85" s="10">
        <v>202</v>
      </c>
      <c r="C85" s="10">
        <v>4</v>
      </c>
      <c r="D85" s="10">
        <v>9</v>
      </c>
      <c r="E85" s="88" t="s">
        <v>54</v>
      </c>
      <c r="F85" s="10">
        <v>4034</v>
      </c>
      <c r="G85" s="10">
        <v>1801.4</v>
      </c>
      <c r="H85" s="10">
        <f t="shared" si="8"/>
        <v>1745.6000000000001</v>
      </c>
      <c r="I85" s="10">
        <v>600.70000000000005</v>
      </c>
      <c r="J85" s="10">
        <f t="shared" si="9"/>
        <v>544.90000000000009</v>
      </c>
      <c r="K85" s="10">
        <v>255.3</v>
      </c>
      <c r="L85" s="10">
        <f t="shared" si="10"/>
        <v>199.5</v>
      </c>
    </row>
    <row r="86" spans="1:12">
      <c r="A86" s="10">
        <v>2021</v>
      </c>
      <c r="B86" s="10">
        <v>202</v>
      </c>
      <c r="C86" s="10">
        <v>4</v>
      </c>
      <c r="D86" s="10">
        <v>9</v>
      </c>
      <c r="E86" s="10" t="s">
        <v>55</v>
      </c>
      <c r="F86" s="10">
        <v>3425.4</v>
      </c>
      <c r="G86" s="10">
        <v>1215.7</v>
      </c>
      <c r="H86" s="10">
        <f t="shared" si="8"/>
        <v>1159.9000000000001</v>
      </c>
      <c r="I86" s="10">
        <v>391.3</v>
      </c>
      <c r="J86" s="10">
        <f t="shared" si="9"/>
        <v>335.5</v>
      </c>
      <c r="K86" s="10">
        <v>181</v>
      </c>
      <c r="L86" s="10">
        <f t="shared" si="10"/>
        <v>125.2</v>
      </c>
    </row>
    <row r="87" spans="1:12">
      <c r="A87" s="10">
        <v>2021</v>
      </c>
      <c r="B87" s="10">
        <v>201</v>
      </c>
      <c r="C87" s="10">
        <v>4</v>
      </c>
      <c r="D87" s="10">
        <v>11</v>
      </c>
      <c r="E87" s="10" t="s">
        <v>54</v>
      </c>
      <c r="F87" s="10">
        <v>3149.2</v>
      </c>
      <c r="G87" s="10">
        <v>1554.8</v>
      </c>
      <c r="H87" s="10">
        <f t="shared" si="8"/>
        <v>1499</v>
      </c>
      <c r="I87" s="10">
        <v>484.5</v>
      </c>
      <c r="J87" s="10">
        <f t="shared" si="9"/>
        <v>428.7</v>
      </c>
      <c r="K87" s="10">
        <v>259.89999999999998</v>
      </c>
      <c r="L87" s="10">
        <f t="shared" si="10"/>
        <v>204.09999999999997</v>
      </c>
    </row>
    <row r="88" spans="1:12">
      <c r="A88" s="10">
        <v>2021</v>
      </c>
      <c r="B88" s="10">
        <v>201</v>
      </c>
      <c r="C88" s="10">
        <v>4</v>
      </c>
      <c r="D88" s="10">
        <v>12</v>
      </c>
      <c r="E88" s="10" t="s">
        <v>54</v>
      </c>
      <c r="F88" s="10">
        <v>3627.1</v>
      </c>
      <c r="G88" s="10">
        <v>1414</v>
      </c>
      <c r="H88" s="10">
        <f t="shared" si="8"/>
        <v>1358.2</v>
      </c>
      <c r="I88" s="10">
        <v>678</v>
      </c>
      <c r="J88" s="10">
        <f t="shared" si="9"/>
        <v>622.20000000000005</v>
      </c>
      <c r="K88" s="10">
        <v>219.5</v>
      </c>
      <c r="L88" s="10">
        <f t="shared" si="10"/>
        <v>163.69999999999999</v>
      </c>
    </row>
    <row r="89" spans="1:12">
      <c r="A89" s="10">
        <v>2021</v>
      </c>
      <c r="B89" s="10">
        <v>201</v>
      </c>
      <c r="C89" s="10">
        <v>4</v>
      </c>
      <c r="D89" s="10">
        <v>13</v>
      </c>
      <c r="E89" s="88" t="s">
        <v>54</v>
      </c>
      <c r="F89" s="10">
        <v>2490.4</v>
      </c>
      <c r="G89" s="10">
        <v>977.9</v>
      </c>
      <c r="H89" s="10">
        <f t="shared" si="8"/>
        <v>922.1</v>
      </c>
      <c r="I89" s="10">
        <v>318.8</v>
      </c>
      <c r="J89" s="10">
        <f t="shared" si="9"/>
        <v>263</v>
      </c>
      <c r="K89" s="10">
        <v>160.9</v>
      </c>
      <c r="L89" s="10">
        <f t="shared" si="10"/>
        <v>105.10000000000001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C550A-D3D7-F54E-8549-B5A2F644D1B7}">
  <dimension ref="A1:AO177"/>
  <sheetViews>
    <sheetView topLeftCell="AE1" zoomScale="69" zoomScaleNormal="75" workbookViewId="0">
      <selection activeCell="AH18" sqref="AH18"/>
    </sheetView>
  </sheetViews>
  <sheetFormatPr defaultColWidth="11" defaultRowHeight="15.75"/>
  <cols>
    <col min="1" max="1" width="19.625" customWidth="1"/>
    <col min="2" max="2" width="22.875" customWidth="1"/>
    <col min="3" max="3" width="14.625" customWidth="1"/>
    <col min="4" max="4" width="21" customWidth="1"/>
    <col min="5" max="5" width="14.625" customWidth="1"/>
    <col min="6" max="6" width="22.875" customWidth="1"/>
    <col min="7" max="7" width="17.125" customWidth="1"/>
    <col min="8" max="8" width="39.625" customWidth="1"/>
    <col min="9" max="9" width="34.375" customWidth="1"/>
    <col min="10" max="10" width="33.625" customWidth="1"/>
    <col min="11" max="11" width="40" customWidth="1"/>
    <col min="12" max="12" width="36.875" customWidth="1"/>
    <col min="13" max="13" width="39" customWidth="1"/>
    <col min="14" max="14" width="28.875" customWidth="1"/>
    <col min="15" max="15" width="31.375" customWidth="1"/>
    <col min="16" max="16" width="15.125" customWidth="1"/>
    <col min="17" max="17" width="17.875" customWidth="1"/>
    <col min="18" max="18" width="38.375" customWidth="1"/>
    <col min="19" max="19" width="35.125" customWidth="1"/>
    <col min="20" max="20" width="39.125" customWidth="1"/>
    <col min="21" max="21" width="36" customWidth="1"/>
    <col min="22" max="22" width="28" customWidth="1"/>
    <col min="23" max="23" width="29.125" customWidth="1"/>
    <col min="24" max="24" width="50.375" customWidth="1"/>
    <col min="25" max="25" width="52.625" customWidth="1"/>
    <col min="26" max="26" width="53.5" customWidth="1"/>
    <col min="27" max="27" width="54.125" customWidth="1"/>
    <col min="28" max="28" width="14.5" customWidth="1"/>
    <col min="29" max="29" width="12" customWidth="1"/>
    <col min="30" max="30" width="31" customWidth="1"/>
    <col min="31" max="31" width="27.5" customWidth="1"/>
    <col min="32" max="32" width="14.875" customWidth="1"/>
    <col min="33" max="33" width="18.875" customWidth="1"/>
    <col min="34" max="34" width="27.375" customWidth="1"/>
    <col min="35" max="35" width="26.375" customWidth="1"/>
    <col min="36" max="36" width="22.125" customWidth="1"/>
    <col min="37" max="37" width="17.5" customWidth="1"/>
    <col min="38" max="38" width="28.5" customWidth="1"/>
    <col min="39" max="39" width="18.125" customWidth="1"/>
    <col min="40" max="40" width="15.125" customWidth="1"/>
  </cols>
  <sheetData>
    <row r="1" spans="1:41" ht="60" thickBot="1">
      <c r="A1" s="77" t="s">
        <v>499</v>
      </c>
      <c r="L1" t="s">
        <v>641</v>
      </c>
      <c r="M1">
        <v>55.8</v>
      </c>
      <c r="O1" s="109"/>
      <c r="Q1" s="109" t="s">
        <v>639</v>
      </c>
      <c r="X1" s="137"/>
      <c r="Y1" s="137"/>
    </row>
    <row r="2" spans="1:41" ht="36" customHeight="1" thickBot="1">
      <c r="A2" s="104" t="s">
        <v>36</v>
      </c>
      <c r="B2" s="104" t="s">
        <v>475</v>
      </c>
      <c r="C2" s="104" t="s">
        <v>46</v>
      </c>
      <c r="D2" s="104" t="s">
        <v>47</v>
      </c>
      <c r="E2" s="104" t="s">
        <v>53</v>
      </c>
      <c r="F2" s="104" t="s">
        <v>482</v>
      </c>
      <c r="G2" s="104" t="s">
        <v>483</v>
      </c>
      <c r="H2" s="104" t="s">
        <v>501</v>
      </c>
      <c r="I2" s="104" t="s">
        <v>750</v>
      </c>
      <c r="J2" s="104" t="s">
        <v>456</v>
      </c>
      <c r="K2" s="104" t="s">
        <v>752</v>
      </c>
      <c r="L2" s="104" t="s">
        <v>751</v>
      </c>
      <c r="M2" s="104" t="s">
        <v>664</v>
      </c>
      <c r="N2" s="104" t="s">
        <v>640</v>
      </c>
      <c r="O2" s="104" t="s">
        <v>754</v>
      </c>
      <c r="Q2" s="130" t="s">
        <v>46</v>
      </c>
      <c r="R2" s="130" t="s">
        <v>47</v>
      </c>
      <c r="S2" s="130" t="s">
        <v>505</v>
      </c>
      <c r="T2" s="104" t="s">
        <v>753</v>
      </c>
      <c r="U2" s="104" t="s">
        <v>667</v>
      </c>
      <c r="V2" s="104" t="s">
        <v>755</v>
      </c>
      <c r="W2" s="104" t="s">
        <v>494</v>
      </c>
      <c r="X2" s="130" t="s">
        <v>642</v>
      </c>
      <c r="Y2" s="130" t="s">
        <v>665</v>
      </c>
      <c r="Z2" s="130" t="s">
        <v>700</v>
      </c>
      <c r="AA2" s="130" t="s">
        <v>680</v>
      </c>
      <c r="AC2" s="180" t="s">
        <v>66</v>
      </c>
      <c r="AD2" s="86" t="s">
        <v>704</v>
      </c>
      <c r="AE2" s="86" t="s">
        <v>706</v>
      </c>
      <c r="AF2" s="86" t="s">
        <v>679</v>
      </c>
      <c r="AH2" s="86" t="s">
        <v>704</v>
      </c>
      <c r="AI2" s="182" t="s">
        <v>700</v>
      </c>
      <c r="AK2" s="3" t="s">
        <v>720</v>
      </c>
      <c r="AL2" s="3" t="s">
        <v>721</v>
      </c>
      <c r="AM2" s="3" t="s">
        <v>679</v>
      </c>
      <c r="AN2" s="3" t="s">
        <v>723</v>
      </c>
      <c r="AO2" s="3" t="s">
        <v>679</v>
      </c>
    </row>
    <row r="3" spans="1:41">
      <c r="A3" s="15">
        <v>2021</v>
      </c>
      <c r="B3" s="15">
        <v>293</v>
      </c>
      <c r="C3" s="15">
        <v>1</v>
      </c>
      <c r="D3" s="15">
        <v>1</v>
      </c>
      <c r="E3" s="17" t="s">
        <v>54</v>
      </c>
      <c r="F3" s="15">
        <v>7</v>
      </c>
      <c r="G3" s="15">
        <v>7</v>
      </c>
      <c r="H3" s="15">
        <v>807.2</v>
      </c>
      <c r="I3" s="15">
        <v>486.1</v>
      </c>
      <c r="J3" s="15">
        <f>Table8[[#This Row],[Wet Weight of 3 plants (g) ]]-55.8</f>
        <v>430.3</v>
      </c>
      <c r="K3" s="15">
        <f>(Table8[[#This Row],[Wet - Bag Weight (g) ]]/3)*Table8[[#This Row],['# of Plants]]</f>
        <v>1004.0333333333333</v>
      </c>
      <c r="L3" s="15">
        <v>269.5</v>
      </c>
      <c r="M3" s="15">
        <f>Table8[[#This Row],[DRY Sample Weight (g) (3 Plants) ]]-55.8</f>
        <v>213.7</v>
      </c>
      <c r="N3" s="15">
        <f t="shared" ref="N3:N34" si="0">J3-M3</f>
        <v>216.60000000000002</v>
      </c>
      <c r="O3" s="15">
        <f>(Table8[[#This Row],[DRY Sample - Bag Weight (g) ]]/3)*Table8[[#This Row],['# of Plants]]</f>
        <v>498.63333333333333</v>
      </c>
      <c r="Q3" s="10">
        <v>1</v>
      </c>
      <c r="R3" s="10">
        <v>1</v>
      </c>
      <c r="S3" s="10" t="s">
        <v>620</v>
      </c>
      <c r="T3" s="10">
        <f>(K3+K4)/2</f>
        <v>886.7833333333333</v>
      </c>
      <c r="U3" s="10">
        <f>(O3+O4)/2</f>
        <v>496.18333333333328</v>
      </c>
      <c r="V3" s="10">
        <f>Table911[[#This Row],[Biomass Wet Weight (g/m2)]]-Table911[[#This Row],[Dry Sample Weight (g/m2) ]]</f>
        <v>390.6</v>
      </c>
      <c r="W3" s="10">
        <f>(Table911[[#This Row],[Moisture loss (g)]]/Table911[[#This Row],[Biomass Wet Weight (g/m2)]])*100</f>
        <v>44.046835942639127</v>
      </c>
      <c r="X3" s="10">
        <f>Table911[[#This Row],[Dry Sample Weight (g/m2) ]]*(10000/1000)</f>
        <v>4961.833333333333</v>
      </c>
      <c r="Y3" s="10">
        <f>Table911[[#This Row],[Dry Yield (kg/ha)]]*1.155</f>
        <v>5730.9174999999996</v>
      </c>
      <c r="Z3" s="89">
        <f>Table911[[#This Row],[Dry Yield (kg/ha)]]/1000</f>
        <v>4.9618333333333329</v>
      </c>
      <c r="AA3" s="89">
        <f>Table911[[#This Row],[Dry Yield (tons/ha)]]*1.15</f>
        <v>5.706108333333332</v>
      </c>
      <c r="AC3" s="10">
        <v>1</v>
      </c>
      <c r="AD3" s="10" t="s">
        <v>693</v>
      </c>
      <c r="AE3" s="10">
        <f>AVERAGE(Z3:Z11)</f>
        <v>4.9869814814814815</v>
      </c>
      <c r="AF3" s="10">
        <f>STDEV(Z3:Z11)</f>
        <v>0.5012889112386828</v>
      </c>
      <c r="AH3" s="10" t="s">
        <v>693</v>
      </c>
      <c r="AI3" s="183">
        <f>Table911[[#This Row],[Yield (tons/ha) Corrected to 15% Moisture]]</f>
        <v>5.706108333333332</v>
      </c>
      <c r="AK3" s="10" t="s">
        <v>693</v>
      </c>
      <c r="AL3" s="7">
        <f>AVERAGE(AI3:AI11)</f>
        <v>5.7350287037037022</v>
      </c>
      <c r="AM3" s="7">
        <f>STDEV(AI3:AI11)</f>
        <v>0.5764822479244851</v>
      </c>
      <c r="AN3" s="7">
        <f>AVERAGE(AI12:AI14)</f>
        <v>4.8917166666666656</v>
      </c>
      <c r="AO3" s="7">
        <f>STDEV(AI12:AI14)</f>
        <v>1.5030551814923871</v>
      </c>
    </row>
    <row r="4" spans="1:41">
      <c r="A4" s="15">
        <v>2021</v>
      </c>
      <c r="B4" s="15">
        <v>293</v>
      </c>
      <c r="C4" s="15">
        <v>1</v>
      </c>
      <c r="D4" s="15">
        <v>1</v>
      </c>
      <c r="E4" s="15" t="s">
        <v>55</v>
      </c>
      <c r="F4" s="15">
        <v>7</v>
      </c>
      <c r="G4" s="15">
        <v>7</v>
      </c>
      <c r="H4" s="15">
        <v>683.3</v>
      </c>
      <c r="I4" s="15">
        <v>385.6</v>
      </c>
      <c r="J4" s="15">
        <f>Table8[[#This Row],[Wet Weight of 3 plants (g) ]]-55.8</f>
        <v>329.8</v>
      </c>
      <c r="K4" s="15">
        <f>(Table8[[#This Row],[Wet - Bag Weight (g) ]]/3)*Table8[[#This Row],['# of Plants]]</f>
        <v>769.5333333333333</v>
      </c>
      <c r="L4" s="15">
        <v>267.39999999999998</v>
      </c>
      <c r="M4" s="15">
        <f>Table8[[#This Row],[DRY Sample Weight (g) (3 Plants) ]]-55.8</f>
        <v>211.59999999999997</v>
      </c>
      <c r="N4" s="15">
        <f t="shared" si="0"/>
        <v>118.20000000000005</v>
      </c>
      <c r="O4" s="15">
        <f>(Table8[[#This Row],[DRY Sample - Bag Weight (g) ]]/3)*Table8[[#This Row],['# of Plants]]</f>
        <v>493.73333333333323</v>
      </c>
      <c r="Q4" s="10">
        <v>1</v>
      </c>
      <c r="R4" s="10">
        <v>2</v>
      </c>
      <c r="S4" s="10" t="s">
        <v>621</v>
      </c>
      <c r="T4" s="10">
        <f>(K5+K6)/2</f>
        <v>911.7833333333333</v>
      </c>
      <c r="U4" s="10">
        <f>(O5+O6)/2</f>
        <v>448.4666666666667</v>
      </c>
      <c r="V4" s="10">
        <f>Table911[[#This Row],[Biomass Wet Weight (g/m2)]]-Table911[[#This Row],[Dry Sample Weight (g/m2) ]]</f>
        <v>463.31666666666661</v>
      </c>
      <c r="W4" s="10">
        <f>(Table911[[#This Row],[Moisture loss (g)]]/Table911[[#This Row],[Biomass Wet Weight (g/m2)]])*100</f>
        <v>50.814338201692642</v>
      </c>
      <c r="X4" s="10">
        <f>Table911[[#This Row],[Dry Sample Weight (g/m2) ]]*(10000/1000)</f>
        <v>4484.666666666667</v>
      </c>
      <c r="Y4" s="10">
        <f>Table911[[#This Row],[Dry Yield (kg/ha)]]*1.155</f>
        <v>5179.7900000000009</v>
      </c>
      <c r="Z4" s="89">
        <f>Table911[[#This Row],[Dry Yield (kg/ha)]]/1000</f>
        <v>4.4846666666666666</v>
      </c>
      <c r="AA4" s="89">
        <f>Table911[[#This Row],[Dry Yield (tons/ha)]]*1.15</f>
        <v>5.1573666666666664</v>
      </c>
      <c r="AC4" s="10" t="s">
        <v>670</v>
      </c>
      <c r="AD4" s="10" t="s">
        <v>689</v>
      </c>
      <c r="AE4" s="10">
        <f>AVERAGE(Z12:Z14)</f>
        <v>4.2536666666666658</v>
      </c>
      <c r="AF4" s="10">
        <f>STDEV(Z12:Z14)</f>
        <v>1.3070045056455535</v>
      </c>
      <c r="AH4" s="10" t="s">
        <v>693</v>
      </c>
      <c r="AI4" s="183">
        <f>Table911[[#This Row],[Yield (tons/ha) Corrected to 15% Moisture]]</f>
        <v>5.1573666666666664</v>
      </c>
      <c r="AK4" s="10" t="s">
        <v>690</v>
      </c>
      <c r="AL4" s="7">
        <f>AVERAGE(AI15:AI23)</f>
        <v>6.0321120370370354</v>
      </c>
      <c r="AM4" s="7">
        <f>STDEV(AI15:AI23)</f>
        <v>0.42766982423472072</v>
      </c>
      <c r="AN4" s="7">
        <f>AVERAGE(AI24:AI26)</f>
        <v>4.8575999999999988</v>
      </c>
      <c r="AO4" s="7">
        <f>STDEV(AI24:AI26)</f>
        <v>1.237483361504307</v>
      </c>
    </row>
    <row r="5" spans="1:41">
      <c r="A5" s="15">
        <v>2021</v>
      </c>
      <c r="B5" s="15">
        <v>293</v>
      </c>
      <c r="C5" s="15">
        <v>1</v>
      </c>
      <c r="D5" s="15">
        <v>2</v>
      </c>
      <c r="E5" s="15" t="s">
        <v>54</v>
      </c>
      <c r="F5" s="15">
        <v>6</v>
      </c>
      <c r="G5" s="15">
        <v>6</v>
      </c>
      <c r="H5" s="15">
        <v>696.2</v>
      </c>
      <c r="I5" s="15">
        <v>530</v>
      </c>
      <c r="J5" s="15">
        <f>Table8[[#This Row],[Wet Weight of 3 plants (g) ]]-55.8</f>
        <v>474.2</v>
      </c>
      <c r="K5" s="15">
        <f>(Table8[[#This Row],[Wet - Bag Weight (g) ]]/3)*Table8[[#This Row],['# of Plants]]</f>
        <v>948.4</v>
      </c>
      <c r="L5" s="15">
        <v>294.10000000000002</v>
      </c>
      <c r="M5" s="15">
        <f>Table8[[#This Row],[DRY Sample Weight (g) (3 Plants) ]]-55.8</f>
        <v>238.3</v>
      </c>
      <c r="N5" s="15">
        <f t="shared" si="0"/>
        <v>235.89999999999998</v>
      </c>
      <c r="O5" s="15">
        <f>(Table8[[#This Row],[DRY Sample - Bag Weight (g) ]]/3)*Table8[[#This Row],['# of Plants]]</f>
        <v>476.6</v>
      </c>
      <c r="Q5" s="10">
        <v>1</v>
      </c>
      <c r="R5" s="10">
        <v>3</v>
      </c>
      <c r="S5" s="10" t="s">
        <v>622</v>
      </c>
      <c r="T5" s="10">
        <f>(K7+K8)/2</f>
        <v>1080.8</v>
      </c>
      <c r="U5" s="10">
        <f>(O7+O8)/2</f>
        <v>532.93333333333328</v>
      </c>
      <c r="V5" s="10">
        <f>Table911[[#This Row],[Biomass Wet Weight (g/m2)]]-Table911[[#This Row],[Dry Sample Weight (g/m2) ]]</f>
        <v>547.86666666666667</v>
      </c>
      <c r="W5" s="10">
        <f>(Table911[[#This Row],[Moisture loss (g)]]/Table911[[#This Row],[Biomass Wet Weight (g/m2)]])*100</f>
        <v>50.690846286701209</v>
      </c>
      <c r="X5" s="10">
        <f>Table911[[#This Row],[Dry Sample Weight (g/m2) ]]*(10000/1000)</f>
        <v>5329.333333333333</v>
      </c>
      <c r="Y5" s="10">
        <f>Table911[[#This Row],[Dry Yield (kg/ha)]]*1.155</f>
        <v>6155.38</v>
      </c>
      <c r="Z5" s="89">
        <f>Table911[[#This Row],[Dry Yield (kg/ha)]]/1000</f>
        <v>5.3293333333333326</v>
      </c>
      <c r="AA5" s="89">
        <f>Table911[[#This Row],[Dry Yield (tons/ha)]]*1.15</f>
        <v>6.128733333333332</v>
      </c>
      <c r="AC5" s="10">
        <v>2</v>
      </c>
      <c r="AD5" s="10" t="s">
        <v>690</v>
      </c>
      <c r="AE5" s="10">
        <f>AVERAGE(Z15:Z23)</f>
        <v>5.2453148148148152</v>
      </c>
      <c r="AF5" s="10">
        <f>STDEV(Z15:Z23)</f>
        <v>0.37188680368236582</v>
      </c>
      <c r="AH5" s="10" t="s">
        <v>693</v>
      </c>
      <c r="AI5" s="183">
        <f>Table911[[#This Row],[Yield (tons/ha) Corrected to 15% Moisture]]</f>
        <v>6.128733333333332</v>
      </c>
      <c r="AK5" s="10" t="s">
        <v>685</v>
      </c>
      <c r="AL5" s="7">
        <f>AVERAGE(AI27:AI35)</f>
        <v>5.8930898148148128</v>
      </c>
      <c r="AM5" s="7">
        <f>STDEV(AI27:AI35)</f>
        <v>0.4081335786442658</v>
      </c>
      <c r="AN5" s="7">
        <f>AVERAGE(AI36:AI38)</f>
        <v>3.921244444444445</v>
      </c>
      <c r="AO5" s="7">
        <f>STDEV(AI36:AI38)</f>
        <v>0.55818708341611856</v>
      </c>
    </row>
    <row r="6" spans="1:41">
      <c r="A6" s="15">
        <v>2021</v>
      </c>
      <c r="B6" s="15">
        <v>293</v>
      </c>
      <c r="C6" s="15">
        <v>1</v>
      </c>
      <c r="D6" s="15">
        <v>2</v>
      </c>
      <c r="E6" s="15" t="s">
        <v>55</v>
      </c>
      <c r="F6" s="15">
        <v>5</v>
      </c>
      <c r="G6" s="15">
        <v>5</v>
      </c>
      <c r="H6" s="15">
        <v>431.4</v>
      </c>
      <c r="I6" s="15">
        <v>580.9</v>
      </c>
      <c r="J6" s="15">
        <f>Table8[[#This Row],[Wet Weight of 3 plants (g) ]]-55.8</f>
        <v>525.1</v>
      </c>
      <c r="K6" s="15">
        <f>(Table8[[#This Row],[Wet - Bag Weight (g) ]]/3)*Table8[[#This Row],['# of Plants]]</f>
        <v>875.16666666666663</v>
      </c>
      <c r="L6" s="15">
        <v>308</v>
      </c>
      <c r="M6" s="15">
        <f>Table8[[#This Row],[DRY Sample Weight (g) (3 Plants) ]]-55.8</f>
        <v>252.2</v>
      </c>
      <c r="N6" s="15">
        <f t="shared" si="0"/>
        <v>272.90000000000003</v>
      </c>
      <c r="O6" s="15">
        <f>(Table8[[#This Row],[DRY Sample - Bag Weight (g) ]]/3)*Table8[[#This Row],['# of Plants]]</f>
        <v>420.33333333333331</v>
      </c>
      <c r="Q6" s="10">
        <v>1</v>
      </c>
      <c r="R6" s="10">
        <v>4</v>
      </c>
      <c r="S6" s="10" t="s">
        <v>623</v>
      </c>
      <c r="T6" s="10">
        <f>(K9+K10)/2</f>
        <v>1036.8666666666666</v>
      </c>
      <c r="U6" s="10">
        <f>(O9+O10)/2</f>
        <v>490.16666666666663</v>
      </c>
      <c r="V6" s="10">
        <f>Table911[[#This Row],[Biomass Wet Weight (g/m2)]]-Table911[[#This Row],[Dry Sample Weight (g/m2) ]]</f>
        <v>546.69999999999993</v>
      </c>
      <c r="W6" s="10">
        <f>(Table911[[#This Row],[Moisture loss (g)]]/Table911[[#This Row],[Biomass Wet Weight (g/m2)]])*100</f>
        <v>52.726162155211206</v>
      </c>
      <c r="X6" s="10">
        <f>Table911[[#This Row],[Dry Sample Weight (g/m2) ]]*(10000/1000)</f>
        <v>4901.6666666666661</v>
      </c>
      <c r="Y6" s="10">
        <f>Table911[[#This Row],[Dry Yield (kg/ha)]]*1.155</f>
        <v>5661.4249999999993</v>
      </c>
      <c r="Z6" s="89">
        <f>Table911[[#This Row],[Dry Yield (kg/ha)]]/1000</f>
        <v>4.9016666666666664</v>
      </c>
      <c r="AA6" s="89">
        <f>Table911[[#This Row],[Dry Yield (tons/ha)]]*1.15</f>
        <v>5.6369166666666661</v>
      </c>
      <c r="AC6" s="10" t="s">
        <v>671</v>
      </c>
      <c r="AD6" s="10" t="s">
        <v>691</v>
      </c>
      <c r="AE6" s="10">
        <f>AVERAGE(Z24:Z26)</f>
        <v>4.2239999999999993</v>
      </c>
      <c r="AF6" s="10">
        <f>STDEV(Z24:Z26)</f>
        <v>1.0760724882646129</v>
      </c>
      <c r="AH6" s="10" t="s">
        <v>693</v>
      </c>
      <c r="AI6" s="183">
        <f>Table911[[#This Row],[Yield (tons/ha) Corrected to 15% Moisture]]</f>
        <v>5.6369166666666661</v>
      </c>
      <c r="AK6" s="10" t="s">
        <v>687</v>
      </c>
      <c r="AL6" s="7">
        <f>AVERAGE(AI39:AI47)</f>
        <v>5.9677333333333316</v>
      </c>
      <c r="AM6" s="10">
        <f>STDEV(AI39:AI47)</f>
        <v>0.41449389039358686</v>
      </c>
      <c r="AN6" s="7">
        <f>AVERAGE(AI48:AI50)</f>
        <v>5.0473499999999989</v>
      </c>
      <c r="AO6" s="7">
        <f>STDEV(AI48:AI50)</f>
        <v>1.0109758801661781</v>
      </c>
    </row>
    <row r="7" spans="1:41">
      <c r="A7" s="15">
        <v>2021</v>
      </c>
      <c r="B7" s="15">
        <v>293</v>
      </c>
      <c r="C7" s="15">
        <v>1</v>
      </c>
      <c r="D7" s="15">
        <v>3</v>
      </c>
      <c r="E7" s="17" t="s">
        <v>54</v>
      </c>
      <c r="F7" s="15">
        <v>7</v>
      </c>
      <c r="G7" s="15">
        <v>7</v>
      </c>
      <c r="H7" s="15">
        <v>611.5</v>
      </c>
      <c r="I7" s="15">
        <v>579.9</v>
      </c>
      <c r="J7" s="15">
        <f>Table8[[#This Row],[Wet Weight of 3 plants (g) ]]-55.8</f>
        <v>524.1</v>
      </c>
      <c r="K7" s="15">
        <f>(Table8[[#This Row],[Wet - Bag Weight (g) ]]/3)*Table8[[#This Row],['# of Plants]]</f>
        <v>1222.9000000000001</v>
      </c>
      <c r="L7" s="15">
        <v>273.5</v>
      </c>
      <c r="M7" s="15">
        <f>Table8[[#This Row],[DRY Sample Weight (g) (3 Plants) ]]-55.8</f>
        <v>217.7</v>
      </c>
      <c r="N7" s="15">
        <f t="shared" si="0"/>
        <v>306.40000000000003</v>
      </c>
      <c r="O7" s="15">
        <f>(Table8[[#This Row],[DRY Sample - Bag Weight (g) ]]/3)*Table8[[#This Row],['# of Plants]]</f>
        <v>507.96666666666664</v>
      </c>
      <c r="Q7" s="10">
        <v>1</v>
      </c>
      <c r="R7" s="10">
        <v>5</v>
      </c>
      <c r="S7" s="10" t="s">
        <v>624</v>
      </c>
      <c r="T7" s="10">
        <f>(K11+K12)/2</f>
        <v>1061.6666666666667</v>
      </c>
      <c r="U7" s="10">
        <f>(O11+O12)/2</f>
        <v>525.93333333333339</v>
      </c>
      <c r="V7" s="10">
        <f>Table911[[#This Row],[Biomass Wet Weight (g/m2)]]-Table911[[#This Row],[Dry Sample Weight (g/m2) ]]</f>
        <v>535.73333333333335</v>
      </c>
      <c r="W7" s="10">
        <f>(Table911[[#This Row],[Moisture loss (g)]]/Table911[[#This Row],[Biomass Wet Weight (g/m2)]])*100</f>
        <v>50.46153846153846</v>
      </c>
      <c r="X7" s="10">
        <f>Table911[[#This Row],[Dry Sample Weight (g/m2) ]]*(10000/1000)</f>
        <v>5259.3333333333339</v>
      </c>
      <c r="Y7" s="10">
        <f>Table911[[#This Row],[Dry Yield (kg/ha)]]*1.155</f>
        <v>6074.5300000000007</v>
      </c>
      <c r="Z7" s="89">
        <f>Table911[[#This Row],[Dry Yield (kg/ha)]]/1000</f>
        <v>5.2593333333333341</v>
      </c>
      <c r="AA7" s="89">
        <f>Table911[[#This Row],[Dry Yield (tons/ha)]]*1.15</f>
        <v>6.048233333333334</v>
      </c>
      <c r="AC7" s="10">
        <v>3</v>
      </c>
      <c r="AD7" s="10" t="s">
        <v>685</v>
      </c>
      <c r="AE7" s="10">
        <f>AVERAGE(Z27:Z35)</f>
        <v>5.1244259259259257</v>
      </c>
      <c r="AF7" s="10">
        <f>STDEV(Z27:Z35)</f>
        <v>0.35489876403849202</v>
      </c>
      <c r="AH7" s="10" t="s">
        <v>693</v>
      </c>
      <c r="AI7" s="183">
        <f>Table911[[#This Row],[Yield (tons/ha) Corrected to 15% Moisture]]</f>
        <v>6.048233333333334</v>
      </c>
    </row>
    <row r="8" spans="1:41">
      <c r="A8" s="15">
        <v>2021</v>
      </c>
      <c r="B8" s="15">
        <v>293</v>
      </c>
      <c r="C8" s="15">
        <v>1</v>
      </c>
      <c r="D8" s="15">
        <v>3</v>
      </c>
      <c r="E8" s="15" t="s">
        <v>55</v>
      </c>
      <c r="F8" s="15">
        <v>7</v>
      </c>
      <c r="G8" s="15">
        <v>7</v>
      </c>
      <c r="H8" s="15">
        <v>597</v>
      </c>
      <c r="I8" s="15">
        <v>458.1</v>
      </c>
      <c r="J8" s="15">
        <f>Table8[[#This Row],[Wet Weight of 3 plants (g) ]]-55.8</f>
        <v>402.3</v>
      </c>
      <c r="K8" s="15">
        <f>(Table8[[#This Row],[Wet - Bag Weight (g) ]]/3)*Table8[[#This Row],['# of Plants]]</f>
        <v>938.69999999999993</v>
      </c>
      <c r="L8" s="15">
        <v>294.89999999999998</v>
      </c>
      <c r="M8" s="15">
        <f>Table8[[#This Row],[DRY Sample Weight (g) (3 Plants) ]]-55.8</f>
        <v>239.09999999999997</v>
      </c>
      <c r="N8" s="15">
        <f t="shared" si="0"/>
        <v>163.20000000000005</v>
      </c>
      <c r="O8" s="15">
        <f>(Table8[[#This Row],[DRY Sample - Bag Weight (g) ]]/3)*Table8[[#This Row],['# of Plants]]</f>
        <v>557.89999999999986</v>
      </c>
      <c r="Q8" s="10">
        <v>1</v>
      </c>
      <c r="R8" s="10">
        <v>6</v>
      </c>
      <c r="S8" s="10" t="s">
        <v>625</v>
      </c>
      <c r="T8" s="10">
        <f>(K13+K14)/2</f>
        <v>1054.75</v>
      </c>
      <c r="U8" s="10">
        <f>(O13+O14)/2</f>
        <v>546.06666666666661</v>
      </c>
      <c r="V8" s="10">
        <f>Table911[[#This Row],[Biomass Wet Weight (g/m2)]]-Table911[[#This Row],[Dry Sample Weight (g/m2) ]]</f>
        <v>508.68333333333339</v>
      </c>
      <c r="W8" s="10">
        <f>(Table911[[#This Row],[Moisture loss (g)]]/Table911[[#This Row],[Biomass Wet Weight (g/m2)]])*100</f>
        <v>48.227858102235921</v>
      </c>
      <c r="X8" s="10">
        <f>Table911[[#This Row],[Dry Sample Weight (g/m2) ]]*(10000/1000)</f>
        <v>5460.6666666666661</v>
      </c>
      <c r="Y8" s="10">
        <f>Table911[[#This Row],[Dry Yield (kg/ha)]]*1.155</f>
        <v>6307.07</v>
      </c>
      <c r="Z8" s="89">
        <f>Table911[[#This Row],[Dry Yield (kg/ha)]]/1000</f>
        <v>5.4606666666666657</v>
      </c>
      <c r="AA8" s="89">
        <f>Table911[[#This Row],[Dry Yield (tons/ha)]]*1.15</f>
        <v>6.2797666666666654</v>
      </c>
      <c r="AC8" s="10" t="s">
        <v>672</v>
      </c>
      <c r="AD8" s="10" t="s">
        <v>686</v>
      </c>
      <c r="AE8" s="10">
        <f>AVERAGE(Z36:Z38)</f>
        <v>3.4097777777777787</v>
      </c>
      <c r="AF8" s="10">
        <f>STDEV(Z36:Z38)</f>
        <v>0.48538007253575283</v>
      </c>
      <c r="AH8" s="10" t="s">
        <v>693</v>
      </c>
      <c r="AI8" s="183">
        <f>Table911[[#This Row],[Yield (tons/ha) Corrected to 15% Moisture]]</f>
        <v>6.2797666666666654</v>
      </c>
    </row>
    <row r="9" spans="1:41">
      <c r="A9" s="15">
        <v>2021</v>
      </c>
      <c r="B9" s="15">
        <v>293</v>
      </c>
      <c r="C9" s="15">
        <v>1</v>
      </c>
      <c r="D9" s="15">
        <v>4</v>
      </c>
      <c r="E9" s="15" t="s">
        <v>54</v>
      </c>
      <c r="F9" s="15">
        <v>8</v>
      </c>
      <c r="G9" s="15">
        <v>7</v>
      </c>
      <c r="H9" s="15">
        <v>899</v>
      </c>
      <c r="I9" s="15">
        <v>499.2</v>
      </c>
      <c r="J9" s="15">
        <f>Table8[[#This Row],[Wet Weight of 3 plants (g) ]]-55.8</f>
        <v>443.4</v>
      </c>
      <c r="K9" s="15">
        <f>(Table8[[#This Row],[Wet - Bag Weight (g) ]]/3)*Table8[[#This Row],['# of Plants]]</f>
        <v>1182.3999999999999</v>
      </c>
      <c r="L9" s="15">
        <v>231.8</v>
      </c>
      <c r="M9" s="15">
        <f>Table8[[#This Row],[DRY Sample Weight (g) (3 Plants) ]]-55.8</f>
        <v>176</v>
      </c>
      <c r="N9" s="15">
        <f t="shared" si="0"/>
        <v>267.39999999999998</v>
      </c>
      <c r="O9" s="15">
        <f>(Table8[[#This Row],[DRY Sample - Bag Weight (g) ]]/3)*Table8[[#This Row],['# of Plants]]</f>
        <v>469.33333333333331</v>
      </c>
      <c r="Q9" s="10">
        <v>1</v>
      </c>
      <c r="R9" s="10">
        <v>7</v>
      </c>
      <c r="S9" s="10" t="s">
        <v>626</v>
      </c>
      <c r="T9" s="10">
        <f>(K15+K16)/2</f>
        <v>1101.0999999999999</v>
      </c>
      <c r="U9" s="10">
        <f>(O15+O16)/2</f>
        <v>561.63333333333321</v>
      </c>
      <c r="V9" s="10">
        <f>Table911[[#This Row],[Biomass Wet Weight (g/m2)]]-Table911[[#This Row],[Dry Sample Weight (g/m2) ]]</f>
        <v>539.4666666666667</v>
      </c>
      <c r="W9" s="10">
        <f>(Table911[[#This Row],[Moisture loss (g)]]/Table911[[#This Row],[Biomass Wet Weight (g/m2)]])*100</f>
        <v>48.99343081161264</v>
      </c>
      <c r="X9" s="10">
        <f>Table911[[#This Row],[Dry Sample Weight (g/m2) ]]*(10000/1000)</f>
        <v>5616.3333333333321</v>
      </c>
      <c r="Y9" s="10">
        <f>Table911[[#This Row],[Dry Yield (kg/ha)]]*1.155</f>
        <v>6486.8649999999989</v>
      </c>
      <c r="Z9" s="89">
        <f>Table911[[#This Row],[Dry Yield (kg/ha)]]/1000</f>
        <v>5.6163333333333325</v>
      </c>
      <c r="AA9" s="89">
        <f>Table911[[#This Row],[Dry Yield (tons/ha)]]*1.15</f>
        <v>6.458783333333332</v>
      </c>
      <c r="AC9" s="10">
        <v>4</v>
      </c>
      <c r="AD9" s="10" t="s">
        <v>687</v>
      </c>
      <c r="AE9" s="10">
        <f>AVERAGE(Z39:Z47)</f>
        <v>5.1893333333333329</v>
      </c>
      <c r="AF9" s="10">
        <f>STDEV(Z39:Z47)</f>
        <v>0.36042946990746683</v>
      </c>
      <c r="AH9" s="10" t="s">
        <v>693</v>
      </c>
      <c r="AI9" s="183">
        <f>Table911[[#This Row],[Yield (tons/ha) Corrected to 15% Moisture]]</f>
        <v>6.458783333333332</v>
      </c>
    </row>
    <row r="10" spans="1:41">
      <c r="A10" s="15">
        <v>2021</v>
      </c>
      <c r="B10" s="15">
        <v>293</v>
      </c>
      <c r="C10" s="15">
        <v>1</v>
      </c>
      <c r="D10" s="15">
        <v>4</v>
      </c>
      <c r="E10" s="15" t="s">
        <v>55</v>
      </c>
      <c r="F10" s="15">
        <v>7</v>
      </c>
      <c r="G10" s="15">
        <v>7</v>
      </c>
      <c r="H10" s="15">
        <v>475</v>
      </c>
      <c r="I10" s="15">
        <v>437.8</v>
      </c>
      <c r="J10" s="15">
        <f>Table8[[#This Row],[Wet Weight of 3 plants (g) ]]-55.8</f>
        <v>382</v>
      </c>
      <c r="K10" s="15">
        <f>(Table8[[#This Row],[Wet - Bag Weight (g) ]]/3)*Table8[[#This Row],['# of Plants]]</f>
        <v>891.33333333333326</v>
      </c>
      <c r="L10" s="15">
        <v>274.8</v>
      </c>
      <c r="M10" s="15">
        <f>Table8[[#This Row],[DRY Sample Weight (g) (3 Plants) ]]-55.8</f>
        <v>219</v>
      </c>
      <c r="N10" s="15">
        <f t="shared" si="0"/>
        <v>163</v>
      </c>
      <c r="O10" s="15">
        <f>(Table8[[#This Row],[DRY Sample - Bag Weight (g) ]]/3)*Table8[[#This Row],['# of Plants]]</f>
        <v>511</v>
      </c>
      <c r="Q10" s="10">
        <v>1</v>
      </c>
      <c r="R10" s="10">
        <v>8</v>
      </c>
      <c r="S10" s="10" t="s">
        <v>627</v>
      </c>
      <c r="T10" s="10">
        <f>(K17+K18)/2</f>
        <v>728.81666666666672</v>
      </c>
      <c r="U10" s="10">
        <f>(O17+O18)/2</f>
        <v>483.93333333333339</v>
      </c>
      <c r="V10" s="10">
        <f>Table911[[#This Row],[Biomass Wet Weight (g/m2)]]-Table911[[#This Row],[Dry Sample Weight (g/m2) ]]</f>
        <v>244.88333333333333</v>
      </c>
      <c r="W10" s="10">
        <f>(Table911[[#This Row],[Moisture loss (g)]]/Table911[[#This Row],[Biomass Wet Weight (g/m2)]])*100</f>
        <v>33.600128061469505</v>
      </c>
      <c r="X10" s="10">
        <f>Table911[[#This Row],[Dry Sample Weight (g/m2) ]]*(10000/1000)</f>
        <v>4839.3333333333339</v>
      </c>
      <c r="Y10" s="10">
        <f>Table911[[#This Row],[Dry Yield (kg/ha)]]*1.155</f>
        <v>5589.4300000000012</v>
      </c>
      <c r="Z10" s="89">
        <f>Table911[[#This Row],[Dry Yield (kg/ha)]]/1000</f>
        <v>4.8393333333333342</v>
      </c>
      <c r="AA10" s="89">
        <f>Table911[[#This Row],[Dry Yield (tons/ha)]]*1.15</f>
        <v>5.5652333333333335</v>
      </c>
      <c r="AC10" s="10" t="s">
        <v>673</v>
      </c>
      <c r="AD10" s="10" t="s">
        <v>688</v>
      </c>
      <c r="AE10" s="10">
        <f>AVERAGE(Z48:Z50)</f>
        <v>4.3890000000000002</v>
      </c>
      <c r="AF10" s="10">
        <f>STDEV(Z48:Z50)</f>
        <v>0.87910946101406751</v>
      </c>
      <c r="AH10" s="10" t="s">
        <v>693</v>
      </c>
      <c r="AI10" s="183">
        <f>Table911[[#This Row],[Yield (tons/ha) Corrected to 15% Moisture]]</f>
        <v>5.5652333333333335</v>
      </c>
    </row>
    <row r="11" spans="1:41">
      <c r="A11" s="15">
        <v>2021</v>
      </c>
      <c r="B11" s="15">
        <v>293</v>
      </c>
      <c r="C11" s="15">
        <v>1</v>
      </c>
      <c r="D11" s="15">
        <v>5</v>
      </c>
      <c r="E11" s="17" t="s">
        <v>54</v>
      </c>
      <c r="F11" s="15">
        <v>7</v>
      </c>
      <c r="G11" s="15">
        <v>8</v>
      </c>
      <c r="H11" s="15">
        <v>816.7</v>
      </c>
      <c r="I11" s="15">
        <v>439.4</v>
      </c>
      <c r="J11" s="15">
        <f>Table8[[#This Row],[Wet Weight of 3 plants (g) ]]-55.8</f>
        <v>383.59999999999997</v>
      </c>
      <c r="K11" s="15">
        <f>(Table8[[#This Row],[Wet - Bag Weight (g) ]]/3)*Table8[[#This Row],['# of Plants]]</f>
        <v>895.06666666666661</v>
      </c>
      <c r="L11" s="15">
        <v>251.1</v>
      </c>
      <c r="M11" s="15">
        <f>Table8[[#This Row],[DRY Sample Weight (g) (3 Plants) ]]-55.8</f>
        <v>195.3</v>
      </c>
      <c r="N11" s="15">
        <f t="shared" si="0"/>
        <v>188.29999999999995</v>
      </c>
      <c r="O11" s="15">
        <f>(Table8[[#This Row],[DRY Sample - Bag Weight (g) ]]/3)*Table8[[#This Row],['# of Plants]]</f>
        <v>455.70000000000005</v>
      </c>
      <c r="Q11" s="10">
        <v>1</v>
      </c>
      <c r="R11" s="10">
        <v>9</v>
      </c>
      <c r="S11" s="10" t="s">
        <v>628</v>
      </c>
      <c r="T11" s="10">
        <f>(K19+K20)/2</f>
        <v>639.33333333333326</v>
      </c>
      <c r="U11" s="10">
        <f>(O19+O20)/2</f>
        <v>402.96666666666664</v>
      </c>
      <c r="V11" s="10">
        <f>Table911[[#This Row],[Biomass Wet Weight (g/m2)]]-Table911[[#This Row],[Dry Sample Weight (g/m2) ]]</f>
        <v>236.36666666666662</v>
      </c>
      <c r="W11" s="10">
        <f>(Table911[[#This Row],[Moisture loss (g)]]/Table911[[#This Row],[Biomass Wet Weight (g/m2)]])*100</f>
        <v>36.970802919708021</v>
      </c>
      <c r="X11" s="10">
        <f>Table911[[#This Row],[Dry Sample Weight (g/m2) ]]*(10000/1000)</f>
        <v>4029.6666666666665</v>
      </c>
      <c r="Y11" s="10">
        <f>Table911[[#This Row],[Dry Yield (kg/ha)]]*1.155</f>
        <v>4654.2650000000003</v>
      </c>
      <c r="Z11" s="89">
        <f>Table911[[#This Row],[Dry Yield (kg/ha)]]/1000</f>
        <v>4.0296666666666665</v>
      </c>
      <c r="AA11" s="89">
        <f>Table911[[#This Row],[Dry Yield (tons/ha)]]*1.15</f>
        <v>4.6341166666666664</v>
      </c>
      <c r="AC11" s="15"/>
      <c r="AH11" s="10" t="s">
        <v>693</v>
      </c>
      <c r="AI11" s="183">
        <f>Table911[[#This Row],[Yield (tons/ha) Corrected to 15% Moisture]]</f>
        <v>4.6341166666666664</v>
      </c>
    </row>
    <row r="12" spans="1:41">
      <c r="A12" s="15">
        <v>2021</v>
      </c>
      <c r="B12" s="15">
        <v>293</v>
      </c>
      <c r="C12" s="15">
        <v>1</v>
      </c>
      <c r="D12" s="15">
        <v>5</v>
      </c>
      <c r="E12" s="15" t="s">
        <v>55</v>
      </c>
      <c r="F12" s="15">
        <v>7</v>
      </c>
      <c r="G12" s="15">
        <v>7</v>
      </c>
      <c r="H12" s="15">
        <v>750.5</v>
      </c>
      <c r="I12" s="15">
        <v>582.20000000000005</v>
      </c>
      <c r="J12" s="15">
        <f>Table8[[#This Row],[Wet Weight of 3 plants (g) ]]-55.8</f>
        <v>526.40000000000009</v>
      </c>
      <c r="K12" s="15">
        <f>(Table8[[#This Row],[Wet - Bag Weight (g) ]]/3)*Table8[[#This Row],['# of Plants]]</f>
        <v>1228.2666666666669</v>
      </c>
      <c r="L12" s="15">
        <v>311.3</v>
      </c>
      <c r="M12" s="15">
        <f>Table8[[#This Row],[DRY Sample Weight (g) (3 Plants) ]]-55.8</f>
        <v>255.5</v>
      </c>
      <c r="N12" s="15">
        <f t="shared" si="0"/>
        <v>270.90000000000009</v>
      </c>
      <c r="O12" s="15">
        <f>(Table8[[#This Row],[DRY Sample - Bag Weight (g) ]]/3)*Table8[[#This Row],['# of Plants]]</f>
        <v>596.16666666666674</v>
      </c>
      <c r="Q12" s="6">
        <v>1</v>
      </c>
      <c r="R12" s="6">
        <v>11</v>
      </c>
      <c r="S12" s="6" t="s">
        <v>506</v>
      </c>
      <c r="T12" s="6">
        <v>726.36666666666667</v>
      </c>
      <c r="U12" s="6">
        <v>400.63333333333327</v>
      </c>
      <c r="V12" s="6">
        <f>Table911[[#This Row],[Biomass Wet Weight (g/m2)]]-Table911[[#This Row],[Dry Sample Weight (g/m2) ]]</f>
        <v>325.73333333333341</v>
      </c>
      <c r="W12" s="6">
        <f>(Table911[[#This Row],[Moisture loss (g)]]/Table911[[#This Row],[Biomass Wet Weight (g/m2)]])*100</f>
        <v>44.844201734661112</v>
      </c>
      <c r="X12" s="6">
        <f>Table911[[#This Row],[Dry Sample Weight (g/m2) ]]*(10000/1000)</f>
        <v>4006.3333333333326</v>
      </c>
      <c r="Y12" s="6">
        <f>Table911[[#This Row],[Dry Yield (kg/ha)]]*1.155</f>
        <v>4627.3149999999996</v>
      </c>
      <c r="Z12" s="166">
        <f>Table911[[#This Row],[Dry Yield (kg/ha)]]/1000</f>
        <v>4.0063333333333322</v>
      </c>
      <c r="AA12" s="166">
        <f>Table911[[#This Row],[Dry Yield (tons/ha)]]*1.15</f>
        <v>4.6072833333333314</v>
      </c>
      <c r="AC12" s="15"/>
      <c r="AH12" s="6" t="s">
        <v>689</v>
      </c>
      <c r="AI12" s="166">
        <f>Table911[[#This Row],[Yield (tons/ha) Corrected to 15% Moisture]]</f>
        <v>4.6072833333333314</v>
      </c>
    </row>
    <row r="13" spans="1:41">
      <c r="A13" s="15">
        <v>2021</v>
      </c>
      <c r="B13" s="15">
        <v>293</v>
      </c>
      <c r="C13" s="15">
        <v>1</v>
      </c>
      <c r="D13" s="15">
        <v>6</v>
      </c>
      <c r="E13" s="15" t="s">
        <v>54</v>
      </c>
      <c r="F13" s="15">
        <v>7</v>
      </c>
      <c r="G13" s="15">
        <v>7</v>
      </c>
      <c r="H13" s="15">
        <v>730.1</v>
      </c>
      <c r="I13" s="15">
        <v>588.29999999999995</v>
      </c>
      <c r="J13" s="15">
        <f>Table8[[#This Row],[Wet Weight of 3 plants (g) ]]-55.8</f>
        <v>532.5</v>
      </c>
      <c r="K13" s="15">
        <f>(Table8[[#This Row],[Wet - Bag Weight (g) ]]/3)*Table8[[#This Row],['# of Plants]]</f>
        <v>1242.5</v>
      </c>
      <c r="L13" s="15">
        <v>308.8</v>
      </c>
      <c r="M13" s="15">
        <f>Table8[[#This Row],[DRY Sample Weight (g) (3 Plants) ]]-55.8</f>
        <v>253</v>
      </c>
      <c r="N13" s="15">
        <f t="shared" si="0"/>
        <v>279.5</v>
      </c>
      <c r="O13" s="15">
        <f>(Table8[[#This Row],[DRY Sample - Bag Weight (g) ]]/3)*Table8[[#This Row],['# of Plants]]</f>
        <v>590.33333333333326</v>
      </c>
      <c r="Q13" s="6">
        <v>1</v>
      </c>
      <c r="R13" s="6">
        <v>12</v>
      </c>
      <c r="S13" s="6" t="s">
        <v>507</v>
      </c>
      <c r="T13" s="6">
        <v>659.19999999999993</v>
      </c>
      <c r="U13" s="6">
        <v>308.79999999999995</v>
      </c>
      <c r="V13" s="6">
        <f>Table911[[#This Row],[Biomass Wet Weight (g/m2)]]-Table911[[#This Row],[Dry Sample Weight (g/m2) ]]</f>
        <v>350.4</v>
      </c>
      <c r="W13" s="6">
        <f>(Table911[[#This Row],[Moisture loss (g)]]/Table911[[#This Row],[Biomass Wet Weight (g/m2)]])*100</f>
        <v>53.155339805825243</v>
      </c>
      <c r="X13" s="6">
        <f>Table911[[#This Row],[Dry Sample Weight (g/m2) ]]*(10000/1000)</f>
        <v>3087.9999999999995</v>
      </c>
      <c r="Y13" s="6">
        <f>Table911[[#This Row],[Dry Yield (kg/ha)]]*1.155</f>
        <v>3566.6399999999994</v>
      </c>
      <c r="Z13" s="166">
        <f>Table911[[#This Row],[Dry Yield (kg/ha)]]/1000</f>
        <v>3.0879999999999996</v>
      </c>
      <c r="AA13" s="166">
        <f>Table911[[#This Row],[Dry Yield (tons/ha)]]*1.15</f>
        <v>3.5511999999999992</v>
      </c>
      <c r="AC13" s="86" t="s">
        <v>66</v>
      </c>
      <c r="AD13" s="86" t="s">
        <v>704</v>
      </c>
      <c r="AE13" s="86" t="s">
        <v>705</v>
      </c>
      <c r="AF13" s="86" t="s">
        <v>679</v>
      </c>
      <c r="AH13" s="6" t="s">
        <v>689</v>
      </c>
      <c r="AI13" s="166">
        <f>Table911[[#This Row],[Yield (tons/ha) Corrected to 15% Moisture]]</f>
        <v>3.5511999999999992</v>
      </c>
    </row>
    <row r="14" spans="1:41">
      <c r="A14" s="15">
        <v>2021</v>
      </c>
      <c r="B14" s="15">
        <v>293</v>
      </c>
      <c r="C14" s="15">
        <v>1</v>
      </c>
      <c r="D14" s="15">
        <v>6</v>
      </c>
      <c r="E14" s="15" t="s">
        <v>55</v>
      </c>
      <c r="F14" s="15">
        <v>6</v>
      </c>
      <c r="G14" s="15">
        <v>6</v>
      </c>
      <c r="H14" s="15">
        <v>515.20000000000005</v>
      </c>
      <c r="I14" s="15">
        <v>489.3</v>
      </c>
      <c r="J14" s="15">
        <f>Table8[[#This Row],[Wet Weight of 3 plants (g) ]]-55.8</f>
        <v>433.5</v>
      </c>
      <c r="K14" s="15">
        <f>(Table8[[#This Row],[Wet - Bag Weight (g) ]]/3)*Table8[[#This Row],['# of Plants]]</f>
        <v>867</v>
      </c>
      <c r="L14" s="15">
        <v>306.7</v>
      </c>
      <c r="M14" s="15">
        <f>Table8[[#This Row],[DRY Sample Weight (g) (3 Plants) ]]-55.8</f>
        <v>250.89999999999998</v>
      </c>
      <c r="N14" s="15">
        <f t="shared" si="0"/>
        <v>182.60000000000002</v>
      </c>
      <c r="O14" s="15">
        <f>(Table8[[#This Row],[DRY Sample - Bag Weight (g) ]]/3)*Table8[[#This Row],['# of Plants]]</f>
        <v>501.79999999999995</v>
      </c>
      <c r="Q14" s="6">
        <v>1</v>
      </c>
      <c r="R14" s="6">
        <v>13</v>
      </c>
      <c r="S14" s="6" t="s">
        <v>508</v>
      </c>
      <c r="T14" s="6">
        <v>1161.0666666666666</v>
      </c>
      <c r="U14" s="6">
        <v>566.66666666666663</v>
      </c>
      <c r="V14" s="6">
        <f>Table911[[#This Row],[Biomass Wet Weight (g/m2)]]-Table911[[#This Row],[Dry Sample Weight (g/m2) ]]</f>
        <v>594.4</v>
      </c>
      <c r="W14" s="6">
        <f>(Table911[[#This Row],[Moisture loss (g)]]/Table911[[#This Row],[Biomass Wet Weight (g/m2)]])*100</f>
        <v>51.194304088194762</v>
      </c>
      <c r="X14" s="6">
        <f>Table911[[#This Row],[Dry Sample Weight (g/m2) ]]*(10000/1000)</f>
        <v>5666.6666666666661</v>
      </c>
      <c r="Y14" s="6">
        <f>Table911[[#This Row],[Dry Yield (kg/ha)]]*1.155</f>
        <v>6544.9999999999991</v>
      </c>
      <c r="Z14" s="166">
        <f>Table911[[#This Row],[Dry Yield (kg/ha)]]/1000</f>
        <v>5.6666666666666661</v>
      </c>
      <c r="AA14" s="166">
        <f>Table911[[#This Row],[Dry Yield (tons/ha)]]*1.15</f>
        <v>6.5166666666666657</v>
      </c>
      <c r="AC14" s="10">
        <v>1</v>
      </c>
      <c r="AD14" s="10" t="s">
        <v>693</v>
      </c>
      <c r="AE14" s="10">
        <f>AVERAGE(AA3:AA11)</f>
        <v>5.7350287037037022</v>
      </c>
      <c r="AF14" s="10">
        <f>STDEV(AA3:AA11)</f>
        <v>0.5764822479244851</v>
      </c>
      <c r="AH14" s="6" t="s">
        <v>689</v>
      </c>
      <c r="AI14" s="166">
        <f>Table911[[#This Row],[Yield (tons/ha) Corrected to 15% Moisture]]</f>
        <v>6.5166666666666657</v>
      </c>
    </row>
    <row r="15" spans="1:41">
      <c r="A15" s="15">
        <v>2021</v>
      </c>
      <c r="B15" s="15">
        <v>293</v>
      </c>
      <c r="C15" s="15">
        <v>1</v>
      </c>
      <c r="D15" s="15">
        <v>7</v>
      </c>
      <c r="E15" s="17" t="s">
        <v>54</v>
      </c>
      <c r="F15" s="15">
        <v>7</v>
      </c>
      <c r="G15" s="15">
        <v>7</v>
      </c>
      <c r="H15" s="15">
        <v>605.6</v>
      </c>
      <c r="I15" s="15">
        <v>493.5</v>
      </c>
      <c r="J15" s="15">
        <f>Table8[[#This Row],[Wet Weight of 3 plants (g) ]]-55.8</f>
        <v>437.7</v>
      </c>
      <c r="K15" s="15">
        <f>(Table8[[#This Row],[Wet - Bag Weight (g) ]]/3)*Table8[[#This Row],['# of Plants]]</f>
        <v>1021.3000000000001</v>
      </c>
      <c r="L15" s="15">
        <v>291.7</v>
      </c>
      <c r="M15" s="15">
        <f>Table8[[#This Row],[DRY Sample Weight (g) (3 Plants) ]]-55.8</f>
        <v>235.89999999999998</v>
      </c>
      <c r="N15" s="15">
        <f t="shared" si="0"/>
        <v>201.8</v>
      </c>
      <c r="O15" s="15">
        <f>(Table8[[#This Row],[DRY Sample - Bag Weight (g) ]]/3)*Table8[[#This Row],['# of Plants]]</f>
        <v>550.43333333333328</v>
      </c>
      <c r="Q15" s="10">
        <v>2</v>
      </c>
      <c r="R15" s="10">
        <v>1</v>
      </c>
      <c r="S15" s="10" t="s">
        <v>509</v>
      </c>
      <c r="T15" s="10">
        <f>(K24+K25)/2</f>
        <v>913.0333333333333</v>
      </c>
      <c r="U15" s="10">
        <f>(O24+O25)/2</f>
        <v>499.56666666666666</v>
      </c>
      <c r="V15" s="10">
        <f>Table911[[#This Row],[Biomass Wet Weight (g/m2)]]-Table911[[#This Row],[Dry Sample Weight (g/m2) ]]</f>
        <v>413.46666666666664</v>
      </c>
      <c r="W15" s="10">
        <f>(Table911[[#This Row],[Moisture loss (g)]]/Table911[[#This Row],[Biomass Wet Weight (g/m2)]])*100</f>
        <v>45.284947610529002</v>
      </c>
      <c r="X15" s="10">
        <f>Table911[[#This Row],[Dry Sample Weight (g/m2) ]]*(10000/1000)</f>
        <v>4995.666666666667</v>
      </c>
      <c r="Y15" s="10">
        <f>Table911[[#This Row],[Dry Yield (kg/ha)]]*1.155</f>
        <v>5769.9950000000008</v>
      </c>
      <c r="Z15" s="89">
        <f>Table911[[#This Row],[Dry Yield (kg/ha)]]/1000</f>
        <v>4.9956666666666667</v>
      </c>
      <c r="AA15" s="89">
        <f>Table911[[#This Row],[Dry Yield (tons/ha)]]*1.15</f>
        <v>5.7450166666666664</v>
      </c>
      <c r="AC15" s="10" t="s">
        <v>670</v>
      </c>
      <c r="AD15" s="10" t="s">
        <v>689</v>
      </c>
      <c r="AE15" s="10">
        <f>AVERAGE(AA12:AA14)</f>
        <v>4.8917166666666656</v>
      </c>
      <c r="AF15" s="10">
        <f>STDEV(AA12:AA14)</f>
        <v>1.5030551814923871</v>
      </c>
      <c r="AH15" s="10" t="s">
        <v>690</v>
      </c>
      <c r="AI15" s="183">
        <f>Table911[[#This Row],[Yield (tons/ha) Corrected to 15% Moisture]]</f>
        <v>5.7450166666666664</v>
      </c>
    </row>
    <row r="16" spans="1:41">
      <c r="A16" s="15">
        <v>2021</v>
      </c>
      <c r="B16" s="15">
        <v>293</v>
      </c>
      <c r="C16" s="15">
        <v>1</v>
      </c>
      <c r="D16" s="15">
        <v>7</v>
      </c>
      <c r="E16" s="15" t="s">
        <v>55</v>
      </c>
      <c r="F16" s="15">
        <v>7</v>
      </c>
      <c r="G16" s="15">
        <v>7</v>
      </c>
      <c r="H16" s="15">
        <v>951.7</v>
      </c>
      <c r="I16" s="15">
        <v>561.9</v>
      </c>
      <c r="J16" s="15">
        <f>Table8[[#This Row],[Wet Weight of 3 plants (g) ]]-55.8</f>
        <v>506.09999999999997</v>
      </c>
      <c r="K16" s="15">
        <f>(Table8[[#This Row],[Wet - Bag Weight (g) ]]/3)*Table8[[#This Row],['# of Plants]]</f>
        <v>1180.8999999999999</v>
      </c>
      <c r="L16" s="15">
        <v>301.3</v>
      </c>
      <c r="M16" s="15">
        <f>Table8[[#This Row],[DRY Sample Weight (g) (3 Plants) ]]-55.8</f>
        <v>245.5</v>
      </c>
      <c r="N16" s="15">
        <f t="shared" si="0"/>
        <v>260.59999999999997</v>
      </c>
      <c r="O16" s="15">
        <f>(Table8[[#This Row],[DRY Sample - Bag Weight (g) ]]/3)*Table8[[#This Row],['# of Plants]]</f>
        <v>572.83333333333326</v>
      </c>
      <c r="Q16" s="10">
        <v>2</v>
      </c>
      <c r="R16" s="10">
        <v>2</v>
      </c>
      <c r="S16" s="10" t="s">
        <v>629</v>
      </c>
      <c r="T16" s="10">
        <f>(K26+K27)/2</f>
        <v>905.1</v>
      </c>
      <c r="U16" s="10">
        <f>(O26+O27)/2</f>
        <v>525.69999999999993</v>
      </c>
      <c r="V16" s="10">
        <f>Table911[[#This Row],[Biomass Wet Weight (g/m2)]]-Table911[[#This Row],[Dry Sample Weight (g/m2) ]]</f>
        <v>379.40000000000009</v>
      </c>
      <c r="W16" s="10">
        <f>(Table911[[#This Row],[Moisture loss (g)]]/Table911[[#This Row],[Biomass Wet Weight (g/m2)]])*100</f>
        <v>41.918020108275336</v>
      </c>
      <c r="X16" s="10">
        <f>Table911[[#This Row],[Dry Sample Weight (g/m2) ]]*(10000/1000)</f>
        <v>5256.9999999999991</v>
      </c>
      <c r="Y16" s="10">
        <f>Table911[[#This Row],[Dry Yield (kg/ha)]]*1.155</f>
        <v>6071.8349999999991</v>
      </c>
      <c r="Z16" s="89">
        <f>Table911[[#This Row],[Dry Yield (kg/ha)]]/1000</f>
        <v>5.2569999999999988</v>
      </c>
      <c r="AA16" s="89">
        <f>Table911[[#This Row],[Dry Yield (tons/ha)]]*1.15</f>
        <v>6.0455499999999978</v>
      </c>
      <c r="AC16" s="10">
        <v>2</v>
      </c>
      <c r="AD16" s="10" t="s">
        <v>690</v>
      </c>
      <c r="AE16" s="10">
        <f>AVERAGE(AA15:AA23)</f>
        <v>6.0321120370370354</v>
      </c>
      <c r="AF16" s="10">
        <f>STDEV(AA15:AA23)</f>
        <v>0.42766982423472072</v>
      </c>
      <c r="AH16" s="10" t="s">
        <v>690</v>
      </c>
      <c r="AI16" s="183">
        <f>Table911[[#This Row],[Yield (tons/ha) Corrected to 15% Moisture]]</f>
        <v>6.0455499999999978</v>
      </c>
    </row>
    <row r="17" spans="1:35">
      <c r="A17" s="15">
        <v>2021</v>
      </c>
      <c r="B17" s="15">
        <v>293</v>
      </c>
      <c r="C17" s="15">
        <v>1</v>
      </c>
      <c r="D17" s="15">
        <v>8</v>
      </c>
      <c r="E17" s="15" t="s">
        <v>54</v>
      </c>
      <c r="F17" s="15">
        <v>7</v>
      </c>
      <c r="G17" s="15">
        <v>7</v>
      </c>
      <c r="H17" s="15">
        <v>611.9</v>
      </c>
      <c r="I17" s="15">
        <v>410.3</v>
      </c>
      <c r="J17" s="15">
        <f>Table8[[#This Row],[Wet Weight of 3 plants (g) ]]-55.8</f>
        <v>354.5</v>
      </c>
      <c r="K17" s="15">
        <f>(Table8[[#This Row],[Wet - Bag Weight (g) ]]/3)*Table8[[#This Row],['# of Plants]]</f>
        <v>827.16666666666674</v>
      </c>
      <c r="L17" s="15">
        <v>281</v>
      </c>
      <c r="M17" s="15">
        <f>Table8[[#This Row],[DRY Sample Weight (g) (3 Plants) ]]-55.8</f>
        <v>225.2</v>
      </c>
      <c r="N17" s="15">
        <f t="shared" si="0"/>
        <v>129.30000000000001</v>
      </c>
      <c r="O17" s="15">
        <f>(Table8[[#This Row],[DRY Sample - Bag Weight (g) ]]/3)*Table8[[#This Row],['# of Plants]]</f>
        <v>525.4666666666667</v>
      </c>
      <c r="Q17" s="10">
        <v>2</v>
      </c>
      <c r="R17" s="10">
        <v>3</v>
      </c>
      <c r="S17" s="10" t="s">
        <v>630</v>
      </c>
      <c r="T17" s="10">
        <f>(K28+K29)/2</f>
        <v>894.41666666666674</v>
      </c>
      <c r="U17" s="10">
        <f>(O28+O29)/2</f>
        <v>522.04999999999995</v>
      </c>
      <c r="V17" s="10">
        <f>Table911[[#This Row],[Biomass Wet Weight (g/m2)]]-Table911[[#This Row],[Dry Sample Weight (g/m2) ]]</f>
        <v>372.36666666666679</v>
      </c>
      <c r="W17" s="10">
        <f>(Table911[[#This Row],[Moisture loss (g)]]/Table911[[#This Row],[Biomass Wet Weight (g/m2)]])*100</f>
        <v>41.632348830709034</v>
      </c>
      <c r="X17" s="10">
        <f>Table911[[#This Row],[Dry Sample Weight (g/m2) ]]*(10000/1000)</f>
        <v>5220.5</v>
      </c>
      <c r="Y17" s="10">
        <f>Table911[[#This Row],[Dry Yield (kg/ha)]]*1.155</f>
        <v>6029.6774999999998</v>
      </c>
      <c r="Z17" s="89">
        <f>Table911[[#This Row],[Dry Yield (kg/ha)]]/1000</f>
        <v>5.2205000000000004</v>
      </c>
      <c r="AA17" s="89">
        <f>Table911[[#This Row],[Dry Yield (tons/ha)]]*1.15</f>
        <v>6.0035749999999997</v>
      </c>
      <c r="AC17" s="10" t="s">
        <v>671</v>
      </c>
      <c r="AD17" s="10" t="s">
        <v>691</v>
      </c>
      <c r="AE17" s="10">
        <f>AVERAGE(AA24:AA26)</f>
        <v>4.8575999999999988</v>
      </c>
      <c r="AF17" s="10">
        <f>STDEV(AA24:AA26)</f>
        <v>1.237483361504307</v>
      </c>
      <c r="AH17" s="10" t="s">
        <v>690</v>
      </c>
      <c r="AI17" s="183">
        <f>Table911[[#This Row],[Yield (tons/ha) Corrected to 15% Moisture]]</f>
        <v>6.0035749999999997</v>
      </c>
    </row>
    <row r="18" spans="1:35">
      <c r="A18" s="15">
        <v>2021</v>
      </c>
      <c r="B18" s="15">
        <v>293</v>
      </c>
      <c r="C18" s="15">
        <v>1</v>
      </c>
      <c r="D18" s="15">
        <v>8</v>
      </c>
      <c r="E18" s="15" t="s">
        <v>55</v>
      </c>
      <c r="F18" s="15">
        <v>7</v>
      </c>
      <c r="G18" s="15">
        <v>6</v>
      </c>
      <c r="H18" s="15">
        <v>496.2</v>
      </c>
      <c r="I18" s="15">
        <v>326</v>
      </c>
      <c r="J18" s="15">
        <f>Table8[[#This Row],[Wet Weight of 3 plants (g) ]]-55.8</f>
        <v>270.2</v>
      </c>
      <c r="K18" s="15">
        <f>(Table8[[#This Row],[Wet - Bag Weight (g) ]]/3)*Table8[[#This Row],['# of Plants]]</f>
        <v>630.4666666666667</v>
      </c>
      <c r="L18" s="15">
        <v>245.4</v>
      </c>
      <c r="M18" s="15">
        <f>Table8[[#This Row],[DRY Sample Weight (g) (3 Plants) ]]-55.8</f>
        <v>189.60000000000002</v>
      </c>
      <c r="N18" s="15">
        <f t="shared" si="0"/>
        <v>80.599999999999966</v>
      </c>
      <c r="O18" s="15">
        <f>(Table8[[#This Row],[DRY Sample - Bag Weight (g) ]]/3)*Table8[[#This Row],['# of Plants]]</f>
        <v>442.40000000000009</v>
      </c>
      <c r="Q18" s="10">
        <v>2</v>
      </c>
      <c r="R18" s="10">
        <v>4</v>
      </c>
      <c r="S18" s="10" t="s">
        <v>288</v>
      </c>
      <c r="T18" s="10">
        <f>(K30+K31)/2</f>
        <v>756.4666666666667</v>
      </c>
      <c r="U18" s="10">
        <f>(O30+O31)/2</f>
        <v>616</v>
      </c>
      <c r="V18" s="10">
        <f>Table911[[#This Row],[Biomass Wet Weight (g/m2)]]-Table911[[#This Row],[Dry Sample Weight (g/m2) ]]</f>
        <v>140.4666666666667</v>
      </c>
      <c r="W18" s="10">
        <f>(Table911[[#This Row],[Moisture loss (g)]]/Table911[[#This Row],[Biomass Wet Weight (g/m2)]])*100</f>
        <v>18.568784700801977</v>
      </c>
      <c r="X18" s="10">
        <f>Table911[[#This Row],[Dry Sample Weight (g/m2) ]]*(10000/1000)</f>
        <v>6160</v>
      </c>
      <c r="Y18" s="10">
        <f>Table911[[#This Row],[Dry Yield (kg/ha)]]*1.155</f>
        <v>7114.8</v>
      </c>
      <c r="Z18" s="89">
        <f>Table911[[#This Row],[Dry Yield (kg/ha)]]/1000</f>
        <v>6.16</v>
      </c>
      <c r="AA18" s="89">
        <f>Table911[[#This Row],[Dry Yield (tons/ha)]]*1.15</f>
        <v>7.0839999999999996</v>
      </c>
      <c r="AC18" s="10">
        <v>3</v>
      </c>
      <c r="AD18" s="10" t="s">
        <v>685</v>
      </c>
      <c r="AE18" s="10">
        <f>AVERAGE(AA27:AA35)</f>
        <v>5.8930898148148128</v>
      </c>
      <c r="AF18" s="10">
        <f>STDEV(AA27:AA35)</f>
        <v>0.4081335786442658</v>
      </c>
      <c r="AH18" s="10" t="s">
        <v>690</v>
      </c>
      <c r="AI18" s="183">
        <f>Table911[[#This Row],[Yield (tons/ha) Corrected to 15% Moisture]]</f>
        <v>7.0839999999999996</v>
      </c>
    </row>
    <row r="19" spans="1:35">
      <c r="A19" s="15">
        <v>2021</v>
      </c>
      <c r="B19" s="15">
        <v>293</v>
      </c>
      <c r="C19" s="15">
        <v>1</v>
      </c>
      <c r="D19" s="15">
        <v>9</v>
      </c>
      <c r="E19" s="17" t="s">
        <v>54</v>
      </c>
      <c r="F19" s="15">
        <v>7</v>
      </c>
      <c r="G19" s="15">
        <v>7</v>
      </c>
      <c r="H19" s="15">
        <v>543.20000000000005</v>
      </c>
      <c r="I19" s="15">
        <v>311.89999999999998</v>
      </c>
      <c r="J19" s="15">
        <f>Table8[[#This Row],[Wet Weight of 3 plants (g) ]]-55.8</f>
        <v>256.09999999999997</v>
      </c>
      <c r="K19" s="15">
        <f>(Table8[[#This Row],[Wet - Bag Weight (g) ]]/3)*Table8[[#This Row],['# of Plants]]</f>
        <v>597.56666666666661</v>
      </c>
      <c r="L19" s="15">
        <v>229.3</v>
      </c>
      <c r="M19" s="15">
        <f>Table8[[#This Row],[DRY Sample Weight (g) (3 Plants) ]]-55.8</f>
        <v>173.5</v>
      </c>
      <c r="N19" s="15">
        <f t="shared" si="0"/>
        <v>82.599999999999966</v>
      </c>
      <c r="O19" s="15">
        <f>(Table8[[#This Row],[DRY Sample - Bag Weight (g) ]]/3)*Table8[[#This Row],['# of Plants]]</f>
        <v>404.83333333333337</v>
      </c>
      <c r="Q19" s="10">
        <v>2</v>
      </c>
      <c r="R19" s="10">
        <v>5</v>
      </c>
      <c r="S19" s="10" t="s">
        <v>290</v>
      </c>
      <c r="T19" s="10">
        <f>(K32+K33)/2</f>
        <v>736.05</v>
      </c>
      <c r="U19" s="10">
        <f>(O32+O33)/2</f>
        <v>488.01666666666665</v>
      </c>
      <c r="V19" s="10">
        <f>Table911[[#This Row],[Biomass Wet Weight (g/m2)]]-Table911[[#This Row],[Dry Sample Weight (g/m2) ]]</f>
        <v>248.0333333333333</v>
      </c>
      <c r="W19" s="10">
        <f>(Table911[[#This Row],[Moisture loss (g)]]/Table911[[#This Row],[Biomass Wet Weight (g/m2)]])*100</f>
        <v>33.697891900459659</v>
      </c>
      <c r="X19" s="10">
        <f>Table911[[#This Row],[Dry Sample Weight (g/m2) ]]*(10000/1000)</f>
        <v>4880.1666666666661</v>
      </c>
      <c r="Y19" s="10">
        <f>Table911[[#This Row],[Dry Yield (kg/ha)]]*1.155</f>
        <v>5636.5924999999997</v>
      </c>
      <c r="Z19" s="89">
        <f>Table911[[#This Row],[Dry Yield (kg/ha)]]/1000</f>
        <v>4.8801666666666659</v>
      </c>
      <c r="AA19" s="89">
        <f>Table911[[#This Row],[Dry Yield (tons/ha)]]*1.15</f>
        <v>5.6121916666666651</v>
      </c>
      <c r="AC19" s="10" t="s">
        <v>672</v>
      </c>
      <c r="AD19" s="10" t="s">
        <v>686</v>
      </c>
      <c r="AE19" s="10">
        <f>AVERAGE(AA36:AA38)</f>
        <v>3.921244444444445</v>
      </c>
      <c r="AF19" s="10">
        <f>STDEV(AA36:AA38)</f>
        <v>0.55818708341611856</v>
      </c>
      <c r="AH19" s="10" t="s">
        <v>690</v>
      </c>
      <c r="AI19" s="183">
        <f>Table911[[#This Row],[Yield (tons/ha) Corrected to 15% Moisture]]</f>
        <v>5.6121916666666651</v>
      </c>
    </row>
    <row r="20" spans="1:35">
      <c r="A20" s="15">
        <v>2021</v>
      </c>
      <c r="B20" s="15">
        <v>293</v>
      </c>
      <c r="C20" s="15">
        <v>1</v>
      </c>
      <c r="D20" s="15">
        <v>9</v>
      </c>
      <c r="E20" s="15" t="s">
        <v>55</v>
      </c>
      <c r="F20" s="15">
        <v>7</v>
      </c>
      <c r="G20" s="15">
        <v>7</v>
      </c>
      <c r="H20" s="15">
        <v>444.4</v>
      </c>
      <c r="I20" s="15">
        <v>347.7</v>
      </c>
      <c r="J20" s="15">
        <f>Table8[[#This Row],[Wet Weight of 3 plants (g) ]]-55.8</f>
        <v>291.89999999999998</v>
      </c>
      <c r="K20" s="15">
        <f>(Table8[[#This Row],[Wet - Bag Weight (g) ]]/3)*Table8[[#This Row],['# of Plants]]</f>
        <v>681.1</v>
      </c>
      <c r="L20" s="15">
        <v>227.7</v>
      </c>
      <c r="M20" s="15">
        <f>Table8[[#This Row],[DRY Sample Weight (g) (3 Plants) ]]-55.8</f>
        <v>171.89999999999998</v>
      </c>
      <c r="N20" s="15">
        <f t="shared" si="0"/>
        <v>120</v>
      </c>
      <c r="O20" s="15">
        <f>(Table8[[#This Row],[DRY Sample - Bag Weight (g) ]]/3)*Table8[[#This Row],['# of Plants]]</f>
        <v>401.09999999999991</v>
      </c>
      <c r="Q20" s="10">
        <v>2</v>
      </c>
      <c r="R20" s="10">
        <v>6</v>
      </c>
      <c r="S20" s="10" t="s">
        <v>292</v>
      </c>
      <c r="T20" s="10">
        <f>(K34+K35)/2</f>
        <v>723.8</v>
      </c>
      <c r="U20" s="10">
        <f>(O34+O35)/2</f>
        <v>504.4666666666667</v>
      </c>
      <c r="V20" s="10">
        <f>Table911[[#This Row],[Biomass Wet Weight (g/m2)]]-Table911[[#This Row],[Dry Sample Weight (g/m2) ]]</f>
        <v>219.33333333333326</v>
      </c>
      <c r="W20" s="10">
        <f>(Table911[[#This Row],[Moisture loss (g)]]/Table911[[#This Row],[Biomass Wet Weight (g/m2)]])*100</f>
        <v>30.303030303030294</v>
      </c>
      <c r="X20" s="10">
        <f>Table911[[#This Row],[Dry Sample Weight (g/m2) ]]*(10000/1000)</f>
        <v>5044.666666666667</v>
      </c>
      <c r="Y20" s="10">
        <f>Table911[[#This Row],[Dry Yield (kg/ha)]]*1.155</f>
        <v>5826.59</v>
      </c>
      <c r="Z20" s="89">
        <f>Table911[[#This Row],[Dry Yield (kg/ha)]]/1000</f>
        <v>5.0446666666666671</v>
      </c>
      <c r="AA20" s="89">
        <f>Table911[[#This Row],[Dry Yield (tons/ha)]]*1.15</f>
        <v>5.8013666666666666</v>
      </c>
      <c r="AC20" s="10">
        <v>4</v>
      </c>
      <c r="AD20" s="10" t="s">
        <v>687</v>
      </c>
      <c r="AE20" s="10">
        <f>AVERAGE(AA39:AA47)</f>
        <v>5.9677333333333316</v>
      </c>
      <c r="AF20" s="10">
        <f>STDEV(AA39:AA47)</f>
        <v>0.41449389039358686</v>
      </c>
      <c r="AH20" s="10" t="s">
        <v>690</v>
      </c>
      <c r="AI20" s="183">
        <f>Table911[[#This Row],[Yield (tons/ha) Corrected to 15% Moisture]]</f>
        <v>5.8013666666666666</v>
      </c>
    </row>
    <row r="21" spans="1:35">
      <c r="A21" s="6">
        <v>2021</v>
      </c>
      <c r="B21" s="6">
        <v>292</v>
      </c>
      <c r="C21" s="6">
        <v>1</v>
      </c>
      <c r="D21" s="6">
        <v>11</v>
      </c>
      <c r="E21" s="6" t="s">
        <v>54</v>
      </c>
      <c r="F21" s="6">
        <v>7</v>
      </c>
      <c r="G21" s="6">
        <v>7</v>
      </c>
      <c r="H21" s="6">
        <v>919.8</v>
      </c>
      <c r="I21" s="6">
        <v>367.1</v>
      </c>
      <c r="J21" s="6">
        <f>Table8[[#This Row],[Wet Weight of 3 plants (g) ]]-55.8</f>
        <v>311.3</v>
      </c>
      <c r="K21" s="15">
        <f>(Table8[[#This Row],[Wet - Bag Weight (g) ]]/3)*Table8[[#This Row],['# of Plants]]</f>
        <v>726.36666666666667</v>
      </c>
      <c r="L21" s="6">
        <v>227.5</v>
      </c>
      <c r="M21" s="6">
        <f>Table8[[#This Row],[DRY Sample Weight (g) (3 Plants) ]]-55.8</f>
        <v>171.7</v>
      </c>
      <c r="N21" s="6">
        <f t="shared" si="0"/>
        <v>139.60000000000002</v>
      </c>
      <c r="O21" s="6">
        <f>(Table8[[#This Row],[DRY Sample - Bag Weight (g) ]]/3)*Table8[[#This Row],['# of Plants]]</f>
        <v>400.63333333333327</v>
      </c>
      <c r="Q21" s="10">
        <v>2</v>
      </c>
      <c r="R21" s="10">
        <v>7</v>
      </c>
      <c r="S21" s="10" t="s">
        <v>294</v>
      </c>
      <c r="T21" s="10">
        <f>(K36+K37)/2</f>
        <v>948.73333333333335</v>
      </c>
      <c r="U21" s="10">
        <f>(O36+O37)/2</f>
        <v>521.2833333333333</v>
      </c>
      <c r="V21" s="10">
        <f>Table911[[#This Row],[Biomass Wet Weight (g/m2)]]-Table911[[#This Row],[Dry Sample Weight (g/m2) ]]</f>
        <v>427.45000000000005</v>
      </c>
      <c r="W21" s="10">
        <f>(Table911[[#This Row],[Moisture loss (g)]]/Table911[[#This Row],[Biomass Wet Weight (g/m2)]])*100</f>
        <v>45.054809922001269</v>
      </c>
      <c r="X21" s="10">
        <f>Table911[[#This Row],[Dry Sample Weight (g/m2) ]]*(10000/1000)</f>
        <v>5212.833333333333</v>
      </c>
      <c r="Y21" s="10">
        <f>Table911[[#This Row],[Dry Yield (kg/ha)]]*1.155</f>
        <v>6020.8225000000002</v>
      </c>
      <c r="Z21" s="89">
        <f>Table911[[#This Row],[Dry Yield (kg/ha)]]/1000</f>
        <v>5.2128333333333332</v>
      </c>
      <c r="AA21" s="89">
        <f>Table911[[#This Row],[Dry Yield (tons/ha)]]*1.15</f>
        <v>5.9947583333333325</v>
      </c>
      <c r="AC21" s="10" t="s">
        <v>673</v>
      </c>
      <c r="AD21" s="10" t="s">
        <v>688</v>
      </c>
      <c r="AE21" s="10">
        <f>AVERAGE(AA48:AA50)</f>
        <v>5.0473499999999989</v>
      </c>
      <c r="AF21" s="10">
        <f>STDEV(AA48:AA50)</f>
        <v>1.0109758801661781</v>
      </c>
      <c r="AH21" s="10" t="s">
        <v>690</v>
      </c>
      <c r="AI21" s="183">
        <f>Table911[[#This Row],[Yield (tons/ha) Corrected to 15% Moisture]]</f>
        <v>5.9947583333333325</v>
      </c>
    </row>
    <row r="22" spans="1:35">
      <c r="A22" s="6">
        <v>2021</v>
      </c>
      <c r="B22" s="6">
        <v>292</v>
      </c>
      <c r="C22" s="6">
        <v>1</v>
      </c>
      <c r="D22" s="6">
        <v>12</v>
      </c>
      <c r="E22" s="6" t="s">
        <v>54</v>
      </c>
      <c r="F22" s="6">
        <v>6</v>
      </c>
      <c r="G22" s="6">
        <v>6</v>
      </c>
      <c r="H22" s="6">
        <v>1081.9000000000001</v>
      </c>
      <c r="I22" s="6">
        <v>385.4</v>
      </c>
      <c r="J22" s="6">
        <f>Table8[[#This Row],[Wet Weight of 3 plants (g) ]]-55.8</f>
        <v>329.59999999999997</v>
      </c>
      <c r="K22" s="15">
        <f>(Table8[[#This Row],[Wet - Bag Weight (g) ]]/3)*Table8[[#This Row],['# of Plants]]</f>
        <v>659.19999999999993</v>
      </c>
      <c r="L22" s="6">
        <v>210.2</v>
      </c>
      <c r="M22" s="6">
        <f>Table8[[#This Row],[DRY Sample Weight (g) (3 Plants) ]]-55.8</f>
        <v>154.39999999999998</v>
      </c>
      <c r="N22" s="6">
        <f t="shared" si="0"/>
        <v>175.2</v>
      </c>
      <c r="O22" s="6">
        <f>(Table8[[#This Row],[DRY Sample - Bag Weight (g) ]]/3)*Table8[[#This Row],['# of Plants]]</f>
        <v>308.79999999999995</v>
      </c>
      <c r="Q22" s="10">
        <v>2</v>
      </c>
      <c r="R22" s="10">
        <v>8</v>
      </c>
      <c r="S22" s="10" t="s">
        <v>296</v>
      </c>
      <c r="T22" s="10">
        <f>(K38+K39)/2</f>
        <v>818.88333333333333</v>
      </c>
      <c r="U22" s="10">
        <f>(O38+O39)/2</f>
        <v>509.48333333333329</v>
      </c>
      <c r="V22" s="10">
        <f>Table911[[#This Row],[Biomass Wet Weight (g/m2)]]-Table911[[#This Row],[Dry Sample Weight (g/m2) ]]</f>
        <v>309.40000000000003</v>
      </c>
      <c r="W22" s="10">
        <f>(Table911[[#This Row],[Moisture loss (g)]]/Table911[[#This Row],[Biomass Wet Weight (g/m2)]])*100</f>
        <v>37.783159994301187</v>
      </c>
      <c r="X22" s="10">
        <f>Table911[[#This Row],[Dry Sample Weight (g/m2) ]]*(10000/1000)</f>
        <v>5094.833333333333</v>
      </c>
      <c r="Y22" s="10">
        <f>Table911[[#This Row],[Dry Yield (kg/ha)]]*1.155</f>
        <v>5884.5324999999993</v>
      </c>
      <c r="Z22" s="89">
        <f>Table911[[#This Row],[Dry Yield (kg/ha)]]/1000</f>
        <v>5.0948333333333329</v>
      </c>
      <c r="AA22" s="89">
        <f>Table911[[#This Row],[Dry Yield (tons/ha)]]*1.15</f>
        <v>5.8590583333333326</v>
      </c>
      <c r="AH22" s="10" t="s">
        <v>690</v>
      </c>
      <c r="AI22" s="183">
        <f>Table911[[#This Row],[Yield (tons/ha) Corrected to 15% Moisture]]</f>
        <v>5.8590583333333326</v>
      </c>
    </row>
    <row r="23" spans="1:35">
      <c r="A23" s="6">
        <v>2021</v>
      </c>
      <c r="B23" s="6">
        <v>292</v>
      </c>
      <c r="C23" s="6">
        <v>1</v>
      </c>
      <c r="D23" s="6">
        <v>13</v>
      </c>
      <c r="E23" s="127" t="s">
        <v>54</v>
      </c>
      <c r="F23" s="6">
        <v>8</v>
      </c>
      <c r="G23" s="6">
        <v>8</v>
      </c>
      <c r="H23" s="6">
        <v>945.4</v>
      </c>
      <c r="I23" s="6">
        <v>491.2</v>
      </c>
      <c r="J23" s="6">
        <f>Table8[[#This Row],[Wet Weight of 3 plants (g) ]]-55.8</f>
        <v>435.4</v>
      </c>
      <c r="K23" s="15">
        <f>(Table8[[#This Row],[Wet - Bag Weight (g) ]]/3)*Table8[[#This Row],['# of Plants]]</f>
        <v>1161.0666666666666</v>
      </c>
      <c r="L23" s="6">
        <v>268.3</v>
      </c>
      <c r="M23" s="6">
        <f>Table8[[#This Row],[DRY Sample Weight (g) (3 Plants) ]]-55.8</f>
        <v>212.5</v>
      </c>
      <c r="N23" s="6">
        <f t="shared" si="0"/>
        <v>222.89999999999998</v>
      </c>
      <c r="O23" s="6">
        <f>(Table8[[#This Row],[DRY Sample - Bag Weight (g) ]]/3)*Table8[[#This Row],['# of Plants]]</f>
        <v>566.66666666666663</v>
      </c>
      <c r="Q23" s="10">
        <v>2</v>
      </c>
      <c r="R23" s="10">
        <v>9</v>
      </c>
      <c r="S23" s="10" t="s">
        <v>297</v>
      </c>
      <c r="T23" s="10">
        <f>(K40+K41)/2</f>
        <v>911.16666666666652</v>
      </c>
      <c r="U23" s="10">
        <f>(O40+O41)/2</f>
        <v>534.2166666666667</v>
      </c>
      <c r="V23" s="10">
        <f>Table911[[#This Row],[Biomass Wet Weight (g/m2)]]-Table911[[#This Row],[Dry Sample Weight (g/m2) ]]</f>
        <v>376.94999999999982</v>
      </c>
      <c r="W23" s="10">
        <f>(Table911[[#This Row],[Moisture loss (g)]]/Table911[[#This Row],[Biomass Wet Weight (g/m2)]])*100</f>
        <v>41.370038412291919</v>
      </c>
      <c r="X23" s="10">
        <f>Table911[[#This Row],[Dry Sample Weight (g/m2) ]]*(10000/1000)</f>
        <v>5342.166666666667</v>
      </c>
      <c r="Y23" s="10">
        <f>Table911[[#This Row],[Dry Yield (kg/ha)]]*1.155</f>
        <v>6170.2025000000003</v>
      </c>
      <c r="Z23" s="89">
        <f>Table911[[#This Row],[Dry Yield (kg/ha)]]/1000</f>
        <v>5.3421666666666674</v>
      </c>
      <c r="AA23" s="89">
        <f>Table911[[#This Row],[Dry Yield (tons/ha)]]*1.15</f>
        <v>6.1434916666666668</v>
      </c>
      <c r="AH23" s="10" t="s">
        <v>690</v>
      </c>
      <c r="AI23" s="183">
        <f>Table911[[#This Row],[Yield (tons/ha) Corrected to 15% Moisture]]</f>
        <v>6.1434916666666668</v>
      </c>
    </row>
    <row r="24" spans="1:35">
      <c r="A24" s="15">
        <v>2021</v>
      </c>
      <c r="B24" s="15">
        <v>293</v>
      </c>
      <c r="C24" s="15">
        <v>2</v>
      </c>
      <c r="D24" s="15">
        <v>1</v>
      </c>
      <c r="E24" s="17" t="s">
        <v>54</v>
      </c>
      <c r="F24" s="15">
        <v>7</v>
      </c>
      <c r="G24" s="15">
        <v>7</v>
      </c>
      <c r="H24" s="15">
        <v>553.9</v>
      </c>
      <c r="I24" s="15">
        <v>379.3</v>
      </c>
      <c r="J24" s="15">
        <f>Table8[[#This Row],[Wet Weight of 3 plants (g) ]]-55.8</f>
        <v>323.5</v>
      </c>
      <c r="K24" s="15">
        <f>(Table8[[#This Row],[Wet - Bag Weight (g) ]]/3)*Table8[[#This Row],['# of Plants]]</f>
        <v>754.83333333333326</v>
      </c>
      <c r="L24" s="15">
        <v>257.5</v>
      </c>
      <c r="M24" s="15">
        <f>Table8[[#This Row],[DRY Sample Weight (g) (3 Plants) ]]-55.8</f>
        <v>201.7</v>
      </c>
      <c r="N24" s="15">
        <f t="shared" si="0"/>
        <v>121.80000000000001</v>
      </c>
      <c r="O24" s="15">
        <f>(Table8[[#This Row],[DRY Sample - Bag Weight (g) ]]/3)*Table8[[#This Row],['# of Plants]]</f>
        <v>470.63333333333333</v>
      </c>
      <c r="Q24" s="6">
        <v>2</v>
      </c>
      <c r="R24" s="6">
        <v>11</v>
      </c>
      <c r="S24" s="6" t="s">
        <v>298</v>
      </c>
      <c r="T24" s="6">
        <v>987.4666666666667</v>
      </c>
      <c r="U24" s="6">
        <v>466.20000000000005</v>
      </c>
      <c r="V24" s="6">
        <f>Table911[[#This Row],[Biomass Wet Weight (g/m2)]]-Table911[[#This Row],[Dry Sample Weight (g/m2) ]]</f>
        <v>521.26666666666665</v>
      </c>
      <c r="W24" s="6">
        <f>(Table911[[#This Row],[Moisture loss (g)]]/Table911[[#This Row],[Biomass Wet Weight (g/m2)]])*100</f>
        <v>52.788279773156901</v>
      </c>
      <c r="X24" s="6">
        <f>Table911[[#This Row],[Dry Sample Weight (g/m2) ]]*(10000/1000)</f>
        <v>4662</v>
      </c>
      <c r="Y24" s="6">
        <f>Table911[[#This Row],[Dry Yield (kg/ha)]]*1.155</f>
        <v>5384.61</v>
      </c>
      <c r="Z24" s="166">
        <f>Table911[[#This Row],[Dry Yield (kg/ha)]]/1000</f>
        <v>4.6619999999999999</v>
      </c>
      <c r="AA24" s="166">
        <f>Table911[[#This Row],[Dry Yield (tons/ha)]]*1.15</f>
        <v>5.3612999999999991</v>
      </c>
      <c r="AH24" s="6" t="s">
        <v>691</v>
      </c>
      <c r="AI24" s="166">
        <f>Table911[[#This Row],[Yield (tons/ha) Corrected to 15% Moisture]]</f>
        <v>5.3612999999999991</v>
      </c>
    </row>
    <row r="25" spans="1:35">
      <c r="A25" s="15">
        <v>2021</v>
      </c>
      <c r="B25" s="15">
        <v>293</v>
      </c>
      <c r="C25" s="15">
        <v>2</v>
      </c>
      <c r="D25" s="15">
        <v>1</v>
      </c>
      <c r="E25" s="15" t="s">
        <v>55</v>
      </c>
      <c r="F25" s="15">
        <v>7</v>
      </c>
      <c r="G25" s="15">
        <v>7</v>
      </c>
      <c r="H25" s="15">
        <v>725.4</v>
      </c>
      <c r="I25" s="15">
        <v>514.9</v>
      </c>
      <c r="J25" s="15">
        <f>Table8[[#This Row],[Wet Weight of 3 plants (g) ]]-55.8</f>
        <v>459.09999999999997</v>
      </c>
      <c r="K25" s="15">
        <f>(Table8[[#This Row],[Wet - Bag Weight (g) ]]/3)*Table8[[#This Row],['# of Plants]]</f>
        <v>1071.2333333333333</v>
      </c>
      <c r="L25" s="15">
        <v>282.3</v>
      </c>
      <c r="M25" s="15">
        <f>Table8[[#This Row],[DRY Sample Weight (g) (3 Plants) ]]-55.8</f>
        <v>226.5</v>
      </c>
      <c r="N25" s="15">
        <f t="shared" si="0"/>
        <v>232.59999999999997</v>
      </c>
      <c r="O25" s="15">
        <f>(Table8[[#This Row],[DRY Sample - Bag Weight (g) ]]/3)*Table8[[#This Row],['# of Plants]]</f>
        <v>528.5</v>
      </c>
      <c r="Q25" s="6">
        <v>2</v>
      </c>
      <c r="R25" s="6">
        <v>12</v>
      </c>
      <c r="S25" s="6" t="s">
        <v>299</v>
      </c>
      <c r="T25" s="6">
        <v>1426.4</v>
      </c>
      <c r="U25" s="6">
        <v>501.19999999999993</v>
      </c>
      <c r="V25" s="6">
        <f>Table911[[#This Row],[Biomass Wet Weight (g/m2)]]-Table911[[#This Row],[Dry Sample Weight (g/m2) ]]</f>
        <v>925.20000000000016</v>
      </c>
      <c r="W25" s="6">
        <f>(Table911[[#This Row],[Moisture loss (g)]]/Table911[[#This Row],[Biomass Wet Weight (g/m2)]])*100</f>
        <v>64.862591138530576</v>
      </c>
      <c r="X25" s="6">
        <f>Table911[[#This Row],[Dry Sample Weight (g/m2) ]]*(10000/1000)</f>
        <v>5011.9999999999991</v>
      </c>
      <c r="Y25" s="6">
        <f>Table911[[#This Row],[Dry Yield (kg/ha)]]*1.155</f>
        <v>5788.8599999999988</v>
      </c>
      <c r="Z25" s="166">
        <f>Table911[[#This Row],[Dry Yield (kg/ha)]]/1000</f>
        <v>5.0119999999999987</v>
      </c>
      <c r="AA25" s="166">
        <f>Table911[[#This Row],[Dry Yield (tons/ha)]]*1.15</f>
        <v>5.763799999999998</v>
      </c>
      <c r="AH25" s="6" t="s">
        <v>691</v>
      </c>
      <c r="AI25" s="166">
        <f>Table911[[#This Row],[Yield (tons/ha) Corrected to 15% Moisture]]</f>
        <v>5.763799999999998</v>
      </c>
    </row>
    <row r="26" spans="1:35">
      <c r="A26" s="15">
        <v>2021</v>
      </c>
      <c r="B26" s="15">
        <v>293</v>
      </c>
      <c r="C26" s="15">
        <v>2</v>
      </c>
      <c r="D26" s="15">
        <v>2</v>
      </c>
      <c r="E26" s="15" t="s">
        <v>54</v>
      </c>
      <c r="F26" s="15">
        <v>7</v>
      </c>
      <c r="G26" s="15">
        <v>7</v>
      </c>
      <c r="H26" s="15">
        <v>473.2</v>
      </c>
      <c r="I26" s="15">
        <v>454.3</v>
      </c>
      <c r="J26" s="15">
        <f>Table8[[#This Row],[Wet Weight of 3 plants (g) ]]-55.8</f>
        <v>398.5</v>
      </c>
      <c r="K26" s="15">
        <f>(Table8[[#This Row],[Wet - Bag Weight (g) ]]/3)*Table8[[#This Row],['# of Plants]]</f>
        <v>929.83333333333337</v>
      </c>
      <c r="L26" s="15">
        <v>275.8</v>
      </c>
      <c r="M26" s="15">
        <f>Table8[[#This Row],[DRY Sample Weight (g) (3 Plants) ]]-55.8</f>
        <v>220</v>
      </c>
      <c r="N26" s="15">
        <f t="shared" si="0"/>
        <v>178.5</v>
      </c>
      <c r="O26" s="15">
        <f>(Table8[[#This Row],[DRY Sample - Bag Weight (g) ]]/3)*Table8[[#This Row],['# of Plants]]</f>
        <v>513.33333333333326</v>
      </c>
      <c r="Q26" s="6">
        <v>2</v>
      </c>
      <c r="R26" s="6">
        <v>13</v>
      </c>
      <c r="S26" s="6" t="s">
        <v>300</v>
      </c>
      <c r="T26" s="6">
        <v>635</v>
      </c>
      <c r="U26" s="6">
        <v>299.79999999999995</v>
      </c>
      <c r="V26" s="6">
        <f>Table911[[#This Row],[Biomass Wet Weight (g/m2)]]-Table911[[#This Row],[Dry Sample Weight (g/m2) ]]</f>
        <v>335.20000000000005</v>
      </c>
      <c r="W26" s="6">
        <f>(Table911[[#This Row],[Moisture loss (g)]]/Table911[[#This Row],[Biomass Wet Weight (g/m2)]])*100</f>
        <v>52.787401574803162</v>
      </c>
      <c r="X26" s="6">
        <f>Table911[[#This Row],[Dry Sample Weight (g/m2) ]]*(10000/1000)</f>
        <v>2997.9999999999995</v>
      </c>
      <c r="Y26" s="6">
        <f>Table911[[#This Row],[Dry Yield (kg/ha)]]*1.155</f>
        <v>3462.6899999999996</v>
      </c>
      <c r="Z26" s="166">
        <f>Table911[[#This Row],[Dry Yield (kg/ha)]]/1000</f>
        <v>2.9979999999999993</v>
      </c>
      <c r="AA26" s="166">
        <f>Table911[[#This Row],[Dry Yield (tons/ha)]]*1.15</f>
        <v>3.4476999999999989</v>
      </c>
      <c r="AH26" s="6" t="s">
        <v>691</v>
      </c>
      <c r="AI26" s="166">
        <f>Table911[[#This Row],[Yield (tons/ha) Corrected to 15% Moisture]]</f>
        <v>3.4476999999999989</v>
      </c>
    </row>
    <row r="27" spans="1:35">
      <c r="A27" s="15">
        <v>2021</v>
      </c>
      <c r="B27" s="15">
        <v>293</v>
      </c>
      <c r="C27" s="15">
        <v>2</v>
      </c>
      <c r="D27" s="15">
        <v>2</v>
      </c>
      <c r="E27" s="15" t="s">
        <v>55</v>
      </c>
      <c r="F27" s="15">
        <v>7</v>
      </c>
      <c r="G27" s="15">
        <v>7</v>
      </c>
      <c r="H27" s="15">
        <v>754.2</v>
      </c>
      <c r="I27" s="15">
        <v>433.1</v>
      </c>
      <c r="J27" s="15">
        <f>Table8[[#This Row],[Wet Weight of 3 plants (g) ]]-55.8</f>
        <v>377.3</v>
      </c>
      <c r="K27" s="15">
        <f>(Table8[[#This Row],[Wet - Bag Weight (g) ]]/3)*Table8[[#This Row],['# of Plants]]</f>
        <v>880.36666666666667</v>
      </c>
      <c r="L27" s="15">
        <v>286.39999999999998</v>
      </c>
      <c r="M27" s="15">
        <f>Table8[[#This Row],[DRY Sample Weight (g) (3 Plants) ]]-55.8</f>
        <v>230.59999999999997</v>
      </c>
      <c r="N27" s="15">
        <f t="shared" si="0"/>
        <v>146.70000000000005</v>
      </c>
      <c r="O27" s="15">
        <f>(Table8[[#This Row],[DRY Sample - Bag Weight (g) ]]/3)*Table8[[#This Row],['# of Plants]]</f>
        <v>538.06666666666661</v>
      </c>
      <c r="Q27" s="10">
        <v>3</v>
      </c>
      <c r="R27" s="10">
        <v>1</v>
      </c>
      <c r="S27" s="10" t="s">
        <v>301</v>
      </c>
      <c r="T27" s="10">
        <f>(K46+K47)/2</f>
        <v>731.69999999999993</v>
      </c>
      <c r="U27" s="10">
        <f>(O46+O47)/2</f>
        <v>538.08333333333337</v>
      </c>
      <c r="V27" s="10">
        <f>Table911[[#This Row],[Biomass Wet Weight (g/m2)]]-Table911[[#This Row],[Dry Sample Weight (g/m2) ]]</f>
        <v>193.61666666666656</v>
      </c>
      <c r="W27" s="10">
        <f>(Table911[[#This Row],[Moisture loss (g)]]/Table911[[#This Row],[Biomass Wet Weight (g/m2)]])*100</f>
        <v>26.461209056534997</v>
      </c>
      <c r="X27" s="10">
        <f>Table911[[#This Row],[Dry Sample Weight (g/m2) ]]*(10000/1000)</f>
        <v>5380.8333333333339</v>
      </c>
      <c r="Y27" s="10">
        <f>Table911[[#This Row],[Dry Yield (kg/ha)]]*1.155</f>
        <v>6214.8625000000011</v>
      </c>
      <c r="Z27" s="89">
        <f>Table911[[#This Row],[Dry Yield (kg/ha)]]/1000</f>
        <v>5.3808333333333342</v>
      </c>
      <c r="AA27" s="89">
        <f>Table911[[#This Row],[Dry Yield (tons/ha)]]*1.15</f>
        <v>6.1879583333333343</v>
      </c>
      <c r="AH27" s="10" t="s">
        <v>685</v>
      </c>
      <c r="AI27" s="183">
        <f>Table911[[#This Row],[Yield (tons/ha) Corrected to 15% Moisture]]</f>
        <v>6.1879583333333343</v>
      </c>
    </row>
    <row r="28" spans="1:35">
      <c r="A28" s="15">
        <v>2021</v>
      </c>
      <c r="B28" s="15">
        <v>293</v>
      </c>
      <c r="C28" s="15">
        <v>2</v>
      </c>
      <c r="D28" s="15">
        <v>3</v>
      </c>
      <c r="E28" s="17" t="s">
        <v>54</v>
      </c>
      <c r="F28" s="15">
        <v>7</v>
      </c>
      <c r="G28" s="15">
        <v>7</v>
      </c>
      <c r="H28" s="15">
        <v>597.20000000000005</v>
      </c>
      <c r="I28" s="15">
        <v>350.1</v>
      </c>
      <c r="J28" s="15">
        <f>Table8[[#This Row],[Wet Weight of 3 plants (g) ]]-55.8</f>
        <v>294.3</v>
      </c>
      <c r="K28" s="15">
        <f>(Table8[[#This Row],[Wet - Bag Weight (g) ]]/3)*Table8[[#This Row],['# of Plants]]</f>
        <v>686.7</v>
      </c>
      <c r="L28" s="15">
        <v>262.7</v>
      </c>
      <c r="M28" s="15">
        <f>Table8[[#This Row],[DRY Sample Weight (g) (3 Plants) ]]-55.8</f>
        <v>206.89999999999998</v>
      </c>
      <c r="N28" s="15">
        <f t="shared" si="0"/>
        <v>87.400000000000034</v>
      </c>
      <c r="O28" s="15">
        <f>(Table8[[#This Row],[DRY Sample - Bag Weight (g) ]]/3)*Table8[[#This Row],['# of Plants]]</f>
        <v>482.76666666666659</v>
      </c>
      <c r="Q28" s="10">
        <v>3</v>
      </c>
      <c r="R28" s="10">
        <v>2</v>
      </c>
      <c r="S28" s="10" t="s">
        <v>302</v>
      </c>
      <c r="T28" s="10">
        <f>(K48+K49)/2</f>
        <v>883.96666666666658</v>
      </c>
      <c r="U28" s="10">
        <f>(O48+O49)/2</f>
        <v>524.09999999999991</v>
      </c>
      <c r="V28" s="10">
        <f>Table911[[#This Row],[Biomass Wet Weight (g/m2)]]-Table911[[#This Row],[Dry Sample Weight (g/m2) ]]</f>
        <v>359.86666666666667</v>
      </c>
      <c r="W28" s="10">
        <f>(Table911[[#This Row],[Moisture loss (g)]]/Table911[[#This Row],[Biomass Wet Weight (g/m2)]])*100</f>
        <v>40.710434028432452</v>
      </c>
      <c r="X28" s="10">
        <f>Table911[[#This Row],[Dry Sample Weight (g/m2) ]]*(10000/1000)</f>
        <v>5240.9999999999991</v>
      </c>
      <c r="Y28" s="10">
        <f>Table911[[#This Row],[Dry Yield (kg/ha)]]*1.155</f>
        <v>6053.3549999999987</v>
      </c>
      <c r="Z28" s="89">
        <f>Table911[[#This Row],[Dry Yield (kg/ha)]]/1000</f>
        <v>5.2409999999999988</v>
      </c>
      <c r="AA28" s="89">
        <f>Table911[[#This Row],[Dry Yield (tons/ha)]]*1.15</f>
        <v>6.027149999999998</v>
      </c>
      <c r="AH28" s="10" t="s">
        <v>685</v>
      </c>
      <c r="AI28" s="183">
        <f>Table911[[#This Row],[Yield (tons/ha) Corrected to 15% Moisture]]</f>
        <v>6.027149999999998</v>
      </c>
    </row>
    <row r="29" spans="1:35">
      <c r="A29" s="15">
        <v>2021</v>
      </c>
      <c r="B29" s="15">
        <v>293</v>
      </c>
      <c r="C29" s="15">
        <v>2</v>
      </c>
      <c r="D29" s="15">
        <v>3</v>
      </c>
      <c r="E29" s="15" t="s">
        <v>55</v>
      </c>
      <c r="F29" s="15">
        <v>8</v>
      </c>
      <c r="G29" s="15">
        <v>8</v>
      </c>
      <c r="H29" s="15">
        <v>997</v>
      </c>
      <c r="I29" s="15">
        <v>469.1</v>
      </c>
      <c r="J29" s="15">
        <f>Table8[[#This Row],[Wet Weight of 3 plants (g) ]]-55.8</f>
        <v>413.3</v>
      </c>
      <c r="K29" s="15">
        <f>(Table8[[#This Row],[Wet - Bag Weight (g) ]]/3)*Table8[[#This Row],['# of Plants]]</f>
        <v>1102.1333333333334</v>
      </c>
      <c r="L29" s="15">
        <v>266.3</v>
      </c>
      <c r="M29" s="15">
        <f>Table8[[#This Row],[DRY Sample Weight (g) (3 Plants) ]]-55.8</f>
        <v>210.5</v>
      </c>
      <c r="N29" s="15">
        <f t="shared" si="0"/>
        <v>202.8</v>
      </c>
      <c r="O29" s="15">
        <f>(Table8[[#This Row],[DRY Sample - Bag Weight (g) ]]/3)*Table8[[#This Row],['# of Plants]]</f>
        <v>561.33333333333337</v>
      </c>
      <c r="Q29" s="10">
        <v>3</v>
      </c>
      <c r="R29" s="10">
        <v>3</v>
      </c>
      <c r="S29" s="10" t="s">
        <v>303</v>
      </c>
      <c r="T29" s="10">
        <f>(K50+K51)/2</f>
        <v>1029.7</v>
      </c>
      <c r="U29" s="10">
        <f>(O50+O51)/2</f>
        <v>507.84999999999997</v>
      </c>
      <c r="V29" s="10">
        <f>Table911[[#This Row],[Biomass Wet Weight (g/m2)]]-Table911[[#This Row],[Dry Sample Weight (g/m2) ]]</f>
        <v>521.85000000000014</v>
      </c>
      <c r="W29" s="10">
        <f>(Table911[[#This Row],[Moisture loss (g)]]/Table911[[#This Row],[Biomass Wet Weight (g/m2)]])*100</f>
        <v>50.679809653297092</v>
      </c>
      <c r="X29" s="10">
        <f>Table911[[#This Row],[Dry Sample Weight (g/m2) ]]*(10000/1000)</f>
        <v>5078.5</v>
      </c>
      <c r="Y29" s="10">
        <f>Table911[[#This Row],[Dry Yield (kg/ha)]]*1.155</f>
        <v>5865.6675000000005</v>
      </c>
      <c r="Z29" s="89">
        <f>Table911[[#This Row],[Dry Yield (kg/ha)]]/1000</f>
        <v>5.0785</v>
      </c>
      <c r="AA29" s="89">
        <f>Table911[[#This Row],[Dry Yield (tons/ha)]]*1.15</f>
        <v>5.8402749999999992</v>
      </c>
      <c r="AH29" s="10" t="s">
        <v>685</v>
      </c>
      <c r="AI29" s="183">
        <f>Table911[[#This Row],[Yield (tons/ha) Corrected to 15% Moisture]]</f>
        <v>5.8402749999999992</v>
      </c>
    </row>
    <row r="30" spans="1:35">
      <c r="A30" s="15">
        <v>2021</v>
      </c>
      <c r="B30" s="15">
        <v>293</v>
      </c>
      <c r="C30" s="15">
        <v>2</v>
      </c>
      <c r="D30" s="15">
        <v>4</v>
      </c>
      <c r="E30" s="15" t="s">
        <v>54</v>
      </c>
      <c r="F30" s="15">
        <v>7</v>
      </c>
      <c r="G30" s="15">
        <v>7</v>
      </c>
      <c r="H30" s="15">
        <v>560.20000000000005</v>
      </c>
      <c r="I30" s="15">
        <v>350.1</v>
      </c>
      <c r="J30" s="15">
        <f>Table8[[#This Row],[Wet Weight of 3 plants (g) ]]-55.8</f>
        <v>294.3</v>
      </c>
      <c r="K30" s="15">
        <f>(Table8[[#This Row],[Wet - Bag Weight (g) ]]/3)*Table8[[#This Row],['# of Plants]]</f>
        <v>686.7</v>
      </c>
      <c r="L30" s="15">
        <v>359.9</v>
      </c>
      <c r="M30" s="15">
        <f>Table8[[#This Row],[DRY Sample Weight (g) (3 Plants) ]]-55.8</f>
        <v>304.09999999999997</v>
      </c>
      <c r="N30" s="15">
        <f t="shared" si="0"/>
        <v>-9.7999999999999545</v>
      </c>
      <c r="O30" s="15">
        <f>(Table8[[#This Row],[DRY Sample - Bag Weight (g) ]]/3)*Table8[[#This Row],['# of Plants]]</f>
        <v>709.56666666666661</v>
      </c>
      <c r="Q30" s="10">
        <v>3</v>
      </c>
      <c r="R30" s="10">
        <v>4</v>
      </c>
      <c r="S30" s="10" t="s">
        <v>304</v>
      </c>
      <c r="T30" s="10">
        <f>(K52+K53)/2</f>
        <v>1388.5333333333333</v>
      </c>
      <c r="U30" s="10">
        <f>(O52+O53)/2</f>
        <v>567.19999999999993</v>
      </c>
      <c r="V30" s="10">
        <f>Table911[[#This Row],[Biomass Wet Weight (g/m2)]]-Table911[[#This Row],[Dry Sample Weight (g/m2) ]]</f>
        <v>821.33333333333337</v>
      </c>
      <c r="W30" s="10">
        <f>(Table911[[#This Row],[Moisture loss (g)]]/Table911[[#This Row],[Biomass Wet Weight (g/m2)]])*100</f>
        <v>59.151142692529291</v>
      </c>
      <c r="X30" s="10">
        <f>Table911[[#This Row],[Dry Sample Weight (g/m2) ]]*(10000/1000)</f>
        <v>5671.9999999999991</v>
      </c>
      <c r="Y30" s="10">
        <f>Table911[[#This Row],[Dry Yield (kg/ha)]]*1.155</f>
        <v>6551.1599999999989</v>
      </c>
      <c r="Z30" s="89">
        <f>Table911[[#This Row],[Dry Yield (kg/ha)]]/1000</f>
        <v>5.6719999999999988</v>
      </c>
      <c r="AA30" s="89">
        <f>Table911[[#This Row],[Dry Yield (tons/ha)]]*1.15</f>
        <v>6.5227999999999984</v>
      </c>
      <c r="AH30" s="10" t="s">
        <v>685</v>
      </c>
      <c r="AI30" s="183">
        <f>Table911[[#This Row],[Yield (tons/ha) Corrected to 15% Moisture]]</f>
        <v>6.5227999999999984</v>
      </c>
    </row>
    <row r="31" spans="1:35">
      <c r="A31" s="15">
        <v>2021</v>
      </c>
      <c r="B31" s="15">
        <v>293</v>
      </c>
      <c r="C31" s="15">
        <v>2</v>
      </c>
      <c r="D31" s="15">
        <v>4</v>
      </c>
      <c r="E31" s="15" t="s">
        <v>55</v>
      </c>
      <c r="F31" s="15">
        <v>7</v>
      </c>
      <c r="G31" s="15">
        <v>7</v>
      </c>
      <c r="H31" s="15">
        <v>518.6</v>
      </c>
      <c r="I31" s="15">
        <v>409.9</v>
      </c>
      <c r="J31" s="15">
        <f>Table8[[#This Row],[Wet Weight of 3 plants (g) ]]-55.8</f>
        <v>354.09999999999997</v>
      </c>
      <c r="K31" s="15">
        <f>(Table8[[#This Row],[Wet - Bag Weight (g) ]]/3)*Table8[[#This Row],['# of Plants]]</f>
        <v>826.23333333333323</v>
      </c>
      <c r="L31" s="15">
        <v>279.7</v>
      </c>
      <c r="M31" s="15">
        <f>Table8[[#This Row],[DRY Sample Weight (g) (3 Plants) ]]-55.8</f>
        <v>223.89999999999998</v>
      </c>
      <c r="N31" s="15">
        <f t="shared" si="0"/>
        <v>130.19999999999999</v>
      </c>
      <c r="O31" s="15">
        <f>(Table8[[#This Row],[DRY Sample - Bag Weight (g) ]]/3)*Table8[[#This Row],['# of Plants]]</f>
        <v>522.43333333333328</v>
      </c>
      <c r="Q31" s="10">
        <v>3</v>
      </c>
      <c r="R31" s="10">
        <v>5</v>
      </c>
      <c r="S31" s="10" t="s">
        <v>305</v>
      </c>
      <c r="T31" s="10">
        <f>(K54+K55)/2</f>
        <v>1284.5666666666668</v>
      </c>
      <c r="U31" s="10">
        <f>(O54+O55)/2</f>
        <v>544.45000000000005</v>
      </c>
      <c r="V31" s="10">
        <f>Table911[[#This Row],[Biomass Wet Weight (g/m2)]]-Table911[[#This Row],[Dry Sample Weight (g/m2) ]]</f>
        <v>740.11666666666679</v>
      </c>
      <c r="W31" s="10">
        <f>(Table911[[#This Row],[Moisture loss (g)]]/Table911[[#This Row],[Biomass Wet Weight (g/m2)]])*100</f>
        <v>57.616057295586067</v>
      </c>
      <c r="X31" s="10">
        <f>Table911[[#This Row],[Dry Sample Weight (g/m2) ]]*(10000/1000)</f>
        <v>5444.5</v>
      </c>
      <c r="Y31" s="10">
        <f>Table911[[#This Row],[Dry Yield (kg/ha)]]*1.155</f>
        <v>6288.3975</v>
      </c>
      <c r="Z31" s="89">
        <f>Table911[[#This Row],[Dry Yield (kg/ha)]]/1000</f>
        <v>5.4444999999999997</v>
      </c>
      <c r="AA31" s="89">
        <f>Table911[[#This Row],[Dry Yield (tons/ha)]]*1.15</f>
        <v>6.2611749999999988</v>
      </c>
      <c r="AH31" s="10" t="s">
        <v>685</v>
      </c>
      <c r="AI31" s="183">
        <f>Table911[[#This Row],[Yield (tons/ha) Corrected to 15% Moisture]]</f>
        <v>6.2611749999999988</v>
      </c>
    </row>
    <row r="32" spans="1:35">
      <c r="A32" s="15">
        <v>2021</v>
      </c>
      <c r="B32" s="15">
        <v>293</v>
      </c>
      <c r="C32" s="15">
        <v>2</v>
      </c>
      <c r="D32" s="15">
        <v>5</v>
      </c>
      <c r="E32" s="17" t="s">
        <v>54</v>
      </c>
      <c r="F32" s="15">
        <v>7</v>
      </c>
      <c r="G32" s="15">
        <v>7</v>
      </c>
      <c r="H32" s="15">
        <v>643.1</v>
      </c>
      <c r="I32" s="15">
        <v>385.7</v>
      </c>
      <c r="J32" s="15">
        <f>Table8[[#This Row],[Wet Weight of 3 plants (g) ]]-55.8</f>
        <v>329.9</v>
      </c>
      <c r="K32" s="15">
        <f>(Table8[[#This Row],[Wet - Bag Weight (g) ]]/3)*Table8[[#This Row],['# of Plants]]</f>
        <v>769.76666666666654</v>
      </c>
      <c r="L32" s="15">
        <v>269.3</v>
      </c>
      <c r="M32" s="15">
        <f>Table8[[#This Row],[DRY Sample Weight (g) (3 Plants) ]]-55.8</f>
        <v>213.5</v>
      </c>
      <c r="N32" s="15">
        <f t="shared" si="0"/>
        <v>116.39999999999998</v>
      </c>
      <c r="O32" s="15">
        <f>(Table8[[#This Row],[DRY Sample - Bag Weight (g) ]]/3)*Table8[[#This Row],['# of Plants]]</f>
        <v>498.16666666666669</v>
      </c>
      <c r="Q32" s="10">
        <v>3</v>
      </c>
      <c r="R32" s="10">
        <v>6</v>
      </c>
      <c r="S32" s="10" t="s">
        <v>306</v>
      </c>
      <c r="T32" s="10">
        <f>(K56+K57)/2</f>
        <v>1020.0166666666665</v>
      </c>
      <c r="U32" s="10">
        <f>(O56+O57)/2</f>
        <v>511.81666666666661</v>
      </c>
      <c r="V32" s="10">
        <f>Table911[[#This Row],[Biomass Wet Weight (g/m2)]]-Table911[[#This Row],[Dry Sample Weight (g/m2) ]]</f>
        <v>508.19999999999993</v>
      </c>
      <c r="W32" s="10">
        <f>(Table911[[#This Row],[Moisture loss (g)]]/Table911[[#This Row],[Biomass Wet Weight (g/m2)]])*100</f>
        <v>49.822715315109228</v>
      </c>
      <c r="X32" s="10">
        <f>Table911[[#This Row],[Dry Sample Weight (g/m2) ]]*(10000/1000)</f>
        <v>5118.1666666666661</v>
      </c>
      <c r="Y32" s="10">
        <f>Table911[[#This Row],[Dry Yield (kg/ha)]]*1.155</f>
        <v>5911.4824999999992</v>
      </c>
      <c r="Z32" s="89">
        <f>Table911[[#This Row],[Dry Yield (kg/ha)]]/1000</f>
        <v>5.1181666666666663</v>
      </c>
      <c r="AA32" s="89">
        <f>Table911[[#This Row],[Dry Yield (tons/ha)]]*1.15</f>
        <v>5.8858916666666659</v>
      </c>
      <c r="AH32" s="10" t="s">
        <v>685</v>
      </c>
      <c r="AI32" s="183">
        <f>Table911[[#This Row],[Yield (tons/ha) Corrected to 15% Moisture]]</f>
        <v>5.8858916666666659</v>
      </c>
    </row>
    <row r="33" spans="1:35">
      <c r="A33" s="15">
        <v>2021</v>
      </c>
      <c r="B33" s="15">
        <v>293</v>
      </c>
      <c r="C33" s="15">
        <v>2</v>
      </c>
      <c r="D33" s="15">
        <v>5</v>
      </c>
      <c r="E33" s="15" t="s">
        <v>55</v>
      </c>
      <c r="F33" s="15">
        <v>7</v>
      </c>
      <c r="G33" s="15">
        <v>7</v>
      </c>
      <c r="H33" s="15">
        <v>727.4</v>
      </c>
      <c r="I33" s="15">
        <v>356.8</v>
      </c>
      <c r="J33" s="15">
        <f>Table8[[#This Row],[Wet Weight of 3 plants (g) ]]-55.8</f>
        <v>301</v>
      </c>
      <c r="K33" s="15">
        <f>(Table8[[#This Row],[Wet - Bag Weight (g) ]]/3)*Table8[[#This Row],['# of Plants]]</f>
        <v>702.33333333333326</v>
      </c>
      <c r="L33" s="15">
        <v>260.60000000000002</v>
      </c>
      <c r="M33" s="15">
        <f>Table8[[#This Row],[DRY Sample Weight (g) (3 Plants) ]]-55.8</f>
        <v>204.8</v>
      </c>
      <c r="N33" s="15">
        <f t="shared" si="0"/>
        <v>96.199999999999989</v>
      </c>
      <c r="O33" s="15">
        <f>(Table8[[#This Row],[DRY Sample - Bag Weight (g) ]]/3)*Table8[[#This Row],['# of Plants]]</f>
        <v>477.86666666666667</v>
      </c>
      <c r="Q33" s="10">
        <v>3</v>
      </c>
      <c r="R33" s="10">
        <v>7</v>
      </c>
      <c r="S33" s="10" t="s">
        <v>307</v>
      </c>
      <c r="T33" s="10">
        <f>(K58+K59)/2</f>
        <v>892.85</v>
      </c>
      <c r="U33" s="10">
        <f>(O58+O59)/2</f>
        <v>483.34999999999991</v>
      </c>
      <c r="V33" s="10">
        <f>Table911[[#This Row],[Biomass Wet Weight (g/m2)]]-Table911[[#This Row],[Dry Sample Weight (g/m2) ]]</f>
        <v>409.50000000000011</v>
      </c>
      <c r="W33" s="10">
        <f>(Table911[[#This Row],[Moisture loss (g)]]/Table911[[#This Row],[Biomass Wet Weight (g/m2)]])*100</f>
        <v>45.864366914935331</v>
      </c>
      <c r="X33" s="10">
        <f>Table911[[#This Row],[Dry Sample Weight (g/m2) ]]*(10000/1000)</f>
        <v>4833.4999999999991</v>
      </c>
      <c r="Y33" s="10">
        <f>Table911[[#This Row],[Dry Yield (kg/ha)]]*1.155</f>
        <v>5582.6924999999992</v>
      </c>
      <c r="Z33" s="89">
        <f>Table911[[#This Row],[Dry Yield (kg/ha)]]/1000</f>
        <v>4.833499999999999</v>
      </c>
      <c r="AA33" s="89">
        <f>Table911[[#This Row],[Dry Yield (tons/ha)]]*1.15</f>
        <v>5.5585249999999986</v>
      </c>
      <c r="AH33" s="10" t="s">
        <v>685</v>
      </c>
      <c r="AI33" s="183">
        <f>Table911[[#This Row],[Yield (tons/ha) Corrected to 15% Moisture]]</f>
        <v>5.5585249999999986</v>
      </c>
    </row>
    <row r="34" spans="1:35">
      <c r="A34" s="15">
        <v>2021</v>
      </c>
      <c r="B34" s="15">
        <v>293</v>
      </c>
      <c r="C34" s="15">
        <v>2</v>
      </c>
      <c r="D34" s="15">
        <v>6</v>
      </c>
      <c r="E34" s="15" t="s">
        <v>54</v>
      </c>
      <c r="F34" s="15">
        <v>7</v>
      </c>
      <c r="G34" s="15">
        <v>7</v>
      </c>
      <c r="H34" s="15">
        <v>592.29999999999995</v>
      </c>
      <c r="I34" s="15">
        <v>427.7</v>
      </c>
      <c r="J34" s="15">
        <f>Table8[[#This Row],[Wet Weight of 3 plants (g) ]]-55.8</f>
        <v>371.9</v>
      </c>
      <c r="K34" s="15">
        <f>(Table8[[#This Row],[Wet - Bag Weight (g) ]]/3)*Table8[[#This Row],['# of Plants]]</f>
        <v>867.76666666666654</v>
      </c>
      <c r="L34" s="15">
        <v>286.2</v>
      </c>
      <c r="M34" s="15">
        <f>Table8[[#This Row],[DRY Sample Weight (g) (3 Plants) ]]-55.8</f>
        <v>230.39999999999998</v>
      </c>
      <c r="N34" s="15">
        <f t="shared" si="0"/>
        <v>141.5</v>
      </c>
      <c r="O34" s="15">
        <f>(Table8[[#This Row],[DRY Sample - Bag Weight (g) ]]/3)*Table8[[#This Row],['# of Plants]]</f>
        <v>537.6</v>
      </c>
      <c r="Q34" s="10">
        <v>3</v>
      </c>
      <c r="R34" s="10">
        <v>8</v>
      </c>
      <c r="S34" s="10" t="s">
        <v>308</v>
      </c>
      <c r="T34" s="10">
        <f>(K60+K61)/2</f>
        <v>965.84999999999991</v>
      </c>
      <c r="U34" s="10">
        <f>(O60+O61)/2</f>
        <v>481.06666666666666</v>
      </c>
      <c r="V34" s="10">
        <f>Table911[[#This Row],[Biomass Wet Weight (g/m2)]]-Table911[[#This Row],[Dry Sample Weight (g/m2) ]]</f>
        <v>484.78333333333325</v>
      </c>
      <c r="W34" s="10">
        <f>(Table911[[#This Row],[Moisture loss (g)]]/Table911[[#This Row],[Biomass Wet Weight (g/m2)]])*100</f>
        <v>50.192403927455956</v>
      </c>
      <c r="X34" s="10">
        <f>Table911[[#This Row],[Dry Sample Weight (g/m2) ]]*(10000/1000)</f>
        <v>4810.666666666667</v>
      </c>
      <c r="Y34" s="10">
        <f>Table911[[#This Row],[Dry Yield (kg/ha)]]*1.155</f>
        <v>5556.3200000000006</v>
      </c>
      <c r="Z34" s="89">
        <f>Table911[[#This Row],[Dry Yield (kg/ha)]]/1000</f>
        <v>4.8106666666666671</v>
      </c>
      <c r="AA34" s="89">
        <f>Table911[[#This Row],[Dry Yield (tons/ha)]]*1.15</f>
        <v>5.5322666666666667</v>
      </c>
      <c r="AH34" s="10" t="s">
        <v>685</v>
      </c>
      <c r="AI34" s="183">
        <f>Table911[[#This Row],[Yield (tons/ha) Corrected to 15% Moisture]]</f>
        <v>5.5322666666666667</v>
      </c>
    </row>
    <row r="35" spans="1:35">
      <c r="A35" s="15">
        <v>2021</v>
      </c>
      <c r="B35" s="15">
        <v>293</v>
      </c>
      <c r="C35" s="15">
        <v>2</v>
      </c>
      <c r="D35" s="15">
        <v>6</v>
      </c>
      <c r="E35" s="15" t="s">
        <v>55</v>
      </c>
      <c r="F35" s="15">
        <v>7</v>
      </c>
      <c r="G35" s="15">
        <v>7</v>
      </c>
      <c r="H35" s="15">
        <v>435.5</v>
      </c>
      <c r="I35" s="15">
        <v>304.3</v>
      </c>
      <c r="J35" s="15">
        <f>Table8[[#This Row],[Wet Weight of 3 plants (g) ]]-55.8</f>
        <v>248.5</v>
      </c>
      <c r="K35" s="15">
        <f>(Table8[[#This Row],[Wet - Bag Weight (g) ]]/3)*Table8[[#This Row],['# of Plants]]</f>
        <v>579.83333333333326</v>
      </c>
      <c r="L35" s="15">
        <v>257.8</v>
      </c>
      <c r="M35" s="15">
        <f>Table8[[#This Row],[DRY Sample Weight (g) (3 Plants) ]]-55.8</f>
        <v>202</v>
      </c>
      <c r="N35" s="15">
        <f t="shared" ref="N35:N66" si="1">J35-M35</f>
        <v>46.5</v>
      </c>
      <c r="O35" s="15">
        <f>(Table8[[#This Row],[DRY Sample - Bag Weight (g) ]]/3)*Table8[[#This Row],['# of Plants]]</f>
        <v>471.33333333333331</v>
      </c>
      <c r="Q35" s="10">
        <v>3</v>
      </c>
      <c r="R35" s="10">
        <v>9</v>
      </c>
      <c r="S35" s="10" t="s">
        <v>309</v>
      </c>
      <c r="T35" s="10">
        <f>(K62+K63)/2</f>
        <v>867.06666666666661</v>
      </c>
      <c r="U35" s="10">
        <f>(O62+O63)/2</f>
        <v>454.06666666666666</v>
      </c>
      <c r="V35" s="10">
        <f>Table911[[#This Row],[Biomass Wet Weight (g/m2)]]-Table911[[#This Row],[Dry Sample Weight (g/m2) ]]</f>
        <v>412.99999999999994</v>
      </c>
      <c r="W35" s="10">
        <f>(Table911[[#This Row],[Moisture loss (g)]]/Table911[[#This Row],[Biomass Wet Weight (g/m2)]])*100</f>
        <v>47.631862217438105</v>
      </c>
      <c r="X35" s="10">
        <f>Table911[[#This Row],[Dry Sample Weight (g/m2) ]]*(10000/1000)</f>
        <v>4540.666666666667</v>
      </c>
      <c r="Y35" s="10">
        <f>Table911[[#This Row],[Dry Yield (kg/ha)]]*1.155</f>
        <v>5244.47</v>
      </c>
      <c r="Z35" s="89">
        <f>Table911[[#This Row],[Dry Yield (kg/ha)]]/1000</f>
        <v>4.5406666666666666</v>
      </c>
      <c r="AA35" s="89">
        <f>Table911[[#This Row],[Dry Yield (tons/ha)]]*1.15</f>
        <v>5.2217666666666664</v>
      </c>
      <c r="AH35" s="10" t="s">
        <v>685</v>
      </c>
      <c r="AI35" s="183">
        <f>Table911[[#This Row],[Yield (tons/ha) Corrected to 15% Moisture]]</f>
        <v>5.2217666666666664</v>
      </c>
    </row>
    <row r="36" spans="1:35">
      <c r="A36" s="15">
        <v>2021</v>
      </c>
      <c r="B36" s="15">
        <v>293</v>
      </c>
      <c r="C36" s="15">
        <v>2</v>
      </c>
      <c r="D36" s="15">
        <v>7</v>
      </c>
      <c r="E36" s="17" t="s">
        <v>54</v>
      </c>
      <c r="F36" s="15">
        <v>8</v>
      </c>
      <c r="G36" s="15">
        <v>7</v>
      </c>
      <c r="H36" s="15">
        <v>477.6</v>
      </c>
      <c r="I36" s="15">
        <v>477.9</v>
      </c>
      <c r="J36" s="15">
        <f>Table8[[#This Row],[Wet Weight of 3 plants (g) ]]-55.8</f>
        <v>422.09999999999997</v>
      </c>
      <c r="K36" s="15">
        <f>(Table8[[#This Row],[Wet - Bag Weight (g) ]]/3)*Table8[[#This Row],['# of Plants]]</f>
        <v>1125.5999999999999</v>
      </c>
      <c r="L36" s="15">
        <v>272.89999999999998</v>
      </c>
      <c r="M36" s="15">
        <f>Table8[[#This Row],[DRY Sample Weight (g) (3 Plants) ]]-55.8</f>
        <v>217.09999999999997</v>
      </c>
      <c r="N36" s="15">
        <f t="shared" si="1"/>
        <v>205</v>
      </c>
      <c r="O36" s="15">
        <f>(Table8[[#This Row],[DRY Sample - Bag Weight (g) ]]/3)*Table8[[#This Row],['# of Plants]]</f>
        <v>578.93333333333328</v>
      </c>
      <c r="Q36" s="6">
        <v>3</v>
      </c>
      <c r="R36" s="6">
        <v>11</v>
      </c>
      <c r="S36" s="6" t="s">
        <v>310</v>
      </c>
      <c r="T36" s="6">
        <v>941.26666666666665</v>
      </c>
      <c r="U36" s="6">
        <v>389.90000000000009</v>
      </c>
      <c r="V36" s="6">
        <f>Table911[[#This Row],[Biomass Wet Weight (g/m2)]]-Table911[[#This Row],[Dry Sample Weight (g/m2) ]]</f>
        <v>551.36666666666656</v>
      </c>
      <c r="W36" s="6">
        <f>(Table911[[#This Row],[Moisture loss (g)]]/Table911[[#This Row],[Biomass Wet Weight (g/m2)]])*100</f>
        <v>58.577094695091716</v>
      </c>
      <c r="X36" s="6">
        <f>Table911[[#This Row],[Dry Sample Weight (g/m2) ]]*(10000/1000)</f>
        <v>3899.0000000000009</v>
      </c>
      <c r="Y36" s="6">
        <f>Table911[[#This Row],[Dry Yield (kg/ha)]]*1.155</f>
        <v>4503.3450000000012</v>
      </c>
      <c r="Z36" s="166">
        <f>Table911[[#This Row],[Dry Yield (kg/ha)]]/1000</f>
        <v>3.8990000000000009</v>
      </c>
      <c r="AA36" s="166">
        <f>Table911[[#This Row],[Dry Yield (tons/ha)]]*1.15</f>
        <v>4.4838500000000003</v>
      </c>
      <c r="AH36" s="6" t="s">
        <v>686</v>
      </c>
      <c r="AI36" s="166">
        <f>Table911[[#This Row],[Yield (tons/ha) Corrected to 15% Moisture]]</f>
        <v>4.4838500000000003</v>
      </c>
    </row>
    <row r="37" spans="1:35">
      <c r="A37" s="15">
        <v>2021</v>
      </c>
      <c r="B37" s="15">
        <v>293</v>
      </c>
      <c r="C37" s="15">
        <v>2</v>
      </c>
      <c r="D37" s="15">
        <v>7</v>
      </c>
      <c r="E37" s="15" t="s">
        <v>55</v>
      </c>
      <c r="F37" s="15">
        <v>7</v>
      </c>
      <c r="G37" s="15">
        <v>7</v>
      </c>
      <c r="H37" s="15">
        <v>426.5</v>
      </c>
      <c r="I37" s="15">
        <v>386.6</v>
      </c>
      <c r="J37" s="15">
        <f>Table8[[#This Row],[Wet Weight of 3 plants (g) ]]-55.8</f>
        <v>330.8</v>
      </c>
      <c r="K37" s="15">
        <f>(Table8[[#This Row],[Wet - Bag Weight (g) ]]/3)*Table8[[#This Row],['# of Plants]]</f>
        <v>771.86666666666667</v>
      </c>
      <c r="L37" s="15">
        <v>254.5</v>
      </c>
      <c r="M37" s="15">
        <f>Table8[[#This Row],[DRY Sample Weight (g) (3 Plants) ]]-55.8</f>
        <v>198.7</v>
      </c>
      <c r="N37" s="15">
        <f t="shared" si="1"/>
        <v>132.10000000000002</v>
      </c>
      <c r="O37" s="15">
        <f>(Table8[[#This Row],[DRY Sample - Bag Weight (g) ]]/3)*Table8[[#This Row],['# of Plants]]</f>
        <v>463.63333333333333</v>
      </c>
      <c r="Q37" s="6">
        <v>3</v>
      </c>
      <c r="R37" s="6">
        <v>12</v>
      </c>
      <c r="S37" s="6" t="s">
        <v>311</v>
      </c>
      <c r="T37" s="6">
        <v>677.83333333333326</v>
      </c>
      <c r="U37" s="6">
        <v>292.83333333333337</v>
      </c>
      <c r="V37" s="6">
        <f>Table911[[#This Row],[Biomass Wet Weight (g/m2)]]-Table911[[#This Row],[Dry Sample Weight (g/m2) ]]</f>
        <v>384.99999999999989</v>
      </c>
      <c r="W37" s="6">
        <f>(Table911[[#This Row],[Moisture loss (g)]]/Table911[[#This Row],[Biomass Wet Weight (g/m2)]])*100</f>
        <v>56.798623063683294</v>
      </c>
      <c r="X37" s="6">
        <f>Table911[[#This Row],[Dry Sample Weight (g/m2) ]]*(10000/1000)</f>
        <v>2928.3333333333339</v>
      </c>
      <c r="Y37" s="6">
        <f>Table911[[#This Row],[Dry Yield (kg/ha)]]*1.155</f>
        <v>3382.2250000000008</v>
      </c>
      <c r="Z37" s="166">
        <f>Table911[[#This Row],[Dry Yield (kg/ha)]]/1000</f>
        <v>2.9283333333333341</v>
      </c>
      <c r="AA37" s="166">
        <f>Table911[[#This Row],[Dry Yield (tons/ha)]]*1.15</f>
        <v>3.367583333333334</v>
      </c>
      <c r="AH37" s="6" t="s">
        <v>686</v>
      </c>
      <c r="AI37" s="166">
        <f>Table911[[#This Row],[Yield (tons/ha) Corrected to 15% Moisture]]</f>
        <v>3.367583333333334</v>
      </c>
    </row>
    <row r="38" spans="1:35">
      <c r="A38" s="15">
        <v>2021</v>
      </c>
      <c r="B38" s="15">
        <v>293</v>
      </c>
      <c r="C38" s="15">
        <v>2</v>
      </c>
      <c r="D38" s="15">
        <v>8</v>
      </c>
      <c r="E38" s="15" t="s">
        <v>54</v>
      </c>
      <c r="F38" s="15">
        <v>7</v>
      </c>
      <c r="G38" s="15">
        <v>7</v>
      </c>
      <c r="H38" s="15">
        <v>550</v>
      </c>
      <c r="I38" s="15">
        <v>336.1</v>
      </c>
      <c r="J38" s="15">
        <f>Table8[[#This Row],[Wet Weight of 3 plants (g) ]]-55.8</f>
        <v>280.3</v>
      </c>
      <c r="K38" s="15">
        <f>(Table8[[#This Row],[Wet - Bag Weight (g) ]]/3)*Table8[[#This Row],['# of Plants]]</f>
        <v>654.0333333333333</v>
      </c>
      <c r="L38" s="15">
        <v>254.5</v>
      </c>
      <c r="M38" s="15">
        <f>Table8[[#This Row],[DRY Sample Weight (g) (3 Plants) ]]-55.8</f>
        <v>198.7</v>
      </c>
      <c r="N38" s="15">
        <f t="shared" si="1"/>
        <v>81.600000000000023</v>
      </c>
      <c r="O38" s="15">
        <f>(Table8[[#This Row],[DRY Sample - Bag Weight (g) ]]/3)*Table8[[#This Row],['# of Plants]]</f>
        <v>463.63333333333333</v>
      </c>
      <c r="Q38" s="6">
        <v>3</v>
      </c>
      <c r="R38" s="6">
        <v>13</v>
      </c>
      <c r="S38" s="6" t="s">
        <v>312</v>
      </c>
      <c r="T38" s="6">
        <v>873.8</v>
      </c>
      <c r="U38" s="6">
        <v>340.20000000000005</v>
      </c>
      <c r="V38" s="6">
        <f>Table911[[#This Row],[Biomass Wet Weight (g/m2)]]-Table911[[#This Row],[Dry Sample Weight (g/m2) ]]</f>
        <v>533.59999999999991</v>
      </c>
      <c r="W38" s="6">
        <f>(Table911[[#This Row],[Moisture loss (g)]]/Table911[[#This Row],[Biomass Wet Weight (g/m2)]])*100</f>
        <v>61.066605630579076</v>
      </c>
      <c r="X38" s="6">
        <f>Table911[[#This Row],[Dry Sample Weight (g/m2) ]]*(10000/1000)</f>
        <v>3402.0000000000005</v>
      </c>
      <c r="Y38" s="6">
        <f>Table911[[#This Row],[Dry Yield (kg/ha)]]*1.155</f>
        <v>3929.3100000000004</v>
      </c>
      <c r="Z38" s="166">
        <f>Table911[[#This Row],[Dry Yield (kg/ha)]]/1000</f>
        <v>3.4020000000000006</v>
      </c>
      <c r="AA38" s="166">
        <f>Table911[[#This Row],[Dry Yield (tons/ha)]]*1.15</f>
        <v>3.9123000000000006</v>
      </c>
      <c r="AH38" s="6" t="s">
        <v>686</v>
      </c>
      <c r="AI38" s="166">
        <f>Table911[[#This Row],[Yield (tons/ha) Corrected to 15% Moisture]]</f>
        <v>3.9123000000000006</v>
      </c>
    </row>
    <row r="39" spans="1:35">
      <c r="A39" s="15">
        <v>2021</v>
      </c>
      <c r="B39" s="15">
        <v>293</v>
      </c>
      <c r="C39" s="15">
        <v>2</v>
      </c>
      <c r="D39" s="15">
        <v>8</v>
      </c>
      <c r="E39" s="15" t="s">
        <v>55</v>
      </c>
      <c r="F39" s="15">
        <v>7</v>
      </c>
      <c r="G39" s="15">
        <v>7</v>
      </c>
      <c r="H39" s="15">
        <v>716.1</v>
      </c>
      <c r="I39" s="15">
        <v>477.4</v>
      </c>
      <c r="J39" s="15">
        <f>Table8[[#This Row],[Wet Weight of 3 plants (g) ]]-55.8</f>
        <v>421.59999999999997</v>
      </c>
      <c r="K39" s="15">
        <f>(Table8[[#This Row],[Wet - Bag Weight (g) ]]/3)*Table8[[#This Row],['# of Plants]]</f>
        <v>983.73333333333335</v>
      </c>
      <c r="L39" s="15">
        <v>293.8</v>
      </c>
      <c r="M39" s="15">
        <f>Table8[[#This Row],[DRY Sample Weight (g) (3 Plants) ]]-55.8</f>
        <v>238</v>
      </c>
      <c r="N39" s="15">
        <f t="shared" si="1"/>
        <v>183.59999999999997</v>
      </c>
      <c r="O39" s="15">
        <f>(Table8[[#This Row],[DRY Sample - Bag Weight (g) ]]/3)*Table8[[#This Row],['# of Plants]]</f>
        <v>555.33333333333326</v>
      </c>
      <c r="Q39" s="10">
        <v>4</v>
      </c>
      <c r="R39" s="10">
        <v>1</v>
      </c>
      <c r="S39" s="10" t="s">
        <v>313</v>
      </c>
      <c r="T39" s="10">
        <f>(K66+K67)/2</f>
        <v>1355.8333333333335</v>
      </c>
      <c r="U39" s="10">
        <f>(O66+O67)/2</f>
        <v>473.23333333333335</v>
      </c>
      <c r="V39" s="10">
        <f>Table911[[#This Row],[Biomass Wet Weight (g/m2)]]-Table911[[#This Row],[Dry Sample Weight (g/m2) ]]</f>
        <v>882.60000000000014</v>
      </c>
      <c r="W39" s="10">
        <f>(Table911[[#This Row],[Moisture loss (g)]]/Table911[[#This Row],[Biomass Wet Weight (g/m2)]])*100</f>
        <v>65.096496619545178</v>
      </c>
      <c r="X39" s="10">
        <f>Table911[[#This Row],[Dry Sample Weight (g/m2) ]]*(10000/1000)</f>
        <v>4732.3333333333339</v>
      </c>
      <c r="Y39" s="10">
        <f>Table911[[#This Row],[Dry Yield (kg/ha)]]*1.155</f>
        <v>5465.8450000000012</v>
      </c>
      <c r="Z39" s="89">
        <f>Table911[[#This Row],[Dry Yield (kg/ha)]]/1000</f>
        <v>4.7323333333333339</v>
      </c>
      <c r="AA39" s="89">
        <f>Table911[[#This Row],[Dry Yield (tons/ha)]]*1.15</f>
        <v>5.4421833333333334</v>
      </c>
      <c r="AH39" s="10" t="s">
        <v>687</v>
      </c>
      <c r="AI39" s="183">
        <f>Table911[[#This Row],[Yield (tons/ha) Corrected to 15% Moisture]]</f>
        <v>5.4421833333333334</v>
      </c>
    </row>
    <row r="40" spans="1:35">
      <c r="A40" s="15">
        <v>2021</v>
      </c>
      <c r="B40" s="15">
        <v>293</v>
      </c>
      <c r="C40" s="15">
        <v>2</v>
      </c>
      <c r="D40" s="15">
        <v>9</v>
      </c>
      <c r="E40" s="17" t="s">
        <v>54</v>
      </c>
      <c r="F40" s="15">
        <v>7</v>
      </c>
      <c r="G40" s="15">
        <v>7</v>
      </c>
      <c r="H40" s="15">
        <v>526.9</v>
      </c>
      <c r="I40" s="15">
        <v>436.9</v>
      </c>
      <c r="J40" s="15">
        <f>Table8[[#This Row],[Wet Weight of 3 plants (g) ]]-55.8</f>
        <v>381.09999999999997</v>
      </c>
      <c r="K40" s="15">
        <f>(Table8[[#This Row],[Wet - Bag Weight (g) ]]/3)*Table8[[#This Row],['# of Plants]]</f>
        <v>889.23333333333323</v>
      </c>
      <c r="L40" s="15">
        <v>286.3</v>
      </c>
      <c r="M40" s="15">
        <f>Table8[[#This Row],[DRY Sample Weight (g) (3 Plants) ]]-55.8</f>
        <v>230.5</v>
      </c>
      <c r="N40" s="15">
        <f t="shared" si="1"/>
        <v>150.59999999999997</v>
      </c>
      <c r="O40" s="15">
        <f>(Table8[[#This Row],[DRY Sample - Bag Weight (g) ]]/3)*Table8[[#This Row],['# of Plants]]</f>
        <v>537.83333333333326</v>
      </c>
      <c r="Q40" s="10">
        <v>4</v>
      </c>
      <c r="R40" s="10">
        <v>2</v>
      </c>
      <c r="S40" s="10" t="s">
        <v>314</v>
      </c>
      <c r="T40" s="10">
        <f>(K68+K69)/2</f>
        <v>1195.8333333333335</v>
      </c>
      <c r="U40" s="10">
        <f>(O68+O69)/2</f>
        <v>532.93333333333328</v>
      </c>
      <c r="V40" s="10">
        <f>Table911[[#This Row],[Biomass Wet Weight (g/m2)]]-Table911[[#This Row],[Dry Sample Weight (g/m2) ]]</f>
        <v>662.9000000000002</v>
      </c>
      <c r="W40" s="10">
        <f>(Table911[[#This Row],[Moisture loss (g)]]/Table911[[#This Row],[Biomass Wet Weight (g/m2)]])*100</f>
        <v>55.434146341463418</v>
      </c>
      <c r="X40" s="10">
        <f>Table911[[#This Row],[Dry Sample Weight (g/m2) ]]*(10000/1000)</f>
        <v>5329.333333333333</v>
      </c>
      <c r="Y40" s="10">
        <f>Table911[[#This Row],[Dry Yield (kg/ha)]]*1.155</f>
        <v>6155.38</v>
      </c>
      <c r="Z40" s="89">
        <f>Table911[[#This Row],[Dry Yield (kg/ha)]]/1000</f>
        <v>5.3293333333333326</v>
      </c>
      <c r="AA40" s="89">
        <f>Table911[[#This Row],[Dry Yield (tons/ha)]]*1.15</f>
        <v>6.128733333333332</v>
      </c>
      <c r="AH40" s="10" t="s">
        <v>687</v>
      </c>
      <c r="AI40" s="183">
        <f>Table911[[#This Row],[Yield (tons/ha) Corrected to 15% Moisture]]</f>
        <v>6.128733333333332</v>
      </c>
    </row>
    <row r="41" spans="1:35">
      <c r="A41" s="15">
        <v>2021</v>
      </c>
      <c r="B41" s="15">
        <v>293</v>
      </c>
      <c r="C41" s="15">
        <v>2</v>
      </c>
      <c r="D41" s="15">
        <v>9</v>
      </c>
      <c r="E41" s="15" t="s">
        <v>55</v>
      </c>
      <c r="F41" s="15">
        <v>7</v>
      </c>
      <c r="G41" s="15">
        <v>7</v>
      </c>
      <c r="H41" s="15">
        <v>532.20000000000005</v>
      </c>
      <c r="I41" s="15">
        <v>455.7</v>
      </c>
      <c r="J41" s="15">
        <f>Table8[[#This Row],[Wet Weight of 3 plants (g) ]]-55.8</f>
        <v>399.9</v>
      </c>
      <c r="K41" s="15">
        <f>(Table8[[#This Row],[Wet - Bag Weight (g) ]]/3)*Table8[[#This Row],['# of Plants]]</f>
        <v>933.09999999999991</v>
      </c>
      <c r="L41" s="15">
        <v>283.2</v>
      </c>
      <c r="M41" s="15">
        <f>Table8[[#This Row],[DRY Sample Weight (g) (3 Plants) ]]-55.8</f>
        <v>227.39999999999998</v>
      </c>
      <c r="N41" s="15">
        <f t="shared" si="1"/>
        <v>172.5</v>
      </c>
      <c r="O41" s="15">
        <f>(Table8[[#This Row],[DRY Sample - Bag Weight (g) ]]/3)*Table8[[#This Row],['# of Plants]]</f>
        <v>530.6</v>
      </c>
      <c r="Q41" s="10">
        <v>4</v>
      </c>
      <c r="R41" s="10">
        <v>3</v>
      </c>
      <c r="S41" s="10" t="s">
        <v>315</v>
      </c>
      <c r="T41" s="10">
        <f>(K70+K71)/2</f>
        <v>1067.9833333333333</v>
      </c>
      <c r="U41" s="10">
        <f>(O70+O71)/2</f>
        <v>463.46666666666664</v>
      </c>
      <c r="V41" s="10">
        <f>Table911[[#This Row],[Biomass Wet Weight (g/m2)]]-Table911[[#This Row],[Dry Sample Weight (g/m2) ]]</f>
        <v>604.51666666666665</v>
      </c>
      <c r="W41" s="10">
        <f>(Table911[[#This Row],[Moisture loss (g)]]/Table911[[#This Row],[Biomass Wet Weight (g/m2)]])*100</f>
        <v>56.603567471402485</v>
      </c>
      <c r="X41" s="10">
        <f>Table911[[#This Row],[Dry Sample Weight (g/m2) ]]*(10000/1000)</f>
        <v>4634.6666666666661</v>
      </c>
      <c r="Y41" s="10">
        <f>Table911[[#This Row],[Dry Yield (kg/ha)]]*1.155</f>
        <v>5353.0399999999991</v>
      </c>
      <c r="Z41" s="89">
        <f>Table911[[#This Row],[Dry Yield (kg/ha)]]/1000</f>
        <v>4.634666666666666</v>
      </c>
      <c r="AA41" s="89">
        <f>Table911[[#This Row],[Dry Yield (tons/ha)]]*1.15</f>
        <v>5.3298666666666659</v>
      </c>
      <c r="AH41" s="10" t="s">
        <v>687</v>
      </c>
      <c r="AI41" s="183">
        <f>Table911[[#This Row],[Yield (tons/ha) Corrected to 15% Moisture]]</f>
        <v>5.3298666666666659</v>
      </c>
    </row>
    <row r="42" spans="1:35">
      <c r="A42" s="6">
        <v>2021</v>
      </c>
      <c r="B42" s="6">
        <v>292</v>
      </c>
      <c r="C42" s="6">
        <v>2</v>
      </c>
      <c r="D42" s="6">
        <v>11</v>
      </c>
      <c r="E42" s="6" t="s">
        <v>54</v>
      </c>
      <c r="F42" s="6">
        <v>7</v>
      </c>
      <c r="G42" s="6">
        <v>7</v>
      </c>
      <c r="H42" s="6">
        <v>1096</v>
      </c>
      <c r="I42" s="6">
        <v>479</v>
      </c>
      <c r="J42" s="6">
        <f>Table8[[#This Row],[Wet Weight of 3 plants (g) ]]-55.8</f>
        <v>423.2</v>
      </c>
      <c r="K42" s="15">
        <f>(Table8[[#This Row],[Wet - Bag Weight (g) ]]/3)*Table8[[#This Row],['# of Plants]]</f>
        <v>987.4666666666667</v>
      </c>
      <c r="L42" s="6">
        <v>255.6</v>
      </c>
      <c r="M42" s="6">
        <f>Table8[[#This Row],[DRY Sample Weight (g) (3 Plants) ]]-55.8</f>
        <v>199.8</v>
      </c>
      <c r="N42" s="6">
        <f t="shared" si="1"/>
        <v>223.39999999999998</v>
      </c>
      <c r="O42" s="6">
        <f>(Table8[[#This Row],[DRY Sample - Bag Weight (g) ]]/3)*Table8[[#This Row],['# of Plants]]</f>
        <v>466.20000000000005</v>
      </c>
      <c r="Q42" s="10">
        <v>4</v>
      </c>
      <c r="R42" s="10">
        <v>4</v>
      </c>
      <c r="S42" s="10" t="s">
        <v>316</v>
      </c>
      <c r="T42" s="10">
        <f>(K72+K73)/2</f>
        <v>1360.4499999999998</v>
      </c>
      <c r="U42" s="10">
        <f>(O72+O73)/2</f>
        <v>558.48333333333323</v>
      </c>
      <c r="V42" s="10">
        <f>Table911[[#This Row],[Biomass Wet Weight (g/m2)]]-Table911[[#This Row],[Dry Sample Weight (g/m2) ]]</f>
        <v>801.96666666666658</v>
      </c>
      <c r="W42" s="10">
        <f>(Table911[[#This Row],[Moisture loss (g)]]/Table911[[#This Row],[Biomass Wet Weight (g/m2)]])*100</f>
        <v>58.94863219277935</v>
      </c>
      <c r="X42" s="10">
        <f>Table911[[#This Row],[Dry Sample Weight (g/m2) ]]*(10000/1000)</f>
        <v>5584.8333333333321</v>
      </c>
      <c r="Y42" s="10">
        <f>Table911[[#This Row],[Dry Yield (kg/ha)]]*1.155</f>
        <v>6450.4824999999992</v>
      </c>
      <c r="Z42" s="89">
        <f>Table911[[#This Row],[Dry Yield (kg/ha)]]/1000</f>
        <v>5.5848333333333322</v>
      </c>
      <c r="AA42" s="89">
        <f>Table911[[#This Row],[Dry Yield (tons/ha)]]*1.15</f>
        <v>6.4225583333333311</v>
      </c>
      <c r="AH42" s="10" t="s">
        <v>687</v>
      </c>
      <c r="AI42" s="183">
        <f>Table911[[#This Row],[Yield (tons/ha) Corrected to 15% Moisture]]</f>
        <v>6.4225583333333311</v>
      </c>
    </row>
    <row r="43" spans="1:35">
      <c r="A43" s="6">
        <v>2021</v>
      </c>
      <c r="B43" s="6">
        <v>292</v>
      </c>
      <c r="C43" s="6">
        <v>2</v>
      </c>
      <c r="D43" s="6">
        <v>12</v>
      </c>
      <c r="E43" s="6" t="s">
        <v>54</v>
      </c>
      <c r="F43" s="6">
        <v>6</v>
      </c>
      <c r="G43" s="6">
        <v>6</v>
      </c>
      <c r="H43" s="6">
        <v>1287.5</v>
      </c>
      <c r="I43" s="6">
        <v>769</v>
      </c>
      <c r="J43" s="6">
        <f>Table8[[#This Row],[Wet Weight of 3 plants (g) ]]-55.8</f>
        <v>713.2</v>
      </c>
      <c r="K43" s="15">
        <f>(Table8[[#This Row],[Wet - Bag Weight (g) ]]/3)*Table8[[#This Row],['# of Plants]]</f>
        <v>1426.4</v>
      </c>
      <c r="L43" s="6">
        <v>306.39999999999998</v>
      </c>
      <c r="M43" s="6">
        <f>Table8[[#This Row],[DRY Sample Weight (g) (3 Plants) ]]-55.8</f>
        <v>250.59999999999997</v>
      </c>
      <c r="N43" s="6">
        <f t="shared" si="1"/>
        <v>462.60000000000008</v>
      </c>
      <c r="O43" s="6">
        <f>(Table8[[#This Row],[DRY Sample - Bag Weight (g) ]]/3)*Table8[[#This Row],['# of Plants]]</f>
        <v>501.19999999999993</v>
      </c>
      <c r="Q43" s="10">
        <v>4</v>
      </c>
      <c r="R43" s="10">
        <v>5</v>
      </c>
      <c r="S43" s="10" t="s">
        <v>317</v>
      </c>
      <c r="T43" s="10">
        <f>(K74+K75)/2</f>
        <v>1085.1166666666668</v>
      </c>
      <c r="U43" s="10">
        <f>(O74+O75)/2</f>
        <v>538.88333333333333</v>
      </c>
      <c r="V43" s="10">
        <f>Table911[[#This Row],[Biomass Wet Weight (g/m2)]]-Table911[[#This Row],[Dry Sample Weight (g/m2) ]]</f>
        <v>546.23333333333346</v>
      </c>
      <c r="W43" s="10">
        <f>(Table911[[#This Row],[Moisture loss (g)]]/Table911[[#This Row],[Biomass Wet Weight (g/m2)]])*100</f>
        <v>50.338673260939693</v>
      </c>
      <c r="X43" s="10">
        <f>Table911[[#This Row],[Dry Sample Weight (g/m2) ]]*(10000/1000)</f>
        <v>5388.833333333333</v>
      </c>
      <c r="Y43" s="10">
        <f>Table911[[#This Row],[Dry Yield (kg/ha)]]*1.155</f>
        <v>6224.1025</v>
      </c>
      <c r="Z43" s="89">
        <f>Table911[[#This Row],[Dry Yield (kg/ha)]]/1000</f>
        <v>5.3888333333333334</v>
      </c>
      <c r="AA43" s="89">
        <f>Table911[[#This Row],[Dry Yield (tons/ha)]]*1.15</f>
        <v>6.1971583333333333</v>
      </c>
      <c r="AH43" s="10" t="s">
        <v>687</v>
      </c>
      <c r="AI43" s="183">
        <f>Table911[[#This Row],[Yield (tons/ha) Corrected to 15% Moisture]]</f>
        <v>6.1971583333333333</v>
      </c>
    </row>
    <row r="44" spans="1:35">
      <c r="A44" s="6">
        <v>2021</v>
      </c>
      <c r="B44" s="6">
        <v>292</v>
      </c>
      <c r="C44" s="6">
        <v>2</v>
      </c>
      <c r="D44" s="6">
        <v>13</v>
      </c>
      <c r="E44" s="127" t="s">
        <v>54</v>
      </c>
      <c r="F44" s="6">
        <v>6</v>
      </c>
      <c r="G44" s="6">
        <v>6</v>
      </c>
      <c r="H44" s="6">
        <v>816.3</v>
      </c>
      <c r="I44" s="6">
        <v>373.3</v>
      </c>
      <c r="J44" s="6">
        <f>Table8[[#This Row],[Wet Weight of 3 plants (g) ]]-55.8</f>
        <v>317.5</v>
      </c>
      <c r="K44" s="15">
        <f>(Table8[[#This Row],[Wet - Bag Weight (g) ]]/3)*Table8[[#This Row],['# of Plants]]</f>
        <v>635</v>
      </c>
      <c r="L44" s="6">
        <v>205.7</v>
      </c>
      <c r="M44" s="6">
        <f>Table8[[#This Row],[DRY Sample Weight (g) (3 Plants) ]]-55.8</f>
        <v>149.89999999999998</v>
      </c>
      <c r="N44" s="6">
        <f t="shared" si="1"/>
        <v>167.60000000000002</v>
      </c>
      <c r="O44" s="6">
        <f>(Table8[[#This Row],[DRY Sample - Bag Weight (g) ]]/3)*Table8[[#This Row],['# of Plants]]</f>
        <v>299.79999999999995</v>
      </c>
      <c r="Q44" s="10">
        <v>4</v>
      </c>
      <c r="R44" s="10">
        <v>6</v>
      </c>
      <c r="S44" s="10" t="s">
        <v>318</v>
      </c>
      <c r="T44" s="10">
        <f>(K76+K77)/2</f>
        <v>1063.6500000000001</v>
      </c>
      <c r="U44" s="10">
        <f>(O76+O77)/2</f>
        <v>508.19999999999993</v>
      </c>
      <c r="V44" s="10">
        <f>Table911[[#This Row],[Biomass Wet Weight (g/m2)]]-Table911[[#This Row],[Dry Sample Weight (g/m2) ]]</f>
        <v>555.45000000000016</v>
      </c>
      <c r="W44" s="10">
        <f>(Table911[[#This Row],[Moisture loss (g)]]/Table911[[#This Row],[Biomass Wet Weight (g/m2)]])*100</f>
        <v>52.221125370187572</v>
      </c>
      <c r="X44" s="10">
        <f>Table911[[#This Row],[Dry Sample Weight (g/m2) ]]*(10000/1000)</f>
        <v>5081.9999999999991</v>
      </c>
      <c r="Y44" s="10">
        <f>Table911[[#This Row],[Dry Yield (kg/ha)]]*1.155</f>
        <v>5869.7099999999991</v>
      </c>
      <c r="Z44" s="89">
        <f>Table911[[#This Row],[Dry Yield (kg/ha)]]/1000</f>
        <v>5.081999999999999</v>
      </c>
      <c r="AA44" s="89">
        <f>Table911[[#This Row],[Dry Yield (tons/ha)]]*1.15</f>
        <v>5.8442999999999987</v>
      </c>
      <c r="AH44" s="10" t="s">
        <v>687</v>
      </c>
      <c r="AI44" s="183">
        <f>Table911[[#This Row],[Yield (tons/ha) Corrected to 15% Moisture]]</f>
        <v>5.8442999999999987</v>
      </c>
    </row>
    <row r="45" spans="1:35">
      <c r="A45" s="15">
        <v>2021</v>
      </c>
      <c r="B45" s="15">
        <v>293</v>
      </c>
      <c r="C45" s="15">
        <v>3</v>
      </c>
      <c r="D45" s="15">
        <v>1</v>
      </c>
      <c r="E45" s="17" t="s">
        <v>54</v>
      </c>
      <c r="F45" s="15">
        <v>7</v>
      </c>
      <c r="G45" s="15">
        <v>7</v>
      </c>
      <c r="H45" s="15">
        <v>572.70000000000005</v>
      </c>
      <c r="I45" s="15">
        <v>469</v>
      </c>
      <c r="J45" s="15">
        <f>Table8[[#This Row],[Wet Weight of 3 plants (g) ]]-55.8</f>
        <v>413.2</v>
      </c>
      <c r="K45" s="15">
        <f>(Table8[[#This Row],[Wet - Bag Weight (g) ]]/3)*Table8[[#This Row],['# of Plants]]</f>
        <v>964.13333333333321</v>
      </c>
      <c r="L45" s="15">
        <v>299.10000000000002</v>
      </c>
      <c r="M45" s="15">
        <f>Table8[[#This Row],[DRY Sample Weight (g) (3 Plants) ]]-55.8</f>
        <v>243.3</v>
      </c>
      <c r="N45" s="15">
        <f t="shared" si="1"/>
        <v>169.89999999999998</v>
      </c>
      <c r="O45" s="15">
        <f>(Table8[[#This Row],[DRY Sample - Bag Weight (g) ]]/3)*Table8[[#This Row],['# of Plants]]</f>
        <v>567.70000000000005</v>
      </c>
      <c r="Q45" s="10">
        <v>4</v>
      </c>
      <c r="R45" s="10">
        <v>7</v>
      </c>
      <c r="S45" s="10" t="s">
        <v>319</v>
      </c>
      <c r="T45" s="10">
        <f>(K78+K79)/2</f>
        <v>1139.3666666666668</v>
      </c>
      <c r="U45" s="10">
        <f>(O78+O79)/2</f>
        <v>492.09999999999997</v>
      </c>
      <c r="V45" s="10">
        <f>Table911[[#This Row],[Biomass Wet Weight (g/m2)]]-Table911[[#This Row],[Dry Sample Weight (g/m2) ]]</f>
        <v>647.26666666666688</v>
      </c>
      <c r="W45" s="10">
        <f>(Table911[[#This Row],[Moisture loss (g)]]/Table911[[#This Row],[Biomass Wet Weight (g/m2)]])*100</f>
        <v>56.80933852140079</v>
      </c>
      <c r="X45" s="10">
        <f>Table911[[#This Row],[Dry Sample Weight (g/m2) ]]*(10000/1000)</f>
        <v>4921</v>
      </c>
      <c r="Y45" s="10">
        <f>Table911[[#This Row],[Dry Yield (kg/ha)]]*1.155</f>
        <v>5683.7550000000001</v>
      </c>
      <c r="Z45" s="89">
        <f>Table911[[#This Row],[Dry Yield (kg/ha)]]/1000</f>
        <v>4.9210000000000003</v>
      </c>
      <c r="AA45" s="89">
        <f>Table911[[#This Row],[Dry Yield (tons/ha)]]*1.15</f>
        <v>5.6591499999999995</v>
      </c>
      <c r="AH45" s="10" t="s">
        <v>687</v>
      </c>
      <c r="AI45" s="183">
        <f>Table911[[#This Row],[Yield (tons/ha) Corrected to 15% Moisture]]</f>
        <v>5.6591499999999995</v>
      </c>
    </row>
    <row r="46" spans="1:35">
      <c r="A46" s="15">
        <v>2021</v>
      </c>
      <c r="B46" s="15">
        <v>293</v>
      </c>
      <c r="C46" s="15">
        <v>3</v>
      </c>
      <c r="D46" s="15">
        <v>1</v>
      </c>
      <c r="E46" s="15" t="s">
        <v>55</v>
      </c>
      <c r="F46" s="15">
        <v>7</v>
      </c>
      <c r="G46" s="15">
        <v>7</v>
      </c>
      <c r="H46" s="15">
        <v>452.7</v>
      </c>
      <c r="I46" s="15">
        <v>378</v>
      </c>
      <c r="J46" s="15">
        <f>Table8[[#This Row],[Wet Weight of 3 plants (g) ]]-55.8</f>
        <v>322.2</v>
      </c>
      <c r="K46" s="15">
        <f>(Table8[[#This Row],[Wet - Bag Weight (g) ]]/3)*Table8[[#This Row],['# of Plants]]</f>
        <v>751.8</v>
      </c>
      <c r="L46" s="15">
        <v>262.7</v>
      </c>
      <c r="M46" s="15">
        <f>Table8[[#This Row],[DRY Sample Weight (g) (3 Plants) ]]-55.8</f>
        <v>206.89999999999998</v>
      </c>
      <c r="N46" s="15">
        <f t="shared" si="1"/>
        <v>115.30000000000001</v>
      </c>
      <c r="O46" s="15">
        <f>(Table8[[#This Row],[DRY Sample - Bag Weight (g) ]]/3)*Table8[[#This Row],['# of Plants]]</f>
        <v>482.76666666666659</v>
      </c>
      <c r="Q46" s="10">
        <v>4</v>
      </c>
      <c r="R46" s="10">
        <v>8</v>
      </c>
      <c r="S46" s="10" t="s">
        <v>320</v>
      </c>
      <c r="T46" s="10">
        <f>(K80+K81)/2</f>
        <v>1308.4000000000001</v>
      </c>
      <c r="U46" s="10">
        <f>(O80+O81)/2</f>
        <v>544.25</v>
      </c>
      <c r="V46" s="10">
        <f>Table911[[#This Row],[Biomass Wet Weight (g/m2)]]-Table911[[#This Row],[Dry Sample Weight (g/m2) ]]</f>
        <v>764.15000000000009</v>
      </c>
      <c r="W46" s="10">
        <f>(Table911[[#This Row],[Moisture loss (g)]]/Table911[[#This Row],[Biomass Wet Weight (g/m2)]])*100</f>
        <v>58.403393457658211</v>
      </c>
      <c r="X46" s="10">
        <f>Table911[[#This Row],[Dry Sample Weight (g/m2) ]]*(10000/1000)</f>
        <v>5442.5</v>
      </c>
      <c r="Y46" s="10">
        <f>Table911[[#This Row],[Dry Yield (kg/ha)]]*1.155</f>
        <v>6286.0875000000005</v>
      </c>
      <c r="Z46" s="89">
        <f>Table911[[#This Row],[Dry Yield (kg/ha)]]/1000</f>
        <v>5.4424999999999999</v>
      </c>
      <c r="AA46" s="89">
        <f>Table911[[#This Row],[Dry Yield (tons/ha)]]*1.15</f>
        <v>6.2588749999999997</v>
      </c>
      <c r="AH46" s="10" t="s">
        <v>687</v>
      </c>
      <c r="AI46" s="183">
        <f>Table911[[#This Row],[Yield (tons/ha) Corrected to 15% Moisture]]</f>
        <v>6.2588749999999997</v>
      </c>
    </row>
    <row r="47" spans="1:35">
      <c r="A47" s="15">
        <v>2021</v>
      </c>
      <c r="B47" s="15">
        <v>293</v>
      </c>
      <c r="C47" s="15">
        <v>3</v>
      </c>
      <c r="D47" s="15">
        <v>2</v>
      </c>
      <c r="E47" s="15" t="s">
        <v>54</v>
      </c>
      <c r="F47" s="15">
        <v>9</v>
      </c>
      <c r="G47" s="15">
        <v>8</v>
      </c>
      <c r="H47" s="15">
        <v>458.5</v>
      </c>
      <c r="I47" s="15">
        <v>293</v>
      </c>
      <c r="J47" s="15">
        <f>Table8[[#This Row],[Wet Weight of 3 plants (g) ]]-55.8</f>
        <v>237.2</v>
      </c>
      <c r="K47" s="15">
        <f>(Table8[[#This Row],[Wet - Bag Weight (g) ]]/3)*Table8[[#This Row],['# of Plants]]</f>
        <v>711.59999999999991</v>
      </c>
      <c r="L47" s="15">
        <v>253.6</v>
      </c>
      <c r="M47" s="15">
        <f>Table8[[#This Row],[DRY Sample Weight (g) (3 Plants) ]]-55.8</f>
        <v>197.8</v>
      </c>
      <c r="N47" s="15">
        <f t="shared" si="1"/>
        <v>39.399999999999977</v>
      </c>
      <c r="O47" s="15">
        <f>(Table8[[#This Row],[DRY Sample - Bag Weight (g) ]]/3)*Table8[[#This Row],['# of Plants]]</f>
        <v>593.40000000000009</v>
      </c>
      <c r="Q47" s="10">
        <v>4</v>
      </c>
      <c r="R47" s="10">
        <v>9</v>
      </c>
      <c r="S47" s="10" t="s">
        <v>321</v>
      </c>
      <c r="T47" s="10">
        <f>(K82+K83)/2</f>
        <v>966.05</v>
      </c>
      <c r="U47" s="10">
        <f>(O82+O83)/2</f>
        <v>558.84999999999991</v>
      </c>
      <c r="V47" s="10">
        <f>Table911[[#This Row],[Biomass Wet Weight (g/m2)]]-Table911[[#This Row],[Dry Sample Weight (g/m2) ]]</f>
        <v>407.20000000000005</v>
      </c>
      <c r="W47" s="10">
        <f>(Table911[[#This Row],[Moisture loss (g)]]/Table911[[#This Row],[Biomass Wet Weight (g/m2)]])*100</f>
        <v>42.151027379535229</v>
      </c>
      <c r="X47" s="10">
        <f>Table911[[#This Row],[Dry Sample Weight (g/m2) ]]*(10000/1000)</f>
        <v>5588.4999999999991</v>
      </c>
      <c r="Y47" s="10">
        <f>Table911[[#This Row],[Dry Yield (kg/ha)]]*1.155</f>
        <v>6454.7174999999988</v>
      </c>
      <c r="Z47" s="89">
        <f>Table911[[#This Row],[Dry Yield (kg/ha)]]/1000</f>
        <v>5.5884999999999989</v>
      </c>
      <c r="AA47" s="89">
        <f>Table911[[#This Row],[Dry Yield (tons/ha)]]*1.15</f>
        <v>6.4267749999999984</v>
      </c>
      <c r="AH47" s="10" t="s">
        <v>687</v>
      </c>
      <c r="AI47" s="183">
        <f>Table911[[#This Row],[Yield (tons/ha) Corrected to 15% Moisture]]</f>
        <v>6.4267749999999984</v>
      </c>
    </row>
    <row r="48" spans="1:35">
      <c r="A48" s="15">
        <v>2021</v>
      </c>
      <c r="B48" s="15">
        <v>293</v>
      </c>
      <c r="C48" s="15">
        <v>3</v>
      </c>
      <c r="D48" s="15">
        <v>2</v>
      </c>
      <c r="E48" s="15" t="s">
        <v>55</v>
      </c>
      <c r="F48" s="15">
        <v>8</v>
      </c>
      <c r="G48" s="15">
        <v>8</v>
      </c>
      <c r="H48" s="15">
        <v>475</v>
      </c>
      <c r="I48" s="15">
        <v>367.9</v>
      </c>
      <c r="J48" s="15">
        <f>Table8[[#This Row],[Wet Weight of 3 plants (g) ]]-55.8</f>
        <v>312.09999999999997</v>
      </c>
      <c r="K48" s="15">
        <f>(Table8[[#This Row],[Wet - Bag Weight (g) ]]/3)*Table8[[#This Row],['# of Plants]]</f>
        <v>832.26666666666654</v>
      </c>
      <c r="L48" s="15">
        <v>249.2</v>
      </c>
      <c r="M48" s="15">
        <f>Table8[[#This Row],[DRY Sample Weight (g) (3 Plants) ]]-55.8</f>
        <v>193.39999999999998</v>
      </c>
      <c r="N48" s="15">
        <f t="shared" si="1"/>
        <v>118.69999999999999</v>
      </c>
      <c r="O48" s="15">
        <f>(Table8[[#This Row],[DRY Sample - Bag Weight (g) ]]/3)*Table8[[#This Row],['# of Plants]]</f>
        <v>515.73333333333323</v>
      </c>
      <c r="Q48" s="6">
        <v>4</v>
      </c>
      <c r="R48" s="6">
        <v>11</v>
      </c>
      <c r="S48" s="6" t="s">
        <v>322</v>
      </c>
      <c r="T48" s="6">
        <v>1871.8000000000002</v>
      </c>
      <c r="U48" s="6">
        <v>535.0333333333333</v>
      </c>
      <c r="V48" s="6">
        <f>Table911[[#This Row],[Biomass Wet Weight (g/m2)]]-Table911[[#This Row],[Dry Sample Weight (g/m2) ]]</f>
        <v>1336.7666666666669</v>
      </c>
      <c r="W48" s="6">
        <f>(Table911[[#This Row],[Moisture loss (g)]]/Table911[[#This Row],[Biomass Wet Weight (g/m2)]])*100</f>
        <v>71.41610570929943</v>
      </c>
      <c r="X48" s="6">
        <f>Table911[[#This Row],[Dry Sample Weight (g/m2) ]]*(10000/1000)</f>
        <v>5350.333333333333</v>
      </c>
      <c r="Y48" s="6">
        <f>Table911[[#This Row],[Dry Yield (kg/ha)]]*1.155</f>
        <v>6179.6350000000002</v>
      </c>
      <c r="Z48" s="166">
        <f>Table911[[#This Row],[Dry Yield (kg/ha)]]/1000</f>
        <v>5.3503333333333334</v>
      </c>
      <c r="AA48" s="166">
        <f>Table911[[#This Row],[Dry Yield (tons/ha)]]*1.15</f>
        <v>6.1528833333333326</v>
      </c>
      <c r="AH48" s="6" t="s">
        <v>688</v>
      </c>
      <c r="AI48" s="166">
        <f>Table911[[#This Row],[Yield (tons/ha) Corrected to 15% Moisture]]</f>
        <v>6.1528833333333326</v>
      </c>
    </row>
    <row r="49" spans="1:35">
      <c r="A49" s="15">
        <v>2021</v>
      </c>
      <c r="B49" s="15">
        <v>293</v>
      </c>
      <c r="C49" s="15">
        <v>3</v>
      </c>
      <c r="D49" s="15">
        <v>3</v>
      </c>
      <c r="E49" s="17" t="s">
        <v>54</v>
      </c>
      <c r="F49" s="15">
        <v>7</v>
      </c>
      <c r="G49" s="15">
        <v>7</v>
      </c>
      <c r="H49" s="15">
        <v>414.6</v>
      </c>
      <c r="I49" s="15">
        <v>456.8</v>
      </c>
      <c r="J49" s="15">
        <f>Table8[[#This Row],[Wet Weight of 3 plants (g) ]]-55.8</f>
        <v>401</v>
      </c>
      <c r="K49" s="15">
        <f>(Table8[[#This Row],[Wet - Bag Weight (g) ]]/3)*Table8[[#This Row],['# of Plants]]</f>
        <v>935.66666666666663</v>
      </c>
      <c r="L49" s="15">
        <v>284</v>
      </c>
      <c r="M49" s="15">
        <f>Table8[[#This Row],[DRY Sample Weight (g) (3 Plants) ]]-55.8</f>
        <v>228.2</v>
      </c>
      <c r="N49" s="15">
        <f t="shared" si="1"/>
        <v>172.8</v>
      </c>
      <c r="O49" s="15">
        <f>(Table8[[#This Row],[DRY Sample - Bag Weight (g) ]]/3)*Table8[[#This Row],['# of Plants]]</f>
        <v>532.4666666666667</v>
      </c>
      <c r="Q49" s="6">
        <v>4</v>
      </c>
      <c r="R49" s="6">
        <v>12</v>
      </c>
      <c r="S49" s="6" t="s">
        <v>323</v>
      </c>
      <c r="T49" s="6">
        <v>1274.7000000000003</v>
      </c>
      <c r="U49" s="6">
        <v>419.06666666666672</v>
      </c>
      <c r="V49" s="6">
        <f>Table911[[#This Row],[Biomass Wet Weight (g/m2)]]-Table911[[#This Row],[Dry Sample Weight (g/m2) ]]</f>
        <v>855.63333333333355</v>
      </c>
      <c r="W49" s="6">
        <f>(Table911[[#This Row],[Moisture loss (g)]]/Table911[[#This Row],[Biomass Wet Weight (g/m2)]])*100</f>
        <v>67.12429068277504</v>
      </c>
      <c r="X49" s="6">
        <f>Table911[[#This Row],[Dry Sample Weight (g/m2) ]]*(10000/1000)</f>
        <v>4190.666666666667</v>
      </c>
      <c r="Y49" s="6">
        <f>Table911[[#This Row],[Dry Yield (kg/ha)]]*1.155</f>
        <v>4840.22</v>
      </c>
      <c r="Z49" s="166">
        <f>Table911[[#This Row],[Dry Yield (kg/ha)]]/1000</f>
        <v>4.190666666666667</v>
      </c>
      <c r="AA49" s="166">
        <f>Table911[[#This Row],[Dry Yield (tons/ha)]]*1.15</f>
        <v>4.8192666666666666</v>
      </c>
      <c r="AH49" s="6" t="s">
        <v>688</v>
      </c>
      <c r="AI49" s="166">
        <f>Table911[[#This Row],[Yield (tons/ha) Corrected to 15% Moisture]]</f>
        <v>4.8192666666666666</v>
      </c>
    </row>
    <row r="50" spans="1:35">
      <c r="A50" s="15">
        <v>2021</v>
      </c>
      <c r="B50" s="15">
        <v>293</v>
      </c>
      <c r="C50" s="15">
        <v>3</v>
      </c>
      <c r="D50" s="15">
        <v>3</v>
      </c>
      <c r="E50" s="15" t="s">
        <v>55</v>
      </c>
      <c r="F50" s="15">
        <v>7</v>
      </c>
      <c r="G50" s="15">
        <v>7</v>
      </c>
      <c r="H50" s="15">
        <v>789.9</v>
      </c>
      <c r="I50" s="15">
        <v>548.1</v>
      </c>
      <c r="J50" s="15">
        <f>Table8[[#This Row],[Wet Weight of 3 plants (g) ]]-55.8</f>
        <v>492.3</v>
      </c>
      <c r="K50" s="15">
        <f>(Table8[[#This Row],[Wet - Bag Weight (g) ]]/3)*Table8[[#This Row],['# of Plants]]</f>
        <v>1148.7</v>
      </c>
      <c r="L50" s="15">
        <v>270.39999999999998</v>
      </c>
      <c r="M50" s="15">
        <f>Table8[[#This Row],[DRY Sample Weight (g) (3 Plants) ]]-55.8</f>
        <v>214.59999999999997</v>
      </c>
      <c r="N50" s="15">
        <f t="shared" si="1"/>
        <v>277.70000000000005</v>
      </c>
      <c r="O50" s="15">
        <f>(Table8[[#This Row],[DRY Sample - Bag Weight (g) ]]/3)*Table8[[#This Row],['# of Plants]]</f>
        <v>500.73333333333323</v>
      </c>
      <c r="Q50" s="6">
        <v>4</v>
      </c>
      <c r="R50" s="6">
        <v>13</v>
      </c>
      <c r="S50" s="6" t="s">
        <v>324</v>
      </c>
      <c r="T50" s="6">
        <v>1192.5666666666666</v>
      </c>
      <c r="U50" s="6">
        <v>362.59999999999991</v>
      </c>
      <c r="V50" s="6">
        <f>Table911[[#This Row],[Biomass Wet Weight (g/m2)]]-Table911[[#This Row],[Dry Sample Weight (g/m2) ]]</f>
        <v>829.9666666666667</v>
      </c>
      <c r="W50" s="6">
        <f>(Table911[[#This Row],[Moisture loss (g)]]/Table911[[#This Row],[Biomass Wet Weight (g/m2)]])*100</f>
        <v>69.594991195460778</v>
      </c>
      <c r="X50" s="6">
        <f>Table911[[#This Row],[Dry Sample Weight (g/m2) ]]*(10000/1000)</f>
        <v>3625.9999999999991</v>
      </c>
      <c r="Y50" s="6">
        <f>Table911[[#This Row],[Dry Yield (kg/ha)]]*1.155</f>
        <v>4188.0299999999988</v>
      </c>
      <c r="Z50" s="166">
        <f>Table911[[#This Row],[Dry Yield (kg/ha)]]/1000</f>
        <v>3.625999999999999</v>
      </c>
      <c r="AA50" s="166">
        <f>Table911[[#This Row],[Dry Yield (tons/ha)]]*1.15</f>
        <v>4.1698999999999984</v>
      </c>
      <c r="AH50" s="6" t="s">
        <v>688</v>
      </c>
      <c r="AI50" s="166">
        <f>Table911[[#This Row],[Yield (tons/ha) Corrected to 15% Moisture]]</f>
        <v>4.1698999999999984</v>
      </c>
    </row>
    <row r="51" spans="1:35">
      <c r="A51" s="15">
        <v>2021</v>
      </c>
      <c r="B51" s="15">
        <v>293</v>
      </c>
      <c r="C51" s="15">
        <v>3</v>
      </c>
      <c r="D51" s="15">
        <v>4</v>
      </c>
      <c r="E51" s="15" t="s">
        <v>54</v>
      </c>
      <c r="F51" s="15">
        <v>7</v>
      </c>
      <c r="G51" s="15">
        <v>7</v>
      </c>
      <c r="H51" s="15">
        <v>587.70000000000005</v>
      </c>
      <c r="I51" s="15">
        <v>446.1</v>
      </c>
      <c r="J51" s="15">
        <f>Table8[[#This Row],[Wet Weight of 3 plants (g) ]]-55.8</f>
        <v>390.3</v>
      </c>
      <c r="K51" s="15">
        <f>(Table8[[#This Row],[Wet - Bag Weight (g) ]]/3)*Table8[[#This Row],['# of Plants]]</f>
        <v>910.69999999999993</v>
      </c>
      <c r="L51" s="15">
        <v>276.5</v>
      </c>
      <c r="M51" s="15">
        <f>Table8[[#This Row],[DRY Sample Weight (g) (3 Plants) ]]-55.8</f>
        <v>220.7</v>
      </c>
      <c r="N51" s="15">
        <f t="shared" si="1"/>
        <v>169.60000000000002</v>
      </c>
      <c r="O51" s="15">
        <f>(Table8[[#This Row],[DRY Sample - Bag Weight (g) ]]/3)*Table8[[#This Row],['# of Plants]]</f>
        <v>514.9666666666667</v>
      </c>
      <c r="P51" s="15"/>
      <c r="Q51" s="15"/>
      <c r="R51" s="15"/>
      <c r="S51" s="15"/>
      <c r="T51" s="15"/>
      <c r="U51" s="15"/>
    </row>
    <row r="52" spans="1:35">
      <c r="A52" s="15">
        <v>2021</v>
      </c>
      <c r="B52" s="15">
        <v>293</v>
      </c>
      <c r="C52" s="15">
        <v>3</v>
      </c>
      <c r="D52" s="15">
        <v>4</v>
      </c>
      <c r="E52" s="15" t="s">
        <v>55</v>
      </c>
      <c r="F52" s="15">
        <v>8</v>
      </c>
      <c r="G52" s="15">
        <v>7</v>
      </c>
      <c r="H52" s="15">
        <v>694.2</v>
      </c>
      <c r="I52" s="15">
        <v>599.4</v>
      </c>
      <c r="J52" s="15">
        <f>Table8[[#This Row],[Wet Weight of 3 plants (g) ]]-55.8</f>
        <v>543.6</v>
      </c>
      <c r="K52" s="15">
        <f>(Table8[[#This Row],[Wet - Bag Weight (g) ]]/3)*Table8[[#This Row],['# of Plants]]</f>
        <v>1449.6000000000001</v>
      </c>
      <c r="L52" s="15">
        <v>280.7</v>
      </c>
      <c r="M52" s="15">
        <f>Table8[[#This Row],[DRY Sample Weight (g) (3 Plants) ]]-55.8</f>
        <v>224.89999999999998</v>
      </c>
      <c r="N52" s="15">
        <f t="shared" si="1"/>
        <v>318.70000000000005</v>
      </c>
      <c r="O52" s="15">
        <f>(Table8[[#This Row],[DRY Sample - Bag Weight (g) ]]/3)*Table8[[#This Row],['# of Plants]]</f>
        <v>599.73333333333323</v>
      </c>
      <c r="P52" s="15"/>
      <c r="Q52" s="15"/>
      <c r="R52" s="15"/>
      <c r="S52" s="15"/>
      <c r="T52" s="15"/>
      <c r="U52" s="15"/>
    </row>
    <row r="53" spans="1:35">
      <c r="A53" s="15">
        <v>2021</v>
      </c>
      <c r="B53" s="15">
        <v>293</v>
      </c>
      <c r="C53" s="15">
        <v>3</v>
      </c>
      <c r="D53" s="15">
        <v>5</v>
      </c>
      <c r="E53" s="17" t="s">
        <v>54</v>
      </c>
      <c r="F53" s="15">
        <v>8</v>
      </c>
      <c r="G53" s="15">
        <v>7</v>
      </c>
      <c r="H53" s="15">
        <v>678.4</v>
      </c>
      <c r="I53" s="15">
        <v>553.6</v>
      </c>
      <c r="J53" s="15">
        <f>Table8[[#This Row],[Wet Weight of 3 plants (g) ]]-55.8</f>
        <v>497.8</v>
      </c>
      <c r="K53" s="15">
        <f>(Table8[[#This Row],[Wet - Bag Weight (g) ]]/3)*Table8[[#This Row],['# of Plants]]</f>
        <v>1327.4666666666667</v>
      </c>
      <c r="L53" s="15">
        <v>256.3</v>
      </c>
      <c r="M53" s="15">
        <f>Table8[[#This Row],[DRY Sample Weight (g) (3 Plants) ]]-55.8</f>
        <v>200.5</v>
      </c>
      <c r="N53" s="15">
        <f t="shared" si="1"/>
        <v>297.3</v>
      </c>
      <c r="O53" s="15">
        <f>(Table8[[#This Row],[DRY Sample - Bag Weight (g) ]]/3)*Table8[[#This Row],['# of Plants]]</f>
        <v>534.66666666666663</v>
      </c>
      <c r="P53" s="15"/>
      <c r="Q53" t="s">
        <v>660</v>
      </c>
      <c r="S53" t="s">
        <v>661</v>
      </c>
      <c r="T53" s="15"/>
      <c r="U53" s="15"/>
    </row>
    <row r="54" spans="1:35">
      <c r="A54" s="15">
        <v>2021</v>
      </c>
      <c r="B54" s="15">
        <v>293</v>
      </c>
      <c r="C54" s="15">
        <v>3</v>
      </c>
      <c r="D54" s="15">
        <v>5</v>
      </c>
      <c r="E54" s="15" t="s">
        <v>55</v>
      </c>
      <c r="F54" s="15">
        <v>6</v>
      </c>
      <c r="G54" s="15">
        <v>7</v>
      </c>
      <c r="H54" s="15">
        <v>550</v>
      </c>
      <c r="I54" s="15">
        <v>675.6</v>
      </c>
      <c r="J54" s="15">
        <f>Table8[[#This Row],[Wet Weight of 3 plants (g) ]]-55.8</f>
        <v>619.80000000000007</v>
      </c>
      <c r="K54" s="15">
        <f>(Table8[[#This Row],[Wet - Bag Weight (g) ]]/3)*Table8[[#This Row],['# of Plants]]</f>
        <v>1239.6000000000001</v>
      </c>
      <c r="L54" s="15">
        <v>312.2</v>
      </c>
      <c r="M54" s="15">
        <f>Table8[[#This Row],[DRY Sample Weight (g) (3 Plants) ]]-55.8</f>
        <v>256.39999999999998</v>
      </c>
      <c r="N54" s="15">
        <f t="shared" si="1"/>
        <v>363.40000000000009</v>
      </c>
      <c r="O54" s="15">
        <f>(Table8[[#This Row],[DRY Sample - Bag Weight (g) ]]/3)*Table8[[#This Row],['# of Plants]]</f>
        <v>512.79999999999995</v>
      </c>
      <c r="P54" s="15"/>
      <c r="Q54" s="15"/>
      <c r="S54" t="s">
        <v>662</v>
      </c>
      <c r="T54" s="15"/>
      <c r="U54" s="15"/>
    </row>
    <row r="55" spans="1:35">
      <c r="A55" s="15">
        <v>2021</v>
      </c>
      <c r="B55" s="15">
        <v>293</v>
      </c>
      <c r="C55" s="15">
        <v>3</v>
      </c>
      <c r="D55" s="15">
        <v>6</v>
      </c>
      <c r="E55" s="15" t="s">
        <v>54</v>
      </c>
      <c r="F55" s="15">
        <v>7</v>
      </c>
      <c r="G55" s="15">
        <v>7</v>
      </c>
      <c r="H55" s="15">
        <v>577.79999999999995</v>
      </c>
      <c r="I55" s="15">
        <v>625.6</v>
      </c>
      <c r="J55" s="15">
        <f>Table8[[#This Row],[Wet Weight of 3 plants (g) ]]-55.8</f>
        <v>569.80000000000007</v>
      </c>
      <c r="K55" s="15">
        <f>(Table8[[#This Row],[Wet - Bag Weight (g) ]]/3)*Table8[[#This Row],['# of Plants]]</f>
        <v>1329.5333333333335</v>
      </c>
      <c r="L55" s="15">
        <v>302.7</v>
      </c>
      <c r="M55" s="15">
        <f>Table8[[#This Row],[DRY Sample Weight (g) (3 Plants) ]]-55.8</f>
        <v>246.89999999999998</v>
      </c>
      <c r="N55" s="15">
        <f t="shared" si="1"/>
        <v>322.90000000000009</v>
      </c>
      <c r="O55" s="15">
        <f>(Table8[[#This Row],[DRY Sample - Bag Weight (g) ]]/3)*Table8[[#This Row],['# of Plants]]</f>
        <v>576.1</v>
      </c>
      <c r="P55" s="15"/>
      <c r="Q55" s="15"/>
      <c r="T55" s="15"/>
      <c r="U55" s="15"/>
    </row>
    <row r="56" spans="1:35">
      <c r="A56" s="15">
        <v>2021</v>
      </c>
      <c r="B56" s="15">
        <v>293</v>
      </c>
      <c r="C56" s="15">
        <v>3</v>
      </c>
      <c r="D56" s="15">
        <v>6</v>
      </c>
      <c r="E56" s="15" t="s">
        <v>55</v>
      </c>
      <c r="F56" s="15">
        <v>7</v>
      </c>
      <c r="G56" s="15">
        <v>6</v>
      </c>
      <c r="H56" s="15">
        <v>489.5</v>
      </c>
      <c r="I56" s="15">
        <v>488.4</v>
      </c>
      <c r="J56" s="15">
        <f>Table8[[#This Row],[Wet Weight of 3 plants (g) ]]-55.8</f>
        <v>432.59999999999997</v>
      </c>
      <c r="K56" s="15">
        <f>(Table8[[#This Row],[Wet - Bag Weight (g) ]]/3)*Table8[[#This Row],['# of Plants]]</f>
        <v>1009.3999999999999</v>
      </c>
      <c r="L56" s="15">
        <v>284.89999999999998</v>
      </c>
      <c r="M56" s="15">
        <f>Table8[[#This Row],[DRY Sample Weight (g) (3 Plants) ]]-55.8</f>
        <v>229.09999999999997</v>
      </c>
      <c r="N56" s="15">
        <f t="shared" si="1"/>
        <v>203.5</v>
      </c>
      <c r="O56" s="15">
        <f>(Table8[[#This Row],[DRY Sample - Bag Weight (g) ]]/3)*Table8[[#This Row],['# of Plants]]</f>
        <v>534.56666666666661</v>
      </c>
      <c r="P56" s="15"/>
      <c r="Q56" s="15"/>
      <c r="R56" s="15"/>
      <c r="S56" s="15"/>
      <c r="T56" s="15"/>
      <c r="U56" s="15"/>
    </row>
    <row r="57" spans="1:35">
      <c r="A57" s="15">
        <v>2021</v>
      </c>
      <c r="B57" s="15">
        <v>293</v>
      </c>
      <c r="C57" s="15">
        <v>3</v>
      </c>
      <c r="D57" s="15">
        <v>7</v>
      </c>
      <c r="E57" s="17" t="s">
        <v>54</v>
      </c>
      <c r="F57" s="15">
        <v>7</v>
      </c>
      <c r="G57" s="15">
        <v>7</v>
      </c>
      <c r="H57" s="15">
        <v>863.2</v>
      </c>
      <c r="I57" s="15">
        <v>497.5</v>
      </c>
      <c r="J57" s="15">
        <f>Table8[[#This Row],[Wet Weight of 3 plants (g) ]]-55.8</f>
        <v>441.7</v>
      </c>
      <c r="K57" s="15">
        <f>(Table8[[#This Row],[Wet - Bag Weight (g) ]]/3)*Table8[[#This Row],['# of Plants]]</f>
        <v>1030.6333333333332</v>
      </c>
      <c r="L57" s="15">
        <v>265.39999999999998</v>
      </c>
      <c r="M57" s="15">
        <f>Table8[[#This Row],[DRY Sample Weight (g) (3 Plants) ]]-55.8</f>
        <v>209.59999999999997</v>
      </c>
      <c r="N57" s="15">
        <f t="shared" si="1"/>
        <v>232.10000000000002</v>
      </c>
      <c r="O57" s="15">
        <f>(Table8[[#This Row],[DRY Sample - Bag Weight (g) ]]/3)*Table8[[#This Row],['# of Plants]]</f>
        <v>489.06666666666661</v>
      </c>
      <c r="P57" s="15"/>
      <c r="Q57" s="15"/>
      <c r="R57" s="15"/>
      <c r="S57" s="15"/>
      <c r="T57" s="15"/>
      <c r="U57" s="15"/>
    </row>
    <row r="58" spans="1:35">
      <c r="A58" s="15">
        <v>2021</v>
      </c>
      <c r="B58" s="15">
        <v>293</v>
      </c>
      <c r="C58" s="15">
        <v>3</v>
      </c>
      <c r="D58" s="15">
        <v>7</v>
      </c>
      <c r="E58" s="15" t="s">
        <v>55</v>
      </c>
      <c r="F58" s="15">
        <v>7</v>
      </c>
      <c r="G58" s="15">
        <v>7</v>
      </c>
      <c r="H58" s="15">
        <v>523.29999999999995</v>
      </c>
      <c r="I58" s="15">
        <v>399.8</v>
      </c>
      <c r="J58" s="15">
        <f>Table8[[#This Row],[Wet Weight of 3 plants (g) ]]-55.8</f>
        <v>344</v>
      </c>
      <c r="K58" s="15">
        <f>(Table8[[#This Row],[Wet - Bag Weight (g) ]]/3)*Table8[[#This Row],['# of Plants]]</f>
        <v>802.66666666666674</v>
      </c>
      <c r="L58" s="15">
        <v>245.2</v>
      </c>
      <c r="M58" s="15">
        <f>Table8[[#This Row],[DRY Sample Weight (g) (3 Plants) ]]-55.8</f>
        <v>189.39999999999998</v>
      </c>
      <c r="N58" s="15">
        <f t="shared" si="1"/>
        <v>154.60000000000002</v>
      </c>
      <c r="O58" s="15">
        <f>(Table8[[#This Row],[DRY Sample - Bag Weight (g) ]]/3)*Table8[[#This Row],['# of Plants]]</f>
        <v>441.93333333333328</v>
      </c>
      <c r="P58" s="15"/>
      <c r="Q58" s="15"/>
      <c r="R58" s="15"/>
      <c r="S58" s="15"/>
      <c r="T58" s="15"/>
      <c r="U58" s="15"/>
    </row>
    <row r="59" spans="1:35">
      <c r="A59" s="15">
        <v>2021</v>
      </c>
      <c r="B59" s="15">
        <v>293</v>
      </c>
      <c r="C59" s="15">
        <v>3</v>
      </c>
      <c r="D59" s="15">
        <v>8</v>
      </c>
      <c r="E59" s="15" t="s">
        <v>54</v>
      </c>
      <c r="F59" s="15">
        <v>7</v>
      </c>
      <c r="G59" s="15">
        <v>7</v>
      </c>
      <c r="H59" s="15">
        <v>527.70000000000005</v>
      </c>
      <c r="I59" s="15">
        <v>477.1</v>
      </c>
      <c r="J59" s="15">
        <f>Table8[[#This Row],[Wet Weight of 3 plants (g) ]]-55.8</f>
        <v>421.3</v>
      </c>
      <c r="K59" s="15">
        <f>(Table8[[#This Row],[Wet - Bag Weight (g) ]]/3)*Table8[[#This Row],['# of Plants]]</f>
        <v>983.0333333333333</v>
      </c>
      <c r="L59" s="15">
        <v>280.7</v>
      </c>
      <c r="M59" s="15">
        <f>Table8[[#This Row],[DRY Sample Weight (g) (3 Plants) ]]-55.8</f>
        <v>224.89999999999998</v>
      </c>
      <c r="N59" s="15">
        <f t="shared" si="1"/>
        <v>196.40000000000003</v>
      </c>
      <c r="O59" s="15">
        <f>(Table8[[#This Row],[DRY Sample - Bag Weight (g) ]]/3)*Table8[[#This Row],['# of Plants]]</f>
        <v>524.76666666666654</v>
      </c>
      <c r="P59" s="15"/>
      <c r="Q59" s="15"/>
      <c r="R59" s="15"/>
      <c r="S59" s="15"/>
      <c r="T59" s="15"/>
      <c r="U59" s="15"/>
    </row>
    <row r="60" spans="1:35">
      <c r="A60" s="15">
        <v>2021</v>
      </c>
      <c r="B60" s="15">
        <v>293</v>
      </c>
      <c r="C60" s="15">
        <v>3</v>
      </c>
      <c r="D60" s="15">
        <v>8</v>
      </c>
      <c r="E60" s="15" t="s">
        <v>55</v>
      </c>
      <c r="F60" s="15">
        <v>8</v>
      </c>
      <c r="G60" s="15">
        <v>6</v>
      </c>
      <c r="H60" s="15">
        <v>652</v>
      </c>
      <c r="I60" s="15">
        <v>417.5</v>
      </c>
      <c r="J60" s="15">
        <f>Table8[[#This Row],[Wet Weight of 3 plants (g) ]]-55.8</f>
        <v>361.7</v>
      </c>
      <c r="K60" s="15">
        <f>(Table8[[#This Row],[Wet - Bag Weight (g) ]]/3)*Table8[[#This Row],['# of Plants]]</f>
        <v>964.5333333333333</v>
      </c>
      <c r="L60" s="15">
        <v>243.7</v>
      </c>
      <c r="M60" s="15">
        <f>Table8[[#This Row],[DRY Sample Weight (g) (3 Plants) ]]-55.8</f>
        <v>187.89999999999998</v>
      </c>
      <c r="N60" s="15">
        <f t="shared" si="1"/>
        <v>173.8</v>
      </c>
      <c r="O60" s="15">
        <f>(Table8[[#This Row],[DRY Sample - Bag Weight (g) ]]/3)*Table8[[#This Row],['# of Plants]]</f>
        <v>501.06666666666661</v>
      </c>
      <c r="P60" s="15"/>
      <c r="Q60" s="15"/>
      <c r="R60" s="15"/>
      <c r="S60" s="15"/>
      <c r="T60" s="15"/>
      <c r="U60" s="15"/>
    </row>
    <row r="61" spans="1:35">
      <c r="A61" s="15">
        <v>2021</v>
      </c>
      <c r="B61" s="15">
        <v>293</v>
      </c>
      <c r="C61" s="15">
        <v>3</v>
      </c>
      <c r="D61" s="15">
        <v>9</v>
      </c>
      <c r="E61" s="17" t="s">
        <v>54</v>
      </c>
      <c r="F61" s="15">
        <v>7</v>
      </c>
      <c r="G61" s="15">
        <v>7</v>
      </c>
      <c r="H61" s="15">
        <v>863.1</v>
      </c>
      <c r="I61" s="15">
        <v>470.3</v>
      </c>
      <c r="J61" s="15">
        <f>Table8[[#This Row],[Wet Weight of 3 plants (g) ]]-55.8</f>
        <v>414.5</v>
      </c>
      <c r="K61" s="15">
        <f>(Table8[[#This Row],[Wet - Bag Weight (g) ]]/3)*Table8[[#This Row],['# of Plants]]</f>
        <v>967.16666666666663</v>
      </c>
      <c r="L61" s="15">
        <v>253.4</v>
      </c>
      <c r="M61" s="15">
        <f>Table8[[#This Row],[DRY Sample Weight (g) (3 Plants) ]]-55.8</f>
        <v>197.60000000000002</v>
      </c>
      <c r="N61" s="15">
        <f t="shared" si="1"/>
        <v>216.89999999999998</v>
      </c>
      <c r="O61" s="15">
        <f>(Table8[[#This Row],[DRY Sample - Bag Weight (g) ]]/3)*Table8[[#This Row],['# of Plants]]</f>
        <v>461.06666666666672</v>
      </c>
      <c r="P61" s="15"/>
      <c r="Q61" s="15"/>
      <c r="R61" s="15"/>
      <c r="S61" s="15"/>
      <c r="T61" s="15"/>
      <c r="U61" s="15"/>
    </row>
    <row r="62" spans="1:35">
      <c r="A62" s="15">
        <v>2021</v>
      </c>
      <c r="B62" s="15">
        <v>293</v>
      </c>
      <c r="C62" s="15">
        <v>3</v>
      </c>
      <c r="D62" s="15">
        <v>9</v>
      </c>
      <c r="E62" s="15" t="s">
        <v>55</v>
      </c>
      <c r="F62" s="15">
        <v>7</v>
      </c>
      <c r="G62" s="15">
        <v>7</v>
      </c>
      <c r="H62" s="15">
        <v>529.4</v>
      </c>
      <c r="I62" s="15">
        <v>395.6</v>
      </c>
      <c r="J62" s="15">
        <f>Table8[[#This Row],[Wet Weight of 3 plants (g) ]]-55.8</f>
        <v>339.8</v>
      </c>
      <c r="K62" s="15">
        <f>(Table8[[#This Row],[Wet - Bag Weight (g) ]]/3)*Table8[[#This Row],['# of Plants]]</f>
        <v>792.86666666666667</v>
      </c>
      <c r="L62" s="15">
        <v>277.89999999999998</v>
      </c>
      <c r="M62" s="15">
        <f>Table8[[#This Row],[DRY Sample Weight (g) (3 Plants) ]]-55.8</f>
        <v>222.09999999999997</v>
      </c>
      <c r="N62" s="15">
        <f t="shared" si="1"/>
        <v>117.70000000000005</v>
      </c>
      <c r="O62" s="15">
        <f>(Table8[[#This Row],[DRY Sample - Bag Weight (g) ]]/3)*Table8[[#This Row],['# of Plants]]</f>
        <v>518.23333333333323</v>
      </c>
      <c r="R62" s="15"/>
      <c r="S62" s="15"/>
      <c r="T62" s="15"/>
      <c r="U62" s="15"/>
    </row>
    <row r="63" spans="1:35">
      <c r="A63" s="6">
        <v>2021</v>
      </c>
      <c r="B63" s="6">
        <v>292</v>
      </c>
      <c r="C63" s="6">
        <v>3</v>
      </c>
      <c r="D63" s="6">
        <v>11</v>
      </c>
      <c r="E63" s="6" t="s">
        <v>54</v>
      </c>
      <c r="F63" s="6">
        <v>7</v>
      </c>
      <c r="G63" s="6">
        <v>7</v>
      </c>
      <c r="H63" s="6">
        <v>996</v>
      </c>
      <c r="I63" s="6">
        <v>459.2</v>
      </c>
      <c r="J63" s="6">
        <f>Table8[[#This Row],[Wet Weight of 3 plants (g) ]]-55.8</f>
        <v>403.4</v>
      </c>
      <c r="K63" s="15">
        <f>(Table8[[#This Row],[Wet - Bag Weight (g) ]]/3)*Table8[[#This Row],['# of Plants]]</f>
        <v>941.26666666666665</v>
      </c>
      <c r="L63" s="6">
        <v>222.9</v>
      </c>
      <c r="M63" s="6">
        <f>Table8[[#This Row],[DRY Sample Weight (g) (3 Plants) ]]-55.8</f>
        <v>167.10000000000002</v>
      </c>
      <c r="N63" s="6">
        <f t="shared" si="1"/>
        <v>236.29999999999995</v>
      </c>
      <c r="O63" s="6">
        <f>(Table8[[#This Row],[DRY Sample - Bag Weight (g) ]]/3)*Table8[[#This Row],['# of Plants]]</f>
        <v>389.90000000000009</v>
      </c>
      <c r="R63" s="15"/>
      <c r="S63" s="15"/>
      <c r="T63" s="15"/>
      <c r="U63" s="15"/>
    </row>
    <row r="64" spans="1:35">
      <c r="A64" s="6">
        <v>2021</v>
      </c>
      <c r="B64" s="6">
        <v>292</v>
      </c>
      <c r="C64" s="6">
        <v>3</v>
      </c>
      <c r="D64" s="6">
        <v>12</v>
      </c>
      <c r="E64" s="6" t="s">
        <v>54</v>
      </c>
      <c r="F64" s="6">
        <v>7</v>
      </c>
      <c r="G64" s="6">
        <v>7</v>
      </c>
      <c r="H64" s="6">
        <v>928.4</v>
      </c>
      <c r="I64" s="6">
        <v>346.3</v>
      </c>
      <c r="J64" s="6">
        <f>Table8[[#This Row],[Wet Weight of 3 plants (g) ]]-55.8</f>
        <v>290.5</v>
      </c>
      <c r="K64" s="15">
        <f>(Table8[[#This Row],[Wet - Bag Weight (g) ]]/3)*Table8[[#This Row],['# of Plants]]</f>
        <v>677.83333333333326</v>
      </c>
      <c r="L64" s="6">
        <v>181.3</v>
      </c>
      <c r="M64" s="6">
        <f>Table8[[#This Row],[DRY Sample Weight (g) (3 Plants) ]]-55.8</f>
        <v>125.50000000000001</v>
      </c>
      <c r="N64" s="6">
        <f t="shared" si="1"/>
        <v>165</v>
      </c>
      <c r="O64" s="6">
        <f>(Table8[[#This Row],[DRY Sample - Bag Weight (g) ]]/3)*Table8[[#This Row],['# of Plants]]</f>
        <v>292.83333333333337</v>
      </c>
      <c r="R64" s="15"/>
      <c r="S64" s="15"/>
      <c r="T64" s="15"/>
      <c r="U64" s="15"/>
    </row>
    <row r="65" spans="1:21">
      <c r="A65" s="6">
        <v>2021</v>
      </c>
      <c r="B65" s="6">
        <v>292</v>
      </c>
      <c r="C65" s="6">
        <v>3</v>
      </c>
      <c r="D65" s="6">
        <v>13</v>
      </c>
      <c r="E65" s="127" t="s">
        <v>54</v>
      </c>
      <c r="F65" s="6">
        <v>6</v>
      </c>
      <c r="G65" s="6">
        <v>6</v>
      </c>
      <c r="H65" s="6">
        <v>987.1</v>
      </c>
      <c r="I65" s="6">
        <v>492.7</v>
      </c>
      <c r="J65" s="6">
        <f>Table8[[#This Row],[Wet Weight of 3 plants (g) ]]-55.8</f>
        <v>436.9</v>
      </c>
      <c r="K65" s="15">
        <f>(Table8[[#This Row],[Wet - Bag Weight (g) ]]/3)*Table8[[#This Row],['# of Plants]]</f>
        <v>873.8</v>
      </c>
      <c r="L65" s="6">
        <v>225.9</v>
      </c>
      <c r="M65" s="6">
        <f>Table8[[#This Row],[DRY Sample Weight (g) (3 Plants) ]]-55.8</f>
        <v>170.10000000000002</v>
      </c>
      <c r="N65" s="6">
        <f t="shared" si="1"/>
        <v>266.79999999999995</v>
      </c>
      <c r="O65" s="6">
        <f>(Table8[[#This Row],[DRY Sample - Bag Weight (g) ]]/3)*Table8[[#This Row],['# of Plants]]</f>
        <v>340.20000000000005</v>
      </c>
      <c r="R65" s="15"/>
      <c r="S65" s="15"/>
    </row>
    <row r="66" spans="1:21">
      <c r="A66" s="15">
        <v>2021</v>
      </c>
      <c r="B66" s="15">
        <v>293</v>
      </c>
      <c r="C66" s="15">
        <v>4</v>
      </c>
      <c r="D66" s="15">
        <v>1</v>
      </c>
      <c r="E66" s="17" t="s">
        <v>54</v>
      </c>
      <c r="F66" s="15">
        <v>6</v>
      </c>
      <c r="G66" s="15">
        <v>6</v>
      </c>
      <c r="H66" s="15">
        <v>530.29999999999995</v>
      </c>
      <c r="I66" s="15">
        <v>557.4</v>
      </c>
      <c r="J66" s="15">
        <f>Table8[[#This Row],[Wet Weight of 3 plants (g) ]]-55.8</f>
        <v>501.59999999999997</v>
      </c>
      <c r="K66" s="15">
        <f>(Table8[[#This Row],[Wet - Bag Weight (g) ]]/3)*Table8[[#This Row],['# of Plants]]</f>
        <v>1003.1999999999999</v>
      </c>
      <c r="L66" s="15">
        <v>241.8</v>
      </c>
      <c r="M66" s="15">
        <f>Table8[[#This Row],[DRY Sample Weight (g) (3 Plants) ]]-55.8</f>
        <v>186</v>
      </c>
      <c r="N66" s="15">
        <f t="shared" si="1"/>
        <v>315.59999999999997</v>
      </c>
      <c r="O66" s="15">
        <f>(Table8[[#This Row],[DRY Sample - Bag Weight (g) ]]/3)*Table8[[#This Row],['# of Plants]]</f>
        <v>372</v>
      </c>
      <c r="R66" s="15"/>
      <c r="S66" s="15"/>
    </row>
    <row r="67" spans="1:21">
      <c r="A67" s="15">
        <v>2021</v>
      </c>
      <c r="B67" s="15">
        <v>293</v>
      </c>
      <c r="C67" s="15">
        <v>4</v>
      </c>
      <c r="D67" s="15">
        <v>1</v>
      </c>
      <c r="E67" s="15" t="s">
        <v>55</v>
      </c>
      <c r="F67" s="15">
        <v>7</v>
      </c>
      <c r="G67" s="15">
        <v>6</v>
      </c>
      <c r="H67" s="15">
        <v>578.29999999999995</v>
      </c>
      <c r="I67" s="15">
        <v>788</v>
      </c>
      <c r="J67" s="15">
        <f>Table8[[#This Row],[Wet Weight of 3 plants (g) ]]-55.8</f>
        <v>732.2</v>
      </c>
      <c r="K67" s="15">
        <f>(Table8[[#This Row],[Wet - Bag Weight (g) ]]/3)*Table8[[#This Row],['# of Plants]]</f>
        <v>1708.4666666666669</v>
      </c>
      <c r="L67" s="15">
        <v>302</v>
      </c>
      <c r="M67" s="15">
        <f>Table8[[#This Row],[DRY Sample Weight (g) (3 Plants) ]]-55.8</f>
        <v>246.2</v>
      </c>
      <c r="N67" s="15">
        <f t="shared" ref="N67:N98" si="2">J67-M67</f>
        <v>486.00000000000006</v>
      </c>
      <c r="O67" s="15">
        <f>(Table8[[#This Row],[DRY Sample - Bag Weight (g) ]]/3)*Table8[[#This Row],['# of Plants]]</f>
        <v>574.4666666666667</v>
      </c>
      <c r="P67" s="15"/>
      <c r="Q67" s="15"/>
      <c r="R67" s="15"/>
      <c r="S67" s="15"/>
      <c r="T67" s="15"/>
      <c r="U67" s="15"/>
    </row>
    <row r="68" spans="1:21">
      <c r="A68" s="15">
        <v>2021</v>
      </c>
      <c r="B68" s="15">
        <v>293</v>
      </c>
      <c r="C68" s="15">
        <v>4</v>
      </c>
      <c r="D68" s="15">
        <v>2</v>
      </c>
      <c r="E68" s="15" t="s">
        <v>54</v>
      </c>
      <c r="F68" s="15">
        <v>7</v>
      </c>
      <c r="G68" s="15">
        <v>7</v>
      </c>
      <c r="H68" s="15">
        <v>739.8</v>
      </c>
      <c r="I68" s="15">
        <v>562.20000000000005</v>
      </c>
      <c r="J68" s="15">
        <f>Table8[[#This Row],[Wet Weight of 3 plants (g) ]]-55.8</f>
        <v>506.40000000000003</v>
      </c>
      <c r="K68" s="15">
        <f>(Table8[[#This Row],[Wet - Bag Weight (g) ]]/3)*Table8[[#This Row],['# of Plants]]</f>
        <v>1181.6000000000001</v>
      </c>
      <c r="L68" s="15">
        <v>292.89999999999998</v>
      </c>
      <c r="M68" s="15">
        <f>Table8[[#This Row],[DRY Sample Weight (g) (3 Plants) ]]-55.8</f>
        <v>237.09999999999997</v>
      </c>
      <c r="N68" s="15">
        <f t="shared" si="2"/>
        <v>269.30000000000007</v>
      </c>
      <c r="O68" s="15">
        <f>(Table8[[#This Row],[DRY Sample - Bag Weight (g) ]]/3)*Table8[[#This Row],['# of Plants]]</f>
        <v>553.23333333333323</v>
      </c>
      <c r="P68" s="15"/>
      <c r="Q68" s="15"/>
      <c r="R68" s="15"/>
      <c r="S68" s="15"/>
      <c r="T68" s="15"/>
      <c r="U68" s="15"/>
    </row>
    <row r="69" spans="1:21">
      <c r="A69" s="15">
        <v>2021</v>
      </c>
      <c r="B69" s="15">
        <v>293</v>
      </c>
      <c r="C69" s="15">
        <v>4</v>
      </c>
      <c r="D69" s="15">
        <v>2</v>
      </c>
      <c r="E69" s="15" t="s">
        <v>55</v>
      </c>
      <c r="F69" s="15">
        <v>7</v>
      </c>
      <c r="G69" s="15">
        <v>7</v>
      </c>
      <c r="H69" s="15">
        <v>780.1</v>
      </c>
      <c r="I69" s="15">
        <v>574.4</v>
      </c>
      <c r="J69" s="15">
        <f>Table8[[#This Row],[Wet Weight of 3 plants (g) ]]-55.8</f>
        <v>518.6</v>
      </c>
      <c r="K69" s="15">
        <f>(Table8[[#This Row],[Wet - Bag Weight (g) ]]/3)*Table8[[#This Row],['# of Plants]]</f>
        <v>1210.0666666666666</v>
      </c>
      <c r="L69" s="15">
        <v>275.5</v>
      </c>
      <c r="M69" s="15">
        <f>Table8[[#This Row],[DRY Sample Weight (g) (3 Plants) ]]-55.8</f>
        <v>219.7</v>
      </c>
      <c r="N69" s="15">
        <f t="shared" si="2"/>
        <v>298.90000000000003</v>
      </c>
      <c r="O69" s="15">
        <f>(Table8[[#This Row],[DRY Sample - Bag Weight (g) ]]/3)*Table8[[#This Row],['# of Plants]]</f>
        <v>512.63333333333333</v>
      </c>
      <c r="P69" s="15"/>
      <c r="Q69" s="15"/>
      <c r="R69" s="15"/>
      <c r="S69" s="15"/>
      <c r="T69" s="15"/>
      <c r="U69" s="15"/>
    </row>
    <row r="70" spans="1:21">
      <c r="A70" s="15">
        <v>2021</v>
      </c>
      <c r="B70" s="15">
        <v>293</v>
      </c>
      <c r="C70" s="15">
        <v>4</v>
      </c>
      <c r="D70" s="15">
        <v>3</v>
      </c>
      <c r="E70" s="17" t="s">
        <v>54</v>
      </c>
      <c r="F70" s="15">
        <v>6</v>
      </c>
      <c r="G70" s="15">
        <v>6</v>
      </c>
      <c r="H70" s="15">
        <v>596.5</v>
      </c>
      <c r="I70" s="15">
        <v>543.6</v>
      </c>
      <c r="J70" s="15">
        <f>Table8[[#This Row],[Wet Weight of 3 plants (g) ]]-55.8</f>
        <v>487.8</v>
      </c>
      <c r="K70" s="15">
        <f>(Table8[[#This Row],[Wet - Bag Weight (g) ]]/3)*Table8[[#This Row],['# of Plants]]</f>
        <v>975.59999999999991</v>
      </c>
      <c r="L70" s="15">
        <v>249.3</v>
      </c>
      <c r="M70" s="15">
        <f>Table8[[#This Row],[DRY Sample Weight (g) (3 Plants) ]]-55.8</f>
        <v>193.5</v>
      </c>
      <c r="N70" s="15">
        <f t="shared" si="2"/>
        <v>294.3</v>
      </c>
      <c r="O70" s="15">
        <f>(Table8[[#This Row],[DRY Sample - Bag Weight (g) ]]/3)*Table8[[#This Row],['# of Plants]]</f>
        <v>387</v>
      </c>
      <c r="P70" s="15"/>
      <c r="Q70" s="15"/>
      <c r="R70" s="15"/>
      <c r="S70" s="15"/>
      <c r="T70" s="15"/>
      <c r="U70" s="15"/>
    </row>
    <row r="71" spans="1:21">
      <c r="A71" s="15">
        <v>2021</v>
      </c>
      <c r="B71" s="15">
        <v>293</v>
      </c>
      <c r="C71" s="15">
        <v>4</v>
      </c>
      <c r="D71" s="15">
        <v>3</v>
      </c>
      <c r="E71" s="15" t="s">
        <v>55</v>
      </c>
      <c r="F71" s="15">
        <v>7</v>
      </c>
      <c r="G71" s="15">
        <v>7</v>
      </c>
      <c r="H71" s="15">
        <v>639.29999999999995</v>
      </c>
      <c r="I71" s="15">
        <v>553.1</v>
      </c>
      <c r="J71" s="15">
        <f>Table8[[#This Row],[Wet Weight of 3 plants (g) ]]-55.8</f>
        <v>497.3</v>
      </c>
      <c r="K71" s="15">
        <f>(Table8[[#This Row],[Wet - Bag Weight (g) ]]/3)*Table8[[#This Row],['# of Plants]]</f>
        <v>1160.3666666666668</v>
      </c>
      <c r="L71" s="15">
        <v>287.2</v>
      </c>
      <c r="M71" s="15">
        <f>Table8[[#This Row],[DRY Sample Weight (g) (3 Plants) ]]-55.8</f>
        <v>231.39999999999998</v>
      </c>
      <c r="N71" s="15">
        <f t="shared" si="2"/>
        <v>265.90000000000003</v>
      </c>
      <c r="O71" s="15">
        <f>(Table8[[#This Row],[DRY Sample - Bag Weight (g) ]]/3)*Table8[[#This Row],['# of Plants]]</f>
        <v>539.93333333333328</v>
      </c>
      <c r="P71" s="15"/>
      <c r="Q71" s="15"/>
      <c r="R71" s="15"/>
      <c r="S71" s="15"/>
      <c r="T71" s="15"/>
      <c r="U71" s="15"/>
    </row>
    <row r="72" spans="1:21">
      <c r="A72" s="15">
        <v>2021</v>
      </c>
      <c r="B72" s="15">
        <v>293</v>
      </c>
      <c r="C72" s="15">
        <v>4</v>
      </c>
      <c r="D72" s="15">
        <v>4</v>
      </c>
      <c r="E72" s="15" t="s">
        <v>54</v>
      </c>
      <c r="F72" s="15">
        <v>7</v>
      </c>
      <c r="G72" s="15">
        <v>7</v>
      </c>
      <c r="H72" s="15">
        <v>847</v>
      </c>
      <c r="I72" s="15">
        <v>564.29999999999995</v>
      </c>
      <c r="J72" s="15">
        <f>Table8[[#This Row],[Wet Weight of 3 plants (g) ]]-55.8</f>
        <v>508.49999999999994</v>
      </c>
      <c r="K72" s="15">
        <f>(Table8[[#This Row],[Wet - Bag Weight (g) ]]/3)*Table8[[#This Row],['# of Plants]]</f>
        <v>1186.4999999999998</v>
      </c>
      <c r="L72" s="15">
        <v>279.39999999999998</v>
      </c>
      <c r="M72" s="15">
        <f>Table8[[#This Row],[DRY Sample Weight (g) (3 Plants) ]]-55.8</f>
        <v>223.59999999999997</v>
      </c>
      <c r="N72" s="15">
        <f t="shared" si="2"/>
        <v>284.89999999999998</v>
      </c>
      <c r="O72" s="15">
        <f>(Table8[[#This Row],[DRY Sample - Bag Weight (g) ]]/3)*Table8[[#This Row],['# of Plants]]</f>
        <v>521.73333333333323</v>
      </c>
      <c r="P72" s="15"/>
      <c r="Q72" s="15"/>
      <c r="R72" s="15"/>
      <c r="S72" s="15"/>
      <c r="T72" s="15"/>
      <c r="U72" s="15"/>
    </row>
    <row r="73" spans="1:21">
      <c r="A73" s="15">
        <v>2021</v>
      </c>
      <c r="B73" s="15">
        <v>293</v>
      </c>
      <c r="C73" s="15">
        <v>4</v>
      </c>
      <c r="D73" s="15">
        <v>4</v>
      </c>
      <c r="E73" s="15" t="s">
        <v>55</v>
      </c>
      <c r="F73" s="15">
        <v>7</v>
      </c>
      <c r="G73" s="15">
        <v>7</v>
      </c>
      <c r="H73" s="15">
        <v>910.1</v>
      </c>
      <c r="I73" s="15">
        <v>713.4</v>
      </c>
      <c r="J73" s="15">
        <f>Table8[[#This Row],[Wet Weight of 3 plants (g) ]]-55.8</f>
        <v>657.6</v>
      </c>
      <c r="K73" s="15">
        <f>(Table8[[#This Row],[Wet - Bag Weight (g) ]]/3)*Table8[[#This Row],['# of Plants]]</f>
        <v>1534.4</v>
      </c>
      <c r="L73" s="15">
        <v>310.89999999999998</v>
      </c>
      <c r="M73" s="15">
        <f>Table8[[#This Row],[DRY Sample Weight (g) (3 Plants) ]]-55.8</f>
        <v>255.09999999999997</v>
      </c>
      <c r="N73" s="15">
        <f t="shared" si="2"/>
        <v>402.50000000000006</v>
      </c>
      <c r="O73" s="15">
        <f>(Table8[[#This Row],[DRY Sample - Bag Weight (g) ]]/3)*Table8[[#This Row],['# of Plants]]</f>
        <v>595.23333333333323</v>
      </c>
      <c r="P73" s="15"/>
      <c r="Q73" s="15"/>
      <c r="R73" s="15"/>
      <c r="S73" s="15"/>
      <c r="T73" s="15"/>
      <c r="U73" s="15"/>
    </row>
    <row r="74" spans="1:21">
      <c r="A74" s="15">
        <v>2021</v>
      </c>
      <c r="B74" s="15">
        <v>293</v>
      </c>
      <c r="C74" s="15">
        <v>4</v>
      </c>
      <c r="D74" s="15">
        <v>5</v>
      </c>
      <c r="E74" s="17" t="s">
        <v>54</v>
      </c>
      <c r="F74" s="15">
        <v>7</v>
      </c>
      <c r="G74" s="15">
        <v>7</v>
      </c>
      <c r="H74" s="15">
        <v>837.8</v>
      </c>
      <c r="I74" s="15">
        <v>439</v>
      </c>
      <c r="J74" s="15">
        <f>Table8[[#This Row],[Wet Weight of 3 plants (g) ]]-55.8</f>
        <v>383.2</v>
      </c>
      <c r="K74" s="15">
        <f>(Table8[[#This Row],[Wet - Bag Weight (g) ]]/3)*Table8[[#This Row],['# of Plants]]</f>
        <v>894.13333333333333</v>
      </c>
      <c r="L74" s="15">
        <v>273.5</v>
      </c>
      <c r="M74" s="15">
        <f>Table8[[#This Row],[DRY Sample Weight (g) (3 Plants) ]]-55.8</f>
        <v>217.7</v>
      </c>
      <c r="N74" s="15">
        <f t="shared" si="2"/>
        <v>165.5</v>
      </c>
      <c r="O74" s="15">
        <f>(Table8[[#This Row],[DRY Sample - Bag Weight (g) ]]/3)*Table8[[#This Row],['# of Plants]]</f>
        <v>507.96666666666664</v>
      </c>
      <c r="P74" s="15"/>
      <c r="Q74" s="15"/>
      <c r="R74" s="15"/>
      <c r="S74" s="15"/>
      <c r="T74" s="15"/>
      <c r="U74" s="15"/>
    </row>
    <row r="75" spans="1:21">
      <c r="A75" s="15">
        <v>2021</v>
      </c>
      <c r="B75" s="15">
        <v>293</v>
      </c>
      <c r="C75" s="15">
        <v>4</v>
      </c>
      <c r="D75" s="15">
        <v>5</v>
      </c>
      <c r="E75" s="15" t="s">
        <v>55</v>
      </c>
      <c r="F75" s="15">
        <v>7</v>
      </c>
      <c r="G75" s="15">
        <v>7</v>
      </c>
      <c r="H75" s="15">
        <v>554.6</v>
      </c>
      <c r="I75" s="15">
        <v>602.70000000000005</v>
      </c>
      <c r="J75" s="15">
        <f>Table8[[#This Row],[Wet Weight of 3 plants (g) ]]-55.8</f>
        <v>546.90000000000009</v>
      </c>
      <c r="K75" s="15">
        <f>(Table8[[#This Row],[Wet - Bag Weight (g) ]]/3)*Table8[[#This Row],['# of Plants]]</f>
        <v>1276.1000000000004</v>
      </c>
      <c r="L75" s="15">
        <v>300</v>
      </c>
      <c r="M75" s="15">
        <f>Table8[[#This Row],[DRY Sample Weight (g) (3 Plants) ]]-55.8</f>
        <v>244.2</v>
      </c>
      <c r="N75" s="15">
        <f t="shared" si="2"/>
        <v>302.7000000000001</v>
      </c>
      <c r="O75" s="15">
        <f>(Table8[[#This Row],[DRY Sample - Bag Weight (g) ]]/3)*Table8[[#This Row],['# of Plants]]</f>
        <v>569.79999999999995</v>
      </c>
      <c r="P75" s="15"/>
      <c r="Q75" s="15"/>
      <c r="R75" s="15"/>
      <c r="S75" s="15"/>
      <c r="T75" s="15"/>
      <c r="U75" s="15"/>
    </row>
    <row r="76" spans="1:21">
      <c r="A76" s="15">
        <v>2021</v>
      </c>
      <c r="B76" s="15">
        <v>293</v>
      </c>
      <c r="C76" s="15">
        <v>4</v>
      </c>
      <c r="D76" s="15">
        <v>6</v>
      </c>
      <c r="E76" s="15" t="s">
        <v>54</v>
      </c>
      <c r="F76" s="15">
        <v>7</v>
      </c>
      <c r="G76" s="15">
        <v>7</v>
      </c>
      <c r="H76" s="15">
        <v>627.9</v>
      </c>
      <c r="I76" s="15">
        <v>573.5</v>
      </c>
      <c r="J76" s="15">
        <f>Table8[[#This Row],[Wet Weight of 3 plants (g) ]]-55.8</f>
        <v>517.70000000000005</v>
      </c>
      <c r="K76" s="15">
        <f>(Table8[[#This Row],[Wet - Bag Weight (g) ]]/3)*Table8[[#This Row],['# of Plants]]</f>
        <v>1207.9666666666669</v>
      </c>
      <c r="L76" s="15">
        <v>285</v>
      </c>
      <c r="M76" s="15">
        <f>Table8[[#This Row],[DRY Sample Weight (g) (3 Plants) ]]-55.8</f>
        <v>229.2</v>
      </c>
      <c r="N76" s="15">
        <f t="shared" si="2"/>
        <v>288.50000000000006</v>
      </c>
      <c r="O76" s="15">
        <f>(Table8[[#This Row],[DRY Sample - Bag Weight (g) ]]/3)*Table8[[#This Row],['# of Plants]]</f>
        <v>534.79999999999995</v>
      </c>
      <c r="P76" s="15"/>
      <c r="Q76" s="15"/>
      <c r="R76" s="15"/>
      <c r="S76" s="15"/>
      <c r="T76" s="15"/>
      <c r="U76" s="15"/>
    </row>
    <row r="77" spans="1:21">
      <c r="A77" s="15">
        <v>2021</v>
      </c>
      <c r="B77" s="15">
        <v>293</v>
      </c>
      <c r="C77" s="15">
        <v>4</v>
      </c>
      <c r="D77" s="15">
        <v>6</v>
      </c>
      <c r="E77" s="15" t="s">
        <v>55</v>
      </c>
      <c r="F77" s="15">
        <v>7</v>
      </c>
      <c r="G77" s="15">
        <v>6</v>
      </c>
      <c r="H77" s="15">
        <v>748.2</v>
      </c>
      <c r="I77" s="15">
        <v>449.8</v>
      </c>
      <c r="J77" s="15">
        <f>Table8[[#This Row],[Wet Weight of 3 plants (g) ]]-55.8</f>
        <v>394</v>
      </c>
      <c r="K77" s="15">
        <f>(Table8[[#This Row],[Wet - Bag Weight (g) ]]/3)*Table8[[#This Row],['# of Plants]]</f>
        <v>919.33333333333337</v>
      </c>
      <c r="L77" s="15">
        <v>262.2</v>
      </c>
      <c r="M77" s="15">
        <f>Table8[[#This Row],[DRY Sample Weight (g) (3 Plants) ]]-55.8</f>
        <v>206.39999999999998</v>
      </c>
      <c r="N77" s="15">
        <f t="shared" si="2"/>
        <v>187.60000000000002</v>
      </c>
      <c r="O77" s="15">
        <f>(Table8[[#This Row],[DRY Sample - Bag Weight (g) ]]/3)*Table8[[#This Row],['# of Plants]]</f>
        <v>481.59999999999997</v>
      </c>
      <c r="P77" s="15"/>
      <c r="Q77" s="15"/>
      <c r="R77" s="15"/>
      <c r="S77" s="15"/>
      <c r="T77" s="15"/>
      <c r="U77" s="15"/>
    </row>
    <row r="78" spans="1:21">
      <c r="A78" s="15">
        <v>2021</v>
      </c>
      <c r="B78" s="15">
        <v>293</v>
      </c>
      <c r="C78" s="15">
        <v>4</v>
      </c>
      <c r="D78" s="15">
        <v>7</v>
      </c>
      <c r="E78" s="17" t="s">
        <v>54</v>
      </c>
      <c r="F78" s="15">
        <v>7</v>
      </c>
      <c r="G78" s="15">
        <v>7</v>
      </c>
      <c r="H78" s="15">
        <v>771.6</v>
      </c>
      <c r="I78" s="15">
        <v>421.7</v>
      </c>
      <c r="J78" s="15">
        <f>Table8[[#This Row],[Wet Weight of 3 plants (g) ]]-55.8</f>
        <v>365.9</v>
      </c>
      <c r="K78" s="15">
        <f>(Table8[[#This Row],[Wet - Bag Weight (g) ]]/3)*Table8[[#This Row],['# of Plants]]</f>
        <v>853.76666666666654</v>
      </c>
      <c r="L78" s="15">
        <v>239.7</v>
      </c>
      <c r="M78" s="15">
        <f>Table8[[#This Row],[DRY Sample Weight (g) (3 Plants) ]]-55.8</f>
        <v>183.89999999999998</v>
      </c>
      <c r="N78" s="15">
        <f t="shared" si="2"/>
        <v>182</v>
      </c>
      <c r="O78" s="15">
        <f>(Table8[[#This Row],[DRY Sample - Bag Weight (g) ]]/3)*Table8[[#This Row],['# of Plants]]</f>
        <v>429.09999999999991</v>
      </c>
      <c r="P78" s="15"/>
      <c r="Q78" s="15"/>
      <c r="R78" s="15"/>
      <c r="S78" s="15"/>
      <c r="T78" s="15"/>
      <c r="U78" s="15"/>
    </row>
    <row r="79" spans="1:21">
      <c r="A79" s="15">
        <v>2021</v>
      </c>
      <c r="B79" s="15">
        <v>293</v>
      </c>
      <c r="C79" s="15">
        <v>4</v>
      </c>
      <c r="D79" s="15">
        <v>7</v>
      </c>
      <c r="E79" s="15" t="s">
        <v>55</v>
      </c>
      <c r="F79" s="15">
        <v>7</v>
      </c>
      <c r="G79" s="15">
        <v>7</v>
      </c>
      <c r="H79" s="15">
        <v>935.5</v>
      </c>
      <c r="I79" s="15">
        <v>666.5</v>
      </c>
      <c r="J79" s="15">
        <f>Table8[[#This Row],[Wet Weight of 3 plants (g) ]]-55.8</f>
        <v>610.70000000000005</v>
      </c>
      <c r="K79" s="15">
        <f>(Table8[[#This Row],[Wet - Bag Weight (g) ]]/3)*Table8[[#This Row],['# of Plants]]</f>
        <v>1424.9666666666669</v>
      </c>
      <c r="L79" s="15">
        <v>293.7</v>
      </c>
      <c r="M79" s="15">
        <f>Table8[[#This Row],[DRY Sample Weight (g) (3 Plants) ]]-55.8</f>
        <v>237.89999999999998</v>
      </c>
      <c r="N79" s="15">
        <f t="shared" si="2"/>
        <v>372.80000000000007</v>
      </c>
      <c r="O79" s="15">
        <f>(Table8[[#This Row],[DRY Sample - Bag Weight (g) ]]/3)*Table8[[#This Row],['# of Plants]]</f>
        <v>555.1</v>
      </c>
      <c r="P79" s="15"/>
      <c r="Q79" s="15"/>
      <c r="R79" s="15"/>
      <c r="S79" s="15"/>
      <c r="T79" s="15"/>
      <c r="U79" s="15"/>
    </row>
    <row r="80" spans="1:21">
      <c r="A80" s="15">
        <v>2021</v>
      </c>
      <c r="B80" s="15">
        <v>293</v>
      </c>
      <c r="C80" s="15">
        <v>4</v>
      </c>
      <c r="D80" s="15">
        <v>8</v>
      </c>
      <c r="E80" s="15" t="s">
        <v>54</v>
      </c>
      <c r="F80" s="15">
        <v>7</v>
      </c>
      <c r="G80" s="15">
        <v>7</v>
      </c>
      <c r="H80" s="15">
        <v>804.3</v>
      </c>
      <c r="I80" s="15">
        <v>591.79999999999995</v>
      </c>
      <c r="J80" s="15">
        <f>Table8[[#This Row],[Wet Weight of 3 plants (g) ]]-55.8</f>
        <v>536</v>
      </c>
      <c r="K80" s="15">
        <f>(Table8[[#This Row],[Wet - Bag Weight (g) ]]/3)*Table8[[#This Row],['# of Plants]]</f>
        <v>1250.6666666666665</v>
      </c>
      <c r="L80" s="15">
        <v>285.5</v>
      </c>
      <c r="M80" s="15">
        <f>Table8[[#This Row],[DRY Sample Weight (g) (3 Plants) ]]-55.8</f>
        <v>229.7</v>
      </c>
      <c r="N80" s="15">
        <f t="shared" si="2"/>
        <v>306.3</v>
      </c>
      <c r="O80" s="15">
        <f>(Table8[[#This Row],[DRY Sample - Bag Weight (g) ]]/3)*Table8[[#This Row],['# of Plants]]</f>
        <v>535.9666666666667</v>
      </c>
      <c r="P80" s="15"/>
      <c r="Q80" s="15"/>
      <c r="R80" s="15"/>
      <c r="S80" s="15"/>
      <c r="T80" s="15"/>
      <c r="U80" s="15"/>
    </row>
    <row r="81" spans="1:36">
      <c r="A81" s="15">
        <v>2021</v>
      </c>
      <c r="B81" s="15">
        <v>293</v>
      </c>
      <c r="C81" s="15">
        <v>4</v>
      </c>
      <c r="D81" s="15">
        <v>8</v>
      </c>
      <c r="E81" s="15" t="s">
        <v>55</v>
      </c>
      <c r="F81" s="15">
        <v>8</v>
      </c>
      <c r="G81" s="15">
        <v>7</v>
      </c>
      <c r="H81" s="15">
        <v>774.4</v>
      </c>
      <c r="I81" s="15">
        <v>568.1</v>
      </c>
      <c r="J81" s="15">
        <f>Table8[[#This Row],[Wet Weight of 3 plants (g) ]]-55.8</f>
        <v>512.30000000000007</v>
      </c>
      <c r="K81" s="15">
        <f>(Table8[[#This Row],[Wet - Bag Weight (g) ]]/3)*Table8[[#This Row],['# of Plants]]</f>
        <v>1366.1333333333334</v>
      </c>
      <c r="L81" s="15">
        <v>263</v>
      </c>
      <c r="M81" s="15">
        <f>Table8[[#This Row],[DRY Sample Weight (g) (3 Plants) ]]-55.8</f>
        <v>207.2</v>
      </c>
      <c r="N81" s="15">
        <f t="shared" si="2"/>
        <v>305.10000000000008</v>
      </c>
      <c r="O81" s="15">
        <f>(Table8[[#This Row],[DRY Sample - Bag Weight (g) ]]/3)*Table8[[#This Row],['# of Plants]]</f>
        <v>552.5333333333333</v>
      </c>
      <c r="P81" s="15"/>
      <c r="Q81" s="15"/>
      <c r="R81" s="15"/>
      <c r="S81" s="15"/>
      <c r="T81" s="15"/>
      <c r="U81" s="15"/>
    </row>
    <row r="82" spans="1:36">
      <c r="A82" s="15">
        <v>2021</v>
      </c>
      <c r="B82" s="15">
        <v>293</v>
      </c>
      <c r="C82" s="15">
        <v>4</v>
      </c>
      <c r="D82" s="15">
        <v>9</v>
      </c>
      <c r="E82" s="17" t="s">
        <v>54</v>
      </c>
      <c r="F82" s="15">
        <v>8</v>
      </c>
      <c r="G82" s="15">
        <v>8</v>
      </c>
      <c r="H82" s="15">
        <v>900.1</v>
      </c>
      <c r="I82" s="15">
        <v>401.2</v>
      </c>
      <c r="J82" s="15">
        <f>Table8[[#This Row],[Wet Weight of 3 plants (g) ]]-55.8</f>
        <v>345.4</v>
      </c>
      <c r="K82" s="15">
        <f>(Table8[[#This Row],[Wet - Bag Weight (g) ]]/3)*Table8[[#This Row],['# of Plants]]</f>
        <v>921.06666666666661</v>
      </c>
      <c r="L82" s="15">
        <v>282</v>
      </c>
      <c r="M82" s="15">
        <f>Table8[[#This Row],[DRY Sample Weight (g) (3 Plants) ]]-55.8</f>
        <v>226.2</v>
      </c>
      <c r="N82" s="15">
        <f t="shared" si="2"/>
        <v>119.19999999999999</v>
      </c>
      <c r="O82" s="15">
        <f>(Table8[[#This Row],[DRY Sample - Bag Weight (g) ]]/3)*Table8[[#This Row],['# of Plants]]</f>
        <v>603.19999999999993</v>
      </c>
      <c r="P82" s="15"/>
      <c r="Q82" s="15"/>
      <c r="R82" s="15"/>
      <c r="S82" s="15"/>
      <c r="T82" s="15"/>
      <c r="U82" s="15"/>
    </row>
    <row r="83" spans="1:36">
      <c r="A83" s="15">
        <v>2021</v>
      </c>
      <c r="B83" s="15">
        <v>293</v>
      </c>
      <c r="C83" s="15">
        <v>4</v>
      </c>
      <c r="D83" s="15">
        <v>9</v>
      </c>
      <c r="E83" s="15" t="s">
        <v>55</v>
      </c>
      <c r="F83" s="15">
        <v>7</v>
      </c>
      <c r="G83" s="15">
        <v>7</v>
      </c>
      <c r="H83" s="15">
        <v>637.5</v>
      </c>
      <c r="I83" s="15">
        <v>489.1</v>
      </c>
      <c r="J83" s="15">
        <f>Table8[[#This Row],[Wet Weight of 3 plants (g) ]]-55.8</f>
        <v>433.3</v>
      </c>
      <c r="K83" s="15">
        <f>(Table8[[#This Row],[Wet - Bag Weight (g) ]]/3)*Table8[[#This Row],['# of Plants]]</f>
        <v>1011.0333333333333</v>
      </c>
      <c r="L83" s="15">
        <v>276.3</v>
      </c>
      <c r="M83" s="15">
        <f>Table8[[#This Row],[DRY Sample Weight (g) (3 Plants) ]]-55.8</f>
        <v>220.5</v>
      </c>
      <c r="N83" s="15">
        <f t="shared" si="2"/>
        <v>212.8</v>
      </c>
      <c r="O83" s="15">
        <f>(Table8[[#This Row],[DRY Sample - Bag Weight (g) ]]/3)*Table8[[#This Row],['# of Plants]]</f>
        <v>514.5</v>
      </c>
      <c r="P83" s="15"/>
      <c r="Q83" s="15"/>
      <c r="R83" s="15"/>
      <c r="S83" s="15"/>
      <c r="T83" s="15"/>
      <c r="U83" s="15"/>
    </row>
    <row r="84" spans="1:36">
      <c r="A84" s="6">
        <v>2021</v>
      </c>
      <c r="B84" s="6">
        <v>292</v>
      </c>
      <c r="C84" s="6">
        <v>4</v>
      </c>
      <c r="D84" s="6">
        <v>11</v>
      </c>
      <c r="E84" s="6" t="s">
        <v>54</v>
      </c>
      <c r="F84" s="6">
        <v>7</v>
      </c>
      <c r="G84" s="6">
        <v>7</v>
      </c>
      <c r="H84" s="6">
        <v>2062.8000000000002</v>
      </c>
      <c r="I84" s="6">
        <v>858</v>
      </c>
      <c r="J84" s="6">
        <f>Table8[[#This Row],[Wet Weight of 3 plants (g) ]]-55.8</f>
        <v>802.2</v>
      </c>
      <c r="K84" s="15">
        <f>(Table8[[#This Row],[Wet - Bag Weight (g) ]]/3)*Table8[[#This Row],['# of Plants]]</f>
        <v>1871.8000000000002</v>
      </c>
      <c r="L84" s="6">
        <v>285.10000000000002</v>
      </c>
      <c r="M84" s="6">
        <f>Table8[[#This Row],[DRY Sample Weight (g) (3 Plants) ]]-55.8</f>
        <v>229.3</v>
      </c>
      <c r="N84" s="6">
        <f t="shared" si="2"/>
        <v>572.90000000000009</v>
      </c>
      <c r="O84" s="6">
        <f>(Table8[[#This Row],[DRY Sample - Bag Weight (g) ]]/3)*Table8[[#This Row],['# of Plants]]</f>
        <v>535.0333333333333</v>
      </c>
      <c r="P84" s="15"/>
      <c r="Q84" s="15"/>
      <c r="R84" s="15"/>
      <c r="S84" s="15"/>
      <c r="T84" s="15"/>
      <c r="U84" s="15"/>
    </row>
    <row r="85" spans="1:36">
      <c r="A85" s="6">
        <v>2021</v>
      </c>
      <c r="B85" s="6">
        <v>292</v>
      </c>
      <c r="C85" s="6">
        <v>4</v>
      </c>
      <c r="D85" s="6">
        <v>12</v>
      </c>
      <c r="E85" s="6" t="s">
        <v>54</v>
      </c>
      <c r="F85" s="6">
        <v>7</v>
      </c>
      <c r="G85" s="6">
        <v>7</v>
      </c>
      <c r="H85" s="6">
        <v>1260.4000000000001</v>
      </c>
      <c r="I85" s="6">
        <v>602.1</v>
      </c>
      <c r="J85" s="6">
        <f>Table8[[#This Row],[Wet Weight of 3 plants (g) ]]-55.8</f>
        <v>546.30000000000007</v>
      </c>
      <c r="K85" s="15">
        <f>(Table8[[#This Row],[Wet - Bag Weight (g) ]]/3)*Table8[[#This Row],['# of Plants]]</f>
        <v>1274.7000000000003</v>
      </c>
      <c r="L85" s="6">
        <v>235.4</v>
      </c>
      <c r="M85" s="6">
        <f>Table8[[#This Row],[DRY Sample Weight (g) (3 Plants) ]]-55.8</f>
        <v>179.60000000000002</v>
      </c>
      <c r="N85" s="6">
        <f t="shared" si="2"/>
        <v>366.70000000000005</v>
      </c>
      <c r="O85" s="6">
        <f>(Table8[[#This Row],[DRY Sample - Bag Weight (g) ]]/3)*Table8[[#This Row],['# of Plants]]</f>
        <v>419.06666666666672</v>
      </c>
      <c r="P85" s="15"/>
      <c r="Q85" s="15"/>
      <c r="R85" s="15"/>
      <c r="S85" s="15"/>
      <c r="T85" s="15"/>
      <c r="U85" s="15"/>
    </row>
    <row r="86" spans="1:36">
      <c r="A86" s="6">
        <v>2021</v>
      </c>
      <c r="B86" s="6">
        <v>292</v>
      </c>
      <c r="C86" s="6">
        <v>4</v>
      </c>
      <c r="D86" s="6">
        <v>13</v>
      </c>
      <c r="E86" s="127" t="s">
        <v>54</v>
      </c>
      <c r="F86" s="6">
        <v>7</v>
      </c>
      <c r="G86" s="6">
        <v>7</v>
      </c>
      <c r="H86" s="6">
        <v>1371.7</v>
      </c>
      <c r="I86" s="6">
        <v>566.9</v>
      </c>
      <c r="J86" s="6">
        <f>Table8[[#This Row],[Wet Weight of 3 plants (g) ]]-55.8</f>
        <v>511.09999999999997</v>
      </c>
      <c r="K86" s="15">
        <f>(Table8[[#This Row],[Wet - Bag Weight (g) ]]/3)*Table8[[#This Row],['# of Plants]]</f>
        <v>1192.5666666666666</v>
      </c>
      <c r="L86" s="6">
        <v>211.2</v>
      </c>
      <c r="M86" s="6">
        <f>Table8[[#This Row],[DRY Sample Weight (g) (3 Plants) ]]-55.8</f>
        <v>155.39999999999998</v>
      </c>
      <c r="N86" s="6">
        <f t="shared" si="2"/>
        <v>355.7</v>
      </c>
      <c r="O86" s="6">
        <f>(Table8[[#This Row],[DRY Sample - Bag Weight (g) ]]/3)*Table8[[#This Row],['# of Plants]]</f>
        <v>362.59999999999991</v>
      </c>
      <c r="P86" s="15"/>
      <c r="Q86" s="15"/>
      <c r="R86" s="15"/>
      <c r="S86" s="15"/>
      <c r="T86" s="15"/>
      <c r="U86" s="15"/>
    </row>
    <row r="87" spans="1:36">
      <c r="A87" s="86"/>
      <c r="B87" s="86"/>
      <c r="C87" s="86"/>
      <c r="D87" s="86"/>
      <c r="E87" s="86"/>
      <c r="F87" s="86"/>
      <c r="G87" s="86"/>
      <c r="H87" s="86"/>
      <c r="I87" s="86"/>
      <c r="J87" s="86"/>
      <c r="K87" s="86"/>
      <c r="L87" s="86"/>
      <c r="M87" s="86"/>
      <c r="N87" s="86"/>
      <c r="O87" s="86">
        <f>(Table8[[#This Row],[DRY Sample - Bag Weight (g) ]]/3)*Table8[[#This Row],['# of Plants]]</f>
        <v>0</v>
      </c>
      <c r="P87" s="15"/>
      <c r="Q87" s="15"/>
      <c r="R87" s="15"/>
      <c r="S87" s="15"/>
      <c r="T87" s="15"/>
      <c r="U87" s="15"/>
      <c r="V87" s="15"/>
      <c r="W87" s="15"/>
      <c r="X87" s="15"/>
      <c r="Y87" s="15"/>
      <c r="Z87" s="15"/>
      <c r="AA87" s="15"/>
      <c r="AB87" s="15"/>
      <c r="AC87" s="15"/>
      <c r="AD87" s="15"/>
    </row>
    <row r="88" spans="1:36">
      <c r="A88" s="15"/>
      <c r="B88" s="15"/>
      <c r="C88" s="15"/>
      <c r="D88" s="15"/>
      <c r="E88" s="15"/>
      <c r="F88" s="15"/>
      <c r="G88" s="15"/>
      <c r="H88" s="15"/>
      <c r="I88" s="15"/>
      <c r="J88" s="15"/>
      <c r="K88" s="15"/>
      <c r="L88" s="15"/>
      <c r="M88" s="15"/>
      <c r="P88" s="15"/>
      <c r="Q88" s="15"/>
      <c r="R88" s="15"/>
      <c r="S88" s="15"/>
      <c r="T88" s="15"/>
      <c r="U88" s="15"/>
      <c r="V88" s="15"/>
      <c r="W88" s="15"/>
      <c r="X88" s="15"/>
      <c r="Y88" s="15"/>
      <c r="Z88" s="15"/>
      <c r="AA88" s="15"/>
      <c r="AB88" s="15"/>
      <c r="AC88" s="15"/>
    </row>
    <row r="89" spans="1:36" ht="23.25">
      <c r="A89" s="15"/>
      <c r="B89" s="15"/>
      <c r="C89" s="15"/>
      <c r="D89" s="15"/>
      <c r="E89" s="15"/>
      <c r="F89" s="15"/>
      <c r="G89" s="15"/>
      <c r="H89" s="15"/>
      <c r="I89" s="15"/>
      <c r="J89" s="15"/>
      <c r="K89" s="15"/>
      <c r="L89" s="15"/>
      <c r="M89" s="15"/>
      <c r="P89" s="15"/>
      <c r="Q89" s="15"/>
      <c r="R89" s="72" t="s">
        <v>660</v>
      </c>
      <c r="S89" s="72" t="s">
        <v>661</v>
      </c>
      <c r="T89" s="15"/>
      <c r="U89" s="15"/>
      <c r="V89" s="15"/>
      <c r="W89" s="15" t="s">
        <v>676</v>
      </c>
      <c r="X89" s="15">
        <v>62.71</v>
      </c>
      <c r="Y89" s="15"/>
      <c r="Z89" s="15"/>
      <c r="AA89" s="15"/>
      <c r="AB89" s="15"/>
      <c r="AC89" s="15"/>
    </row>
    <row r="90" spans="1:36" ht="23.25">
      <c r="A90" s="15"/>
      <c r="B90" s="15"/>
      <c r="C90" s="15"/>
      <c r="D90" s="15"/>
      <c r="E90" s="15"/>
      <c r="F90" s="15"/>
      <c r="G90" s="15"/>
      <c r="H90" s="15"/>
      <c r="I90" s="15"/>
      <c r="J90" s="15"/>
      <c r="K90" s="15"/>
      <c r="L90" s="15"/>
      <c r="M90" s="15"/>
      <c r="N90" s="15"/>
      <c r="O90" s="15"/>
      <c r="P90" s="15"/>
      <c r="Q90" s="15"/>
      <c r="R90" s="72"/>
      <c r="S90" s="72" t="s">
        <v>662</v>
      </c>
      <c r="T90" s="15"/>
      <c r="U90" s="15"/>
      <c r="V90" s="15"/>
      <c r="W90" s="15"/>
    </row>
    <row r="91" spans="1:36" ht="44.25">
      <c r="A91" s="76" t="s">
        <v>500</v>
      </c>
      <c r="B91" s="15"/>
      <c r="C91" s="15"/>
      <c r="D91" s="15"/>
      <c r="E91" s="15"/>
      <c r="H91" s="15" t="s">
        <v>496</v>
      </c>
      <c r="I91" s="15">
        <v>4.3120000000000003</v>
      </c>
      <c r="J91" s="15" t="s">
        <v>471</v>
      </c>
      <c r="K91" s="15">
        <v>20.7</v>
      </c>
      <c r="L91" s="15" t="s">
        <v>631</v>
      </c>
      <c r="M91" s="15">
        <f>K91+I91</f>
        <v>25.012</v>
      </c>
      <c r="O91" s="15"/>
      <c r="P91" s="109"/>
      <c r="Q91" s="109" t="s">
        <v>639</v>
      </c>
      <c r="R91" s="109"/>
      <c r="T91" s="15"/>
      <c r="U91" s="85" t="s">
        <v>503</v>
      </c>
      <c r="V91" s="15"/>
      <c r="W91" s="85" t="s">
        <v>674</v>
      </c>
      <c r="X91" s="162" t="s">
        <v>675</v>
      </c>
      <c r="Y91" s="162" t="s">
        <v>668</v>
      </c>
      <c r="Z91" s="162" t="s">
        <v>669</v>
      </c>
      <c r="AA91" s="163"/>
    </row>
    <row r="92" spans="1:36" ht="19.5" thickBot="1">
      <c r="A92" s="131" t="s">
        <v>36</v>
      </c>
      <c r="B92" s="132" t="s">
        <v>475</v>
      </c>
      <c r="C92" s="132" t="s">
        <v>46</v>
      </c>
      <c r="D92" s="132" t="s">
        <v>47</v>
      </c>
      <c r="E92" s="132" t="s">
        <v>53</v>
      </c>
      <c r="F92" s="132" t="s">
        <v>482</v>
      </c>
      <c r="G92" s="132" t="s">
        <v>483</v>
      </c>
      <c r="H92" s="132" t="s">
        <v>484</v>
      </c>
      <c r="I92" s="133" t="s">
        <v>638</v>
      </c>
      <c r="J92" s="132" t="s">
        <v>637</v>
      </c>
      <c r="K92" s="132" t="s">
        <v>497</v>
      </c>
      <c r="L92" s="132" t="s">
        <v>485</v>
      </c>
      <c r="M92" s="132" t="s">
        <v>498</v>
      </c>
      <c r="N92" s="134" t="s">
        <v>25</v>
      </c>
      <c r="P92" s="135" t="s">
        <v>46</v>
      </c>
      <c r="Q92" s="135" t="s">
        <v>47</v>
      </c>
      <c r="R92" s="135" t="s">
        <v>505</v>
      </c>
      <c r="S92" s="136" t="s">
        <v>484</v>
      </c>
      <c r="T92" s="136" t="s">
        <v>485</v>
      </c>
      <c r="U92" s="136" t="s">
        <v>640</v>
      </c>
      <c r="V92" s="136" t="s">
        <v>653</v>
      </c>
      <c r="W92" s="136" t="s">
        <v>469</v>
      </c>
      <c r="X92" s="136" t="s">
        <v>666</v>
      </c>
      <c r="Y92" s="136" t="s">
        <v>681</v>
      </c>
      <c r="Z92" s="136" t="s">
        <v>680</v>
      </c>
      <c r="AB92" s="151" t="s">
        <v>46</v>
      </c>
      <c r="AC92" s="152" t="s">
        <v>47</v>
      </c>
      <c r="AD92" s="159" t="s">
        <v>681</v>
      </c>
    </row>
    <row r="93" spans="1:36" ht="19.5" thickTop="1">
      <c r="A93" s="79">
        <v>2021</v>
      </c>
      <c r="B93" s="80">
        <v>293</v>
      </c>
      <c r="C93" s="80">
        <v>1</v>
      </c>
      <c r="D93" s="80">
        <v>1</v>
      </c>
      <c r="E93" s="81" t="s">
        <v>54</v>
      </c>
      <c r="F93" s="80">
        <v>7</v>
      </c>
      <c r="G93" s="80">
        <v>7</v>
      </c>
      <c r="H93" s="80">
        <v>1654.1</v>
      </c>
      <c r="I93" s="83">
        <f>H93-20.7</f>
        <v>1633.3999999999999</v>
      </c>
      <c r="J93" s="80">
        <v>132.76599999999999</v>
      </c>
      <c r="K93" s="80">
        <f>J93-25.012</f>
        <v>107.75399999999999</v>
      </c>
      <c r="L93" s="80">
        <v>1268</v>
      </c>
      <c r="M93" s="80">
        <f>L93-K93</f>
        <v>1160.2460000000001</v>
      </c>
      <c r="N93" s="82"/>
      <c r="P93" s="84">
        <v>1</v>
      </c>
      <c r="Q93" s="84">
        <v>1</v>
      </c>
      <c r="R93" s="107" t="s">
        <v>515</v>
      </c>
      <c r="S93" s="84">
        <f>(I93+I94)/2</f>
        <v>1567.05</v>
      </c>
      <c r="T93" s="84">
        <f>(M93+M94)/2</f>
        <v>1114.3420000000001</v>
      </c>
      <c r="U93" s="84">
        <f>Table9[[#This Row],[Wet Cob Weight (g) ]]-Table9[[#This Row],[Dried Grain Weight (g) ]]</f>
        <v>452.70799999999986</v>
      </c>
      <c r="V93" s="84">
        <f>(Table9[[#This Row],[Moisture Loss (g) ]]/Table9[[#This Row],[Wet Cob Weight (g) ]])*100</f>
        <v>28.889186688363477</v>
      </c>
      <c r="W93" s="84">
        <f>Table9[[#This Row],[Dried Grain Weight (g) ]]*(10000/1000)</f>
        <v>11143.420000000002</v>
      </c>
      <c r="X93" s="84">
        <f>Table9[[#This Row],[Yield (kg/ha)]]*1.155</f>
        <v>12870.650100000003</v>
      </c>
      <c r="Y93" s="150">
        <f>Table9[[#This Row],[Yield (kg/ha)]]/1000</f>
        <v>11.143420000000003</v>
      </c>
      <c r="Z93" s="150">
        <f>Table9[[#This Row],[Yield (tons/ha)]]*1.15</f>
        <v>12.814933000000002</v>
      </c>
      <c r="AB93" s="153">
        <v>1</v>
      </c>
      <c r="AC93" s="154">
        <v>1</v>
      </c>
      <c r="AD93" s="188">
        <v>12.814933000000002</v>
      </c>
      <c r="AG93" s="161" t="s">
        <v>66</v>
      </c>
      <c r="AH93" s="87" t="s">
        <v>704</v>
      </c>
      <c r="AI93" s="161" t="s">
        <v>682</v>
      </c>
      <c r="AJ93" s="172" t="s">
        <v>679</v>
      </c>
    </row>
    <row r="94" spans="1:36">
      <c r="A94" s="79">
        <v>2021</v>
      </c>
      <c r="B94" s="80">
        <v>293</v>
      </c>
      <c r="C94" s="80">
        <v>1</v>
      </c>
      <c r="D94" s="80">
        <v>1</v>
      </c>
      <c r="E94" s="80" t="s">
        <v>55</v>
      </c>
      <c r="F94" s="80">
        <v>7</v>
      </c>
      <c r="G94" s="80">
        <v>7</v>
      </c>
      <c r="H94" s="80">
        <v>1521.4</v>
      </c>
      <c r="I94" s="83">
        <f t="shared" ref="I94:I157" si="3">H94-20.7</f>
        <v>1500.7</v>
      </c>
      <c r="J94" s="80">
        <v>125.374</v>
      </c>
      <c r="K94" s="80">
        <f t="shared" ref="K94:K157" si="4">J94-25.012</f>
        <v>100.36199999999999</v>
      </c>
      <c r="L94" s="80">
        <v>1168.8</v>
      </c>
      <c r="M94" s="80">
        <f t="shared" ref="M94:M157" si="5">L94-K94</f>
        <v>1068.4379999999999</v>
      </c>
      <c r="N94" s="82"/>
      <c r="P94" s="84">
        <v>1</v>
      </c>
      <c r="Q94" s="84">
        <v>2</v>
      </c>
      <c r="R94" s="107" t="s">
        <v>516</v>
      </c>
      <c r="S94" s="84">
        <f>(I95+I96)/2</f>
        <v>1359.5</v>
      </c>
      <c r="T94" s="84">
        <f>(M95+M96)/2</f>
        <v>973.51350000000002</v>
      </c>
      <c r="U94" s="84">
        <f>Table9[[#This Row],[Wet Cob Weight (g) ]]-Table9[[#This Row],[Dried Grain Weight (g) ]]</f>
        <v>385.98649999999998</v>
      </c>
      <c r="V94" s="84">
        <f>(Table9[[#This Row],[Moisture Loss (g) ]]/Table9[[#This Row],[Wet Cob Weight (g) ]])*100</f>
        <v>28.391798455314454</v>
      </c>
      <c r="W94" s="84">
        <f>Table9[[#This Row],[Dried Grain Weight (g) ]]*(10000/1000)</f>
        <v>9735.1350000000002</v>
      </c>
      <c r="X94" s="84">
        <f>Table9[[#This Row],[Yield (kg/ha)]]*1.155</f>
        <v>11244.080925</v>
      </c>
      <c r="Y94" s="150">
        <f>Table9[[#This Row],[Yield (kg/ha)]]/1000</f>
        <v>9.7351349999999996</v>
      </c>
      <c r="Z94" s="150">
        <f>Table9[[#This Row],[Yield (tons/ha)]]*1.15</f>
        <v>11.195405249999999</v>
      </c>
      <c r="AB94" s="153">
        <v>1</v>
      </c>
      <c r="AC94" s="154">
        <v>2</v>
      </c>
      <c r="AD94" s="188">
        <v>11.195405249999999</v>
      </c>
      <c r="AG94" s="84">
        <v>1</v>
      </c>
      <c r="AH94" s="84" t="s">
        <v>693</v>
      </c>
      <c r="AI94" s="84">
        <f>AVERAGE(AD93:AD101)</f>
        <v>12.451843500000001</v>
      </c>
      <c r="AJ94" s="84">
        <f>STDEV(AD93:AD101)</f>
        <v>0.86574237246119257</v>
      </c>
    </row>
    <row r="95" spans="1:36">
      <c r="A95" s="79">
        <v>2021</v>
      </c>
      <c r="B95" s="80">
        <v>293</v>
      </c>
      <c r="C95" s="80">
        <v>1</v>
      </c>
      <c r="D95" s="80">
        <v>2</v>
      </c>
      <c r="E95" s="80" t="s">
        <v>54</v>
      </c>
      <c r="F95" s="80">
        <v>6</v>
      </c>
      <c r="G95" s="80">
        <v>6</v>
      </c>
      <c r="H95" s="80">
        <v>1505.2</v>
      </c>
      <c r="I95" s="80">
        <f t="shared" si="3"/>
        <v>1484.5</v>
      </c>
      <c r="J95" s="80">
        <v>125.18899999999999</v>
      </c>
      <c r="K95" s="80">
        <f t="shared" si="4"/>
        <v>100.17699999999999</v>
      </c>
      <c r="L95" s="80">
        <v>1160.5</v>
      </c>
      <c r="M95" s="80">
        <f t="shared" si="5"/>
        <v>1060.3230000000001</v>
      </c>
      <c r="N95" s="82"/>
      <c r="P95" s="84">
        <v>1</v>
      </c>
      <c r="Q95" s="84">
        <v>3</v>
      </c>
      <c r="R95" s="107" t="s">
        <v>517</v>
      </c>
      <c r="S95" s="84">
        <f>(I97+I98)/2</f>
        <v>1552.5</v>
      </c>
      <c r="T95" s="84">
        <f>(M97+M98)/2</f>
        <v>1101.4849999999999</v>
      </c>
      <c r="U95" s="84">
        <f>Table9[[#This Row],[Wet Cob Weight (g) ]]-Table9[[#This Row],[Dried Grain Weight (g) ]]</f>
        <v>451.0150000000001</v>
      </c>
      <c r="V95" s="84">
        <f>(Table9[[#This Row],[Moisture Loss (g) ]]/Table9[[#This Row],[Wet Cob Weight (g) ]])*100</f>
        <v>29.050885668276976</v>
      </c>
      <c r="W95" s="84">
        <f>Table9[[#This Row],[Dried Grain Weight (g) ]]*(10000/1000)</f>
        <v>11014.849999999999</v>
      </c>
      <c r="X95" s="84">
        <f>Table9[[#This Row],[Yield (kg/ha)]]*1.155</f>
        <v>12722.151749999999</v>
      </c>
      <c r="Y95" s="150">
        <f>Table9[[#This Row],[Yield (kg/ha)]]/1000</f>
        <v>11.014849999999999</v>
      </c>
      <c r="Z95" s="150">
        <f>Table9[[#This Row],[Yield (tons/ha)]]*1.15</f>
        <v>12.667077499999998</v>
      </c>
      <c r="AB95" s="153">
        <v>1</v>
      </c>
      <c r="AC95" s="154">
        <v>3</v>
      </c>
      <c r="AD95" s="188">
        <v>12.667077499999998</v>
      </c>
      <c r="AG95" s="143" t="s">
        <v>670</v>
      </c>
      <c r="AH95" s="84" t="s">
        <v>689</v>
      </c>
      <c r="AI95" s="143">
        <f>AVERAGE(AD102:AD104)</f>
        <v>10.336426166666666</v>
      </c>
      <c r="AJ95" s="143">
        <f>STDEV(AD102:AD104)</f>
        <v>2.021518568249276</v>
      </c>
    </row>
    <row r="96" spans="1:36">
      <c r="A96" s="79">
        <v>2021</v>
      </c>
      <c r="B96" s="80">
        <v>293</v>
      </c>
      <c r="C96" s="80">
        <v>1</v>
      </c>
      <c r="D96" s="80">
        <v>2</v>
      </c>
      <c r="E96" s="80" t="s">
        <v>55</v>
      </c>
      <c r="F96" s="80">
        <v>5</v>
      </c>
      <c r="G96" s="80">
        <v>5</v>
      </c>
      <c r="H96" s="80">
        <v>1255.2</v>
      </c>
      <c r="I96" s="83">
        <f t="shared" si="3"/>
        <v>1234.5</v>
      </c>
      <c r="J96" s="80">
        <v>107.408</v>
      </c>
      <c r="K96" s="80">
        <f t="shared" si="4"/>
        <v>82.396000000000001</v>
      </c>
      <c r="L96" s="80">
        <v>969.1</v>
      </c>
      <c r="M96" s="80">
        <f t="shared" si="5"/>
        <v>886.70400000000006</v>
      </c>
      <c r="N96" s="82" t="s">
        <v>486</v>
      </c>
      <c r="P96" s="84">
        <v>1</v>
      </c>
      <c r="Q96" s="84">
        <v>4</v>
      </c>
      <c r="R96" s="107" t="s">
        <v>518</v>
      </c>
      <c r="S96" s="84">
        <f>(I99+I100)/2</f>
        <v>1605.6999999999998</v>
      </c>
      <c r="T96" s="84">
        <f>(M99+M100)/2</f>
        <v>1153.0135</v>
      </c>
      <c r="U96" s="84">
        <f>Table9[[#This Row],[Wet Cob Weight (g) ]]-Table9[[#This Row],[Dried Grain Weight (g) ]]</f>
        <v>452.6864999999998</v>
      </c>
      <c r="V96" s="84">
        <f>(Table9[[#This Row],[Moisture Loss (g) ]]/Table9[[#This Row],[Wet Cob Weight (g) ]])*100</f>
        <v>28.192470573581609</v>
      </c>
      <c r="W96" s="84">
        <f>Table9[[#This Row],[Dried Grain Weight (g) ]]*(10000/1000)</f>
        <v>11530.135</v>
      </c>
      <c r="X96" s="84">
        <f>Table9[[#This Row],[Yield (kg/ha)]]*1.155</f>
        <v>13317.305925000001</v>
      </c>
      <c r="Y96" s="150">
        <f>Table9[[#This Row],[Yield (kg/ha)]]/1000</f>
        <v>11.530135</v>
      </c>
      <c r="Z96" s="150">
        <f>Table9[[#This Row],[Yield (tons/ha)]]*1.15</f>
        <v>13.259655249999998</v>
      </c>
      <c r="AB96" s="153">
        <v>1</v>
      </c>
      <c r="AC96" s="154">
        <v>4</v>
      </c>
      <c r="AD96" s="188">
        <v>13.259655249999998</v>
      </c>
      <c r="AG96" s="84">
        <v>2</v>
      </c>
      <c r="AH96" s="84" t="s">
        <v>690</v>
      </c>
      <c r="AI96" s="84">
        <f>AVERAGE(AD105:AD113)</f>
        <v>12.608048638888887</v>
      </c>
      <c r="AJ96" s="84">
        <f>STDEV(AD105:AD113)</f>
        <v>0.32573487631016507</v>
      </c>
    </row>
    <row r="97" spans="1:37">
      <c r="A97" s="79">
        <v>2021</v>
      </c>
      <c r="B97" s="80">
        <v>293</v>
      </c>
      <c r="C97" s="80">
        <v>1</v>
      </c>
      <c r="D97" s="80">
        <v>3</v>
      </c>
      <c r="E97" s="81" t="s">
        <v>54</v>
      </c>
      <c r="F97" s="80">
        <v>7</v>
      </c>
      <c r="G97" s="80">
        <v>7</v>
      </c>
      <c r="H97" s="80">
        <v>1605.6</v>
      </c>
      <c r="I97" s="83">
        <f t="shared" si="3"/>
        <v>1584.8999999999999</v>
      </c>
      <c r="J97" s="80">
        <v>128.43100000000001</v>
      </c>
      <c r="K97" s="80">
        <f t="shared" si="4"/>
        <v>103.41900000000001</v>
      </c>
      <c r="L97" s="80">
        <v>1212.3</v>
      </c>
      <c r="M97" s="80">
        <f t="shared" si="5"/>
        <v>1108.8809999999999</v>
      </c>
      <c r="N97" s="82"/>
      <c r="P97" s="84">
        <v>1</v>
      </c>
      <c r="Q97" s="84">
        <v>5</v>
      </c>
      <c r="R97" s="107" t="s">
        <v>519</v>
      </c>
      <c r="S97" s="84">
        <f>(I101+I102)/2</f>
        <v>1616.3</v>
      </c>
      <c r="T97" s="84">
        <f>(M101+M102)/2</f>
        <v>1129.625</v>
      </c>
      <c r="U97" s="84">
        <f>Table9[[#This Row],[Wet Cob Weight (g) ]]-Table9[[#This Row],[Dried Grain Weight (g) ]]</f>
        <v>486.67499999999995</v>
      </c>
      <c r="V97" s="84">
        <f>(Table9[[#This Row],[Moisture Loss (g) ]]/Table9[[#This Row],[Wet Cob Weight (g) ]])*100</f>
        <v>30.110437418796014</v>
      </c>
      <c r="W97" s="84">
        <f>Table9[[#This Row],[Dried Grain Weight (g) ]]*(10000/1000)</f>
        <v>11296.25</v>
      </c>
      <c r="X97" s="84">
        <f>Table9[[#This Row],[Yield (kg/ha)]]*1.155</f>
        <v>13047.168750000001</v>
      </c>
      <c r="Y97" s="150">
        <f>Table9[[#This Row],[Yield (kg/ha)]]/1000</f>
        <v>11.296250000000001</v>
      </c>
      <c r="Z97" s="150">
        <f>Table9[[#This Row],[Yield (tons/ha)]]*1.15</f>
        <v>12.9906875</v>
      </c>
      <c r="AB97" s="153">
        <v>1</v>
      </c>
      <c r="AC97" s="154">
        <v>5</v>
      </c>
      <c r="AD97" s="188">
        <v>12.9906875</v>
      </c>
      <c r="AG97" s="143" t="s">
        <v>671</v>
      </c>
      <c r="AH97" s="84" t="s">
        <v>691</v>
      </c>
      <c r="AI97" s="143">
        <f>AVERAGE(AD114:AD116)</f>
        <v>9.1285428333333325</v>
      </c>
      <c r="AJ97" s="143">
        <f>STDEV(AD114:AD116)</f>
        <v>1.7462709769770335</v>
      </c>
    </row>
    <row r="98" spans="1:37">
      <c r="A98" s="79">
        <v>2021</v>
      </c>
      <c r="B98" s="80">
        <v>293</v>
      </c>
      <c r="C98" s="80">
        <v>1</v>
      </c>
      <c r="D98" s="80">
        <v>3</v>
      </c>
      <c r="E98" s="80" t="s">
        <v>55</v>
      </c>
      <c r="F98" s="80">
        <v>7</v>
      </c>
      <c r="G98" s="80">
        <v>7</v>
      </c>
      <c r="H98" s="80">
        <v>1540.8</v>
      </c>
      <c r="I98" s="80">
        <f t="shared" si="3"/>
        <v>1520.1</v>
      </c>
      <c r="J98" s="80">
        <v>127.923</v>
      </c>
      <c r="K98" s="80">
        <f t="shared" si="4"/>
        <v>102.911</v>
      </c>
      <c r="L98" s="80">
        <v>1197</v>
      </c>
      <c r="M98" s="80">
        <f t="shared" si="5"/>
        <v>1094.0889999999999</v>
      </c>
      <c r="N98" s="82" t="s">
        <v>486</v>
      </c>
      <c r="P98" s="84">
        <v>1</v>
      </c>
      <c r="Q98" s="84">
        <v>6</v>
      </c>
      <c r="R98" s="107" t="s">
        <v>520</v>
      </c>
      <c r="S98" s="84">
        <f>(I103+I104)/2</f>
        <v>1545.85</v>
      </c>
      <c r="T98" s="84">
        <f>(M103+M104)/2</f>
        <v>1106.1599999999999</v>
      </c>
      <c r="U98" s="84">
        <f>Table9[[#This Row],[Wet Cob Weight (g) ]]-Table9[[#This Row],[Dried Grain Weight (g) ]]</f>
        <v>439.69000000000005</v>
      </c>
      <c r="V98" s="84">
        <f>(Table9[[#This Row],[Moisture Loss (g) ]]/Table9[[#This Row],[Wet Cob Weight (g) ]])*100</f>
        <v>28.443251285700427</v>
      </c>
      <c r="W98" s="84">
        <f>Table9[[#This Row],[Dried Grain Weight (g) ]]*(10000/1000)</f>
        <v>11061.599999999999</v>
      </c>
      <c r="X98" s="84">
        <f>Table9[[#This Row],[Yield (kg/ha)]]*1.155</f>
        <v>12776.147999999999</v>
      </c>
      <c r="Y98" s="150">
        <f>Table9[[#This Row],[Yield (kg/ha)]]/1000</f>
        <v>11.061599999999999</v>
      </c>
      <c r="Z98" s="150">
        <f>Table9[[#This Row],[Yield (tons/ha)]]*1.15</f>
        <v>12.720839999999997</v>
      </c>
      <c r="AB98" s="153">
        <v>1</v>
      </c>
      <c r="AC98" s="154">
        <v>6</v>
      </c>
      <c r="AD98" s="188">
        <v>12.720839999999997</v>
      </c>
      <c r="AG98" s="84">
        <v>3</v>
      </c>
      <c r="AH98" s="84" t="s">
        <v>685</v>
      </c>
      <c r="AI98" s="84">
        <f>AVERAGE(AD117:AD125)</f>
        <v>12.015440861111109</v>
      </c>
      <c r="AJ98" s="84">
        <f>STDEV(AD117:AD125)</f>
        <v>0.63525375764668757</v>
      </c>
    </row>
    <row r="99" spans="1:37">
      <c r="A99" s="79">
        <v>2021</v>
      </c>
      <c r="B99" s="80">
        <v>293</v>
      </c>
      <c r="C99" s="80">
        <v>1</v>
      </c>
      <c r="D99" s="80">
        <v>4</v>
      </c>
      <c r="E99" s="80" t="s">
        <v>54</v>
      </c>
      <c r="F99" s="80">
        <v>8</v>
      </c>
      <c r="G99" s="80">
        <v>7</v>
      </c>
      <c r="H99" s="80">
        <v>1773</v>
      </c>
      <c r="I99" s="111">
        <f t="shared" si="3"/>
        <v>1752.3</v>
      </c>
      <c r="J99" s="80">
        <v>126.587</v>
      </c>
      <c r="K99" s="80">
        <f t="shared" si="4"/>
        <v>101.575</v>
      </c>
      <c r="L99" s="80">
        <v>1360</v>
      </c>
      <c r="M99" s="80">
        <f t="shared" si="5"/>
        <v>1258.425</v>
      </c>
      <c r="N99" s="82"/>
      <c r="P99" s="84">
        <v>1</v>
      </c>
      <c r="Q99" s="84">
        <v>7</v>
      </c>
      <c r="R99" s="107" t="s">
        <v>521</v>
      </c>
      <c r="S99" s="84">
        <f>(I105+I106)/2</f>
        <v>1639.6999999999998</v>
      </c>
      <c r="T99" s="84">
        <f>(M105+M106)/2</f>
        <v>1172.5160000000001</v>
      </c>
      <c r="U99" s="84">
        <f>Table9[[#This Row],[Wet Cob Weight (g) ]]-Table9[[#This Row],[Dried Grain Weight (g) ]]</f>
        <v>467.18399999999974</v>
      </c>
      <c r="V99" s="84">
        <f>(Table9[[#This Row],[Moisture Loss (g) ]]/Table9[[#This Row],[Wet Cob Weight (g) ]])*100</f>
        <v>28.492041227053715</v>
      </c>
      <c r="W99" s="84">
        <f>Table9[[#This Row],[Dried Grain Weight (g) ]]*(10000/1000)</f>
        <v>11725.16</v>
      </c>
      <c r="X99" s="84">
        <f>Table9[[#This Row],[Yield (kg/ha)]]*1.155</f>
        <v>13542.559800000001</v>
      </c>
      <c r="Y99" s="150">
        <f>Table9[[#This Row],[Yield (kg/ha)]]/1000</f>
        <v>11.725160000000001</v>
      </c>
      <c r="Z99" s="150">
        <f>Table9[[#This Row],[Yield (tons/ha)]]*1.15</f>
        <v>13.483934</v>
      </c>
      <c r="AB99" s="153">
        <v>1</v>
      </c>
      <c r="AC99" s="154">
        <v>7</v>
      </c>
      <c r="AD99" s="188">
        <v>13.483934</v>
      </c>
      <c r="AG99" s="143" t="s">
        <v>672</v>
      </c>
      <c r="AH99" s="84" t="s">
        <v>686</v>
      </c>
      <c r="AI99" s="143">
        <f>AVERAGE(AD126:AD128)</f>
        <v>5.8722028333333327</v>
      </c>
      <c r="AJ99" s="143">
        <f>STDEV(AD126:AD128)</f>
        <v>0.49647779706557144</v>
      </c>
    </row>
    <row r="100" spans="1:37">
      <c r="A100" s="79">
        <v>2021</v>
      </c>
      <c r="B100" s="80">
        <v>293</v>
      </c>
      <c r="C100" s="80">
        <v>1</v>
      </c>
      <c r="D100" s="80">
        <v>4</v>
      </c>
      <c r="E100" s="80" t="s">
        <v>55</v>
      </c>
      <c r="F100" s="80">
        <v>7</v>
      </c>
      <c r="G100" s="80">
        <v>7</v>
      </c>
      <c r="H100" s="80">
        <v>1479.8</v>
      </c>
      <c r="I100" s="80">
        <f t="shared" si="3"/>
        <v>1459.1</v>
      </c>
      <c r="J100" s="80">
        <v>117.61</v>
      </c>
      <c r="K100" s="80">
        <f t="shared" si="4"/>
        <v>92.597999999999999</v>
      </c>
      <c r="L100" s="80">
        <v>1140.2</v>
      </c>
      <c r="M100" s="80">
        <f t="shared" si="5"/>
        <v>1047.6020000000001</v>
      </c>
      <c r="N100" s="82"/>
      <c r="P100" s="84">
        <v>1</v>
      </c>
      <c r="Q100" s="84">
        <v>8</v>
      </c>
      <c r="R100" s="107" t="s">
        <v>522</v>
      </c>
      <c r="S100" s="84">
        <f>(I107+I108)/2</f>
        <v>1434.45</v>
      </c>
      <c r="T100" s="84">
        <f>(M107+M108)/2</f>
        <v>1025.913</v>
      </c>
      <c r="U100" s="84">
        <f>Table9[[#This Row],[Wet Cob Weight (g) ]]-Table9[[#This Row],[Dried Grain Weight (g) ]]</f>
        <v>408.53700000000003</v>
      </c>
      <c r="V100" s="84">
        <f>(Table9[[#This Row],[Moisture Loss (g) ]]/Table9[[#This Row],[Wet Cob Weight (g) ]])*100</f>
        <v>28.480393182055842</v>
      </c>
      <c r="W100" s="84">
        <f>Table9[[#This Row],[Dried Grain Weight (g) ]]*(10000/1000)</f>
        <v>10259.130000000001</v>
      </c>
      <c r="X100" s="84">
        <f>Table9[[#This Row],[Yield (kg/ha)]]*1.155</f>
        <v>11849.295150000002</v>
      </c>
      <c r="Y100" s="150">
        <f>Table9[[#This Row],[Yield (kg/ha)]]/1000</f>
        <v>10.259130000000001</v>
      </c>
      <c r="Z100" s="150">
        <f>Table9[[#This Row],[Yield (tons/ha)]]*1.15</f>
        <v>11.7979995</v>
      </c>
      <c r="AB100" s="153">
        <v>1</v>
      </c>
      <c r="AC100" s="154">
        <v>8</v>
      </c>
      <c r="AD100" s="188">
        <v>11.7979995</v>
      </c>
      <c r="AG100" s="84">
        <v>4</v>
      </c>
      <c r="AH100" s="84" t="s">
        <v>687</v>
      </c>
      <c r="AI100" s="84">
        <f>AVERAGE(AD129:AD137)</f>
        <v>12.724999805555555</v>
      </c>
      <c r="AJ100" s="84">
        <f>STDEV(AD129:AD137)</f>
        <v>1.3319416520492133</v>
      </c>
    </row>
    <row r="101" spans="1:37">
      <c r="A101" s="79">
        <v>2021</v>
      </c>
      <c r="B101" s="80">
        <v>293</v>
      </c>
      <c r="C101" s="80">
        <v>1</v>
      </c>
      <c r="D101" s="80">
        <v>5</v>
      </c>
      <c r="E101" s="81" t="s">
        <v>54</v>
      </c>
      <c r="F101" s="80">
        <v>7</v>
      </c>
      <c r="G101" s="80">
        <v>8</v>
      </c>
      <c r="H101" s="80">
        <v>1595.1</v>
      </c>
      <c r="I101" s="110">
        <f t="shared" si="3"/>
        <v>1574.3999999999999</v>
      </c>
      <c r="J101" s="80">
        <v>134.053</v>
      </c>
      <c r="K101" s="80">
        <f t="shared" si="4"/>
        <v>109.041</v>
      </c>
      <c r="L101" s="80">
        <v>1226.5</v>
      </c>
      <c r="M101" s="80">
        <f t="shared" si="5"/>
        <v>1117.4590000000001</v>
      </c>
      <c r="N101" s="82"/>
      <c r="P101" s="84">
        <v>1</v>
      </c>
      <c r="Q101" s="84">
        <v>9</v>
      </c>
      <c r="R101" s="107" t="s">
        <v>523</v>
      </c>
      <c r="S101" s="149">
        <f>(I109+I110)/2</f>
        <v>1337.25</v>
      </c>
      <c r="T101" s="84">
        <f>(M109+M110)/2</f>
        <v>968.35300000000007</v>
      </c>
      <c r="U101" s="84">
        <f>Table9[[#This Row],[Wet Cob Weight (g) ]]-Table9[[#This Row],[Dried Grain Weight (g) ]]</f>
        <v>368.89699999999993</v>
      </c>
      <c r="V101" s="84">
        <f>(Table9[[#This Row],[Moisture Loss (g) ]]/Table9[[#This Row],[Wet Cob Weight (g) ]])*100</f>
        <v>27.586240418769858</v>
      </c>
      <c r="W101" s="84">
        <f>Table9[[#This Row],[Dried Grain Weight (g) ]]*(10000/1000)</f>
        <v>9683.5300000000007</v>
      </c>
      <c r="X101" s="84">
        <f>Table9[[#This Row],[Yield (kg/ha)]]*1.155</f>
        <v>11184.477150000001</v>
      </c>
      <c r="Y101" s="150">
        <f>Table9[[#This Row],[Yield (kg/ha)]]/1000</f>
        <v>9.6835300000000011</v>
      </c>
      <c r="Z101" s="150">
        <f>Table9[[#This Row],[Yield (tons/ha)]]*1.15</f>
        <v>11.1360595</v>
      </c>
      <c r="AB101" s="153">
        <v>1</v>
      </c>
      <c r="AC101" s="154">
        <v>9</v>
      </c>
      <c r="AD101" s="188">
        <v>11.1360595</v>
      </c>
      <c r="AG101" s="143" t="s">
        <v>673</v>
      </c>
      <c r="AH101" s="84" t="s">
        <v>688</v>
      </c>
      <c r="AI101" s="143">
        <f>AVERAGE(AD138:AD140)</f>
        <v>8.9282051666666664</v>
      </c>
      <c r="AJ101" s="143">
        <f>STDEV(AD138:AD140)</f>
        <v>3.5631535797052494</v>
      </c>
    </row>
    <row r="102" spans="1:37">
      <c r="A102" s="79">
        <v>2021</v>
      </c>
      <c r="B102" s="80">
        <v>293</v>
      </c>
      <c r="C102" s="80">
        <v>1</v>
      </c>
      <c r="D102" s="80">
        <v>5</v>
      </c>
      <c r="E102" s="80" t="s">
        <v>55</v>
      </c>
      <c r="F102" s="80">
        <v>7</v>
      </c>
      <c r="G102" s="80">
        <v>7</v>
      </c>
      <c r="H102" s="80">
        <v>1678.9</v>
      </c>
      <c r="I102" s="80">
        <f t="shared" si="3"/>
        <v>1658.2</v>
      </c>
      <c r="J102" s="80">
        <v>167.02099999999999</v>
      </c>
      <c r="K102" s="80">
        <f t="shared" si="4"/>
        <v>142.00899999999999</v>
      </c>
      <c r="L102" s="80">
        <v>1283.8</v>
      </c>
      <c r="M102" s="80">
        <f t="shared" si="5"/>
        <v>1141.7909999999999</v>
      </c>
      <c r="N102" s="82"/>
      <c r="P102" s="84">
        <v>2</v>
      </c>
      <c r="Q102" s="84">
        <v>1</v>
      </c>
      <c r="R102" s="107" t="s">
        <v>527</v>
      </c>
      <c r="S102" s="149">
        <f>(I114+I115)/2</f>
        <v>1496.5</v>
      </c>
      <c r="T102" s="84">
        <f>(M114+M115)/2</f>
        <v>1079.6524999999999</v>
      </c>
      <c r="U102" s="84">
        <f>Table9[[#This Row],[Wet Cob Weight (g) ]]-Table9[[#This Row],[Dried Grain Weight (g) ]]</f>
        <v>416.84750000000008</v>
      </c>
      <c r="V102" s="84">
        <f>(Table9[[#This Row],[Moisture Loss (g) ]]/Table9[[#This Row],[Wet Cob Weight (g) ]])*100</f>
        <v>27.854827931840969</v>
      </c>
      <c r="W102" s="84">
        <f>Table9[[#This Row],[Dried Grain Weight (g) ]]*(10000/1000)</f>
        <v>10796.525</v>
      </c>
      <c r="X102" s="84">
        <f>Table9[[#This Row],[Yield (kg/ha)]]*1.155</f>
        <v>12469.986375</v>
      </c>
      <c r="Y102" s="150">
        <f>Table9[[#This Row],[Yield (kg/ha)]]/1000</f>
        <v>10.796524999999999</v>
      </c>
      <c r="Z102" s="150">
        <f>Table9[[#This Row],[Yield (tons/ha)]]*1.15</f>
        <v>12.416003749999998</v>
      </c>
      <c r="AB102" s="155">
        <v>1</v>
      </c>
      <c r="AC102" s="156">
        <v>11</v>
      </c>
      <c r="AD102" s="156">
        <v>8.9678149999999999</v>
      </c>
    </row>
    <row r="103" spans="1:37">
      <c r="A103" s="79">
        <v>2021</v>
      </c>
      <c r="B103" s="80">
        <v>293</v>
      </c>
      <c r="C103" s="80">
        <v>1</v>
      </c>
      <c r="D103" s="80">
        <v>6</v>
      </c>
      <c r="E103" s="80" t="s">
        <v>54</v>
      </c>
      <c r="F103" s="80">
        <v>7</v>
      </c>
      <c r="G103" s="80">
        <v>7</v>
      </c>
      <c r="H103" s="80">
        <v>1713.9</v>
      </c>
      <c r="I103" s="111">
        <f t="shared" si="3"/>
        <v>1693.2</v>
      </c>
      <c r="J103" s="80">
        <v>139.816</v>
      </c>
      <c r="K103" s="80">
        <f t="shared" si="4"/>
        <v>114.804</v>
      </c>
      <c r="L103" s="80">
        <v>1326.5</v>
      </c>
      <c r="M103" s="80">
        <f t="shared" si="5"/>
        <v>1211.6959999999999</v>
      </c>
      <c r="N103" s="82" t="s">
        <v>486</v>
      </c>
      <c r="P103" s="84">
        <v>2</v>
      </c>
      <c r="Q103" s="84">
        <v>2</v>
      </c>
      <c r="R103" s="107" t="s">
        <v>528</v>
      </c>
      <c r="S103" s="149">
        <f>(I116+I117)/2</f>
        <v>1578.1999999999998</v>
      </c>
      <c r="T103" s="84">
        <f>(M116+M117)/2</f>
        <v>1141.2655</v>
      </c>
      <c r="U103" s="84">
        <f>Table9[[#This Row],[Wet Cob Weight (g) ]]-Table9[[#This Row],[Dried Grain Weight (g) ]]</f>
        <v>436.93449999999984</v>
      </c>
      <c r="V103" s="84">
        <f>(Table9[[#This Row],[Moisture Loss (g) ]]/Table9[[#This Row],[Wet Cob Weight (g) ]])*100</f>
        <v>27.685622861487762</v>
      </c>
      <c r="W103" s="84">
        <f>Table9[[#This Row],[Dried Grain Weight (g) ]]*(10000/1000)</f>
        <v>11412.654999999999</v>
      </c>
      <c r="X103" s="84">
        <f>Table9[[#This Row],[Yield (kg/ha)]]*1.155</f>
        <v>13181.616524999999</v>
      </c>
      <c r="Y103" s="150">
        <f>Table9[[#This Row],[Yield (kg/ha)]]/1000</f>
        <v>11.412654999999999</v>
      </c>
      <c r="Z103" s="150">
        <f>Table9[[#This Row],[Yield (tons/ha)]]*1.15</f>
        <v>13.124553249999998</v>
      </c>
      <c r="AB103" s="155">
        <v>1</v>
      </c>
      <c r="AC103" s="156">
        <v>12</v>
      </c>
      <c r="AD103" s="156">
        <v>9.3831375000000001</v>
      </c>
    </row>
    <row r="104" spans="1:37">
      <c r="A104" s="79">
        <v>2021</v>
      </c>
      <c r="B104" s="80">
        <v>293</v>
      </c>
      <c r="C104" s="80">
        <v>1</v>
      </c>
      <c r="D104" s="80">
        <v>6</v>
      </c>
      <c r="E104" s="80" t="s">
        <v>55</v>
      </c>
      <c r="F104" s="80">
        <v>6</v>
      </c>
      <c r="G104" s="80">
        <v>6</v>
      </c>
      <c r="H104" s="80">
        <v>1419.2</v>
      </c>
      <c r="I104" s="80">
        <f t="shared" si="3"/>
        <v>1398.5</v>
      </c>
      <c r="J104" s="80">
        <v>127.88800000000001</v>
      </c>
      <c r="K104" s="80">
        <f t="shared" si="4"/>
        <v>102.876</v>
      </c>
      <c r="L104" s="80">
        <v>1103.5</v>
      </c>
      <c r="M104" s="80">
        <f t="shared" si="5"/>
        <v>1000.624</v>
      </c>
      <c r="N104" s="82"/>
      <c r="P104" s="84">
        <v>2</v>
      </c>
      <c r="Q104" s="84">
        <v>3</v>
      </c>
      <c r="R104" s="107" t="s">
        <v>529</v>
      </c>
      <c r="S104" s="84">
        <f>(I118+I119)/2</f>
        <v>1523.4499999999998</v>
      </c>
      <c r="T104" s="84">
        <f>(M118+M119)/2</f>
        <v>1105.8209999999999</v>
      </c>
      <c r="U104" s="84">
        <f>Table9[[#This Row],[Wet Cob Weight (g) ]]-Table9[[#This Row],[Dried Grain Weight (g) ]]</f>
        <v>417.62899999999991</v>
      </c>
      <c r="V104" s="84">
        <f>(Table9[[#This Row],[Moisture Loss (g) ]]/Table9[[#This Row],[Wet Cob Weight (g) ]])*100</f>
        <v>27.413370967212575</v>
      </c>
      <c r="W104" s="84">
        <f>Table9[[#This Row],[Dried Grain Weight (g) ]]*(10000/1000)</f>
        <v>11058.21</v>
      </c>
      <c r="X104" s="84">
        <f>Table9[[#This Row],[Yield (kg/ha)]]*1.155</f>
        <v>12772.232549999999</v>
      </c>
      <c r="Y104" s="150">
        <f>Table9[[#This Row],[Yield (kg/ha)]]/1000</f>
        <v>11.058209999999999</v>
      </c>
      <c r="Z104" s="150">
        <f>Table9[[#This Row],[Yield (tons/ha)]]*1.15</f>
        <v>12.716941499999997</v>
      </c>
      <c r="AB104" s="155">
        <v>1</v>
      </c>
      <c r="AC104" s="156">
        <v>13</v>
      </c>
      <c r="AD104" s="156">
        <v>12.658325999999999</v>
      </c>
    </row>
    <row r="105" spans="1:37">
      <c r="A105" s="79">
        <v>2021</v>
      </c>
      <c r="B105" s="80">
        <v>293</v>
      </c>
      <c r="C105" s="80">
        <v>1</v>
      </c>
      <c r="D105" s="80">
        <v>7</v>
      </c>
      <c r="E105" s="81" t="s">
        <v>54</v>
      </c>
      <c r="F105" s="80">
        <v>7</v>
      </c>
      <c r="G105" s="80">
        <v>7</v>
      </c>
      <c r="H105" s="80">
        <v>1583.3</v>
      </c>
      <c r="I105" s="83">
        <f t="shared" si="3"/>
        <v>1562.6</v>
      </c>
      <c r="J105" s="80">
        <v>131.17400000000001</v>
      </c>
      <c r="K105" s="80">
        <f t="shared" si="4"/>
        <v>106.16200000000001</v>
      </c>
      <c r="L105" s="80">
        <v>1228.2</v>
      </c>
      <c r="M105" s="80">
        <f t="shared" si="5"/>
        <v>1122.038</v>
      </c>
      <c r="N105" s="82"/>
      <c r="P105" s="84">
        <v>2</v>
      </c>
      <c r="Q105" s="84">
        <v>4</v>
      </c>
      <c r="R105" s="107" t="s">
        <v>530</v>
      </c>
      <c r="S105" s="84">
        <f>(I120+H121)/2</f>
        <v>1548.25</v>
      </c>
      <c r="T105" s="84">
        <f>(M120+M121)/2</f>
        <v>1118.386</v>
      </c>
      <c r="U105" s="84">
        <f>Table9[[#This Row],[Wet Cob Weight (g) ]]-Table9[[#This Row],[Dried Grain Weight (g) ]]</f>
        <v>429.86400000000003</v>
      </c>
      <c r="V105" s="84">
        <f>(Table9[[#This Row],[Moisture Loss (g) ]]/Table9[[#This Row],[Wet Cob Weight (g) ]])*100</f>
        <v>27.76450831584047</v>
      </c>
      <c r="W105" s="84">
        <f>Table9[[#This Row],[Dried Grain Weight (g) ]]*(10000/1000)</f>
        <v>11183.86</v>
      </c>
      <c r="X105" s="150">
        <f>Table9[[#This Row],[Yield (kg/ha)]]*1.155</f>
        <v>12917.358300000002</v>
      </c>
      <c r="Y105" s="150">
        <f>Table9[[#This Row],[Yield (kg/ha)]]/1000</f>
        <v>11.183860000000001</v>
      </c>
      <c r="Z105" s="150">
        <f>Table9[[#This Row],[Yield (tons/ha)]]*1.15</f>
        <v>12.861439000000001</v>
      </c>
      <c r="AB105" s="153">
        <v>2</v>
      </c>
      <c r="AC105" s="154">
        <v>1</v>
      </c>
      <c r="AD105" s="160">
        <v>12.416003749999998</v>
      </c>
      <c r="AG105" s="87" t="s">
        <v>720</v>
      </c>
      <c r="AH105" s="87" t="s">
        <v>749</v>
      </c>
      <c r="AI105" s="87" t="s">
        <v>679</v>
      </c>
      <c r="AJ105" s="87" t="s">
        <v>722</v>
      </c>
      <c r="AK105" s="87" t="s">
        <v>679</v>
      </c>
    </row>
    <row r="106" spans="1:37">
      <c r="A106" s="79">
        <v>2021</v>
      </c>
      <c r="B106" s="80">
        <v>293</v>
      </c>
      <c r="C106" s="80">
        <v>1</v>
      </c>
      <c r="D106" s="80">
        <v>7</v>
      </c>
      <c r="E106" s="80" t="s">
        <v>55</v>
      </c>
      <c r="F106" s="80">
        <v>7</v>
      </c>
      <c r="G106" s="80">
        <v>7</v>
      </c>
      <c r="H106" s="80">
        <v>1737.5</v>
      </c>
      <c r="I106" s="83">
        <f t="shared" si="3"/>
        <v>1716.8</v>
      </c>
      <c r="J106" s="80">
        <v>133.71799999999999</v>
      </c>
      <c r="K106" s="80">
        <f t="shared" si="4"/>
        <v>108.70599999999999</v>
      </c>
      <c r="L106" s="80">
        <v>1331.7</v>
      </c>
      <c r="M106" s="80">
        <f t="shared" si="5"/>
        <v>1222.9940000000001</v>
      </c>
      <c r="N106" s="82"/>
      <c r="P106" s="84">
        <v>2</v>
      </c>
      <c r="Q106" s="84">
        <v>5</v>
      </c>
      <c r="R106" s="107" t="s">
        <v>531</v>
      </c>
      <c r="S106" s="84">
        <f>(I122+I123)/2</f>
        <v>1456.5</v>
      </c>
      <c r="T106" s="84">
        <f>(M122+M123)/2</f>
        <v>1050.3125</v>
      </c>
      <c r="U106" s="84">
        <f>Table9[[#This Row],[Wet Cob Weight (g) ]]-Table9[[#This Row],[Dried Grain Weight (g) ]]</f>
        <v>406.1875</v>
      </c>
      <c r="V106" s="84">
        <f>(Table9[[#This Row],[Moisture Loss (g) ]]/Table9[[#This Row],[Wet Cob Weight (g) ]])*100</f>
        <v>27.887916237555782</v>
      </c>
      <c r="W106" s="84">
        <f>Table9[[#This Row],[Dried Grain Weight (g) ]]*(10000/1000)</f>
        <v>10503.125</v>
      </c>
      <c r="X106" s="150">
        <f>Table9[[#This Row],[Yield (kg/ha)]]*1.155</f>
        <v>12131.109375</v>
      </c>
      <c r="Y106" s="150">
        <f>Table9[[#This Row],[Yield (kg/ha)]]/1000</f>
        <v>10.503125000000001</v>
      </c>
      <c r="Z106" s="150">
        <f>Table9[[#This Row],[Yield (tons/ha)]]*1.15</f>
        <v>12.07859375</v>
      </c>
      <c r="AB106" s="153">
        <v>2</v>
      </c>
      <c r="AC106" s="154">
        <v>2</v>
      </c>
      <c r="AD106" s="160">
        <v>13.124553249999998</v>
      </c>
      <c r="AG106" s="84" t="s">
        <v>693</v>
      </c>
      <c r="AH106" s="84">
        <v>12.451843500000001</v>
      </c>
      <c r="AI106" s="178">
        <v>0.86574237246119257</v>
      </c>
      <c r="AJ106" s="178">
        <v>10.336426166666666</v>
      </c>
      <c r="AK106" s="178">
        <v>2.021518568249276</v>
      </c>
    </row>
    <row r="107" spans="1:37">
      <c r="A107" s="79">
        <v>2021</v>
      </c>
      <c r="B107" s="80">
        <v>293</v>
      </c>
      <c r="C107" s="80">
        <v>1</v>
      </c>
      <c r="D107" s="80">
        <v>8</v>
      </c>
      <c r="E107" s="80" t="s">
        <v>54</v>
      </c>
      <c r="F107" s="80">
        <v>7</v>
      </c>
      <c r="G107" s="80">
        <v>7</v>
      </c>
      <c r="H107" s="80">
        <v>1538.4</v>
      </c>
      <c r="I107" s="80">
        <f t="shared" si="3"/>
        <v>1517.7</v>
      </c>
      <c r="J107" s="80">
        <v>124.062</v>
      </c>
      <c r="K107" s="80">
        <f t="shared" si="4"/>
        <v>99.05</v>
      </c>
      <c r="L107" s="80">
        <v>1168.0999999999999</v>
      </c>
      <c r="M107" s="80">
        <f t="shared" si="5"/>
        <v>1069.05</v>
      </c>
      <c r="N107" s="82"/>
      <c r="P107" s="84">
        <v>2</v>
      </c>
      <c r="Q107" s="84">
        <v>6</v>
      </c>
      <c r="R107" s="107" t="s">
        <v>532</v>
      </c>
      <c r="S107" s="84">
        <f>(I124+I125)/2</f>
        <v>1480.45</v>
      </c>
      <c r="T107" s="84">
        <f>(M124+M125)/2</f>
        <v>1079.9914999999999</v>
      </c>
      <c r="U107" s="84">
        <f>Table9[[#This Row],[Wet Cob Weight (g) ]]-Table9[[#This Row],[Dried Grain Weight (g) ]]</f>
        <v>400.45850000000019</v>
      </c>
      <c r="V107" s="84">
        <f>(Table9[[#This Row],[Moisture Loss (g) ]]/Table9[[#This Row],[Wet Cob Weight (g) ]])*100</f>
        <v>27.049782160829487</v>
      </c>
      <c r="W107" s="84">
        <f>Table9[[#This Row],[Dried Grain Weight (g) ]]*(10000/1000)</f>
        <v>10799.914999999999</v>
      </c>
      <c r="X107" s="150">
        <f>Table9[[#This Row],[Yield (kg/ha)]]*1.155</f>
        <v>12473.901824999999</v>
      </c>
      <c r="Y107" s="150">
        <f>Table9[[#This Row],[Yield (kg/ha)]]/1000</f>
        <v>10.799914999999999</v>
      </c>
      <c r="Z107" s="150">
        <f>Table9[[#This Row],[Yield (tons/ha)]]*1.15</f>
        <v>12.419902249999998</v>
      </c>
      <c r="AB107" s="153">
        <v>2</v>
      </c>
      <c r="AC107" s="154">
        <v>3</v>
      </c>
      <c r="AD107" s="160">
        <v>12.716941499999997</v>
      </c>
      <c r="AG107" s="143" t="s">
        <v>690</v>
      </c>
      <c r="AH107" s="143">
        <v>12.608048638888887</v>
      </c>
      <c r="AI107" s="189">
        <v>0.32573487631016507</v>
      </c>
      <c r="AJ107" s="189">
        <v>9.1285428333333325</v>
      </c>
      <c r="AK107" s="189">
        <v>1.7462709769770335</v>
      </c>
    </row>
    <row r="108" spans="1:37">
      <c r="A108" s="79">
        <v>2021</v>
      </c>
      <c r="B108" s="80">
        <v>293</v>
      </c>
      <c r="C108" s="80">
        <v>1</v>
      </c>
      <c r="D108" s="80">
        <v>8</v>
      </c>
      <c r="E108" s="80" t="s">
        <v>55</v>
      </c>
      <c r="F108" s="80">
        <v>7</v>
      </c>
      <c r="G108" s="80">
        <v>6</v>
      </c>
      <c r="H108" s="80">
        <v>1371.9</v>
      </c>
      <c r="I108" s="83">
        <f t="shared" si="3"/>
        <v>1351.2</v>
      </c>
      <c r="J108" s="80">
        <v>120.43600000000001</v>
      </c>
      <c r="K108" s="80">
        <f t="shared" si="4"/>
        <v>95.424000000000007</v>
      </c>
      <c r="L108" s="80">
        <v>1078.2</v>
      </c>
      <c r="M108" s="80">
        <f t="shared" si="5"/>
        <v>982.77600000000007</v>
      </c>
      <c r="N108" s="82" t="s">
        <v>486</v>
      </c>
      <c r="P108" s="84">
        <v>2</v>
      </c>
      <c r="Q108" s="84">
        <v>7</v>
      </c>
      <c r="R108" s="107" t="s">
        <v>533</v>
      </c>
      <c r="S108" s="84">
        <f>(I126+I127)/2</f>
        <v>1474.85</v>
      </c>
      <c r="T108" s="84">
        <f>(M126+M127)/2</f>
        <v>1071.9380000000001</v>
      </c>
      <c r="U108" s="84">
        <f>Table9[[#This Row],[Wet Cob Weight (g) ]]-Table9[[#This Row],[Dried Grain Weight (g) ]]</f>
        <v>402.91199999999981</v>
      </c>
      <c r="V108" s="84">
        <f>(Table9[[#This Row],[Moisture Loss (g) ]]/Table9[[#This Row],[Wet Cob Weight (g) ]])*100</f>
        <v>27.318845984337379</v>
      </c>
      <c r="W108" s="84">
        <f>Table9[[#This Row],[Dried Grain Weight (g) ]]*(10000/1000)</f>
        <v>10719.380000000001</v>
      </c>
      <c r="X108" s="150">
        <f>Table9[[#This Row],[Yield (kg/ha)]]*1.155</f>
        <v>12380.883900000001</v>
      </c>
      <c r="Y108" s="150">
        <f>Table9[[#This Row],[Yield (kg/ha)]]/1000</f>
        <v>10.719380000000001</v>
      </c>
      <c r="Z108" s="150">
        <f>Table9[[#This Row],[Yield (tons/ha)]]*1.15</f>
        <v>12.327287</v>
      </c>
      <c r="AB108" s="153">
        <v>2</v>
      </c>
      <c r="AC108" s="154">
        <v>4</v>
      </c>
      <c r="AD108" s="160">
        <v>12.861439000000001</v>
      </c>
      <c r="AG108" s="84" t="s">
        <v>685</v>
      </c>
      <c r="AH108" s="84">
        <v>12.015440861111109</v>
      </c>
      <c r="AI108" s="178">
        <v>0.63525375764668757</v>
      </c>
      <c r="AJ108" s="178">
        <v>5.8722028333333327</v>
      </c>
      <c r="AK108" s="178">
        <v>0.49647779706557144</v>
      </c>
    </row>
    <row r="109" spans="1:37">
      <c r="A109" s="79">
        <v>2021</v>
      </c>
      <c r="B109" s="80">
        <v>293</v>
      </c>
      <c r="C109" s="80">
        <v>1</v>
      </c>
      <c r="D109" s="80">
        <v>9</v>
      </c>
      <c r="E109" s="81" t="s">
        <v>54</v>
      </c>
      <c r="F109" s="80">
        <v>7</v>
      </c>
      <c r="G109" s="80">
        <v>7</v>
      </c>
      <c r="H109" s="80">
        <v>1400.5</v>
      </c>
      <c r="I109" s="83">
        <f t="shared" si="3"/>
        <v>1379.8</v>
      </c>
      <c r="J109" s="80">
        <v>113.732</v>
      </c>
      <c r="K109" s="80">
        <f t="shared" si="4"/>
        <v>88.72</v>
      </c>
      <c r="L109" s="80">
        <v>1094.2</v>
      </c>
      <c r="M109" s="80">
        <f t="shared" si="5"/>
        <v>1005.48</v>
      </c>
      <c r="N109" s="82"/>
      <c r="P109" s="84">
        <v>2</v>
      </c>
      <c r="Q109" s="84">
        <v>8</v>
      </c>
      <c r="R109" s="107" t="s">
        <v>534</v>
      </c>
      <c r="S109" s="84">
        <f>(I128+I129)/2</f>
        <v>1547.35</v>
      </c>
      <c r="T109" s="84">
        <f>(M128+M129)/2</f>
        <v>1119.8155000000002</v>
      </c>
      <c r="U109" s="84">
        <f>Table9[[#This Row],[Wet Cob Weight (g) ]]-Table9[[#This Row],[Dried Grain Weight (g) ]]</f>
        <v>427.53449999999975</v>
      </c>
      <c r="V109" s="84">
        <f>(Table9[[#This Row],[Moisture Loss (g) ]]/Table9[[#This Row],[Wet Cob Weight (g) ]])*100</f>
        <v>27.630109542120383</v>
      </c>
      <c r="W109" s="84">
        <f>Table9[[#This Row],[Dried Grain Weight (g) ]]*(10000/1000)</f>
        <v>11198.155000000002</v>
      </c>
      <c r="X109" s="150">
        <f>Table9[[#This Row],[Yield (kg/ha)]]*1.155</f>
        <v>12933.869025000004</v>
      </c>
      <c r="Y109" s="150">
        <f>Table9[[#This Row],[Yield (kg/ha)]]/1000</f>
        <v>11.198155000000002</v>
      </c>
      <c r="Z109" s="150">
        <f>Table9[[#This Row],[Yield (tons/ha)]]*1.15</f>
        <v>12.87787825</v>
      </c>
      <c r="AB109" s="153">
        <v>2</v>
      </c>
      <c r="AC109" s="154">
        <v>5</v>
      </c>
      <c r="AD109" s="160">
        <v>12.07859375</v>
      </c>
      <c r="AG109" s="143" t="s">
        <v>687</v>
      </c>
      <c r="AH109" s="143">
        <v>12.724999805555555</v>
      </c>
      <c r="AI109" s="189">
        <v>1.3319416520492133</v>
      </c>
      <c r="AJ109" s="189">
        <v>8.9282051666666664</v>
      </c>
      <c r="AK109" s="189">
        <v>3.5631535797052494</v>
      </c>
    </row>
    <row r="110" spans="1:37">
      <c r="A110" s="79">
        <v>2021</v>
      </c>
      <c r="B110" s="80">
        <v>293</v>
      </c>
      <c r="C110" s="80">
        <v>1</v>
      </c>
      <c r="D110" s="80">
        <v>9</v>
      </c>
      <c r="E110" s="80" t="s">
        <v>55</v>
      </c>
      <c r="F110" s="80">
        <v>7</v>
      </c>
      <c r="G110" s="80">
        <v>7</v>
      </c>
      <c r="H110" s="80">
        <v>1315.4</v>
      </c>
      <c r="I110" s="83">
        <f t="shared" si="3"/>
        <v>1294.7</v>
      </c>
      <c r="J110" s="80">
        <v>107.986</v>
      </c>
      <c r="K110" s="80">
        <f t="shared" si="4"/>
        <v>82.974000000000004</v>
      </c>
      <c r="L110" s="80">
        <v>1014.2</v>
      </c>
      <c r="M110" s="80">
        <f t="shared" si="5"/>
        <v>931.226</v>
      </c>
      <c r="N110" s="82"/>
      <c r="P110" s="84">
        <v>2</v>
      </c>
      <c r="Q110" s="84">
        <v>9</v>
      </c>
      <c r="R110" s="107" t="s">
        <v>535</v>
      </c>
      <c r="S110" s="84">
        <f>(I130+I131)/2</f>
        <v>1508.35</v>
      </c>
      <c r="T110" s="84">
        <f>(M130+M131)/2</f>
        <v>1099.9859999999999</v>
      </c>
      <c r="U110" s="84">
        <f>Table9[[#This Row],[Wet Cob Weight (g) ]]-Table9[[#This Row],[Dried Grain Weight (g) ]]</f>
        <v>408.36400000000003</v>
      </c>
      <c r="V110" s="84">
        <f>(Table9[[#This Row],[Moisture Loss (g) ]]/Table9[[#This Row],[Wet Cob Weight (g) ]])*100</f>
        <v>27.073557198263003</v>
      </c>
      <c r="W110" s="84">
        <f>Table9[[#This Row],[Dried Grain Weight (g) ]]*(10000/1000)</f>
        <v>10999.859999999999</v>
      </c>
      <c r="X110" s="150">
        <f>Table9[[#This Row],[Yield (kg/ha)]]*1.155</f>
        <v>12704.838299999999</v>
      </c>
      <c r="Y110" s="150">
        <f>Table9[[#This Row],[Yield (kg/ha)]]/1000</f>
        <v>10.999859999999998</v>
      </c>
      <c r="Z110" s="150">
        <f>Table9[[#This Row],[Yield (tons/ha)]]*1.15</f>
        <v>12.649838999999997</v>
      </c>
      <c r="AB110" s="153">
        <v>2</v>
      </c>
      <c r="AC110" s="154">
        <v>6</v>
      </c>
      <c r="AD110" s="160">
        <v>12.419902249999998</v>
      </c>
    </row>
    <row r="111" spans="1:37">
      <c r="A111" s="138">
        <v>2021</v>
      </c>
      <c r="B111" s="139">
        <v>292</v>
      </c>
      <c r="C111" s="139">
        <v>1</v>
      </c>
      <c r="D111" s="139">
        <v>11</v>
      </c>
      <c r="E111" s="139" t="s">
        <v>54</v>
      </c>
      <c r="F111" s="139">
        <v>7</v>
      </c>
      <c r="G111" s="139">
        <v>7</v>
      </c>
      <c r="H111" s="139">
        <v>1102.5</v>
      </c>
      <c r="I111" s="139">
        <f t="shared" si="3"/>
        <v>1081.8</v>
      </c>
      <c r="J111" s="139">
        <v>88.701999999999998</v>
      </c>
      <c r="K111" s="139">
        <f t="shared" si="4"/>
        <v>63.69</v>
      </c>
      <c r="L111" s="139">
        <v>843.5</v>
      </c>
      <c r="M111" s="139">
        <f t="shared" si="5"/>
        <v>779.81</v>
      </c>
      <c r="N111" s="140"/>
      <c r="P111" s="84">
        <v>3</v>
      </c>
      <c r="Q111" s="84">
        <v>1</v>
      </c>
      <c r="R111" s="107" t="s">
        <v>539</v>
      </c>
      <c r="S111" s="84">
        <f>(I135+I136)/2</f>
        <v>1447</v>
      </c>
      <c r="T111" s="84">
        <f>(M135+M136)/2</f>
        <v>1042.5449999999998</v>
      </c>
      <c r="U111" s="84">
        <f>Table9[[#This Row],[Wet Cob Weight (g) ]]-Table9[[#This Row],[Dried Grain Weight (g) ]]</f>
        <v>404.45500000000015</v>
      </c>
      <c r="V111" s="84">
        <f>(Table9[[#This Row],[Moisture Loss (g) ]]/Table9[[#This Row],[Wet Cob Weight (g) ]])*100</f>
        <v>27.951278507256404</v>
      </c>
      <c r="W111" s="84">
        <f>Table9[[#This Row],[Dried Grain Weight (g) ]]*(10000/1000)</f>
        <v>10425.449999999999</v>
      </c>
      <c r="X111" s="150">
        <f>Table9[[#This Row],[Yield (kg/ha)]]*1.155</f>
        <v>12041.394749999999</v>
      </c>
      <c r="Y111" s="150">
        <f>Table9[[#This Row],[Yield (kg/ha)]]/1000</f>
        <v>10.42545</v>
      </c>
      <c r="Z111" s="150">
        <f>Table9[[#This Row],[Yield (tons/ha)]]*1.15</f>
        <v>11.989267499999999</v>
      </c>
      <c r="AB111" s="153">
        <v>2</v>
      </c>
      <c r="AC111" s="154">
        <v>7</v>
      </c>
      <c r="AD111" s="160">
        <v>12.327287</v>
      </c>
    </row>
    <row r="112" spans="1:37">
      <c r="A112" s="138">
        <v>2021</v>
      </c>
      <c r="B112" s="139">
        <v>292</v>
      </c>
      <c r="C112" s="139">
        <v>1</v>
      </c>
      <c r="D112" s="139">
        <v>12</v>
      </c>
      <c r="E112" s="139" t="s">
        <v>54</v>
      </c>
      <c r="F112" s="139">
        <v>6</v>
      </c>
      <c r="G112" s="139">
        <v>6</v>
      </c>
      <c r="H112" s="139">
        <v>1134.0999999999999</v>
      </c>
      <c r="I112" s="141">
        <f t="shared" si="3"/>
        <v>1113.3999999999999</v>
      </c>
      <c r="J112" s="139">
        <v>96.387</v>
      </c>
      <c r="K112" s="139">
        <f t="shared" si="4"/>
        <v>71.375</v>
      </c>
      <c r="L112" s="139">
        <v>887.3</v>
      </c>
      <c r="M112" s="139">
        <f t="shared" si="5"/>
        <v>815.92499999999995</v>
      </c>
      <c r="N112" s="140"/>
      <c r="P112" s="84">
        <v>3</v>
      </c>
      <c r="Q112" s="84">
        <v>2</v>
      </c>
      <c r="R112" s="107" t="s">
        <v>540</v>
      </c>
      <c r="S112" s="84">
        <f>(I137+I138)/2</f>
        <v>1451.9</v>
      </c>
      <c r="T112" s="84">
        <f>(M137+M138)/2</f>
        <v>1032.0070000000001</v>
      </c>
      <c r="U112" s="84">
        <f>Table9[[#This Row],[Wet Cob Weight (g) ]]-Table9[[#This Row],[Dried Grain Weight (g) ]]</f>
        <v>419.89300000000003</v>
      </c>
      <c r="V112" s="84">
        <f>(Table9[[#This Row],[Moisture Loss (g) ]]/Table9[[#This Row],[Wet Cob Weight (g) ]])*100</f>
        <v>28.920242440939457</v>
      </c>
      <c r="W112" s="84">
        <f>Table9[[#This Row],[Dried Grain Weight (g) ]]*(10000/1000)</f>
        <v>10320.07</v>
      </c>
      <c r="X112" s="150">
        <f>Table9[[#This Row],[Yield (kg/ha)]]*1.155</f>
        <v>11919.680850000001</v>
      </c>
      <c r="Y112" s="150">
        <f>Table9[[#This Row],[Yield (kg/ha)]]/1000</f>
        <v>10.320069999999999</v>
      </c>
      <c r="Z112" s="150">
        <f>Table9[[#This Row],[Yield (tons/ha)]]*1.15</f>
        <v>11.868080499999998</v>
      </c>
      <c r="AB112" s="153">
        <v>2</v>
      </c>
      <c r="AC112" s="154">
        <v>8</v>
      </c>
      <c r="AD112" s="160">
        <v>12.87787825</v>
      </c>
    </row>
    <row r="113" spans="1:30">
      <c r="A113" s="138">
        <v>2021</v>
      </c>
      <c r="B113" s="139">
        <v>292</v>
      </c>
      <c r="C113" s="139">
        <v>1</v>
      </c>
      <c r="D113" s="139">
        <v>13</v>
      </c>
      <c r="E113" s="142" t="s">
        <v>54</v>
      </c>
      <c r="F113" s="139">
        <v>8</v>
      </c>
      <c r="G113" s="139">
        <v>8</v>
      </c>
      <c r="H113" s="139">
        <v>1543.7</v>
      </c>
      <c r="I113" s="141">
        <f t="shared" si="3"/>
        <v>1523</v>
      </c>
      <c r="J113" s="139">
        <v>126.08799999999999</v>
      </c>
      <c r="K113" s="139">
        <f t="shared" si="4"/>
        <v>101.07599999999999</v>
      </c>
      <c r="L113" s="139">
        <v>1201.8</v>
      </c>
      <c r="M113" s="139">
        <f t="shared" si="5"/>
        <v>1100.7239999999999</v>
      </c>
      <c r="N113" s="140"/>
      <c r="P113" s="84">
        <v>3</v>
      </c>
      <c r="Q113" s="84">
        <v>3</v>
      </c>
      <c r="R113" s="107" t="s">
        <v>541</v>
      </c>
      <c r="S113" s="84">
        <f>(I139+I140)/2</f>
        <v>1679.6</v>
      </c>
      <c r="T113" s="84">
        <f>(M139+M140)/2</f>
        <v>1164.4514999999999</v>
      </c>
      <c r="U113" s="84">
        <f>Table9[[#This Row],[Wet Cob Weight (g) ]]-Table9[[#This Row],[Dried Grain Weight (g) ]]</f>
        <v>515.14850000000001</v>
      </c>
      <c r="V113" s="84">
        <f>(Table9[[#This Row],[Moisture Loss (g) ]]/Table9[[#This Row],[Wet Cob Weight (g) ]])*100</f>
        <v>30.67090378661586</v>
      </c>
      <c r="W113" s="84">
        <f>Table9[[#This Row],[Dried Grain Weight (g) ]]*(10000/1000)</f>
        <v>11644.514999999999</v>
      </c>
      <c r="X113" s="150">
        <f>Table9[[#This Row],[Yield (kg/ha)]]*1.155</f>
        <v>13449.414825</v>
      </c>
      <c r="Y113" s="150">
        <f>Table9[[#This Row],[Yield (kg/ha)]]/1000</f>
        <v>11.644515</v>
      </c>
      <c r="Z113" s="150">
        <f>Table9[[#This Row],[Yield (tons/ha)]]*1.15</f>
        <v>13.39119225</v>
      </c>
      <c r="AB113" s="153">
        <v>2</v>
      </c>
      <c r="AC113" s="154">
        <v>9</v>
      </c>
      <c r="AD113" s="160">
        <v>12.649838999999997</v>
      </c>
    </row>
    <row r="114" spans="1:30">
      <c r="A114" s="79">
        <v>2021</v>
      </c>
      <c r="B114" s="80">
        <v>293</v>
      </c>
      <c r="C114" s="80">
        <v>2</v>
      </c>
      <c r="D114" s="80">
        <v>1</v>
      </c>
      <c r="E114" s="81" t="s">
        <v>54</v>
      </c>
      <c r="F114" s="80">
        <v>7</v>
      </c>
      <c r="G114" s="80">
        <v>7</v>
      </c>
      <c r="H114" s="80">
        <v>1499.1</v>
      </c>
      <c r="I114" s="111">
        <f t="shared" si="3"/>
        <v>1478.3999999999999</v>
      </c>
      <c r="J114" s="80">
        <v>120.741</v>
      </c>
      <c r="K114" s="80">
        <f t="shared" si="4"/>
        <v>95.728999999999999</v>
      </c>
      <c r="L114" s="80">
        <v>1168.3</v>
      </c>
      <c r="M114" s="80">
        <f t="shared" si="5"/>
        <v>1072.5709999999999</v>
      </c>
      <c r="N114" s="82"/>
      <c r="P114" s="84">
        <v>3</v>
      </c>
      <c r="Q114" s="84">
        <v>4</v>
      </c>
      <c r="R114" s="107" t="s">
        <v>542</v>
      </c>
      <c r="S114" s="84">
        <f>(I141+I142)/2</f>
        <v>1512.45</v>
      </c>
      <c r="T114" s="84">
        <f>(M141+M142)/2</f>
        <v>1035.5315000000001</v>
      </c>
      <c r="U114" s="84">
        <f>Table9[[#This Row],[Wet Cob Weight (g) ]]-Table9[[#This Row],[Dried Grain Weight (g) ]]</f>
        <v>476.91849999999999</v>
      </c>
      <c r="V114" s="84">
        <f>(Table9[[#This Row],[Moisture Loss (g) ]]/Table9[[#This Row],[Wet Cob Weight (g) ]])*100</f>
        <v>31.532844060960691</v>
      </c>
      <c r="W114" s="84">
        <f>Table9[[#This Row],[Dried Grain Weight (g) ]]*(10000/1000)</f>
        <v>10355.315000000001</v>
      </c>
      <c r="X114" s="150">
        <f>Table9[[#This Row],[Yield (kg/ha)]]*1.155</f>
        <v>11960.388825</v>
      </c>
      <c r="Y114" s="150">
        <f>Table9[[#This Row],[Yield (kg/ha)]]/1000</f>
        <v>10.355315000000001</v>
      </c>
      <c r="Z114" s="150">
        <f>Table9[[#This Row],[Yield (tons/ha)]]*1.15</f>
        <v>11.908612250000001</v>
      </c>
      <c r="AB114" s="155">
        <v>2</v>
      </c>
      <c r="AC114" s="156">
        <v>11</v>
      </c>
      <c r="AD114" s="156">
        <v>9.8231044999999977</v>
      </c>
    </row>
    <row r="115" spans="1:30">
      <c r="A115" s="79">
        <v>2021</v>
      </c>
      <c r="B115" s="80">
        <v>293</v>
      </c>
      <c r="C115" s="80">
        <v>2</v>
      </c>
      <c r="D115" s="80">
        <v>1</v>
      </c>
      <c r="E115" s="80" t="s">
        <v>55</v>
      </c>
      <c r="F115" s="80">
        <v>7</v>
      </c>
      <c r="G115" s="80">
        <v>7</v>
      </c>
      <c r="H115" s="80">
        <v>1535.3</v>
      </c>
      <c r="I115" s="80">
        <f t="shared" si="3"/>
        <v>1514.6</v>
      </c>
      <c r="J115" s="80">
        <v>129.37799999999999</v>
      </c>
      <c r="K115" s="80">
        <f t="shared" si="4"/>
        <v>104.36599999999999</v>
      </c>
      <c r="L115" s="80">
        <v>1191.0999999999999</v>
      </c>
      <c r="M115" s="80">
        <f t="shared" si="5"/>
        <v>1086.7339999999999</v>
      </c>
      <c r="N115" s="82"/>
      <c r="P115" s="84">
        <v>3</v>
      </c>
      <c r="Q115" s="84">
        <v>5</v>
      </c>
      <c r="R115" s="107" t="s">
        <v>543</v>
      </c>
      <c r="S115" s="84">
        <f>(I143+I144)/2</f>
        <v>1482.2</v>
      </c>
      <c r="T115" s="84">
        <f>(M143+M144)/2</f>
        <v>946.48699999999997</v>
      </c>
      <c r="U115" s="84">
        <f>Table9[[#This Row],[Wet Cob Weight (g) ]]-Table9[[#This Row],[Dried Grain Weight (g) ]]</f>
        <v>535.71300000000008</v>
      </c>
      <c r="V115" s="84">
        <f>(Table9[[#This Row],[Moisture Loss (g) ]]/Table9[[#This Row],[Wet Cob Weight (g) ]])*100</f>
        <v>36.143098097422751</v>
      </c>
      <c r="W115" s="84">
        <f>Table9[[#This Row],[Dried Grain Weight (g) ]]*(10000/1000)</f>
        <v>9464.869999999999</v>
      </c>
      <c r="X115" s="150">
        <f>Table9[[#This Row],[Yield (kg/ha)]]*1.155</f>
        <v>10931.924849999999</v>
      </c>
      <c r="Y115" s="150">
        <f>Table9[[#This Row],[Yield (kg/ha)]]/1000</f>
        <v>9.4648699999999995</v>
      </c>
      <c r="Z115" s="150">
        <f>Table9[[#This Row],[Yield (tons/ha)]]*1.15</f>
        <v>10.884600499999998</v>
      </c>
      <c r="AB115" s="155">
        <v>2</v>
      </c>
      <c r="AC115" s="156">
        <v>12</v>
      </c>
      <c r="AD115" s="156">
        <v>10.4206675</v>
      </c>
    </row>
    <row r="116" spans="1:30">
      <c r="A116" s="79">
        <v>2021</v>
      </c>
      <c r="B116" s="80">
        <v>293</v>
      </c>
      <c r="C116" s="80">
        <v>2</v>
      </c>
      <c r="D116" s="80">
        <v>2</v>
      </c>
      <c r="E116" s="80" t="s">
        <v>54</v>
      </c>
      <c r="F116" s="80">
        <v>7</v>
      </c>
      <c r="G116" s="80">
        <v>7</v>
      </c>
      <c r="H116" s="80">
        <v>1555.5</v>
      </c>
      <c r="I116" s="111">
        <f t="shared" si="3"/>
        <v>1534.8</v>
      </c>
      <c r="J116" s="80">
        <v>135.99</v>
      </c>
      <c r="K116" s="80">
        <f t="shared" si="4"/>
        <v>110.97800000000001</v>
      </c>
      <c r="L116" s="80">
        <v>1221.9000000000001</v>
      </c>
      <c r="M116" s="80">
        <f t="shared" si="5"/>
        <v>1110.922</v>
      </c>
      <c r="N116" s="82"/>
      <c r="P116" s="84">
        <v>3</v>
      </c>
      <c r="Q116" s="84">
        <v>6</v>
      </c>
      <c r="R116" s="107" t="s">
        <v>544</v>
      </c>
      <c r="S116" s="84">
        <f>(I145+I146)/2</f>
        <v>1479.05</v>
      </c>
      <c r="T116" s="84">
        <f>(M145+M146)/2</f>
        <v>1034.768</v>
      </c>
      <c r="U116" s="84">
        <f>Table9[[#This Row],[Wet Cob Weight (g) ]]-Table9[[#This Row],[Dried Grain Weight (g) ]]</f>
        <v>444.28199999999993</v>
      </c>
      <c r="V116" s="84">
        <f>(Table9[[#This Row],[Moisture Loss (g) ]]/Table9[[#This Row],[Wet Cob Weight (g) ]])*100</f>
        <v>30.038335418004795</v>
      </c>
      <c r="W116" s="84">
        <f>Table9[[#This Row],[Dried Grain Weight (g) ]]*(10000/1000)</f>
        <v>10347.68</v>
      </c>
      <c r="X116" s="150">
        <f>Table9[[#This Row],[Yield (kg/ha)]]*1.155</f>
        <v>11951.570400000001</v>
      </c>
      <c r="Y116" s="150">
        <f>Table9[[#This Row],[Yield (kg/ha)]]/1000</f>
        <v>10.34768</v>
      </c>
      <c r="Z116" s="150">
        <f>Table9[[#This Row],[Yield (tons/ha)]]*1.15</f>
        <v>11.899832</v>
      </c>
      <c r="AB116" s="155">
        <v>2</v>
      </c>
      <c r="AC116" s="156">
        <v>13</v>
      </c>
      <c r="AD116" s="156">
        <v>7.1418565000000003</v>
      </c>
    </row>
    <row r="117" spans="1:30">
      <c r="A117" s="79">
        <v>2021</v>
      </c>
      <c r="B117" s="80">
        <v>293</v>
      </c>
      <c r="C117" s="80">
        <v>2</v>
      </c>
      <c r="D117" s="80">
        <v>2</v>
      </c>
      <c r="E117" s="80" t="s">
        <v>55</v>
      </c>
      <c r="F117" s="80">
        <v>7</v>
      </c>
      <c r="G117" s="80">
        <v>7</v>
      </c>
      <c r="H117" s="80">
        <v>1642.3</v>
      </c>
      <c r="I117" s="111">
        <f t="shared" si="3"/>
        <v>1621.6</v>
      </c>
      <c r="J117" s="80">
        <v>147.90299999999999</v>
      </c>
      <c r="K117" s="80">
        <f t="shared" si="4"/>
        <v>122.89099999999999</v>
      </c>
      <c r="L117" s="80">
        <v>1294.5</v>
      </c>
      <c r="M117" s="80">
        <f t="shared" si="5"/>
        <v>1171.6089999999999</v>
      </c>
      <c r="N117" s="82"/>
      <c r="P117" s="84">
        <v>3</v>
      </c>
      <c r="Q117" s="84">
        <v>7</v>
      </c>
      <c r="R117" s="107" t="s">
        <v>545</v>
      </c>
      <c r="S117" s="84">
        <f>(I147+I148)/2</f>
        <v>1534.75</v>
      </c>
      <c r="T117" s="84">
        <f>(M147+M148)/2</f>
        <v>1049.5345</v>
      </c>
      <c r="U117" s="84">
        <f>Table9[[#This Row],[Wet Cob Weight (g) ]]-Table9[[#This Row],[Dried Grain Weight (g) ]]</f>
        <v>485.21550000000002</v>
      </c>
      <c r="V117" s="84">
        <f>(Table9[[#This Row],[Moisture Loss (g) ]]/Table9[[#This Row],[Wet Cob Weight (g) ]])*100</f>
        <v>31.615279361459525</v>
      </c>
      <c r="W117" s="84">
        <f>Table9[[#This Row],[Dried Grain Weight (g) ]]*(10000/1000)</f>
        <v>10495.344999999999</v>
      </c>
      <c r="X117" s="150">
        <f>Table9[[#This Row],[Yield (kg/ha)]]*1.155</f>
        <v>12122.123475</v>
      </c>
      <c r="Y117" s="150">
        <f>Table9[[#This Row],[Yield (kg/ha)]]/1000</f>
        <v>10.495344999999999</v>
      </c>
      <c r="Z117" s="150">
        <f>Table9[[#This Row],[Yield (tons/ha)]]*1.15</f>
        <v>12.069646749999997</v>
      </c>
      <c r="AB117" s="153">
        <v>3</v>
      </c>
      <c r="AC117" s="154">
        <v>1</v>
      </c>
      <c r="AD117" s="160">
        <v>11.989267499999999</v>
      </c>
    </row>
    <row r="118" spans="1:30">
      <c r="A118" s="79">
        <v>2021</v>
      </c>
      <c r="B118" s="80">
        <v>293</v>
      </c>
      <c r="C118" s="80">
        <v>2</v>
      </c>
      <c r="D118" s="80">
        <v>3</v>
      </c>
      <c r="E118" s="81" t="s">
        <v>54</v>
      </c>
      <c r="F118" s="80">
        <v>7</v>
      </c>
      <c r="G118" s="80">
        <v>7</v>
      </c>
      <c r="H118" s="80">
        <v>1594.7</v>
      </c>
      <c r="I118" s="80">
        <f t="shared" si="3"/>
        <v>1574</v>
      </c>
      <c r="J118" s="80">
        <v>138.52000000000001</v>
      </c>
      <c r="K118" s="80">
        <f t="shared" si="4"/>
        <v>113.50800000000001</v>
      </c>
      <c r="L118" s="80">
        <v>1252.9000000000001</v>
      </c>
      <c r="M118" s="80">
        <f t="shared" si="5"/>
        <v>1139.3920000000001</v>
      </c>
      <c r="N118" s="82"/>
      <c r="P118" s="84">
        <v>3</v>
      </c>
      <c r="Q118" s="84">
        <v>8</v>
      </c>
      <c r="R118" s="107" t="s">
        <v>546</v>
      </c>
      <c r="S118" s="84">
        <f>(I149+I150)/2</f>
        <v>1537.6</v>
      </c>
      <c r="T118" s="84">
        <f>(M149+M150)/2</f>
        <v>1046.2275</v>
      </c>
      <c r="U118" s="84">
        <f>Table9[[#This Row],[Wet Cob Weight (g) ]]-Table9[[#This Row],[Dried Grain Weight (g) ]]</f>
        <v>491.37249999999995</v>
      </c>
      <c r="V118" s="84">
        <f>(Table9[[#This Row],[Moisture Loss (g) ]]/Table9[[#This Row],[Wet Cob Weight (g) ]])*100</f>
        <v>31.95710848074922</v>
      </c>
      <c r="W118" s="84">
        <f>Table9[[#This Row],[Dried Grain Weight (g) ]]*(10000/1000)</f>
        <v>10462.275</v>
      </c>
      <c r="X118" s="150">
        <f>Table9[[#This Row],[Yield (kg/ha)]]*1.155</f>
        <v>12083.927625</v>
      </c>
      <c r="Y118" s="150">
        <f>Table9[[#This Row],[Yield (kg/ha)]]/1000</f>
        <v>10.462275</v>
      </c>
      <c r="Z118" s="150">
        <f>Table9[[#This Row],[Yield (tons/ha)]]*1.15</f>
        <v>12.031616249999999</v>
      </c>
      <c r="AB118" s="153">
        <v>3</v>
      </c>
      <c r="AC118" s="154">
        <v>2</v>
      </c>
      <c r="AD118" s="160">
        <v>11.868080499999998</v>
      </c>
    </row>
    <row r="119" spans="1:30">
      <c r="A119" s="79">
        <v>2021</v>
      </c>
      <c r="B119" s="80">
        <v>293</v>
      </c>
      <c r="C119" s="80">
        <v>2</v>
      </c>
      <c r="D119" s="80">
        <v>3</v>
      </c>
      <c r="E119" s="80" t="s">
        <v>55</v>
      </c>
      <c r="F119" s="80">
        <v>8</v>
      </c>
      <c r="G119" s="80">
        <v>8</v>
      </c>
      <c r="H119" s="80">
        <v>1493.6</v>
      </c>
      <c r="I119" s="110">
        <f t="shared" si="3"/>
        <v>1472.8999999999999</v>
      </c>
      <c r="J119" s="80">
        <v>121.66200000000001</v>
      </c>
      <c r="K119" s="80">
        <f t="shared" si="4"/>
        <v>96.65</v>
      </c>
      <c r="L119" s="80">
        <v>1168.9000000000001</v>
      </c>
      <c r="M119" s="80">
        <f t="shared" si="5"/>
        <v>1072.25</v>
      </c>
      <c r="N119" s="82"/>
      <c r="P119" s="84">
        <v>3</v>
      </c>
      <c r="Q119" s="84">
        <v>9</v>
      </c>
      <c r="R119" s="107" t="s">
        <v>547</v>
      </c>
      <c r="S119" s="84">
        <f>(I151+I152)/2</f>
        <v>1631.25</v>
      </c>
      <c r="T119" s="84">
        <f>(M151+M152)/2</f>
        <v>1051.8364999999999</v>
      </c>
      <c r="U119" s="84">
        <f>Table9[[#This Row],[Wet Cob Weight (g) ]]-Table9[[#This Row],[Dried Grain Weight (g) ]]</f>
        <v>579.41350000000011</v>
      </c>
      <c r="V119" s="84">
        <f>(Table9[[#This Row],[Moisture Loss (g) ]]/Table9[[#This Row],[Wet Cob Weight (g) ]])*100</f>
        <v>35.519601532567059</v>
      </c>
      <c r="W119" s="84">
        <f>Table9[[#This Row],[Dried Grain Weight (g) ]]*(10000/1000)</f>
        <v>10518.364999999998</v>
      </c>
      <c r="X119" s="150">
        <f>Table9[[#This Row],[Yield (kg/ha)]]*1.155</f>
        <v>12148.711574999998</v>
      </c>
      <c r="Y119" s="150">
        <f>Table9[[#This Row],[Yield (kg/ha)]]/1000</f>
        <v>10.518364999999998</v>
      </c>
      <c r="Z119" s="150">
        <f>Table9[[#This Row],[Yield (tons/ha)]]*1.15</f>
        <v>12.096119749999996</v>
      </c>
      <c r="AB119" s="153">
        <v>3</v>
      </c>
      <c r="AC119" s="154">
        <v>3</v>
      </c>
      <c r="AD119" s="160">
        <v>13.39119225</v>
      </c>
    </row>
    <row r="120" spans="1:30">
      <c r="A120" s="79">
        <v>2021</v>
      </c>
      <c r="B120" s="80">
        <v>293</v>
      </c>
      <c r="C120" s="80">
        <v>2</v>
      </c>
      <c r="D120" s="80">
        <v>4</v>
      </c>
      <c r="E120" s="80" t="s">
        <v>54</v>
      </c>
      <c r="F120" s="80">
        <v>7</v>
      </c>
      <c r="G120" s="80">
        <v>7</v>
      </c>
      <c r="H120" s="80">
        <v>1530.5</v>
      </c>
      <c r="I120" s="80">
        <f t="shared" si="3"/>
        <v>1509.8</v>
      </c>
      <c r="J120" s="80">
        <v>134.16200000000001</v>
      </c>
      <c r="K120" s="80">
        <f t="shared" si="4"/>
        <v>109.15</v>
      </c>
      <c r="L120" s="80">
        <v>1255.5999999999999</v>
      </c>
      <c r="M120" s="80">
        <f t="shared" si="5"/>
        <v>1146.4499999999998</v>
      </c>
      <c r="N120" s="82"/>
      <c r="P120" s="84">
        <v>4</v>
      </c>
      <c r="Q120" s="84">
        <v>1</v>
      </c>
      <c r="R120" s="107" t="s">
        <v>141</v>
      </c>
      <c r="S120" s="84">
        <f>(I156+I157)/2</f>
        <v>1353.35</v>
      </c>
      <c r="T120" s="84">
        <f>(M156+M157)/2</f>
        <v>881.04650000000004</v>
      </c>
      <c r="U120" s="84">
        <f>Table9[[#This Row],[Wet Cob Weight (g) ]]-Table9[[#This Row],[Dried Grain Weight (g) ]]</f>
        <v>472.30349999999987</v>
      </c>
      <c r="V120" s="84">
        <f>(Table9[[#This Row],[Moisture Loss (g) ]]/Table9[[#This Row],[Wet Cob Weight (g) ]])*100</f>
        <v>34.898843610300354</v>
      </c>
      <c r="W120" s="84">
        <f>Table9[[#This Row],[Dried Grain Weight (g) ]]*(10000/1000)</f>
        <v>8810.4650000000001</v>
      </c>
      <c r="X120" s="150">
        <f>Table9[[#This Row],[Yield (kg/ha)]]*1.155</f>
        <v>10176.087075000001</v>
      </c>
      <c r="Y120" s="150">
        <f>Table9[[#This Row],[Yield (kg/ha)]]/1000</f>
        <v>8.8104650000000007</v>
      </c>
      <c r="Z120" s="150">
        <f>Table9[[#This Row],[Yield (tons/ha)]]*1.15</f>
        <v>10.132034750000001</v>
      </c>
      <c r="AB120" s="153">
        <v>3</v>
      </c>
      <c r="AC120" s="154">
        <v>4</v>
      </c>
      <c r="AD120" s="160">
        <v>11.908612250000001</v>
      </c>
    </row>
    <row r="121" spans="1:30">
      <c r="A121" s="79">
        <v>2021</v>
      </c>
      <c r="B121" s="80">
        <v>293</v>
      </c>
      <c r="C121" s="80">
        <v>2</v>
      </c>
      <c r="D121" s="80">
        <v>4</v>
      </c>
      <c r="E121" s="80" t="s">
        <v>55</v>
      </c>
      <c r="F121" s="80">
        <v>7</v>
      </c>
      <c r="G121" s="80">
        <v>7</v>
      </c>
      <c r="H121" s="80">
        <v>1586.7</v>
      </c>
      <c r="I121" s="80">
        <f t="shared" si="3"/>
        <v>1566</v>
      </c>
      <c r="J121" s="80">
        <v>128.49</v>
      </c>
      <c r="K121" s="80">
        <f t="shared" si="4"/>
        <v>103.47800000000001</v>
      </c>
      <c r="L121" s="80">
        <v>1193.8</v>
      </c>
      <c r="M121" s="80">
        <f t="shared" si="5"/>
        <v>1090.3219999999999</v>
      </c>
      <c r="N121" s="82"/>
      <c r="P121" s="84">
        <v>4</v>
      </c>
      <c r="Q121" s="84">
        <v>2</v>
      </c>
      <c r="R121" s="107" t="s">
        <v>143</v>
      </c>
      <c r="S121" s="84">
        <f>(I158+I159)/2</f>
        <v>1686.6999999999998</v>
      </c>
      <c r="T121" s="84">
        <f>(M158+M159)/2</f>
        <v>1151.2660000000001</v>
      </c>
      <c r="U121" s="84">
        <f>Table9[[#This Row],[Wet Cob Weight (g) ]]-Table9[[#This Row],[Dried Grain Weight (g) ]]</f>
        <v>535.43399999999974</v>
      </c>
      <c r="V121" s="84">
        <f>(Table9[[#This Row],[Moisture Loss (g) ]]/Table9[[#This Row],[Wet Cob Weight (g) ]])*100</f>
        <v>31.744471453133329</v>
      </c>
      <c r="W121" s="84">
        <f>Table9[[#This Row],[Dried Grain Weight (g) ]]*(10000/1000)</f>
        <v>11512.66</v>
      </c>
      <c r="X121" s="150">
        <f>Table9[[#This Row],[Yield (kg/ha)]]*1.155</f>
        <v>13297.122300000001</v>
      </c>
      <c r="Y121" s="150">
        <f>Table9[[#This Row],[Yield (kg/ha)]]/1000</f>
        <v>11.51266</v>
      </c>
      <c r="Z121" s="150">
        <f>Table9[[#This Row],[Yield (tons/ha)]]*1.15</f>
        <v>13.239559</v>
      </c>
      <c r="AB121" s="153">
        <v>3</v>
      </c>
      <c r="AC121" s="154">
        <v>5</v>
      </c>
      <c r="AD121" s="160">
        <v>10.884600499999998</v>
      </c>
    </row>
    <row r="122" spans="1:30">
      <c r="A122" s="79">
        <v>2021</v>
      </c>
      <c r="B122" s="80">
        <v>293</v>
      </c>
      <c r="C122" s="80">
        <v>2</v>
      </c>
      <c r="D122" s="80">
        <v>5</v>
      </c>
      <c r="E122" s="81" t="s">
        <v>54</v>
      </c>
      <c r="F122" s="80">
        <v>7</v>
      </c>
      <c r="G122" s="80">
        <v>7</v>
      </c>
      <c r="H122" s="80">
        <v>1506.8</v>
      </c>
      <c r="I122" s="111">
        <f t="shared" si="3"/>
        <v>1486.1</v>
      </c>
      <c r="J122" s="80">
        <v>137.39699999999999</v>
      </c>
      <c r="K122" s="80">
        <f t="shared" si="4"/>
        <v>112.38499999999999</v>
      </c>
      <c r="L122" s="80">
        <v>1192.5</v>
      </c>
      <c r="M122" s="80">
        <f t="shared" si="5"/>
        <v>1080.115</v>
      </c>
      <c r="N122" s="82"/>
      <c r="P122" s="84">
        <v>4</v>
      </c>
      <c r="Q122" s="84">
        <v>3</v>
      </c>
      <c r="R122" s="107" t="s">
        <v>144</v>
      </c>
      <c r="S122" s="84">
        <f>(I160+I161)/2</f>
        <v>1472.8</v>
      </c>
      <c r="T122" s="84">
        <f>(M160+M161)/2</f>
        <v>979.35649999999998</v>
      </c>
      <c r="U122" s="84">
        <f>Table9[[#This Row],[Wet Cob Weight (g) ]]-Table9[[#This Row],[Dried Grain Weight (g) ]]</f>
        <v>493.44349999999997</v>
      </c>
      <c r="V122" s="84">
        <f>(Table9[[#This Row],[Moisture Loss (g) ]]/Table9[[#This Row],[Wet Cob Weight (g) ]])*100</f>
        <v>33.503768332428031</v>
      </c>
      <c r="W122" s="84">
        <f>Table9[[#This Row],[Dried Grain Weight (g) ]]*(10000/1000)</f>
        <v>9793.5650000000005</v>
      </c>
      <c r="X122" s="150">
        <f>Table9[[#This Row],[Yield (kg/ha)]]*1.155</f>
        <v>11311.567575000001</v>
      </c>
      <c r="Y122" s="150">
        <f>Table9[[#This Row],[Yield (kg/ha)]]/1000</f>
        <v>9.793565000000001</v>
      </c>
      <c r="Z122" s="150">
        <f>Table9[[#This Row],[Yield (tons/ha)]]*1.15</f>
        <v>11.26259975</v>
      </c>
      <c r="AB122" s="153">
        <v>3</v>
      </c>
      <c r="AC122" s="154">
        <v>6</v>
      </c>
      <c r="AD122" s="160">
        <v>11.899832</v>
      </c>
    </row>
    <row r="123" spans="1:30">
      <c r="A123" s="79">
        <v>2021</v>
      </c>
      <c r="B123" s="80">
        <v>293</v>
      </c>
      <c r="C123" s="80">
        <v>2</v>
      </c>
      <c r="D123" s="80">
        <v>5</v>
      </c>
      <c r="E123" s="80" t="s">
        <v>55</v>
      </c>
      <c r="F123" s="80">
        <v>7</v>
      </c>
      <c r="G123" s="80">
        <v>7</v>
      </c>
      <c r="H123" s="80">
        <v>1447.6</v>
      </c>
      <c r="I123" s="80">
        <f t="shared" si="3"/>
        <v>1426.8999999999999</v>
      </c>
      <c r="J123" s="80">
        <v>117.502</v>
      </c>
      <c r="K123" s="80">
        <f t="shared" si="4"/>
        <v>92.49</v>
      </c>
      <c r="L123" s="80">
        <v>1113</v>
      </c>
      <c r="M123" s="80">
        <f t="shared" si="5"/>
        <v>1020.51</v>
      </c>
      <c r="N123" s="82"/>
      <c r="P123" s="84">
        <v>4</v>
      </c>
      <c r="Q123" s="84">
        <v>4</v>
      </c>
      <c r="R123" s="107" t="s">
        <v>145</v>
      </c>
      <c r="S123" s="84">
        <f>(I162+I163)/2</f>
        <v>1844.6</v>
      </c>
      <c r="T123" s="84">
        <f>(M162+M163)/2</f>
        <v>1246.222</v>
      </c>
      <c r="U123" s="84">
        <f>Table9[[#This Row],[Wet Cob Weight (g) ]]-Table9[[#This Row],[Dried Grain Weight (g) ]]</f>
        <v>598.37799999999993</v>
      </c>
      <c r="V123" s="84">
        <f>(Table9[[#This Row],[Moisture Loss (g) ]]/Table9[[#This Row],[Wet Cob Weight (g) ]])*100</f>
        <v>32.439444866095627</v>
      </c>
      <c r="W123" s="84">
        <f>Table9[[#This Row],[Dried Grain Weight (g) ]]*(10000/1000)</f>
        <v>12462.22</v>
      </c>
      <c r="X123" s="150">
        <f>Table9[[#This Row],[Yield (kg/ha)]]*1.155</f>
        <v>14393.864099999999</v>
      </c>
      <c r="Y123" s="150">
        <f>Table9[[#This Row],[Yield (kg/ha)]]/1000</f>
        <v>12.462219999999999</v>
      </c>
      <c r="Z123" s="150">
        <f>Table9[[#This Row],[Yield (tons/ha)]]*1.15</f>
        <v>14.331552999999998</v>
      </c>
      <c r="AB123" s="153">
        <v>3</v>
      </c>
      <c r="AC123" s="154">
        <v>7</v>
      </c>
      <c r="AD123" s="160">
        <v>12.069646749999997</v>
      </c>
    </row>
    <row r="124" spans="1:30">
      <c r="A124" s="79">
        <v>2021</v>
      </c>
      <c r="B124" s="80">
        <v>293</v>
      </c>
      <c r="C124" s="80">
        <v>2</v>
      </c>
      <c r="D124" s="80">
        <v>6</v>
      </c>
      <c r="E124" s="80" t="s">
        <v>54</v>
      </c>
      <c r="F124" s="80">
        <v>7</v>
      </c>
      <c r="G124" s="80">
        <v>7</v>
      </c>
      <c r="H124" s="111">
        <v>1559.9</v>
      </c>
      <c r="I124" s="80">
        <f t="shared" si="3"/>
        <v>1539.2</v>
      </c>
      <c r="J124" s="80">
        <v>132.07599999999999</v>
      </c>
      <c r="K124" s="80">
        <f t="shared" si="4"/>
        <v>107.06399999999999</v>
      </c>
      <c r="L124" s="80">
        <v>1236.3</v>
      </c>
      <c r="M124" s="80">
        <f t="shared" si="5"/>
        <v>1129.2359999999999</v>
      </c>
      <c r="N124" s="82"/>
      <c r="P124" s="84">
        <v>4</v>
      </c>
      <c r="Q124" s="84">
        <v>5</v>
      </c>
      <c r="R124" s="107" t="s">
        <v>146</v>
      </c>
      <c r="S124" s="84">
        <f>(I164+I165)/2</f>
        <v>1672.1999999999998</v>
      </c>
      <c r="T124" s="84">
        <f>(M164+M165)/2</f>
        <v>1089.4025000000001</v>
      </c>
      <c r="U124" s="84">
        <f>Table9[[#This Row],[Wet Cob Weight (g) ]]-Table9[[#This Row],[Dried Grain Weight (g) ]]</f>
        <v>582.79749999999967</v>
      </c>
      <c r="V124" s="84">
        <f>(Table9[[#This Row],[Moisture Loss (g) ]]/Table9[[#This Row],[Wet Cob Weight (g) ]])*100</f>
        <v>34.852140892237756</v>
      </c>
      <c r="W124" s="84">
        <f>Table9[[#This Row],[Dried Grain Weight (g) ]]*(10000/1000)</f>
        <v>10894.025000000001</v>
      </c>
      <c r="X124" s="150">
        <f>Table9[[#This Row],[Yield (kg/ha)]]*1.155</f>
        <v>12582.598875000001</v>
      </c>
      <c r="Y124" s="150">
        <f>Table9[[#This Row],[Yield (kg/ha)]]/1000</f>
        <v>10.894025000000001</v>
      </c>
      <c r="Z124" s="150">
        <f>Table9[[#This Row],[Yield (tons/ha)]]*1.15</f>
        <v>12.52812875</v>
      </c>
      <c r="AB124" s="153">
        <v>3</v>
      </c>
      <c r="AC124" s="154">
        <v>8</v>
      </c>
      <c r="AD124" s="160">
        <v>12.031616249999999</v>
      </c>
    </row>
    <row r="125" spans="1:30">
      <c r="A125" s="79">
        <v>2021</v>
      </c>
      <c r="B125" s="80">
        <v>293</v>
      </c>
      <c r="C125" s="80">
        <v>2</v>
      </c>
      <c r="D125" s="80">
        <v>6</v>
      </c>
      <c r="E125" s="80" t="s">
        <v>55</v>
      </c>
      <c r="F125" s="80">
        <v>7</v>
      </c>
      <c r="G125" s="80">
        <v>7</v>
      </c>
      <c r="H125" s="80">
        <v>1442.4</v>
      </c>
      <c r="I125" s="110">
        <f t="shared" si="3"/>
        <v>1421.7</v>
      </c>
      <c r="J125" s="80">
        <v>122.86499999999999</v>
      </c>
      <c r="K125" s="80">
        <f t="shared" si="4"/>
        <v>97.852999999999994</v>
      </c>
      <c r="L125" s="80">
        <v>1128.5999999999999</v>
      </c>
      <c r="M125" s="80">
        <f t="shared" si="5"/>
        <v>1030.7469999999998</v>
      </c>
      <c r="N125" s="82" t="s">
        <v>486</v>
      </c>
      <c r="P125" s="84">
        <v>4</v>
      </c>
      <c r="Q125" s="84">
        <v>6</v>
      </c>
      <c r="R125" s="107" t="s">
        <v>147</v>
      </c>
      <c r="S125" s="84">
        <f>(I166+I167)/2</f>
        <v>1539.5</v>
      </c>
      <c r="T125" s="84">
        <f>(M166+M167)/2</f>
        <v>1141.7909999999999</v>
      </c>
      <c r="U125" s="84">
        <f>Table9[[#This Row],[Wet Cob Weight (g) ]]-Table9[[#This Row],[Dried Grain Weight (g) ]]</f>
        <v>397.70900000000006</v>
      </c>
      <c r="V125" s="84">
        <f>(Table9[[#This Row],[Moisture Loss (g) ]]/Table9[[#This Row],[Wet Cob Weight (g) ]])*100</f>
        <v>25.833647288080545</v>
      </c>
      <c r="W125" s="84">
        <f>Table9[[#This Row],[Dried Grain Weight (g) ]]*(10000/1000)</f>
        <v>11417.91</v>
      </c>
      <c r="X125" s="150">
        <f>Table9[[#This Row],[Yield (kg/ha)]]*1.155</f>
        <v>13187.68605</v>
      </c>
      <c r="Y125" s="150">
        <f>Table9[[#This Row],[Yield (kg/ha)]]/1000</f>
        <v>11.417909999999999</v>
      </c>
      <c r="Z125" s="150">
        <f>Table9[[#This Row],[Yield (tons/ha)]]*1.15</f>
        <v>13.130596499999998</v>
      </c>
      <c r="AB125" s="153">
        <v>3</v>
      </c>
      <c r="AC125" s="154">
        <v>9</v>
      </c>
      <c r="AD125" s="160">
        <v>12.096119749999996</v>
      </c>
    </row>
    <row r="126" spans="1:30">
      <c r="A126" s="79">
        <v>2021</v>
      </c>
      <c r="B126" s="80">
        <v>293</v>
      </c>
      <c r="C126" s="80">
        <v>2</v>
      </c>
      <c r="D126" s="80">
        <v>7</v>
      </c>
      <c r="E126" s="81" t="s">
        <v>54</v>
      </c>
      <c r="F126" s="80">
        <v>8</v>
      </c>
      <c r="G126" s="80">
        <v>7</v>
      </c>
      <c r="H126" s="80">
        <v>1498.2</v>
      </c>
      <c r="I126" s="80">
        <f t="shared" si="3"/>
        <v>1477.5</v>
      </c>
      <c r="J126" s="80">
        <v>122.7</v>
      </c>
      <c r="K126" s="80">
        <f t="shared" si="4"/>
        <v>97.688000000000002</v>
      </c>
      <c r="L126" s="80">
        <v>1178.9000000000001</v>
      </c>
      <c r="M126" s="80">
        <f t="shared" si="5"/>
        <v>1081.212</v>
      </c>
      <c r="N126" s="82"/>
      <c r="P126" s="84">
        <v>4</v>
      </c>
      <c r="Q126" s="84">
        <v>7</v>
      </c>
      <c r="R126" s="107" t="s">
        <v>148</v>
      </c>
      <c r="S126" s="84">
        <f>(I168+I169)/2</f>
        <v>1667.4499999999998</v>
      </c>
      <c r="T126" s="84">
        <f>(M168+M169)/2</f>
        <v>1113.1295</v>
      </c>
      <c r="U126" s="84">
        <f>Table9[[#This Row],[Wet Cob Weight (g) ]]-Table9[[#This Row],[Dried Grain Weight (g) ]]</f>
        <v>554.32049999999981</v>
      </c>
      <c r="V126" s="84">
        <f>(Table9[[#This Row],[Moisture Loss (g) ]]/Table9[[#This Row],[Wet Cob Weight (g) ]])*100</f>
        <v>33.243605505412447</v>
      </c>
      <c r="W126" s="84">
        <f>Table9[[#This Row],[Dried Grain Weight (g) ]]*(10000/1000)</f>
        <v>11131.295</v>
      </c>
      <c r="X126" s="150">
        <f>Table9[[#This Row],[Yield (kg/ha)]]*1.155</f>
        <v>12856.645725</v>
      </c>
      <c r="Y126" s="150">
        <f>Table9[[#This Row],[Yield (kg/ha)]]/1000</f>
        <v>11.131295</v>
      </c>
      <c r="Z126" s="150">
        <f>Table9[[#This Row],[Yield (tons/ha)]]*1.15</f>
        <v>12.800989249999999</v>
      </c>
      <c r="AB126" s="155">
        <v>3</v>
      </c>
      <c r="AC126" s="156">
        <v>11</v>
      </c>
      <c r="AD126" s="156">
        <v>6.3206759999999989</v>
      </c>
    </row>
    <row r="127" spans="1:30">
      <c r="A127" s="79">
        <v>2021</v>
      </c>
      <c r="B127" s="80">
        <v>293</v>
      </c>
      <c r="C127" s="80">
        <v>2</v>
      </c>
      <c r="D127" s="80">
        <v>7</v>
      </c>
      <c r="E127" s="80" t="s">
        <v>55</v>
      </c>
      <c r="F127" s="80">
        <v>7</v>
      </c>
      <c r="G127" s="80">
        <v>7</v>
      </c>
      <c r="H127" s="80">
        <v>1492.9</v>
      </c>
      <c r="I127" s="111">
        <f t="shared" si="3"/>
        <v>1472.2</v>
      </c>
      <c r="J127" s="80">
        <v>119.44799999999999</v>
      </c>
      <c r="K127" s="80">
        <f t="shared" si="4"/>
        <v>94.435999999999993</v>
      </c>
      <c r="L127" s="80">
        <v>1157.0999999999999</v>
      </c>
      <c r="M127" s="80">
        <f t="shared" si="5"/>
        <v>1062.664</v>
      </c>
      <c r="N127" s="82"/>
      <c r="P127" s="84">
        <v>4</v>
      </c>
      <c r="Q127" s="84">
        <v>8</v>
      </c>
      <c r="R127" s="107" t="s">
        <v>149</v>
      </c>
      <c r="S127" s="84">
        <f>(I170+I171)/2</f>
        <v>1638.75</v>
      </c>
      <c r="T127" s="84">
        <f>(M170+M171)/2</f>
        <v>1119.4195</v>
      </c>
      <c r="U127" s="84">
        <f>Table9[[#This Row],[Wet Cob Weight (g) ]]-Table9[[#This Row],[Dried Grain Weight (g) ]]</f>
        <v>519.33050000000003</v>
      </c>
      <c r="V127" s="84">
        <f>(Table9[[#This Row],[Moisture Loss (g) ]]/Table9[[#This Row],[Wet Cob Weight (g) ]])*100</f>
        <v>31.690648360030515</v>
      </c>
      <c r="W127" s="84">
        <f>Table9[[#This Row],[Dried Grain Weight (g) ]]*(10000/1000)</f>
        <v>11194.195</v>
      </c>
      <c r="X127" s="150">
        <f>Table9[[#This Row],[Yield (kg/ha)]]*1.155</f>
        <v>12929.295225</v>
      </c>
      <c r="Y127" s="150">
        <f>Table9[[#This Row],[Yield (kg/ha)]]/1000</f>
        <v>11.194195000000001</v>
      </c>
      <c r="Z127" s="150">
        <f>Table9[[#This Row],[Yield (tons/ha)]]*1.15</f>
        <v>12.87332425</v>
      </c>
      <c r="AB127" s="155">
        <v>3</v>
      </c>
      <c r="AC127" s="156">
        <v>12</v>
      </c>
      <c r="AD127" s="156">
        <v>5.3387025000000001</v>
      </c>
    </row>
    <row r="128" spans="1:30">
      <c r="A128" s="79">
        <v>2021</v>
      </c>
      <c r="B128" s="80">
        <v>293</v>
      </c>
      <c r="C128" s="80">
        <v>2</v>
      </c>
      <c r="D128" s="80">
        <v>8</v>
      </c>
      <c r="E128" s="80" t="s">
        <v>54</v>
      </c>
      <c r="F128" s="80">
        <v>7</v>
      </c>
      <c r="G128" s="80">
        <v>7</v>
      </c>
      <c r="H128" s="80">
        <v>1477.9</v>
      </c>
      <c r="I128" s="80">
        <f t="shared" si="3"/>
        <v>1457.2</v>
      </c>
      <c r="J128" s="80">
        <v>123.31</v>
      </c>
      <c r="K128" s="80">
        <f t="shared" si="4"/>
        <v>98.298000000000002</v>
      </c>
      <c r="L128" s="80">
        <v>1159.5</v>
      </c>
      <c r="M128" s="80">
        <f t="shared" si="5"/>
        <v>1061.202</v>
      </c>
      <c r="N128" s="82"/>
      <c r="P128" s="84">
        <v>4</v>
      </c>
      <c r="Q128" s="84">
        <v>9</v>
      </c>
      <c r="R128" s="107" t="s">
        <v>150</v>
      </c>
      <c r="S128" s="84">
        <f>(I172+I173)/2</f>
        <v>1747.05</v>
      </c>
      <c r="T128" s="84">
        <f>(M172+M173)/2</f>
        <v>1237.0619999999999</v>
      </c>
      <c r="U128" s="84">
        <f>Table9[[#This Row],[Wet Cob Weight (g) ]]-Table9[[#This Row],[Dried Grain Weight (g) ]]</f>
        <v>509.98800000000006</v>
      </c>
      <c r="V128" s="84">
        <f>(Table9[[#This Row],[Moisture Loss (g) ]]/Table9[[#This Row],[Wet Cob Weight (g) ]])*100</f>
        <v>29.191379754443208</v>
      </c>
      <c r="W128" s="84">
        <f>Table9[[#This Row],[Dried Grain Weight (g) ]]*(10000/1000)</f>
        <v>12370.619999999999</v>
      </c>
      <c r="X128" s="150">
        <f>Table9[[#This Row],[Yield (kg/ha)]]*1.155</f>
        <v>14288.0661</v>
      </c>
      <c r="Y128" s="150">
        <f>Table9[[#This Row],[Yield (kg/ha)]]/1000</f>
        <v>12.370619999999999</v>
      </c>
      <c r="Z128" s="150">
        <f>Table9[[#This Row],[Yield (tons/ha)]]*1.15</f>
        <v>14.226212999999998</v>
      </c>
      <c r="AB128" s="155">
        <v>3</v>
      </c>
      <c r="AC128" s="156">
        <v>13</v>
      </c>
      <c r="AD128" s="156">
        <v>5.95723</v>
      </c>
    </row>
    <row r="129" spans="1:30">
      <c r="A129" s="79">
        <v>2021</v>
      </c>
      <c r="B129" s="80">
        <v>293</v>
      </c>
      <c r="C129" s="80">
        <v>2</v>
      </c>
      <c r="D129" s="80">
        <v>8</v>
      </c>
      <c r="E129" s="80" t="s">
        <v>55</v>
      </c>
      <c r="F129" s="80">
        <v>7</v>
      </c>
      <c r="G129" s="80">
        <v>7</v>
      </c>
      <c r="H129" s="80">
        <v>1658.2</v>
      </c>
      <c r="I129" s="111">
        <f t="shared" si="3"/>
        <v>1637.5</v>
      </c>
      <c r="J129" s="80">
        <v>140.483</v>
      </c>
      <c r="K129" s="80">
        <f t="shared" si="4"/>
        <v>115.471</v>
      </c>
      <c r="L129" s="80">
        <v>1293.9000000000001</v>
      </c>
      <c r="M129" s="80">
        <f t="shared" si="5"/>
        <v>1178.4290000000001</v>
      </c>
      <c r="N129" s="82"/>
      <c r="P129" s="171"/>
      <c r="Q129" s="171"/>
      <c r="R129" s="171"/>
      <c r="S129" s="171"/>
      <c r="T129" s="171"/>
      <c r="U129" s="171"/>
      <c r="V129" s="171"/>
      <c r="W129" s="171"/>
      <c r="X129" s="171"/>
      <c r="Y129" s="171"/>
      <c r="Z129" s="171"/>
      <c r="AB129" s="153">
        <v>4</v>
      </c>
      <c r="AC129" s="154">
        <v>1</v>
      </c>
      <c r="AD129" s="160">
        <v>10.132034750000001</v>
      </c>
    </row>
    <row r="130" spans="1:30">
      <c r="A130" s="79">
        <v>2021</v>
      </c>
      <c r="B130" s="80">
        <v>293</v>
      </c>
      <c r="C130" s="80">
        <v>2</v>
      </c>
      <c r="D130" s="80">
        <v>9</v>
      </c>
      <c r="E130" s="81" t="s">
        <v>54</v>
      </c>
      <c r="F130" s="80">
        <v>7</v>
      </c>
      <c r="G130" s="80">
        <v>7</v>
      </c>
      <c r="H130" s="80">
        <v>1541</v>
      </c>
      <c r="I130" s="110">
        <f t="shared" si="3"/>
        <v>1520.3</v>
      </c>
      <c r="J130" s="80">
        <v>132.20099999999999</v>
      </c>
      <c r="K130" s="80">
        <f t="shared" si="4"/>
        <v>107.18899999999999</v>
      </c>
      <c r="L130" s="80">
        <v>1213.3</v>
      </c>
      <c r="M130" s="80">
        <f t="shared" si="5"/>
        <v>1106.1109999999999</v>
      </c>
      <c r="N130" s="82"/>
      <c r="P130" s="171"/>
      <c r="Q130" s="171"/>
      <c r="R130" s="171"/>
      <c r="S130" s="171"/>
      <c r="T130" s="171"/>
      <c r="U130" s="171"/>
      <c r="V130" s="171"/>
      <c r="W130" s="171"/>
      <c r="X130" s="171"/>
      <c r="Y130" s="171"/>
      <c r="Z130" s="171"/>
      <c r="AB130" s="153">
        <v>4</v>
      </c>
      <c r="AC130" s="154">
        <v>2</v>
      </c>
      <c r="AD130" s="160">
        <v>13.239559</v>
      </c>
    </row>
    <row r="131" spans="1:30" ht="19.5" thickBot="1">
      <c r="A131" s="79">
        <v>2021</v>
      </c>
      <c r="B131" s="80">
        <v>293</v>
      </c>
      <c r="C131" s="80">
        <v>2</v>
      </c>
      <c r="D131" s="80">
        <v>9</v>
      </c>
      <c r="E131" s="80" t="s">
        <v>55</v>
      </c>
      <c r="F131" s="80">
        <v>7</v>
      </c>
      <c r="G131" s="80">
        <v>7</v>
      </c>
      <c r="H131" s="80">
        <v>1517.1</v>
      </c>
      <c r="I131" s="80">
        <f t="shared" si="3"/>
        <v>1496.3999999999999</v>
      </c>
      <c r="J131" s="80">
        <v>131.851</v>
      </c>
      <c r="K131" s="80">
        <f t="shared" si="4"/>
        <v>106.839</v>
      </c>
      <c r="L131" s="80">
        <v>1200.7</v>
      </c>
      <c r="M131" s="80">
        <f t="shared" si="5"/>
        <v>1093.8610000000001</v>
      </c>
      <c r="N131" s="82"/>
      <c r="P131" s="151" t="s">
        <v>46</v>
      </c>
      <c r="Q131" s="152" t="s">
        <v>47</v>
      </c>
      <c r="R131" s="152" t="s">
        <v>505</v>
      </c>
      <c r="S131" s="159" t="s">
        <v>484</v>
      </c>
      <c r="T131" s="159" t="s">
        <v>485</v>
      </c>
      <c r="U131" s="159" t="s">
        <v>640</v>
      </c>
      <c r="V131" s="159" t="s">
        <v>653</v>
      </c>
      <c r="W131" s="159" t="s">
        <v>469</v>
      </c>
      <c r="X131" s="159" t="s">
        <v>666</v>
      </c>
      <c r="Y131" s="136" t="s">
        <v>681</v>
      </c>
      <c r="Z131" s="136" t="s">
        <v>680</v>
      </c>
      <c r="AB131" s="153">
        <v>4</v>
      </c>
      <c r="AC131" s="154">
        <v>3</v>
      </c>
      <c r="AD131" s="160">
        <v>11.26259975</v>
      </c>
    </row>
    <row r="132" spans="1:30" ht="16.5" thickTop="1">
      <c r="A132" s="138">
        <v>2021</v>
      </c>
      <c r="B132" s="139">
        <v>292</v>
      </c>
      <c r="C132" s="139">
        <v>2</v>
      </c>
      <c r="D132" s="139">
        <v>11</v>
      </c>
      <c r="E132" s="139" t="s">
        <v>54</v>
      </c>
      <c r="F132" s="139">
        <v>7</v>
      </c>
      <c r="G132" s="139">
        <v>7</v>
      </c>
      <c r="H132" s="139">
        <v>1186.5999999999999</v>
      </c>
      <c r="I132" s="139">
        <f t="shared" si="3"/>
        <v>1165.8999999999999</v>
      </c>
      <c r="J132" s="139">
        <v>98.429000000000002</v>
      </c>
      <c r="K132" s="139">
        <f t="shared" si="4"/>
        <v>73.417000000000002</v>
      </c>
      <c r="L132" s="139">
        <v>927.6</v>
      </c>
      <c r="M132" s="139">
        <f t="shared" si="5"/>
        <v>854.18299999999999</v>
      </c>
      <c r="N132" s="140" t="s">
        <v>486</v>
      </c>
      <c r="P132" s="155">
        <v>1</v>
      </c>
      <c r="Q132" s="156">
        <v>11</v>
      </c>
      <c r="R132" s="165" t="s">
        <v>524</v>
      </c>
      <c r="S132" s="156">
        <v>1081.8</v>
      </c>
      <c r="T132" s="156">
        <v>779.81</v>
      </c>
      <c r="U132" s="156">
        <f>S132-T132</f>
        <v>301.99</v>
      </c>
      <c r="V132" s="143">
        <f>((Table9[[#This Row],[Wet Cob Weight (g) ]]-Table9[[#This Row],[Dried Grain Weight (g) ]])/Table9[[#This Row],[Wet Cob Weight (g) ]])*100</f>
        <v>27.915511185061938</v>
      </c>
      <c r="W132" s="156">
        <f>Table9[[#This Row],[Dried Grain Weight (g) ]]*(10000/1000)</f>
        <v>7798.0999999999995</v>
      </c>
      <c r="X132" s="156">
        <f>W132*1.15</f>
        <v>8967.8149999999987</v>
      </c>
      <c r="Y132" s="143">
        <f>Table9[[#This Row],[Yield (kg/ha)]]/1000</f>
        <v>7.7980999999999998</v>
      </c>
      <c r="Z132" s="143">
        <f>Table9[[#This Row],[Yield (tons/ha)]]*1.15</f>
        <v>8.9678149999999999</v>
      </c>
      <c r="AB132" s="153">
        <v>4</v>
      </c>
      <c r="AC132" s="154">
        <v>4</v>
      </c>
      <c r="AD132" s="160">
        <v>14.331552999999998</v>
      </c>
    </row>
    <row r="133" spans="1:30">
      <c r="A133" s="138">
        <v>2021</v>
      </c>
      <c r="B133" s="139">
        <v>292</v>
      </c>
      <c r="C133" s="139">
        <v>2</v>
      </c>
      <c r="D133" s="139">
        <v>12</v>
      </c>
      <c r="E133" s="139" t="s">
        <v>54</v>
      </c>
      <c r="F133" s="139">
        <v>6</v>
      </c>
      <c r="G133" s="139">
        <v>6</v>
      </c>
      <c r="H133" s="139">
        <v>1311.9</v>
      </c>
      <c r="I133" s="141">
        <f t="shared" si="3"/>
        <v>1291.2</v>
      </c>
      <c r="J133" s="139">
        <v>107.267</v>
      </c>
      <c r="K133" s="139">
        <f t="shared" si="4"/>
        <v>82.254999999999995</v>
      </c>
      <c r="L133" s="139">
        <v>988.4</v>
      </c>
      <c r="M133" s="139">
        <f t="shared" si="5"/>
        <v>906.14499999999998</v>
      </c>
      <c r="N133" s="140" t="s">
        <v>486</v>
      </c>
      <c r="P133" s="155">
        <v>1</v>
      </c>
      <c r="Q133" s="156">
        <v>12</v>
      </c>
      <c r="R133" s="165" t="s">
        <v>525</v>
      </c>
      <c r="S133" s="156">
        <v>1113.3999999999999</v>
      </c>
      <c r="T133" s="156">
        <v>815.92499999999995</v>
      </c>
      <c r="U133" s="156">
        <f t="shared" ref="U133:U143" si="6">S133-T133</f>
        <v>297.47499999999991</v>
      </c>
      <c r="V133" s="143">
        <f>((Table9[[#This Row],[Wet Cob Weight (g) ]]-Table9[[#This Row],[Dried Grain Weight (g) ]])/Table9[[#This Row],[Wet Cob Weight (g) ]])*100</f>
        <v>26.71771151428058</v>
      </c>
      <c r="W133" s="156">
        <f>Table9[[#This Row],[Dried Grain Weight (g) ]]*(10000/1000)</f>
        <v>8159.25</v>
      </c>
      <c r="X133" s="156">
        <f t="shared" ref="X133:X143" si="7">W133*1.15</f>
        <v>9383.1374999999989</v>
      </c>
      <c r="Y133" s="143">
        <f>Table9[[#This Row],[Yield (kg/ha)]]/1000</f>
        <v>8.1592500000000001</v>
      </c>
      <c r="Z133" s="143">
        <f>Table9[[#This Row],[Yield (tons/ha)]]*1.15</f>
        <v>9.3831375000000001</v>
      </c>
      <c r="AB133" s="153">
        <v>4</v>
      </c>
      <c r="AC133" s="154">
        <v>5</v>
      </c>
      <c r="AD133" s="160">
        <v>12.52812875</v>
      </c>
    </row>
    <row r="134" spans="1:30">
      <c r="A134" s="138">
        <v>2021</v>
      </c>
      <c r="B134" s="139">
        <v>292</v>
      </c>
      <c r="C134" s="139">
        <v>2</v>
      </c>
      <c r="D134" s="139">
        <v>13</v>
      </c>
      <c r="E134" s="142" t="s">
        <v>54</v>
      </c>
      <c r="F134" s="139">
        <v>6</v>
      </c>
      <c r="G134" s="139">
        <v>6</v>
      </c>
      <c r="H134" s="139">
        <v>851.1</v>
      </c>
      <c r="I134" s="143">
        <f t="shared" si="3"/>
        <v>830.4</v>
      </c>
      <c r="J134" s="139">
        <v>70.081000000000003</v>
      </c>
      <c r="K134" s="139">
        <f t="shared" si="4"/>
        <v>45.069000000000003</v>
      </c>
      <c r="L134" s="139">
        <v>666.1</v>
      </c>
      <c r="M134" s="139">
        <f t="shared" si="5"/>
        <v>621.03100000000006</v>
      </c>
      <c r="N134" s="140"/>
      <c r="P134" s="155">
        <v>1</v>
      </c>
      <c r="Q134" s="156">
        <v>13</v>
      </c>
      <c r="R134" s="165" t="s">
        <v>526</v>
      </c>
      <c r="S134" s="156">
        <v>1523</v>
      </c>
      <c r="T134" s="156">
        <v>1100.7239999999999</v>
      </c>
      <c r="U134" s="156">
        <f t="shared" si="6"/>
        <v>422.27600000000007</v>
      </c>
      <c r="V134" s="143">
        <f>((Table9[[#This Row],[Wet Cob Weight (g) ]]-Table9[[#This Row],[Dried Grain Weight (g) ]])/Table9[[#This Row],[Wet Cob Weight (g) ]])*100</f>
        <v>27.726592252133951</v>
      </c>
      <c r="W134" s="156">
        <f>Table9[[#This Row],[Dried Grain Weight (g) ]]*(10000/1000)</f>
        <v>11007.24</v>
      </c>
      <c r="X134" s="156">
        <f t="shared" si="7"/>
        <v>12658.325999999999</v>
      </c>
      <c r="Y134" s="143">
        <f>Table9[[#This Row],[Yield (kg/ha)]]/1000</f>
        <v>11.007239999999999</v>
      </c>
      <c r="Z134" s="143">
        <f>Table9[[#This Row],[Yield (tons/ha)]]*1.15</f>
        <v>12.658325999999999</v>
      </c>
      <c r="AB134" s="153">
        <v>4</v>
      </c>
      <c r="AC134" s="154">
        <v>6</v>
      </c>
      <c r="AD134" s="160">
        <v>13.130596499999998</v>
      </c>
    </row>
    <row r="135" spans="1:30">
      <c r="A135" s="79">
        <v>2021</v>
      </c>
      <c r="B135" s="80">
        <v>293</v>
      </c>
      <c r="C135" s="80">
        <v>3</v>
      </c>
      <c r="D135" s="80">
        <v>1</v>
      </c>
      <c r="E135" s="81" t="s">
        <v>54</v>
      </c>
      <c r="F135" s="80">
        <v>7</v>
      </c>
      <c r="G135" s="80">
        <v>7</v>
      </c>
      <c r="H135" s="83">
        <v>1541.1</v>
      </c>
      <c r="I135" s="80">
        <f t="shared" si="3"/>
        <v>1520.3999999999999</v>
      </c>
      <c r="J135" s="80">
        <v>133.066</v>
      </c>
      <c r="K135" s="80">
        <f t="shared" si="4"/>
        <v>108.054</v>
      </c>
      <c r="L135" s="80">
        <v>1199</v>
      </c>
      <c r="M135" s="80">
        <f t="shared" si="5"/>
        <v>1090.9459999999999</v>
      </c>
      <c r="N135" s="82"/>
      <c r="P135" s="155">
        <v>2</v>
      </c>
      <c r="Q135" s="156">
        <v>11</v>
      </c>
      <c r="R135" s="165" t="s">
        <v>536</v>
      </c>
      <c r="S135" s="156">
        <v>1165.8999999999999</v>
      </c>
      <c r="T135" s="156">
        <v>854.18299999999999</v>
      </c>
      <c r="U135" s="156">
        <f t="shared" si="6"/>
        <v>311.71699999999987</v>
      </c>
      <c r="V135" s="143">
        <f>((Table9[[#This Row],[Wet Cob Weight (g) ]]-Table9[[#This Row],[Dried Grain Weight (g) ]])/Table9[[#This Row],[Wet Cob Weight (g) ]])*100</f>
        <v>26.736169482802978</v>
      </c>
      <c r="W135" s="156">
        <f>Table9[[#This Row],[Dried Grain Weight (g) ]]*(10000/1000)</f>
        <v>8541.83</v>
      </c>
      <c r="X135" s="156">
        <f t="shared" si="7"/>
        <v>9823.1044999999995</v>
      </c>
      <c r="Y135" s="143">
        <f>Table9[[#This Row],[Yield (kg/ha)]]/1000</f>
        <v>8.5418299999999991</v>
      </c>
      <c r="Z135" s="143">
        <f>Table9[[#This Row],[Yield (tons/ha)]]*1.15</f>
        <v>9.8231044999999977</v>
      </c>
      <c r="AB135" s="153">
        <v>4</v>
      </c>
      <c r="AC135" s="154">
        <v>7</v>
      </c>
      <c r="AD135" s="160">
        <v>12.800989249999999</v>
      </c>
    </row>
    <row r="136" spans="1:30">
      <c r="A136" s="79">
        <v>2021</v>
      </c>
      <c r="B136" s="80">
        <v>293</v>
      </c>
      <c r="C136" s="80">
        <v>3</v>
      </c>
      <c r="D136" s="80">
        <v>1</v>
      </c>
      <c r="E136" s="80" t="s">
        <v>55</v>
      </c>
      <c r="F136" s="80">
        <v>7</v>
      </c>
      <c r="G136" s="80">
        <v>7</v>
      </c>
      <c r="H136" s="80">
        <v>1394.3</v>
      </c>
      <c r="I136" s="80">
        <f t="shared" si="3"/>
        <v>1373.6</v>
      </c>
      <c r="J136" s="80">
        <v>119.468</v>
      </c>
      <c r="K136" s="80">
        <f t="shared" si="4"/>
        <v>94.456000000000003</v>
      </c>
      <c r="L136" s="80">
        <v>1088.5999999999999</v>
      </c>
      <c r="M136" s="80">
        <f t="shared" si="5"/>
        <v>994.14399999999989</v>
      </c>
      <c r="N136" s="82"/>
      <c r="P136" s="155">
        <v>2</v>
      </c>
      <c r="Q136" s="156">
        <v>12</v>
      </c>
      <c r="R136" s="165" t="s">
        <v>537</v>
      </c>
      <c r="S136" s="156">
        <v>1291.2</v>
      </c>
      <c r="T136" s="156">
        <v>906.14499999999998</v>
      </c>
      <c r="U136" s="156">
        <f t="shared" si="6"/>
        <v>385.05500000000006</v>
      </c>
      <c r="V136" s="143">
        <f>((Table9[[#This Row],[Wet Cob Weight (g) ]]-Table9[[#This Row],[Dried Grain Weight (g) ]])/Table9[[#This Row],[Wet Cob Weight (g) ]])*100</f>
        <v>29.821483890954152</v>
      </c>
      <c r="W136" s="156">
        <f>Table9[[#This Row],[Dried Grain Weight (g) ]]*(10000/1000)</f>
        <v>9061.4500000000007</v>
      </c>
      <c r="X136" s="156">
        <f t="shared" si="7"/>
        <v>10420.6675</v>
      </c>
      <c r="Y136" s="143">
        <f>Table9[[#This Row],[Yield (kg/ha)]]/1000</f>
        <v>9.0614500000000007</v>
      </c>
      <c r="Z136" s="143">
        <f>Table9[[#This Row],[Yield (tons/ha)]]*1.15</f>
        <v>10.4206675</v>
      </c>
      <c r="AB136" s="153">
        <v>4</v>
      </c>
      <c r="AC136" s="154">
        <v>8</v>
      </c>
      <c r="AD136" s="160">
        <v>12.87332425</v>
      </c>
    </row>
    <row r="137" spans="1:30">
      <c r="A137" s="79">
        <v>2021</v>
      </c>
      <c r="B137" s="80">
        <v>293</v>
      </c>
      <c r="C137" s="80">
        <v>3</v>
      </c>
      <c r="D137" s="80">
        <v>2</v>
      </c>
      <c r="E137" s="80" t="s">
        <v>54</v>
      </c>
      <c r="F137" s="80">
        <v>9</v>
      </c>
      <c r="G137" s="80">
        <v>8</v>
      </c>
      <c r="H137" s="80">
        <v>1456</v>
      </c>
      <c r="I137" s="112">
        <f t="shared" si="3"/>
        <v>1435.3</v>
      </c>
      <c r="J137" s="80">
        <v>141.69399999999999</v>
      </c>
      <c r="K137" s="80">
        <f t="shared" si="4"/>
        <v>116.68199999999999</v>
      </c>
      <c r="L137" s="80">
        <v>1148.4000000000001</v>
      </c>
      <c r="M137" s="80">
        <f t="shared" si="5"/>
        <v>1031.7180000000001</v>
      </c>
      <c r="N137" s="82"/>
      <c r="P137" s="155">
        <v>2</v>
      </c>
      <c r="Q137" s="156">
        <v>13</v>
      </c>
      <c r="R137" s="165" t="s">
        <v>538</v>
      </c>
      <c r="S137" s="156">
        <v>830.4</v>
      </c>
      <c r="T137" s="156">
        <v>621.03100000000006</v>
      </c>
      <c r="U137" s="156">
        <f t="shared" si="6"/>
        <v>209.36899999999991</v>
      </c>
      <c r="V137" s="143">
        <f>((Table9[[#This Row],[Wet Cob Weight (g) ]]-Table9[[#This Row],[Dried Grain Weight (g) ]])/Table9[[#This Row],[Wet Cob Weight (g) ]])*100</f>
        <v>25.213029865125229</v>
      </c>
      <c r="W137" s="156">
        <f>Table9[[#This Row],[Dried Grain Weight (g) ]]*(10000/1000)</f>
        <v>6210.31</v>
      </c>
      <c r="X137" s="156">
        <f t="shared" si="7"/>
        <v>7141.8564999999999</v>
      </c>
      <c r="Y137" s="143">
        <f>Table9[[#This Row],[Yield (kg/ha)]]/1000</f>
        <v>6.2103100000000007</v>
      </c>
      <c r="Z137" s="143">
        <f>Table9[[#This Row],[Yield (tons/ha)]]*1.15</f>
        <v>7.1418565000000003</v>
      </c>
      <c r="AB137" s="153">
        <v>4</v>
      </c>
      <c r="AC137" s="154">
        <v>9</v>
      </c>
      <c r="AD137" s="160">
        <v>14.226212999999998</v>
      </c>
    </row>
    <row r="138" spans="1:30">
      <c r="A138" s="79">
        <v>2021</v>
      </c>
      <c r="B138" s="80">
        <v>293</v>
      </c>
      <c r="C138" s="80">
        <v>3</v>
      </c>
      <c r="D138" s="80">
        <v>2</v>
      </c>
      <c r="E138" s="80" t="s">
        <v>55</v>
      </c>
      <c r="F138" s="80">
        <v>8</v>
      </c>
      <c r="G138" s="80">
        <v>8</v>
      </c>
      <c r="H138" s="80">
        <v>1489.2</v>
      </c>
      <c r="I138" s="80">
        <f t="shared" si="3"/>
        <v>1468.5</v>
      </c>
      <c r="J138" s="80">
        <v>128.11600000000001</v>
      </c>
      <c r="K138" s="80">
        <f t="shared" si="4"/>
        <v>103.10400000000001</v>
      </c>
      <c r="L138" s="80">
        <v>1135.4000000000001</v>
      </c>
      <c r="M138" s="80">
        <f t="shared" si="5"/>
        <v>1032.296</v>
      </c>
      <c r="N138" s="82"/>
      <c r="P138" s="155">
        <v>3</v>
      </c>
      <c r="Q138" s="156">
        <v>11</v>
      </c>
      <c r="R138" s="165" t="s">
        <v>548</v>
      </c>
      <c r="S138" s="156">
        <v>745.09999999999991</v>
      </c>
      <c r="T138" s="156">
        <v>549.62400000000002</v>
      </c>
      <c r="U138" s="156">
        <f t="shared" si="6"/>
        <v>195.47599999999989</v>
      </c>
      <c r="V138" s="143">
        <f>((Table9[[#This Row],[Wet Cob Weight (g) ]]-Table9[[#This Row],[Dried Grain Weight (g) ]])/Table9[[#This Row],[Wet Cob Weight (g) ]])*100</f>
        <v>26.234867802979455</v>
      </c>
      <c r="W138" s="156">
        <f>Table9[[#This Row],[Dried Grain Weight (g) ]]*(10000/1000)</f>
        <v>5496.24</v>
      </c>
      <c r="X138" s="156">
        <f t="shared" si="7"/>
        <v>6320.6759999999995</v>
      </c>
      <c r="Y138" s="143">
        <f>Table9[[#This Row],[Yield (kg/ha)]]/1000</f>
        <v>5.4962399999999993</v>
      </c>
      <c r="Z138" s="143">
        <f>Table9[[#This Row],[Yield (tons/ha)]]*1.15</f>
        <v>6.3206759999999989</v>
      </c>
      <c r="AB138" s="155">
        <v>4</v>
      </c>
      <c r="AC138" s="156">
        <v>11</v>
      </c>
      <c r="AD138" s="156">
        <v>13.0185175</v>
      </c>
    </row>
    <row r="139" spans="1:30">
      <c r="A139" s="79">
        <v>2021</v>
      </c>
      <c r="B139" s="80">
        <v>293</v>
      </c>
      <c r="C139" s="80">
        <v>3</v>
      </c>
      <c r="D139" s="80">
        <v>3</v>
      </c>
      <c r="E139" s="81" t="s">
        <v>54</v>
      </c>
      <c r="F139" s="80">
        <v>7</v>
      </c>
      <c r="G139" s="80">
        <v>7</v>
      </c>
      <c r="H139" s="80">
        <v>1536.4</v>
      </c>
      <c r="I139" s="111">
        <f t="shared" si="3"/>
        <v>1515.7</v>
      </c>
      <c r="J139" s="80">
        <v>122.69</v>
      </c>
      <c r="K139" s="80">
        <f t="shared" si="4"/>
        <v>97.677999999999997</v>
      </c>
      <c r="L139" s="80">
        <v>1168.2</v>
      </c>
      <c r="M139" s="80">
        <f t="shared" si="5"/>
        <v>1070.5219999999999</v>
      </c>
      <c r="N139" s="82"/>
      <c r="P139" s="155">
        <v>3</v>
      </c>
      <c r="Q139" s="156">
        <v>12</v>
      </c>
      <c r="R139" s="165" t="s">
        <v>549</v>
      </c>
      <c r="S139" s="156">
        <v>626.29999999999995</v>
      </c>
      <c r="T139" s="156">
        <v>464.23500000000001</v>
      </c>
      <c r="U139" s="156">
        <f t="shared" si="6"/>
        <v>162.06499999999994</v>
      </c>
      <c r="V139" s="143">
        <f>((Table9[[#This Row],[Wet Cob Weight (g) ]]-Table9[[#This Row],[Dried Grain Weight (g) ]])/Table9[[#This Row],[Wet Cob Weight (g) ]])*100</f>
        <v>25.876576720421518</v>
      </c>
      <c r="W139" s="156">
        <f>Table9[[#This Row],[Dried Grain Weight (g) ]]*(10000/1000)</f>
        <v>4642.3500000000004</v>
      </c>
      <c r="X139" s="156">
        <f t="shared" si="7"/>
        <v>5338.7025000000003</v>
      </c>
      <c r="Y139" s="143">
        <f>Table9[[#This Row],[Yield (kg/ha)]]/1000</f>
        <v>4.6423500000000004</v>
      </c>
      <c r="Z139" s="143">
        <f>Table9[[#This Row],[Yield (tons/ha)]]*1.15</f>
        <v>5.3387025000000001</v>
      </c>
      <c r="AB139" s="155">
        <v>4</v>
      </c>
      <c r="AC139" s="156">
        <v>12</v>
      </c>
      <c r="AD139" s="156">
        <v>7.2678504999999989</v>
      </c>
    </row>
    <row r="140" spans="1:30">
      <c r="A140" s="79">
        <v>2021</v>
      </c>
      <c r="B140" s="80">
        <v>293</v>
      </c>
      <c r="C140" s="80">
        <v>3</v>
      </c>
      <c r="D140" s="80">
        <v>3</v>
      </c>
      <c r="E140" s="80" t="s">
        <v>55</v>
      </c>
      <c r="F140" s="80">
        <v>7</v>
      </c>
      <c r="G140" s="80">
        <v>7</v>
      </c>
      <c r="H140" s="80">
        <v>1864.2</v>
      </c>
      <c r="I140" s="83">
        <f t="shared" si="3"/>
        <v>1843.5</v>
      </c>
      <c r="J140" s="80">
        <v>143.23099999999999</v>
      </c>
      <c r="K140" s="80">
        <f t="shared" si="4"/>
        <v>118.21899999999999</v>
      </c>
      <c r="L140" s="80">
        <v>1376.6</v>
      </c>
      <c r="M140" s="80">
        <f t="shared" si="5"/>
        <v>1258.3809999999999</v>
      </c>
      <c r="N140" s="82" t="s">
        <v>486</v>
      </c>
      <c r="P140" s="155">
        <v>3</v>
      </c>
      <c r="Q140" s="156">
        <v>13</v>
      </c>
      <c r="R140" s="165" t="s">
        <v>550</v>
      </c>
      <c r="S140" s="156">
        <v>711</v>
      </c>
      <c r="T140" s="156">
        <v>518.02</v>
      </c>
      <c r="U140" s="156">
        <f t="shared" si="6"/>
        <v>192.98000000000002</v>
      </c>
      <c r="V140" s="143">
        <f>((Table9[[#This Row],[Wet Cob Weight (g) ]]-Table9[[#This Row],[Dried Grain Weight (g) ]])/Table9[[#This Row],[Wet Cob Weight (g) ]])*100</f>
        <v>27.142053445850916</v>
      </c>
      <c r="W140" s="156">
        <f>Table9[[#This Row],[Dried Grain Weight (g) ]]*(10000/1000)</f>
        <v>5180.2</v>
      </c>
      <c r="X140" s="156">
        <f t="shared" si="7"/>
        <v>5957.23</v>
      </c>
      <c r="Y140" s="143">
        <f>Table9[[#This Row],[Yield (kg/ha)]]/1000</f>
        <v>5.1802000000000001</v>
      </c>
      <c r="Z140" s="143">
        <f>Table9[[#This Row],[Yield (tons/ha)]]*1.15</f>
        <v>5.95723</v>
      </c>
      <c r="AB140" s="157">
        <v>4</v>
      </c>
      <c r="AC140" s="158">
        <v>13</v>
      </c>
      <c r="AD140" s="158">
        <v>6.4982475000000006</v>
      </c>
    </row>
    <row r="141" spans="1:30">
      <c r="A141" s="79">
        <v>2021</v>
      </c>
      <c r="B141" s="80">
        <v>293</v>
      </c>
      <c r="C141" s="80">
        <v>3</v>
      </c>
      <c r="D141" s="80">
        <v>4</v>
      </c>
      <c r="E141" s="80" t="s">
        <v>54</v>
      </c>
      <c r="F141" s="80">
        <v>7</v>
      </c>
      <c r="G141" s="80">
        <v>7</v>
      </c>
      <c r="H141" s="80">
        <v>1445.4</v>
      </c>
      <c r="I141" s="80">
        <f t="shared" si="3"/>
        <v>1424.7</v>
      </c>
      <c r="J141" s="80">
        <v>135.19200000000001</v>
      </c>
      <c r="K141" s="80">
        <f t="shared" si="4"/>
        <v>110.18</v>
      </c>
      <c r="L141" s="80">
        <v>1116.4000000000001</v>
      </c>
      <c r="M141" s="80">
        <f t="shared" si="5"/>
        <v>1006.22</v>
      </c>
      <c r="N141" s="82" t="s">
        <v>486</v>
      </c>
      <c r="P141" s="138">
        <v>4</v>
      </c>
      <c r="Q141" s="139">
        <v>11</v>
      </c>
      <c r="R141" s="167" t="s">
        <v>151</v>
      </c>
      <c r="S141" s="139">
        <v>1679.3</v>
      </c>
      <c r="T141" s="139">
        <v>1132.0450000000001</v>
      </c>
      <c r="U141" s="168">
        <f t="shared" si="6"/>
        <v>547.25499999999988</v>
      </c>
      <c r="V141" s="143">
        <f>((Table9[[#This Row],[Wet Cob Weight (g) ]]-Table9[[#This Row],[Dried Grain Weight (g) ]])/Table9[[#This Row],[Wet Cob Weight (g) ]])*100</f>
        <v>32.588280831298746</v>
      </c>
      <c r="W141" s="156">
        <f>Table9[[#This Row],[Dried Grain Weight (g) ]]*(10000/1000)</f>
        <v>11320.45</v>
      </c>
      <c r="X141" s="168">
        <f t="shared" si="7"/>
        <v>13018.5175</v>
      </c>
      <c r="Y141" s="143">
        <f>Table9[[#This Row],[Yield (kg/ha)]]/1000</f>
        <v>11.320450000000001</v>
      </c>
      <c r="Z141" s="143">
        <f>Table9[[#This Row],[Yield (tons/ha)]]*1.15</f>
        <v>13.0185175</v>
      </c>
    </row>
    <row r="142" spans="1:30">
      <c r="A142" s="79">
        <v>2021</v>
      </c>
      <c r="B142" s="80">
        <v>293</v>
      </c>
      <c r="C142" s="80">
        <v>3</v>
      </c>
      <c r="D142" s="80">
        <v>4</v>
      </c>
      <c r="E142" s="80" t="s">
        <v>55</v>
      </c>
      <c r="F142" s="80">
        <v>8</v>
      </c>
      <c r="G142" s="80">
        <v>7</v>
      </c>
      <c r="H142" s="80">
        <v>1620.9</v>
      </c>
      <c r="I142" s="111">
        <f t="shared" si="3"/>
        <v>1600.2</v>
      </c>
      <c r="J142" s="80">
        <v>130.46899999999999</v>
      </c>
      <c r="K142" s="80">
        <f t="shared" si="4"/>
        <v>105.45699999999999</v>
      </c>
      <c r="L142" s="80">
        <v>1170.3</v>
      </c>
      <c r="M142" s="80">
        <f t="shared" si="5"/>
        <v>1064.8429999999998</v>
      </c>
      <c r="N142" s="82"/>
      <c r="P142" s="138">
        <v>4</v>
      </c>
      <c r="Q142" s="139">
        <v>12</v>
      </c>
      <c r="R142" s="167" t="s">
        <v>153</v>
      </c>
      <c r="S142" s="139">
        <v>909.59999999999991</v>
      </c>
      <c r="T142" s="139">
        <v>631.98699999999997</v>
      </c>
      <c r="U142" s="168">
        <f t="shared" si="6"/>
        <v>277.61299999999994</v>
      </c>
      <c r="V142" s="143">
        <f>((Table9[[#This Row],[Wet Cob Weight (g) ]]-Table9[[#This Row],[Dried Grain Weight (g) ]])/Table9[[#This Row],[Wet Cob Weight (g) ]])*100</f>
        <v>30.520338610378182</v>
      </c>
      <c r="W142" s="156">
        <f>Table9[[#This Row],[Dried Grain Weight (g) ]]*(10000/1000)</f>
        <v>6319.87</v>
      </c>
      <c r="X142" s="168">
        <f t="shared" si="7"/>
        <v>7267.8504999999996</v>
      </c>
      <c r="Y142" s="143">
        <f>Table9[[#This Row],[Yield (kg/ha)]]/1000</f>
        <v>6.3198699999999999</v>
      </c>
      <c r="Z142" s="143">
        <f>Table9[[#This Row],[Yield (tons/ha)]]*1.15</f>
        <v>7.2678504999999989</v>
      </c>
    </row>
    <row r="143" spans="1:30">
      <c r="A143" s="79">
        <v>2021</v>
      </c>
      <c r="B143" s="80">
        <v>293</v>
      </c>
      <c r="C143" s="80">
        <v>3</v>
      </c>
      <c r="D143" s="80">
        <v>5</v>
      </c>
      <c r="E143" s="81" t="s">
        <v>54</v>
      </c>
      <c r="F143" s="80">
        <v>8</v>
      </c>
      <c r="G143" s="80">
        <v>7</v>
      </c>
      <c r="H143" s="80">
        <v>1525.9</v>
      </c>
      <c r="I143" s="84">
        <f t="shared" si="3"/>
        <v>1505.2</v>
      </c>
      <c r="J143" s="80">
        <v>143.07900000000001</v>
      </c>
      <c r="K143" s="80">
        <f t="shared" si="4"/>
        <v>118.06700000000001</v>
      </c>
      <c r="L143" s="80">
        <v>1088.3</v>
      </c>
      <c r="M143" s="80">
        <f t="shared" si="5"/>
        <v>970.23299999999995</v>
      </c>
      <c r="N143" s="82"/>
      <c r="P143" s="145">
        <v>4</v>
      </c>
      <c r="Q143" s="146">
        <v>13</v>
      </c>
      <c r="R143" s="169" t="s">
        <v>155</v>
      </c>
      <c r="S143" s="146">
        <v>838.4</v>
      </c>
      <c r="T143" s="146">
        <v>565.06500000000005</v>
      </c>
      <c r="U143" s="170">
        <f t="shared" si="6"/>
        <v>273.33499999999992</v>
      </c>
      <c r="V143" s="143">
        <f>((Table9[[#This Row],[Wet Cob Weight (g) ]]-Table9[[#This Row],[Dried Grain Weight (g) ]])/Table9[[#This Row],[Wet Cob Weight (g) ]])*100</f>
        <v>32.60197996183205</v>
      </c>
      <c r="W143" s="156">
        <f>Table9[[#This Row],[Dried Grain Weight (g) ]]*(10000/1000)</f>
        <v>5650.6500000000005</v>
      </c>
      <c r="X143" s="170">
        <f t="shared" si="7"/>
        <v>6498.2475000000004</v>
      </c>
      <c r="Y143" s="143">
        <f>Table9[[#This Row],[Yield (kg/ha)]]/1000</f>
        <v>5.6506500000000006</v>
      </c>
      <c r="Z143" s="143">
        <f>Table9[[#This Row],[Yield (tons/ha)]]*1.15</f>
        <v>6.4982475000000006</v>
      </c>
    </row>
    <row r="144" spans="1:30">
      <c r="A144" s="79">
        <v>2021</v>
      </c>
      <c r="B144" s="80">
        <v>293</v>
      </c>
      <c r="C144" s="80">
        <v>3</v>
      </c>
      <c r="D144" s="80">
        <v>5</v>
      </c>
      <c r="E144" s="80" t="s">
        <v>55</v>
      </c>
      <c r="F144" s="80">
        <v>6</v>
      </c>
      <c r="G144" s="80">
        <v>7</v>
      </c>
      <c r="H144" s="80">
        <v>1479.9</v>
      </c>
      <c r="I144" s="83">
        <f t="shared" si="3"/>
        <v>1459.2</v>
      </c>
      <c r="J144" s="80">
        <v>121.17100000000001</v>
      </c>
      <c r="K144" s="80">
        <f t="shared" si="4"/>
        <v>96.159000000000006</v>
      </c>
      <c r="L144" s="80">
        <v>1018.9</v>
      </c>
      <c r="M144" s="80">
        <f t="shared" si="5"/>
        <v>922.74099999999999</v>
      </c>
      <c r="N144" s="82"/>
    </row>
    <row r="145" spans="1:14">
      <c r="A145" s="79">
        <v>2021</v>
      </c>
      <c r="B145" s="80">
        <v>293</v>
      </c>
      <c r="C145" s="80">
        <v>3</v>
      </c>
      <c r="D145" s="80">
        <v>6</v>
      </c>
      <c r="E145" s="80" t="s">
        <v>54</v>
      </c>
      <c r="F145" s="80">
        <v>7</v>
      </c>
      <c r="G145" s="80">
        <v>7</v>
      </c>
      <c r="H145" s="80">
        <v>1560.1</v>
      </c>
      <c r="I145" s="80">
        <f t="shared" si="3"/>
        <v>1539.3999999999999</v>
      </c>
      <c r="J145" s="80">
        <v>130.035</v>
      </c>
      <c r="K145" s="80">
        <f t="shared" si="4"/>
        <v>105.023</v>
      </c>
      <c r="L145" s="80">
        <v>1144.9000000000001</v>
      </c>
      <c r="M145" s="80">
        <f t="shared" si="5"/>
        <v>1039.8770000000002</v>
      </c>
      <c r="N145" s="82" t="s">
        <v>486</v>
      </c>
    </row>
    <row r="146" spans="1:14">
      <c r="A146" s="79">
        <v>2021</v>
      </c>
      <c r="B146" s="80">
        <v>293</v>
      </c>
      <c r="C146" s="80">
        <v>3</v>
      </c>
      <c r="D146" s="80">
        <v>6</v>
      </c>
      <c r="E146" s="80" t="s">
        <v>55</v>
      </c>
      <c r="F146" s="80">
        <v>7</v>
      </c>
      <c r="G146" s="80">
        <v>6</v>
      </c>
      <c r="H146" s="80">
        <v>1439.4</v>
      </c>
      <c r="I146" s="111">
        <f t="shared" si="3"/>
        <v>1418.7</v>
      </c>
      <c r="J146" s="80">
        <v>126.753</v>
      </c>
      <c r="K146" s="80">
        <f t="shared" si="4"/>
        <v>101.741</v>
      </c>
      <c r="L146" s="80">
        <v>1131.4000000000001</v>
      </c>
      <c r="M146" s="80">
        <f t="shared" si="5"/>
        <v>1029.6590000000001</v>
      </c>
      <c r="N146" s="82"/>
    </row>
    <row r="147" spans="1:14">
      <c r="A147" s="79">
        <v>2021</v>
      </c>
      <c r="B147" s="80">
        <v>293</v>
      </c>
      <c r="C147" s="80">
        <v>3</v>
      </c>
      <c r="D147" s="80">
        <v>7</v>
      </c>
      <c r="E147" s="81" t="s">
        <v>54</v>
      </c>
      <c r="F147" s="80">
        <v>7</v>
      </c>
      <c r="G147" s="80">
        <v>7</v>
      </c>
      <c r="H147" s="80">
        <v>1661</v>
      </c>
      <c r="I147" s="84">
        <f t="shared" si="3"/>
        <v>1640.3</v>
      </c>
      <c r="J147" s="80">
        <v>140.18</v>
      </c>
      <c r="K147" s="80">
        <f t="shared" si="4"/>
        <v>115.16800000000001</v>
      </c>
      <c r="L147" s="80">
        <v>1217.5999999999999</v>
      </c>
      <c r="M147" s="80">
        <f t="shared" si="5"/>
        <v>1102.4319999999998</v>
      </c>
      <c r="N147" s="82"/>
    </row>
    <row r="148" spans="1:14">
      <c r="A148" s="79">
        <v>2021</v>
      </c>
      <c r="B148" s="80">
        <v>293</v>
      </c>
      <c r="C148" s="80">
        <v>3</v>
      </c>
      <c r="D148" s="80">
        <v>7</v>
      </c>
      <c r="E148" s="80" t="s">
        <v>55</v>
      </c>
      <c r="F148" s="80">
        <v>7</v>
      </c>
      <c r="G148" s="80">
        <v>7</v>
      </c>
      <c r="H148" s="80">
        <v>1449.9</v>
      </c>
      <c r="I148" s="80">
        <f t="shared" si="3"/>
        <v>1429.2</v>
      </c>
      <c r="J148" s="80">
        <v>119.77500000000001</v>
      </c>
      <c r="K148" s="80">
        <f t="shared" si="4"/>
        <v>94.763000000000005</v>
      </c>
      <c r="L148" s="80">
        <v>1091.4000000000001</v>
      </c>
      <c r="M148" s="80">
        <f t="shared" si="5"/>
        <v>996.63700000000006</v>
      </c>
      <c r="N148" s="82"/>
    </row>
    <row r="149" spans="1:14">
      <c r="A149" s="79">
        <v>2021</v>
      </c>
      <c r="B149" s="80">
        <v>293</v>
      </c>
      <c r="C149" s="80">
        <v>3</v>
      </c>
      <c r="D149" s="80">
        <v>8</v>
      </c>
      <c r="E149" s="80" t="s">
        <v>54</v>
      </c>
      <c r="F149" s="80">
        <v>7</v>
      </c>
      <c r="G149" s="80">
        <v>7</v>
      </c>
      <c r="H149" s="80">
        <v>1547.6</v>
      </c>
      <c r="I149" s="84">
        <f t="shared" si="3"/>
        <v>1526.8999999999999</v>
      </c>
      <c r="J149" s="80">
        <v>123.03700000000001</v>
      </c>
      <c r="K149" s="80">
        <f t="shared" si="4"/>
        <v>98.025000000000006</v>
      </c>
      <c r="L149" s="80">
        <v>1147.5</v>
      </c>
      <c r="M149" s="80">
        <f t="shared" si="5"/>
        <v>1049.4749999999999</v>
      </c>
      <c r="N149" s="82"/>
    </row>
    <row r="150" spans="1:14">
      <c r="A150" s="79">
        <v>2021</v>
      </c>
      <c r="B150" s="80">
        <v>293</v>
      </c>
      <c r="C150" s="80">
        <v>3</v>
      </c>
      <c r="D150" s="80">
        <v>8</v>
      </c>
      <c r="E150" s="80" t="s">
        <v>55</v>
      </c>
      <c r="F150" s="80">
        <v>8</v>
      </c>
      <c r="G150" s="80">
        <v>6</v>
      </c>
      <c r="H150" s="80">
        <v>1569</v>
      </c>
      <c r="I150" s="80">
        <f t="shared" si="3"/>
        <v>1548.3</v>
      </c>
      <c r="J150" s="80">
        <v>104.732</v>
      </c>
      <c r="K150" s="80">
        <f t="shared" si="4"/>
        <v>79.72</v>
      </c>
      <c r="L150" s="80">
        <v>1122.7</v>
      </c>
      <c r="M150" s="80">
        <f t="shared" si="5"/>
        <v>1042.98</v>
      </c>
      <c r="N150" s="82" t="s">
        <v>486</v>
      </c>
    </row>
    <row r="151" spans="1:14">
      <c r="A151" s="79">
        <v>2021</v>
      </c>
      <c r="B151" s="80">
        <v>293</v>
      </c>
      <c r="C151" s="80">
        <v>3</v>
      </c>
      <c r="D151" s="80">
        <v>9</v>
      </c>
      <c r="E151" s="81" t="s">
        <v>54</v>
      </c>
      <c r="F151" s="80">
        <v>7</v>
      </c>
      <c r="G151" s="80">
        <v>7</v>
      </c>
      <c r="H151" s="80">
        <v>1762.7</v>
      </c>
      <c r="I151" s="84">
        <f t="shared" si="3"/>
        <v>1742</v>
      </c>
      <c r="J151" s="80">
        <v>138.35499999999999</v>
      </c>
      <c r="K151" s="80">
        <f t="shared" si="4"/>
        <v>113.34299999999999</v>
      </c>
      <c r="L151" s="80">
        <v>1201.5999999999999</v>
      </c>
      <c r="M151" s="80">
        <f t="shared" si="5"/>
        <v>1088.2569999999998</v>
      </c>
      <c r="N151" s="82"/>
    </row>
    <row r="152" spans="1:14">
      <c r="A152" s="79">
        <v>2021</v>
      </c>
      <c r="B152" s="80">
        <v>293</v>
      </c>
      <c r="C152" s="80">
        <v>3</v>
      </c>
      <c r="D152" s="80">
        <v>9</v>
      </c>
      <c r="E152" s="80" t="s">
        <v>55</v>
      </c>
      <c r="F152" s="80">
        <v>7</v>
      </c>
      <c r="G152" s="80">
        <v>7</v>
      </c>
      <c r="H152" s="80">
        <v>1541.2</v>
      </c>
      <c r="I152" s="83">
        <f t="shared" si="3"/>
        <v>1520.5</v>
      </c>
      <c r="J152" s="80">
        <v>138.196</v>
      </c>
      <c r="K152" s="80">
        <f t="shared" si="4"/>
        <v>113.184</v>
      </c>
      <c r="L152" s="80">
        <v>1128.5999999999999</v>
      </c>
      <c r="M152" s="80">
        <f t="shared" si="5"/>
        <v>1015.4159999999999</v>
      </c>
      <c r="N152" s="82"/>
    </row>
    <row r="153" spans="1:14">
      <c r="A153" s="138">
        <v>2021</v>
      </c>
      <c r="B153" s="139">
        <v>292</v>
      </c>
      <c r="C153" s="139">
        <v>3</v>
      </c>
      <c r="D153" s="139">
        <v>11</v>
      </c>
      <c r="E153" s="139" t="s">
        <v>54</v>
      </c>
      <c r="F153" s="139">
        <v>7</v>
      </c>
      <c r="G153" s="139">
        <v>7</v>
      </c>
      <c r="H153" s="139">
        <v>765.8</v>
      </c>
      <c r="I153" s="139">
        <f t="shared" si="3"/>
        <v>745.09999999999991</v>
      </c>
      <c r="J153" s="139">
        <v>59.287999999999997</v>
      </c>
      <c r="K153" s="139">
        <f t="shared" si="4"/>
        <v>34.275999999999996</v>
      </c>
      <c r="L153" s="139">
        <v>583.9</v>
      </c>
      <c r="M153" s="139">
        <f t="shared" si="5"/>
        <v>549.62400000000002</v>
      </c>
      <c r="N153" s="140"/>
    </row>
    <row r="154" spans="1:14">
      <c r="A154" s="138">
        <v>2021</v>
      </c>
      <c r="B154" s="139">
        <v>292</v>
      </c>
      <c r="C154" s="139">
        <v>3</v>
      </c>
      <c r="D154" s="139">
        <v>12</v>
      </c>
      <c r="E154" s="139" t="s">
        <v>54</v>
      </c>
      <c r="F154" s="139">
        <v>7</v>
      </c>
      <c r="G154" s="139">
        <v>7</v>
      </c>
      <c r="H154" s="139">
        <v>647</v>
      </c>
      <c r="I154" s="144">
        <f t="shared" si="3"/>
        <v>626.29999999999995</v>
      </c>
      <c r="J154" s="139">
        <v>55.377000000000002</v>
      </c>
      <c r="K154" s="139">
        <f t="shared" si="4"/>
        <v>30.365000000000002</v>
      </c>
      <c r="L154" s="139">
        <v>494.6</v>
      </c>
      <c r="M154" s="139">
        <f t="shared" si="5"/>
        <v>464.23500000000001</v>
      </c>
      <c r="N154" s="140"/>
    </row>
    <row r="155" spans="1:14">
      <c r="A155" s="138">
        <v>2021</v>
      </c>
      <c r="B155" s="139">
        <v>292</v>
      </c>
      <c r="C155" s="139">
        <v>3</v>
      </c>
      <c r="D155" s="139">
        <v>13</v>
      </c>
      <c r="E155" s="142" t="s">
        <v>54</v>
      </c>
      <c r="F155" s="139">
        <v>6</v>
      </c>
      <c r="G155" s="139">
        <v>6</v>
      </c>
      <c r="H155" s="139">
        <v>731.7</v>
      </c>
      <c r="I155" s="139">
        <f t="shared" si="3"/>
        <v>711</v>
      </c>
      <c r="J155" s="139">
        <v>61.491999999999997</v>
      </c>
      <c r="K155" s="139">
        <f t="shared" si="4"/>
        <v>36.479999999999997</v>
      </c>
      <c r="L155" s="139">
        <v>554.5</v>
      </c>
      <c r="M155" s="139">
        <f t="shared" si="5"/>
        <v>518.02</v>
      </c>
      <c r="N155" s="140"/>
    </row>
    <row r="156" spans="1:14">
      <c r="A156" s="79">
        <v>2021</v>
      </c>
      <c r="B156" s="80">
        <v>293</v>
      </c>
      <c r="C156" s="80">
        <v>4</v>
      </c>
      <c r="D156" s="80">
        <v>1</v>
      </c>
      <c r="E156" s="81" t="s">
        <v>54</v>
      </c>
      <c r="F156" s="80">
        <v>6</v>
      </c>
      <c r="G156" s="80">
        <v>6</v>
      </c>
      <c r="H156" s="80">
        <v>1283.5999999999999</v>
      </c>
      <c r="I156" s="111">
        <f t="shared" si="3"/>
        <v>1262.8999999999999</v>
      </c>
      <c r="J156" s="80">
        <v>91.381</v>
      </c>
      <c r="K156" s="80">
        <f t="shared" si="4"/>
        <v>66.369</v>
      </c>
      <c r="L156" s="80">
        <v>888</v>
      </c>
      <c r="M156" s="80">
        <f t="shared" si="5"/>
        <v>821.63099999999997</v>
      </c>
      <c r="N156" s="82"/>
    </row>
    <row r="157" spans="1:14">
      <c r="A157" s="79">
        <v>2021</v>
      </c>
      <c r="B157" s="80">
        <v>293</v>
      </c>
      <c r="C157" s="80">
        <v>4</v>
      </c>
      <c r="D157" s="80">
        <v>1</v>
      </c>
      <c r="E157" s="80" t="s">
        <v>55</v>
      </c>
      <c r="F157" s="80">
        <v>7</v>
      </c>
      <c r="G157" s="80">
        <v>6</v>
      </c>
      <c r="H157" s="80">
        <v>1464.5</v>
      </c>
      <c r="I157" s="80">
        <f t="shared" si="3"/>
        <v>1443.8</v>
      </c>
      <c r="J157" s="80">
        <v>115.95</v>
      </c>
      <c r="K157" s="80">
        <f t="shared" si="4"/>
        <v>90.938000000000002</v>
      </c>
      <c r="L157" s="80">
        <v>1031.4000000000001</v>
      </c>
      <c r="M157" s="80">
        <f t="shared" si="5"/>
        <v>940.4620000000001</v>
      </c>
      <c r="N157" s="82"/>
    </row>
    <row r="158" spans="1:14">
      <c r="A158" s="79">
        <v>2021</v>
      </c>
      <c r="B158" s="80">
        <v>293</v>
      </c>
      <c r="C158" s="80">
        <v>4</v>
      </c>
      <c r="D158" s="80">
        <v>2</v>
      </c>
      <c r="E158" s="80" t="s">
        <v>54</v>
      </c>
      <c r="F158" s="80">
        <v>7</v>
      </c>
      <c r="G158" s="80">
        <v>7</v>
      </c>
      <c r="H158" s="80">
        <v>1679.8</v>
      </c>
      <c r="I158" s="111">
        <f t="shared" ref="I158:I176" si="8">H158-20.7</f>
        <v>1659.1</v>
      </c>
      <c r="J158" s="80">
        <v>134.22</v>
      </c>
      <c r="K158" s="80">
        <f t="shared" ref="K158:K176" si="9">J158-25.012</f>
        <v>109.208</v>
      </c>
      <c r="L158" s="80">
        <v>1259</v>
      </c>
      <c r="M158" s="80">
        <f t="shared" ref="M158:M176" si="10">L158-K158</f>
        <v>1149.7919999999999</v>
      </c>
      <c r="N158" s="82"/>
    </row>
    <row r="159" spans="1:14">
      <c r="A159" s="79">
        <v>2021</v>
      </c>
      <c r="B159" s="80">
        <v>293</v>
      </c>
      <c r="C159" s="80">
        <v>4</v>
      </c>
      <c r="D159" s="80">
        <v>2</v>
      </c>
      <c r="E159" s="80" t="s">
        <v>55</v>
      </c>
      <c r="F159" s="80">
        <v>7</v>
      </c>
      <c r="G159" s="80">
        <v>7</v>
      </c>
      <c r="H159" s="80">
        <v>1735</v>
      </c>
      <c r="I159" s="111">
        <f t="shared" si="8"/>
        <v>1714.3</v>
      </c>
      <c r="J159" s="80">
        <v>135.77199999999999</v>
      </c>
      <c r="K159" s="80">
        <f t="shared" si="9"/>
        <v>110.75999999999999</v>
      </c>
      <c r="L159" s="80">
        <v>1263.5</v>
      </c>
      <c r="M159" s="80">
        <f t="shared" si="10"/>
        <v>1152.74</v>
      </c>
      <c r="N159" s="82"/>
    </row>
    <row r="160" spans="1:14">
      <c r="A160" s="79">
        <v>2021</v>
      </c>
      <c r="B160" s="80">
        <v>293</v>
      </c>
      <c r="C160" s="80">
        <v>4</v>
      </c>
      <c r="D160" s="80">
        <v>3</v>
      </c>
      <c r="E160" s="81" t="s">
        <v>54</v>
      </c>
      <c r="F160" s="80">
        <v>6</v>
      </c>
      <c r="G160" s="80">
        <v>6</v>
      </c>
      <c r="H160" s="80">
        <v>1323.4</v>
      </c>
      <c r="I160" s="111">
        <f t="shared" si="8"/>
        <v>1302.7</v>
      </c>
      <c r="J160" s="80">
        <v>110.58199999999999</v>
      </c>
      <c r="K160" s="80">
        <f t="shared" si="9"/>
        <v>85.57</v>
      </c>
      <c r="L160" s="80">
        <v>946.7</v>
      </c>
      <c r="M160" s="80">
        <f t="shared" si="10"/>
        <v>861.13000000000011</v>
      </c>
      <c r="N160" s="82"/>
    </row>
    <row r="161" spans="1:14">
      <c r="A161" s="79">
        <v>2021</v>
      </c>
      <c r="B161" s="80">
        <v>293</v>
      </c>
      <c r="C161" s="80">
        <v>4</v>
      </c>
      <c r="D161" s="80">
        <v>3</v>
      </c>
      <c r="E161" s="80" t="s">
        <v>55</v>
      </c>
      <c r="F161" s="80">
        <v>7</v>
      </c>
      <c r="G161" s="80">
        <v>7</v>
      </c>
      <c r="H161" s="80">
        <v>1663.6</v>
      </c>
      <c r="I161" s="80">
        <f t="shared" si="8"/>
        <v>1642.8999999999999</v>
      </c>
      <c r="J161" s="80">
        <v>133.22900000000001</v>
      </c>
      <c r="K161" s="80">
        <f t="shared" si="9"/>
        <v>108.21700000000001</v>
      </c>
      <c r="L161" s="80">
        <v>1205.8</v>
      </c>
      <c r="M161" s="80">
        <f t="shared" si="10"/>
        <v>1097.5829999999999</v>
      </c>
      <c r="N161" s="82" t="s">
        <v>486</v>
      </c>
    </row>
    <row r="162" spans="1:14">
      <c r="A162" s="79">
        <v>2021</v>
      </c>
      <c r="B162" s="80">
        <v>293</v>
      </c>
      <c r="C162" s="80">
        <v>4</v>
      </c>
      <c r="D162" s="80">
        <v>4</v>
      </c>
      <c r="E162" s="80" t="s">
        <v>54</v>
      </c>
      <c r="F162" s="80">
        <v>7</v>
      </c>
      <c r="G162" s="80">
        <v>7</v>
      </c>
      <c r="H162" s="80">
        <v>1806.3</v>
      </c>
      <c r="I162" s="111">
        <f t="shared" si="8"/>
        <v>1785.6</v>
      </c>
      <c r="J162" s="80">
        <v>142.21</v>
      </c>
      <c r="K162" s="80">
        <f t="shared" si="9"/>
        <v>117.19800000000001</v>
      </c>
      <c r="L162" s="80">
        <v>1310.3</v>
      </c>
      <c r="M162" s="80">
        <f t="shared" si="10"/>
        <v>1193.1019999999999</v>
      </c>
      <c r="N162" s="82"/>
    </row>
    <row r="163" spans="1:14">
      <c r="A163" s="79">
        <v>2021</v>
      </c>
      <c r="B163" s="80">
        <v>293</v>
      </c>
      <c r="C163" s="80">
        <v>4</v>
      </c>
      <c r="D163" s="80">
        <v>4</v>
      </c>
      <c r="E163" s="80" t="s">
        <v>55</v>
      </c>
      <c r="F163" s="80">
        <v>7</v>
      </c>
      <c r="G163" s="80">
        <v>7</v>
      </c>
      <c r="H163" s="80">
        <v>1924.3</v>
      </c>
      <c r="I163" s="80">
        <f t="shared" si="8"/>
        <v>1903.6</v>
      </c>
      <c r="J163" s="80">
        <v>144.87</v>
      </c>
      <c r="K163" s="80">
        <f t="shared" si="9"/>
        <v>119.858</v>
      </c>
      <c r="L163" s="80">
        <v>1419.2</v>
      </c>
      <c r="M163" s="80">
        <f t="shared" si="10"/>
        <v>1299.3420000000001</v>
      </c>
      <c r="N163" s="82"/>
    </row>
    <row r="164" spans="1:14">
      <c r="A164" s="79">
        <v>2021</v>
      </c>
      <c r="B164" s="80">
        <v>293</v>
      </c>
      <c r="C164" s="80">
        <v>4</v>
      </c>
      <c r="D164" s="80">
        <v>5</v>
      </c>
      <c r="E164" s="81" t="s">
        <v>54</v>
      </c>
      <c r="F164" s="80">
        <v>7</v>
      </c>
      <c r="G164" s="80">
        <v>7</v>
      </c>
      <c r="H164" s="80">
        <v>1733.1</v>
      </c>
      <c r="I164" s="111">
        <f t="shared" si="8"/>
        <v>1712.3999999999999</v>
      </c>
      <c r="J164" s="80">
        <v>136.90700000000001</v>
      </c>
      <c r="K164" s="80">
        <f t="shared" si="9"/>
        <v>111.89500000000001</v>
      </c>
      <c r="L164" s="80">
        <v>1303</v>
      </c>
      <c r="M164" s="80">
        <f t="shared" si="10"/>
        <v>1191.105</v>
      </c>
      <c r="N164" s="82"/>
    </row>
    <row r="165" spans="1:14">
      <c r="A165" s="79">
        <v>2021</v>
      </c>
      <c r="B165" s="80">
        <v>293</v>
      </c>
      <c r="C165" s="80">
        <v>4</v>
      </c>
      <c r="D165" s="80">
        <v>5</v>
      </c>
      <c r="E165" s="80" t="s">
        <v>55</v>
      </c>
      <c r="F165" s="80">
        <v>7</v>
      </c>
      <c r="G165" s="80">
        <v>7</v>
      </c>
      <c r="H165" s="80">
        <v>1652.7</v>
      </c>
      <c r="I165" s="110">
        <f t="shared" si="8"/>
        <v>1632</v>
      </c>
      <c r="J165" s="80">
        <v>123.212</v>
      </c>
      <c r="K165" s="80">
        <f t="shared" si="9"/>
        <v>98.2</v>
      </c>
      <c r="L165" s="80">
        <v>1085.9000000000001</v>
      </c>
      <c r="M165" s="80">
        <f t="shared" si="10"/>
        <v>987.7</v>
      </c>
      <c r="N165" s="82"/>
    </row>
    <row r="166" spans="1:14">
      <c r="A166" s="79">
        <v>2021</v>
      </c>
      <c r="B166" s="80">
        <v>293</v>
      </c>
      <c r="C166" s="80">
        <v>4</v>
      </c>
      <c r="D166" s="80">
        <v>6</v>
      </c>
      <c r="E166" s="80" t="s">
        <v>54</v>
      </c>
      <c r="F166" s="80">
        <v>7</v>
      </c>
      <c r="G166" s="80">
        <v>7</v>
      </c>
      <c r="H166" s="80">
        <v>1672.3</v>
      </c>
      <c r="I166" s="80">
        <f t="shared" si="8"/>
        <v>1651.6</v>
      </c>
      <c r="J166" s="80">
        <v>135.08500000000001</v>
      </c>
      <c r="K166" s="80">
        <f t="shared" si="9"/>
        <v>110.07300000000001</v>
      </c>
      <c r="L166" s="80">
        <v>1255</v>
      </c>
      <c r="M166" s="80">
        <f t="shared" si="10"/>
        <v>1144.9269999999999</v>
      </c>
      <c r="N166" s="82"/>
    </row>
    <row r="167" spans="1:14">
      <c r="A167" s="79">
        <v>2021</v>
      </c>
      <c r="B167" s="80">
        <v>293</v>
      </c>
      <c r="C167" s="80">
        <v>4</v>
      </c>
      <c r="D167" s="80">
        <v>6</v>
      </c>
      <c r="E167" s="80" t="s">
        <v>55</v>
      </c>
      <c r="F167" s="80">
        <v>7</v>
      </c>
      <c r="G167" s="80">
        <v>6</v>
      </c>
      <c r="H167" s="80">
        <v>1448.1</v>
      </c>
      <c r="I167" s="111">
        <f t="shared" si="8"/>
        <v>1427.3999999999999</v>
      </c>
      <c r="J167" s="80">
        <v>133.15700000000001</v>
      </c>
      <c r="K167" s="80">
        <f t="shared" si="9"/>
        <v>108.14500000000001</v>
      </c>
      <c r="L167" s="80">
        <v>1246.8</v>
      </c>
      <c r="M167" s="80">
        <f t="shared" si="10"/>
        <v>1138.655</v>
      </c>
      <c r="N167" s="82"/>
    </row>
    <row r="168" spans="1:14">
      <c r="A168" s="79">
        <v>2021</v>
      </c>
      <c r="B168" s="80">
        <v>293</v>
      </c>
      <c r="C168" s="80">
        <v>4</v>
      </c>
      <c r="D168" s="80">
        <v>7</v>
      </c>
      <c r="E168" s="81" t="s">
        <v>54</v>
      </c>
      <c r="F168" s="80">
        <v>7</v>
      </c>
      <c r="G168" s="80">
        <v>7</v>
      </c>
      <c r="H168" s="80">
        <v>1600</v>
      </c>
      <c r="I168" s="84">
        <f t="shared" si="8"/>
        <v>1579.3</v>
      </c>
      <c r="J168" s="80">
        <v>122.182</v>
      </c>
      <c r="K168" s="80">
        <f t="shared" si="9"/>
        <v>97.17</v>
      </c>
      <c r="L168" s="80">
        <v>1158.3</v>
      </c>
      <c r="M168" s="80">
        <f t="shared" si="10"/>
        <v>1061.1299999999999</v>
      </c>
      <c r="N168" s="82"/>
    </row>
    <row r="169" spans="1:14">
      <c r="A169" s="79">
        <v>2021</v>
      </c>
      <c r="B169" s="80">
        <v>293</v>
      </c>
      <c r="C169" s="80">
        <v>4</v>
      </c>
      <c r="D169" s="80">
        <v>7</v>
      </c>
      <c r="E169" s="80" t="s">
        <v>55</v>
      </c>
      <c r="F169" s="80">
        <v>7</v>
      </c>
      <c r="G169" s="80">
        <v>7</v>
      </c>
      <c r="H169" s="80">
        <v>1776.3</v>
      </c>
      <c r="I169" s="83">
        <f t="shared" si="8"/>
        <v>1755.6</v>
      </c>
      <c r="J169" s="80">
        <v>132.583</v>
      </c>
      <c r="K169" s="80">
        <f t="shared" si="9"/>
        <v>107.571</v>
      </c>
      <c r="L169" s="80">
        <v>1272.7</v>
      </c>
      <c r="M169" s="80">
        <f t="shared" si="10"/>
        <v>1165.1290000000001</v>
      </c>
      <c r="N169" s="82"/>
    </row>
    <row r="170" spans="1:14">
      <c r="A170" s="79">
        <v>2021</v>
      </c>
      <c r="B170" s="80">
        <v>293</v>
      </c>
      <c r="C170" s="80">
        <v>4</v>
      </c>
      <c r="D170" s="80">
        <v>8</v>
      </c>
      <c r="E170" s="80" t="s">
        <v>54</v>
      </c>
      <c r="F170" s="80">
        <v>7</v>
      </c>
      <c r="G170" s="80">
        <v>7</v>
      </c>
      <c r="H170" s="80">
        <v>1750.7</v>
      </c>
      <c r="I170" s="83">
        <f t="shared" si="8"/>
        <v>1730</v>
      </c>
      <c r="J170" s="80">
        <v>140.91200000000001</v>
      </c>
      <c r="K170" s="80">
        <f t="shared" si="9"/>
        <v>115.9</v>
      </c>
      <c r="L170" s="80">
        <v>1313.3</v>
      </c>
      <c r="M170" s="80">
        <f t="shared" si="10"/>
        <v>1197.3999999999999</v>
      </c>
      <c r="N170" s="82"/>
    </row>
    <row r="171" spans="1:14">
      <c r="A171" s="79">
        <v>2021</v>
      </c>
      <c r="B171" s="80">
        <v>293</v>
      </c>
      <c r="C171" s="80">
        <v>4</v>
      </c>
      <c r="D171" s="80">
        <v>8</v>
      </c>
      <c r="E171" s="80" t="s">
        <v>55</v>
      </c>
      <c r="F171" s="80">
        <v>8</v>
      </c>
      <c r="G171" s="80">
        <v>7</v>
      </c>
      <c r="H171" s="80">
        <v>1568.2</v>
      </c>
      <c r="I171" s="80">
        <f t="shared" si="8"/>
        <v>1547.5</v>
      </c>
      <c r="J171" s="80">
        <v>122.57299999999999</v>
      </c>
      <c r="K171" s="80">
        <f t="shared" si="9"/>
        <v>97.560999999999993</v>
      </c>
      <c r="L171" s="80">
        <v>1139</v>
      </c>
      <c r="M171" s="80">
        <f t="shared" si="10"/>
        <v>1041.4390000000001</v>
      </c>
      <c r="N171" s="82"/>
    </row>
    <row r="172" spans="1:14">
      <c r="A172" s="79">
        <v>2021</v>
      </c>
      <c r="B172" s="80">
        <v>293</v>
      </c>
      <c r="C172" s="80">
        <v>4</v>
      </c>
      <c r="D172" s="80">
        <v>9</v>
      </c>
      <c r="E172" s="81" t="s">
        <v>54</v>
      </c>
      <c r="F172" s="80">
        <v>8</v>
      </c>
      <c r="G172" s="80">
        <v>8</v>
      </c>
      <c r="H172" s="80">
        <v>1891.6</v>
      </c>
      <c r="I172" s="111">
        <f t="shared" si="8"/>
        <v>1870.8999999999999</v>
      </c>
      <c r="J172" s="80">
        <v>156.44200000000001</v>
      </c>
      <c r="K172" s="80">
        <f t="shared" si="9"/>
        <v>131.43</v>
      </c>
      <c r="L172" s="80">
        <v>1455.9</v>
      </c>
      <c r="M172" s="80">
        <f t="shared" si="10"/>
        <v>1324.47</v>
      </c>
      <c r="N172" s="82"/>
    </row>
    <row r="173" spans="1:14">
      <c r="A173" s="79">
        <v>2021</v>
      </c>
      <c r="B173" s="80">
        <v>293</v>
      </c>
      <c r="C173" s="80">
        <v>4</v>
      </c>
      <c r="D173" s="80">
        <v>9</v>
      </c>
      <c r="E173" s="80" t="s">
        <v>55</v>
      </c>
      <c r="F173" s="80">
        <v>7</v>
      </c>
      <c r="G173" s="80">
        <v>7</v>
      </c>
      <c r="H173" s="80">
        <v>1643.9</v>
      </c>
      <c r="I173" s="80">
        <f t="shared" si="8"/>
        <v>1623.2</v>
      </c>
      <c r="J173" s="80">
        <v>130.55799999999999</v>
      </c>
      <c r="K173" s="80">
        <f t="shared" si="9"/>
        <v>105.54599999999999</v>
      </c>
      <c r="L173" s="80">
        <v>1255.2</v>
      </c>
      <c r="M173" s="80">
        <f t="shared" si="10"/>
        <v>1149.654</v>
      </c>
      <c r="N173" s="82"/>
    </row>
    <row r="174" spans="1:14">
      <c r="A174" s="138">
        <v>2021</v>
      </c>
      <c r="B174" s="139">
        <v>292</v>
      </c>
      <c r="C174" s="139">
        <v>4</v>
      </c>
      <c r="D174" s="139">
        <v>11</v>
      </c>
      <c r="E174" s="139" t="s">
        <v>54</v>
      </c>
      <c r="F174" s="139">
        <v>7</v>
      </c>
      <c r="G174" s="139">
        <v>7</v>
      </c>
      <c r="H174" s="139">
        <v>1700</v>
      </c>
      <c r="I174" s="141">
        <f t="shared" si="8"/>
        <v>1679.3</v>
      </c>
      <c r="J174" s="139">
        <v>127.367</v>
      </c>
      <c r="K174" s="139">
        <f t="shared" si="9"/>
        <v>102.355</v>
      </c>
      <c r="L174" s="139">
        <v>1234.4000000000001</v>
      </c>
      <c r="M174" s="139">
        <f t="shared" si="10"/>
        <v>1132.0450000000001</v>
      </c>
      <c r="N174" s="140"/>
    </row>
    <row r="175" spans="1:14">
      <c r="A175" s="138">
        <v>2021</v>
      </c>
      <c r="B175" s="139">
        <v>292</v>
      </c>
      <c r="C175" s="139">
        <v>4</v>
      </c>
      <c r="D175" s="139">
        <v>12</v>
      </c>
      <c r="E175" s="139" t="s">
        <v>54</v>
      </c>
      <c r="F175" s="139">
        <v>7</v>
      </c>
      <c r="G175" s="139">
        <v>7</v>
      </c>
      <c r="H175" s="139">
        <v>930.3</v>
      </c>
      <c r="I175" s="139">
        <f t="shared" si="8"/>
        <v>909.59999999999991</v>
      </c>
      <c r="J175" s="139">
        <v>68.325000000000003</v>
      </c>
      <c r="K175" s="139">
        <f t="shared" si="9"/>
        <v>43.313000000000002</v>
      </c>
      <c r="L175" s="139">
        <v>675.3</v>
      </c>
      <c r="M175" s="139">
        <f t="shared" si="10"/>
        <v>631.98699999999997</v>
      </c>
      <c r="N175" s="140"/>
    </row>
    <row r="176" spans="1:14">
      <c r="A176" s="145">
        <v>2021</v>
      </c>
      <c r="B176" s="139">
        <v>292</v>
      </c>
      <c r="C176" s="146">
        <v>4</v>
      </c>
      <c r="D176" s="146">
        <v>13</v>
      </c>
      <c r="E176" s="147" t="s">
        <v>54</v>
      </c>
      <c r="F176" s="146">
        <v>7</v>
      </c>
      <c r="G176" s="146">
        <v>7</v>
      </c>
      <c r="H176" s="146">
        <v>859.1</v>
      </c>
      <c r="I176" s="139">
        <f t="shared" si="8"/>
        <v>838.4</v>
      </c>
      <c r="J176" s="146">
        <v>64.647000000000006</v>
      </c>
      <c r="K176" s="139">
        <f t="shared" si="9"/>
        <v>39.635000000000005</v>
      </c>
      <c r="L176" s="146">
        <v>604.70000000000005</v>
      </c>
      <c r="M176" s="139">
        <f t="shared" si="10"/>
        <v>565.06500000000005</v>
      </c>
      <c r="N176" s="148"/>
    </row>
    <row r="177" spans="1:14">
      <c r="A177" s="87"/>
      <c r="B177" s="87"/>
      <c r="C177" s="87"/>
      <c r="D177" s="87"/>
      <c r="E177" s="87"/>
      <c r="F177" s="87"/>
      <c r="G177" s="87"/>
      <c r="H177" s="87"/>
      <c r="I177" s="87"/>
      <c r="J177" s="87"/>
      <c r="K177" s="87"/>
      <c r="L177" s="87"/>
      <c r="M177" s="87"/>
      <c r="N177" s="87"/>
    </row>
  </sheetData>
  <pageMargins left="0.7" right="0.7" top="0.75" bottom="0.75" header="0.3" footer="0.3"/>
  <ignoredErrors>
    <ignoredError sqref="R93:R101" twoDigitTextYear="1"/>
  </ignoredErrors>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Plant Sample Tracking</vt:lpstr>
      <vt:lpstr>Plant Sample IDs</vt:lpstr>
      <vt:lpstr>29-Jul-2020</vt:lpstr>
      <vt:lpstr>17-Sept-2020</vt:lpstr>
      <vt:lpstr>9 &amp;11-Nov-2020</vt:lpstr>
      <vt:lpstr>10-May-2021</vt:lpstr>
      <vt:lpstr>23-Jun-2021</vt:lpstr>
      <vt:lpstr>20&amp;21-Jul-2021</vt:lpstr>
      <vt:lpstr> 2021 Harvest Corn! </vt:lpstr>
      <vt:lpstr>2021 Harevest CC</vt:lpstr>
      <vt:lpstr>Corn Growth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Agustin Olivo</cp:lastModifiedBy>
  <dcterms:created xsi:type="dcterms:W3CDTF">2021-07-24T22:42:54Z</dcterms:created>
  <dcterms:modified xsi:type="dcterms:W3CDTF">2024-09-27T19:50:11Z</dcterms:modified>
</cp:coreProperties>
</file>