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7D423E40-BD33-4BB2-8ED4-90C59E608637}" xr6:coauthVersionLast="46" xr6:coauthVersionMax="46" xr10:uidLastSave="{00000000-0000-0000-0000-000000000000}"/>
  <bookViews>
    <workbookView xWindow="-120" yWindow="-120" windowWidth="38640" windowHeight="15840" activeTab="10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مراحل سرمایه‌گذاری" sheetId="15" r:id="rId12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ارزیابی'!$D$13</definedName>
    <definedName name="v_ExitRevenueMultiple">'خلاصه و ارزیابی'!$D$14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4" l="1"/>
  <c r="E26" i="14"/>
  <c r="E25" i="14"/>
  <c r="E24" i="14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F27" i="15" l="1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6" i="14" l="1"/>
  <c r="A7" i="14"/>
  <c r="A8" i="14"/>
  <c r="A9" i="14"/>
  <c r="A10" i="14"/>
  <c r="A4" i="14"/>
  <c r="A3" i="13"/>
  <c r="A4" i="13"/>
  <c r="A5" i="13"/>
  <c r="A6" i="13"/>
  <c r="A7" i="13"/>
  <c r="A8" i="13"/>
  <c r="J3" i="13"/>
  <c r="J4" i="13"/>
  <c r="I3" i="13"/>
  <c r="I4" i="13"/>
  <c r="H3" i="13"/>
  <c r="H4" i="13"/>
  <c r="G3" i="13"/>
  <c r="G4" i="13"/>
  <c r="F3" i="13"/>
  <c r="F4" i="13"/>
  <c r="E3" i="13"/>
  <c r="E4" i="13"/>
  <c r="D3" i="13"/>
  <c r="D4" i="13"/>
  <c r="C3" i="13"/>
  <c r="C18" i="12"/>
  <c r="C4" i="13" s="1"/>
  <c r="A2" i="13"/>
  <c r="B32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H12" i="12" l="1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J5" i="13" l="1"/>
  <c r="J6" i="13" s="1"/>
  <c r="I5" i="13"/>
  <c r="I6" i="13" s="1"/>
  <c r="H5" i="13"/>
  <c r="H6" i="13" s="1"/>
  <c r="G5" i="13"/>
  <c r="G6" i="13" s="1"/>
  <c r="F5" i="13"/>
  <c r="F6" i="13" s="1"/>
  <c r="E5" i="13"/>
  <c r="E6" i="13" s="1"/>
  <c r="D5" i="13"/>
  <c r="D6" i="13" s="1"/>
  <c r="C5" i="13"/>
  <c r="C6" i="13" s="1"/>
  <c r="C19" i="12"/>
  <c r="J2" i="12"/>
  <c r="I8" i="12" s="1"/>
  <c r="H14" i="12"/>
  <c r="C7" i="13" l="1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2" i="12"/>
  <c r="D32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D16" i="14" s="1"/>
  <c r="E4" i="14"/>
  <c r="F4" i="14" l="1"/>
  <c r="E16" i="14"/>
  <c r="A2" i="12"/>
  <c r="G4" i="14" l="1"/>
  <c r="H4" i="14" s="1"/>
  <c r="I4" i="14" s="1"/>
  <c r="F16" i="14"/>
  <c r="A3" i="2"/>
  <c r="A4" i="2"/>
  <c r="A5" i="2"/>
  <c r="G16" i="14" l="1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B14" i="3"/>
  <c r="D3" i="6" s="1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16" i="14" l="1"/>
  <c r="H16" i="14"/>
  <c r="C6" i="5"/>
  <c r="E6" i="5" s="1"/>
  <c r="E6" i="1"/>
  <c r="C2" i="8"/>
  <c r="D3" i="1" s="1"/>
  <c r="D2" i="8"/>
  <c r="D9" i="5"/>
  <c r="E4" i="6"/>
  <c r="E2" i="5"/>
  <c r="C3" i="6"/>
  <c r="D2" i="6"/>
  <c r="C9" i="5" l="1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E6" i="14" l="1"/>
  <c r="F6" i="14" s="1"/>
  <c r="G6" i="14" s="1"/>
  <c r="H6" i="14" s="1"/>
  <c r="I6" i="14" s="1"/>
  <c r="D6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F13" i="1" l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D7" i="14" s="1"/>
  <c r="D8" i="14" s="1"/>
  <c r="E4" i="1"/>
  <c r="E15" i="2"/>
  <c r="D9" i="14" l="1"/>
  <c r="D10" i="14"/>
  <c r="D14" i="1"/>
  <c r="E8" i="1"/>
  <c r="E7" i="14" s="1"/>
  <c r="F7" i="14" s="1"/>
  <c r="G7" i="14" s="1"/>
  <c r="H7" i="14" s="1"/>
  <c r="I7" i="14" s="1"/>
  <c r="F3" i="1"/>
  <c r="F4" i="1"/>
  <c r="D9" i="1"/>
  <c r="D15" i="14" l="1"/>
  <c r="D21" i="14"/>
  <c r="E8" i="14"/>
  <c r="E9" i="1"/>
  <c r="E14" i="1"/>
  <c r="F14" i="1" s="1"/>
  <c r="F8" i="1"/>
  <c r="G3" i="1" s="1"/>
  <c r="E10" i="14" l="1"/>
  <c r="E19" i="14"/>
  <c r="D17" i="14"/>
  <c r="E9" i="14"/>
  <c r="F8" i="14"/>
  <c r="F9" i="1"/>
  <c r="G4" i="1"/>
  <c r="G5" i="1"/>
  <c r="G2" i="1"/>
  <c r="G8" i="1"/>
  <c r="G7" i="1"/>
  <c r="G6" i="1"/>
  <c r="E15" i="14" l="1"/>
  <c r="E17" i="14" s="1"/>
  <c r="E21" i="14"/>
  <c r="E20" i="14"/>
  <c r="F19" i="14"/>
  <c r="F10" i="14"/>
  <c r="F15" i="14" s="1"/>
  <c r="F9" i="14"/>
  <c r="G8" i="14"/>
  <c r="G10" i="14" s="1"/>
  <c r="G9" i="1"/>
  <c r="F17" i="14" l="1"/>
  <c r="G19" i="14"/>
  <c r="G21" i="14"/>
  <c r="F20" i="14"/>
  <c r="G20" i="14"/>
  <c r="F21" i="14"/>
  <c r="H8" i="14"/>
  <c r="H19" i="14" s="1"/>
  <c r="I8" i="14"/>
  <c r="I10" i="14" s="1"/>
  <c r="G15" i="14"/>
  <c r="G17" i="14" s="1"/>
  <c r="G9" i="14"/>
  <c r="H9" i="14" l="1"/>
  <c r="H10" i="14"/>
  <c r="H15" i="14" s="1"/>
  <c r="H17" i="14" s="1"/>
  <c r="I19" i="14"/>
  <c r="I9" i="14"/>
  <c r="I15" i="14"/>
  <c r="I17" i="14" l="1"/>
  <c r="I21" i="14"/>
  <c r="I20" i="14"/>
  <c r="H21" i="14"/>
  <c r="H20" i="14"/>
  <c r="H14" i="15" l="1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sharedStrings.xml><?xml version="1.0" encoding="utf-8"?>
<sst xmlns="http://schemas.openxmlformats.org/spreadsheetml/2006/main" count="330" uniqueCount="188">
  <si>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</si>
  <si>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</si>
  <si>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</si>
  <si>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</si>
  <si>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</si>
  <si>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</si>
  <si>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</si>
  <si>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</si>
  <si>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</si>
  <si>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</si>
  <si>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</si>
  <si>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</si>
  <si>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</si>
  <si>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</si>
  <si>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</si>
  <si>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</si>
  <si>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</si>
  <si>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</si>
  <si>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</si>
  <si>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</si>
  <si>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</si>
  <si>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</si>
  <si>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</si>
  <si>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</si>
  <si>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</si>
  <si>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</si>
  <si>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</si>
  <si>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</si>
  <si>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</si>
  <si>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</si>
  <si>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</si>
  <si>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</si>
  <si>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</si>
  <si>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</si>
  <si>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</si>
  <si>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</si>
  <si>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</si>
  <si>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</si>
  <si>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</si>
  <si>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</si>
  <si>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</si>
  <si>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</si>
  <si>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</si>
  <si>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</si>
  <si>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</si>
  <si>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</si>
  <si>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</si>
  <si>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</si>
  <si>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</si>
  <si>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</si>
  <si>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</si>
  <si>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</si>
  <si>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</si>
  <si>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</si>
  <si>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</si>
  <si>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</si>
  <si>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</si>
  <si>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</si>
  <si>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</si>
  <si>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</si>
  <si>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</si>
  <si>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سایز هزینه‌ها ۲۰٪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</si>
  <si>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</si>
  <si>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</si>
  <si>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</si>
  <si>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</si>
  <si>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</si>
  <si>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</si>
  <si>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</si>
  <si>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</si>
  <si>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</si>
  <si>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</si>
  <si>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</si>
  <si>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</si>
  <si>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پشتیبانی ویژه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</si>
  <si>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</si>
  <si>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</si>
  <si>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</si>
  <si>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</si>
  <si>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</si>
  <si>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</si>
  <si>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</si>
  <si>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</si>
  <si>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</si>
  <si>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</si>
  <si>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</si>
  <si>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</si>
  <si>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</si>
  <si>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</si>
  <si>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</si>
  <si>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</si>
  <si>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</si>
  <si>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</si>
  <si>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</si>
  <si>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</si>
  <si>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</si>
  <si>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</si>
  <si>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</si>
  <si>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</si>
  <si>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</si>
  <si>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</si>
  <si>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</si>
  <si>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</si>
  <si>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</si>
  <si>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</si>
  <si>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</si>
  <si>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</si>
  <si>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</si>
  <si>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</si>
  <si>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</si>
  <si>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</si>
  <si>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</si>
  <si>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</si>
  <si>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</si>
  <si>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</si>
  <si>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</si>
  <si>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</si>
  <si>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</si>
  <si>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</si>
  <si>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</si>
  <si>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</si>
  <si>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</si>
  <si>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</si>
  <si>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</si>
  <si>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</si>
  <si>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</si>
  <si>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</si>
  <si>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</si>
  <si>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</si>
  <si>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</si>
  <si>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</si>
  <si>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</si>
  <si>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</si>
  <si>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</si>
  <si>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</si>
  <si>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جریان نقدی آزاد</t>
  </si>
  <si>
    <t>Discount Rate</t>
  </si>
  <si>
    <t>Exit Revenue Multiple</t>
  </si>
  <si>
    <t>Present FCF</t>
  </si>
  <si>
    <t>سال</t>
  </si>
  <si>
    <t>Title</t>
  </si>
  <si>
    <t>PV of Terminal Value Exit</t>
  </si>
  <si>
    <t>ExitV Value</t>
  </si>
  <si>
    <t>رشد سالیانه هزینه سرمایه ثابت</t>
  </si>
  <si>
    <t>IRR</t>
  </si>
  <si>
    <t>IRR + CAPEX</t>
  </si>
  <si>
    <t>NVP</t>
  </si>
  <si>
    <t>نرخ تنزیل</t>
  </si>
  <si>
    <t>خالص ارزش فعلی کل سرمایه‌گذاری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</si>
  <si>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</si>
  <si>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</si>
  <si>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</si>
  <si>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</si>
  <si>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</si>
  <si>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</si>
  <si>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</si>
  <si>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</si>
  <si>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</si>
  <si>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</si>
  <si>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</si>
  <si>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</si>
  <si>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</si>
  <si>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</si>
  <si>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</si>
  <si>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</si>
  <si>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</si>
  <si>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</si>
  <si>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</si>
  <si>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</si>
  <si>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</si>
  <si>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</si>
  <si>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</si>
  <si>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</si>
  <si>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</si>
  <si>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</si>
  <si>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</si>
  <si>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</si>
  <si>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</si>
  <si>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</si>
  <si>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</si>
  <si>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</si>
  <si>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g/sec</t>
  </si>
  <si>
    <t>min</t>
  </si>
  <si>
    <t>hour</t>
  </si>
  <si>
    <t>200g sound</t>
  </si>
  <si>
    <t>4t video</t>
  </si>
  <si>
    <t>day</t>
  </si>
  <si>
    <t>30day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</si>
</sst>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4" formatCode="_(\I\R\T\ * #,##0_);[Red]_(\I\R\T\ * &quot;-&quot;#,##0_)"/>
    <numFmt numFmtId="176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168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4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6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43" fontId="2" fillId="0" borderId="0" xfId="0" applyNumberFormat="1" applyFont="1" applyAlignment="1">
      <alignment vertical="center"/>
    </xf>
    <xf numFmtId="169" fontId="2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2" fillId="0" borderId="0" xfId="0" applyNumberFormat="1" applyFont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1872000000</c:v>
                </c:pt>
                <c:pt idx="1">
                  <c:v>240000000</c:v>
                </c:pt>
                <c:pt idx="2">
                  <c:v>1121400000</c:v>
                </c:pt>
                <c:pt idx="3">
                  <c:v>800000000</c:v>
                </c:pt>
                <c:pt idx="4">
                  <c:v>240000000</c:v>
                </c:pt>
                <c:pt idx="5">
                  <c:v>422400000</c:v>
                </c:pt>
                <c:pt idx="6">
                  <c:v>469580000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3060000000</c:v>
                </c:pt>
                <c:pt idx="1">
                  <c:v>510000000</c:v>
                </c:pt>
                <c:pt idx="2">
                  <c:v>8207580000</c:v>
                </c:pt>
                <c:pt idx="3">
                  <c:v>3000000000</c:v>
                </c:pt>
                <c:pt idx="4">
                  <c:v>750000000</c:v>
                </c:pt>
                <c:pt idx="5">
                  <c:v>1164000000</c:v>
                </c:pt>
                <c:pt idx="6">
                  <c:v>1669158000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4932000000</c:v>
                </c:pt>
                <c:pt idx="1">
                  <c:v>750000000</c:v>
                </c:pt>
                <c:pt idx="2">
                  <c:v>9328980000</c:v>
                </c:pt>
                <c:pt idx="3">
                  <c:v>3800000000</c:v>
                </c:pt>
                <c:pt idx="4">
                  <c:v>990000000</c:v>
                </c:pt>
                <c:pt idx="5">
                  <c:v>1586400000</c:v>
                </c:pt>
                <c:pt idx="6">
                  <c:v>2138738000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2112000000</c:v>
                </c:pt>
                <c:pt idx="1">
                  <c:v>3570000000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3053380000</c:v>
                </c:pt>
                <c:pt idx="1">
                  <c:v>14790738000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5165380000</c:v>
                </c:pt>
                <c:pt idx="1">
                  <c:v>18360738000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09" dataDxfId="208" totalsRowDxfId="207">
  <autoFilter ref="A1:G8" xr:uid="{5810A676-66BF-4EA4-B586-C6E90025121D}"/>
  <tableColumns count="7">
    <tableColumn id="5" xr3:uid="{47369FE7-678F-4F87-AB99-EE1EDC617F1A}" name="#" totalsRowLabel="Total" dataDxfId="206" totalsRowDxfId="92">
      <calculatedColumnFormula>ROW(A1)</calculatedColumnFormula>
    </tableColumn>
    <tableColumn id="1" xr3:uid="{3037BF7E-6F17-4FD9-B0BA-2603DBE3AA73}" name="نوع" dataDxfId="205" totalsRowDxfId="91"/>
    <tableColumn id="2" xr3:uid="{5543AAC9-D97A-4AF1-B9C8-BCB750FF9446}" name="عنوان" dataDxfId="204" totalsRowDxfId="90"/>
    <tableColumn id="4" xr3:uid="{363204E2-D323-45E0-8740-F6AAC858616C}" name="1400" totalsRowFunction="sum" totalsRowDxfId="89" dataCellStyle="Currency"/>
    <tableColumn id="6" xr3:uid="{0C5EF792-05B7-4EDA-BEF7-3C660D2AFD4B}" name="1401" totalsRowFunction="sum" totalsRowDxfId="88" dataCellStyle="Currency"/>
    <tableColumn id="8" xr3:uid="{29FAD03A-69B3-4207-A748-8BD45D15D581}" name="مجموع" totalsRowFunction="sum" totalsRowDxfId="87" dataCellStyle="Currency">
      <calculatedColumnFormula>SUM(tbl_sumary[[#This Row],[1400]:[1401]])</calculatedColumnFormula>
    </tableColumn>
    <tableColumn id="3" xr3:uid="{CDA3691F-C5E7-4ED9-A080-98FD93E74B52}" name="درصد" totalsRowFunction="sum" dataDxfId="203" totalsRowDxfId="86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30" dataDxfId="129">
  <autoFilter ref="A1:R13" xr:uid="{11174E64-8CFF-4722-BD71-DA8D32366E61}"/>
  <tableColumns count="18">
    <tableColumn id="1" xr3:uid="{9A53D445-08A1-4BD8-A9B1-36B149B75784}" name="ردیف" totalsRowLabel="Total" dataDxfId="128" totalsRowDxfId="17">
      <calculatedColumnFormula>ROW(A1)</calculatedColumnFormula>
    </tableColumn>
    <tableColumn id="2" xr3:uid="{A097EA43-7198-43D4-A945-9788D7E650A6}" name="عنوان" dataDxfId="127" totalsRowDxfId="16"/>
    <tableColumn id="5" xr3:uid="{EEC712EC-61BA-44C7-A77F-FC5EE5CA47F3}" name="مدل پرداخت" dataDxfId="126" totalsRowDxfId="15"/>
    <tableColumn id="3" xr3:uid="{B9F7695D-2433-4D21-A6B5-58ABCCFB2FEF}" name="مبلغ پرداختی" dataDxfId="125" totalsRowDxfId="14"/>
    <tableColumn id="6" xr3:uid="{EC802C2A-E591-4D77-926A-410A0C0BDAA0}" name="بهای تمام شده" dataDxfId="124" totalsRowDxfId="13"/>
    <tableColumn id="7" xr3:uid="{A37BFF77-E27B-448B-B94A-F9B63A90085C}" name="سود" dataDxfId="123" totalsRowDxfId="12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22" totalsRowDxfId="11" dataCellStyle="Percent"/>
    <tableColumn id="21" xr3:uid="{30514F62-ED70-4E43-940C-9DBD8F3236F7}" name="سود به ازای هر بیزینس" totalsRowFunction="sum" dataDxfId="121" totalsRowDxfId="10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20" totalsRowDxfId="9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19" totalsRowDxfId="8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18" totalsRowDxfId="7">
      <calculatedColumnFormula>tbl_pricing[[#Headers],[500]]*tbl_pricing[[#This Row],[درصد خرید]]</calculatedColumnFormula>
    </tableColumn>
    <tableColumn id="10" xr3:uid="{9AB94E1B-34ED-4589-8806-1371AF0006CE}" name="1000" dataDxfId="117" totalsRowDxfId="6">
      <calculatedColumnFormula>tbl_pricing[[#Headers],[1000]]*tbl_pricing[[#This Row],[درصد خرید]]</calculatedColumnFormula>
    </tableColumn>
    <tableColumn id="11" xr3:uid="{73D11ABE-3FE2-4354-9B4D-6A48992B395A}" name="2000" dataDxfId="116" totalsRowDxfId="5">
      <calculatedColumnFormula>tbl_pricing[[#Headers],[2000]]*tbl_pricing[[#This Row],[درصد خرید]]</calculatedColumnFormula>
    </tableColumn>
    <tableColumn id="12" xr3:uid="{C88D635E-46CD-44BB-9844-EBB575A727B1}" name="5000" dataDxfId="115" totalsRowDxfId="4">
      <calculatedColumnFormula>tbl_pricing[[#Headers],[5000]]*tbl_pricing[[#This Row],[درصد خرید]]</calculatedColumnFormula>
    </tableColumn>
    <tableColumn id="13" xr3:uid="{159DCBCC-07DD-484D-8F87-B26CA28EFF29}" name="10000" dataDxfId="114" totalsRowDxfId="3">
      <calculatedColumnFormula>tbl_pricing[[#Headers],[10000]]*tbl_pricing[[#This Row],[درصد خرید]]</calculatedColumnFormula>
    </tableColumn>
    <tableColumn id="14" xr3:uid="{1A3D8FD2-70CB-4665-975C-2114464348DB}" name="20000" dataDxfId="113" totalsRowDxfId="2">
      <calculatedColumnFormula>tbl_pricing[[#Headers],[20000]]*tbl_pricing[[#This Row],[درصد خرید]]</calculatedColumnFormula>
    </tableColumn>
    <tableColumn id="15" xr3:uid="{8854EC08-9308-4944-BDA8-75596BFE727B}" name="50000" dataDxfId="112" totalsRowDxfId="1">
      <calculatedColumnFormula>tbl_pricing[[#Headers],[50000]]*tbl_pricing[[#This Row],[درصد خرید]]</calculatedColumnFormula>
    </tableColumn>
    <tableColumn id="16" xr3:uid="{AA928AC4-CF96-4BA2-8936-8A643A7DDAA6}" name="100000" dataDxfId="111" totalsRowDxfId="0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2" totalsRowShown="0" headerRowDxfId="110" dataDxfId="109">
  <autoFilter ref="A23:D32" xr:uid="{652F814E-9275-4FA3-8E84-CADC4414840E}"/>
  <tableColumns count="4">
    <tableColumn id="1" xr3:uid="{1DE062CE-5BF5-4FEA-A98A-704F2735EAA7}" name="تعداد بیزینس" dataDxfId="108" dataCellStyle="Comma"/>
    <tableColumn id="2" xr3:uid="{9A3B5D26-797A-4D19-9504-750237C50E47}" name="تعداد بیزینس‌هایی که پرداخت دارند" dataDxfId="107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06">
      <calculatedColumnFormula>d_customerAvgRevenue*tbl_pricing_predict[[#This Row],[تعداد بیزینس]]</calculatedColumnFormula>
    </tableColumn>
    <tableColumn id="4" xr3:uid="{16B0B2F6-77AB-4BCF-B967-97D476246151}" name="درآمد سالیانه" dataDxfId="105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04" dataDxfId="103">
  <autoFilter ref="A1:J8" xr:uid="{4B45EF50-D07B-4462-B4EB-CF690CB4B7A8}"/>
  <tableColumns count="10">
    <tableColumn id="1" xr3:uid="{3233B9C7-9724-4673-B9F1-EAE50D2C9670}" name="ردیف" dataDxfId="102">
      <calculatedColumnFormula>ROW(A1)</calculatedColumnFormula>
    </tableColumn>
    <tableColumn id="10" xr3:uid="{60819422-87DD-4CFF-AB10-DB3E961E5555}" name="عنوان" dataDxfId="101"/>
    <tableColumn id="2" xr3:uid="{18B29F41-DC81-4467-BD19-639C5E40AC0E}" name="1400-Q1" dataDxfId="100"/>
    <tableColumn id="3" xr3:uid="{75B9AC7C-0C9A-4EBB-A21B-9103F31171A5}" name="1400-Q2" dataDxfId="99">
      <calculatedColumnFormula>AVERAGE(tbl_pricing[درصد خرید])</calculatedColumnFormula>
    </tableColumn>
    <tableColumn id="4" xr3:uid="{A6A37BC8-F105-4BC7-BBA5-7CD986675C7E}" name="1400-Q3" dataDxfId="98">
      <calculatedColumnFormula>AVERAGE(tbl_pricing[درصد خرید])</calculatedColumnFormula>
    </tableColumn>
    <tableColumn id="5" xr3:uid="{7CD9CE2A-0982-402E-90BB-A37955F9417B}" name="1400-Q4" dataDxfId="97">
      <calculatedColumnFormula>AVERAGE(tbl_pricing[درصد خرید])</calculatedColumnFormula>
    </tableColumn>
    <tableColumn id="6" xr3:uid="{F574DA15-52E0-46FF-8058-3626E90ADCD3}" name="1401-Q1" dataDxfId="96">
      <calculatedColumnFormula>AVERAGE(tbl_pricing[درصد خرید])</calculatedColumnFormula>
    </tableColumn>
    <tableColumn id="7" xr3:uid="{265E39CF-C0D3-42D3-BE97-6DA6F758CCBB}" name="1401-Q2" dataDxfId="95">
      <calculatedColumnFormula>AVERAGE(tbl_pricing[درصد خرید])</calculatedColumnFormula>
    </tableColumn>
    <tableColumn id="8" xr3:uid="{491DB0FE-9C40-4DCA-8643-B5E810C0361E}" name="1401-Q3" dataDxfId="94">
      <calculatedColumnFormula>AVERAGE(tbl_pricing[درصد خرید])</calculatedColumnFormula>
    </tableColumn>
    <tableColumn id="9" xr3:uid="{299BD95A-56DA-46C1-AD0F-CE6FCABD7593}" name="1401-Q4" dataDxfId="93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I10" totalsRowShown="0" headerRowDxfId="76" dataDxfId="75">
  <autoFilter ref="A1:I10" xr:uid="{0E994EE0-F0F0-4FBF-9544-F0DF02B7F5C3}"/>
  <tableColumns count="9">
    <tableColumn id="1" xr3:uid="{7CFD1D53-F749-4B43-9DD3-BE3F1C5EC98F}" name="#" dataDxfId="85">
      <calculatedColumnFormula>ROW(A1)</calculatedColumnFormula>
    </tableColumn>
    <tableColumn id="11" xr3:uid="{EDB8F8AF-AD21-41D4-84B7-19B49F8D2731}" name="نوع" dataDxfId="84"/>
    <tableColumn id="8" xr3:uid="{54E69985-F797-4A1D-810B-CD4B14DE4247}" name="Title" dataDxfId="83"/>
    <tableColumn id="3" xr3:uid="{4C28CA0D-B0C2-4EC6-9320-E20F2AA18D35}" name="1400" dataDxfId="82">
      <calculatedColumnFormula>'پیش‌بینی درآمد'!$C$8:$F$8</calculatedColumnFormula>
    </tableColumn>
    <tableColumn id="4" xr3:uid="{BE2DB32D-49B5-4174-91DB-055B8A546B01}" name="1401" dataDxfId="81">
      <calculatedColumnFormula>SUM('پیش‌بینی درآمد'!$G$8:$J$8)</calculatedColumnFormula>
    </tableColumn>
    <tableColumn id="5" xr3:uid="{200B4D8D-3290-4392-A148-F2EC03CDB0D3}" name="1402" dataDxfId="80">
      <calculatedColumnFormula>tbl_revenue_summary[[#This Row],[1401]]*(1+s_cagr)</calculatedColumnFormula>
    </tableColumn>
    <tableColumn id="6" xr3:uid="{A7A00C3C-C62A-4AFB-8F2F-961D9B70FA4E}" name="1403" dataDxfId="79"/>
    <tableColumn id="7" xr3:uid="{CD51A06F-0126-4363-82F1-83D419084E3E}" name="1404" dataDxfId="78"/>
    <tableColumn id="2" xr3:uid="{9FF3912E-8E29-4421-A4CB-E01182C34419}" name="1405" dataDxfId="77"/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72" dataDxfId="73" totalsRowDxfId="74">
  <autoFilter ref="A1:M13" xr:uid="{7E87C80A-E7EE-4352-81C0-E925498C3A9A}"/>
  <tableColumns count="13">
    <tableColumn id="1" xr3:uid="{12E2DB3F-C608-4C14-BC50-2BC1F2A76D86}" name="نوع سهام‌دار" totalsRowLabel="Total" dataDxfId="43" totalsRowDxfId="42"/>
    <tableColumn id="8" xr3:uid="{879A5D2D-8CD3-4CD8-9A10-ACEBF45244A1}" name="نام به تفکیک" dataDxfId="41" totalsRowDxfId="40"/>
    <tableColumn id="9" xr3:uid="{504C5ECB-7E69-4D58-88F2-F2EE7BF3AF63}" name="Start 1394" totalsRowFunction="sum" dataDxfId="39" totalsRowDxfId="38" dataCellStyle="Percent"/>
    <tableColumn id="10" xr3:uid="{489B3961-F0BB-4DBA-9569-4B6F9D2C8136}" name="Seed Angel 1395" totalsRowFunction="sum" dataDxfId="37" totalsRowDxfId="36" dataCellStyle="Percent"/>
    <tableColumn id="12" xr3:uid="{2F49346B-42D1-4A05-A022-49E685B8F677}" name="Angel Out 1397/2/22" totalsRowFunction="sum" dataDxfId="35" totalsRowDxfId="34" dataCellStyle="Percent"/>
    <tableColumn id="11" xr3:uid="{D7B34FBB-1249-4A52-BC71-F4F4C353E9FF}" name="1397/5/1" totalsRowFunction="sum" dataDxfId="33" totalsRowDxfId="32" dataCellStyle="Percent"/>
    <tableColumn id="7" xr3:uid="{D017C8F8-D15A-4768-9250-191C7C3FBCAD}" name="1399" totalsRowFunction="sum" dataDxfId="31" totalsRowDxfId="30" dataCellStyle="Percent"/>
    <tableColumn id="2" xr3:uid="{CC921348-160B-4F0D-9BE4-5DDA1AD69B16}" name="Series A" totalsRowFunction="sum" dataDxfId="29" totalsRowDxfId="28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27" totalsRowDxfId="26" dataCellStyle="Percent"/>
    <tableColumn id="4" xr3:uid="{077EF452-6558-4AC1-8073-331A97F79010}" name="Series C" totalsRowFunction="sum" dataDxfId="25" totalsRowDxfId="24" dataCellStyle="Percent"/>
    <tableColumn id="5" xr3:uid="{4EBDA36A-837C-4D6F-8F61-A05A0A68122A}" name="Series D" totalsRowFunction="sum" dataDxfId="23" totalsRowDxfId="22" dataCellStyle="Percent"/>
    <tableColumn id="6" xr3:uid="{8993C8BA-E6C1-4341-9D63-25AE19DA5FDB}" name="Series E" totalsRowFunction="sum" dataDxfId="21" totalsRowDxfId="20" dataCellStyle="Percent"/>
    <tableColumn id="13" xr3:uid="{8B46D6B7-B794-4A24-8CAA-5733D667F553}" name="Series F" totalsRowFunction="sum" dataDxfId="19" totalsRowDxfId="18" dataCellStyle="Percent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69" dataDxfId="70">
  <autoFilter ref="A23:M26" xr:uid="{65851948-34D5-432A-B8FB-4FA5D425C4F9}"/>
  <tableColumns count="13">
    <tableColumn id="1" xr3:uid="{34E46D92-A5C7-4723-8F0E-96589EB1AEC2}" name="نوع سهام‌دار" totalsRowLabel="Total" dataDxfId="71" totalsRowDxfId="56"/>
    <tableColumn id="2" xr3:uid="{A5B597FC-720C-447A-9F66-CBDB8836AFA2}" name="جمع سهام" dataDxfId="68" totalsRowDxfId="55"/>
    <tableColumn id="3" xr3:uid="{9D64E6C7-4D6D-46C0-921E-CD57FADBCEA8}" name="Start 1394" totalsRowFunction="sum" dataDxfId="67" totalsRowDxfId="54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66" totalsRowDxfId="53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65" totalsRowDxfId="52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64" totalsRowDxfId="51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63" totalsRowDxfId="50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62" totalsRowDxfId="49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61" totalsRowDxfId="4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60" totalsRowDxfId="47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59" totalsRowDxfId="46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58" totalsRowDxfId="45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57" totalsRowDxfId="44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202" dataDxfId="201">
  <autoFilter ref="A1:B21" xr:uid="{2B9E2DB8-FBB8-45B3-A4BF-A27446C1BBC1}"/>
  <tableColumns count="2">
    <tableColumn id="1" xr3:uid="{04846D46-98AF-4645-B227-FF19272102B1}" name="عنوان" dataDxfId="200"/>
    <tableColumn id="2" xr3:uid="{D4584107-29D2-4B18-94B1-795D1E01B117}" name="مقدار" dataDxfId="199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198" dataDxfId="197">
  <autoFilter ref="A1:E4" xr:uid="{6BB248A9-012D-4836-9305-5141AF978271}"/>
  <tableColumns count="5">
    <tableColumn id="1" xr3:uid="{C1D9DC5C-1F85-426E-959C-3165A99CD6EC}" name="ردیف" totalsRowLabel="Total" dataDxfId="196" totalsRowDxfId="195">
      <calculatedColumnFormula>ROW(A1)</calculatedColumnFormula>
    </tableColumn>
    <tableColumn id="2" xr3:uid="{23A7CE2D-4EC2-4F59-9E8C-744F0E351954}" name="عنوان" dataDxfId="194" totalsRowDxfId="193"/>
    <tableColumn id="3" xr3:uid="{C5D9D589-B23B-4019-B4E1-A8A2308C3099}" name="1400" totalsRowFunction="sum" dataDxfId="192" totalsRowDxfId="191"/>
    <tableColumn id="4" xr3:uid="{A20DFB1D-E3C4-4F6A-9CE1-76537256DDA0}" name="1401" totalsRowFunction="sum" dataDxfId="190" totalsRowDxfId="189"/>
    <tableColumn id="5" xr3:uid="{7320D442-6698-4FA5-BB88-10D126434BE0}" name="جمع" totalsRowFunction="sum" dataDxfId="188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187" dataDxfId="186">
  <autoFilter ref="A9:D10" xr:uid="{939160DD-2EDF-4878-9A71-0E47E271CD17}"/>
  <tableColumns count="4">
    <tableColumn id="1" xr3:uid="{7CFB71D1-2F91-4886-8D95-C562400CF4F7}" name="9" dataDxfId="185">
      <calculatedColumnFormula>ROW(A1)</calculatedColumnFormula>
    </tableColumn>
    <tableColumn id="2" xr3:uid="{EBEBDCFA-6F86-4BB9-A4E1-CFAC0B6394D2}" name="عنوان" dataDxfId="184"/>
    <tableColumn id="3" xr3:uid="{9FF7CA43-0705-4E77-85EC-B371DC78ACA4}" name="1400" dataDxfId="183"/>
    <tableColumn id="4" xr3:uid="{B14BB7F9-8746-4829-AA07-C639400E814F}" name="1401" dataDxfId="182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81" dataDxfId="180">
  <autoFilter ref="A1:E2" xr:uid="{CA8A4239-364E-4650-9E13-6B35831DAABA}"/>
  <tableColumns count="5">
    <tableColumn id="1" xr3:uid="{276EA653-F6EB-43D8-A8E6-02705C4FC3C6}" name="ردیف" dataDxfId="179">
      <calculatedColumnFormula>ROW(A1)</calculatedColumnFormula>
    </tableColumn>
    <tableColumn id="2" xr3:uid="{C917D43E-3C18-4ECC-857D-F6E368E7D1DD}" name="عنوان" dataDxfId="178"/>
    <tableColumn id="3" xr3:uid="{936C2C7C-5EB9-4B64-BF32-AA11DA4CFE26}" name="1400" dataDxfId="177"/>
    <tableColumn id="4" xr3:uid="{81F72F41-D8FD-4195-ABBB-05037CE3698B}" name="1401" dataDxfId="176"/>
    <tableColumn id="5" xr3:uid="{C0453677-E159-4921-9E18-2A6C08C14999}" name="جمع" dataDxfId="175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74" dataDxfId="173" totalsRowDxfId="172">
  <autoFilter ref="A1:D5" xr:uid="{0FEAC4E8-3C92-4ECC-A20C-80059709130D}"/>
  <tableColumns count="4">
    <tableColumn id="1" xr3:uid="{DA73BFFA-A796-4432-914A-1F59F00537F5}" name="#" totalsRowLabel="جمع" dataDxfId="171" totalsRowDxfId="170">
      <calculatedColumnFormula>ROW(A1)</calculatedColumnFormula>
    </tableColumn>
    <tableColumn id="2" xr3:uid="{32ED334C-D261-4D20-8958-087C27AD9FBF}" name="عنوان شغلی" dataDxfId="169" totalsRowDxfId="168"/>
    <tableColumn id="4" xr3:uid="{0925C41E-9619-42E8-8F24-EDDF62C48C09}" name="1400" totalsRowFunction="sum" dataDxfId="167" totalsRowDxfId="166"/>
    <tableColumn id="5" xr3:uid="{0BE3F0C5-39C2-4F5C-A4BB-D96C51FFD2B1}" name="1401" totalsRowFunction="sum" dataDxfId="165" totalsRowDxfId="164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63" dataDxfId="162">
  <autoFilter ref="A22:F26" xr:uid="{C45356D1-9A71-4483-8364-A8B472AE846A}"/>
  <tableColumns count="6">
    <tableColumn id="3" xr3:uid="{EAA5B31A-763B-44E2-8C7F-741E10086C03}" name="#" dataDxfId="161"/>
    <tableColumn id="1" xr3:uid="{0C7B43BD-CDE0-4542-994E-07BECC378178}" name="عنوان شغلی" dataDxfId="160"/>
    <tableColumn id="2" xr3:uid="{23FA6089-E4D9-4C9C-9ADF-69E1A5FBE988}" name="میانگین پرداختی ۱۴۰۰" dataDxfId="159" dataCellStyle="Currency"/>
    <tableColumn id="4" xr3:uid="{FCAB3AB9-4281-4E61-A996-650242F1C298}" name="میانگین پرداختی ۱۴۰۱" dataDxfId="158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57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56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55" dataDxfId="154" totalsRowDxfId="153">
  <autoFilter ref="A1:E10" xr:uid="{387B4E0D-6F55-44DA-9344-EB9622378522}"/>
  <tableColumns count="5">
    <tableColumn id="1" xr3:uid="{A7835E4F-01BA-4B39-9B47-77E68912210A}" name="#" totalsRowLabel="Total" dataDxfId="152" totalsRowDxfId="151">
      <calculatedColumnFormula>ROW(A1)</calculatedColumnFormula>
    </tableColumn>
    <tableColumn id="2" xr3:uid="{915237E7-1F0F-42A4-A7C8-041DBDA02143}" name="عنوان" dataDxfId="150" totalsRowDxfId="149"/>
    <tableColumn id="4" xr3:uid="{50081311-D116-4A8B-B3B1-362E4B876409}" name="1400" totalsRowFunction="sum" dataDxfId="148" totalsRowDxfId="147" dataCellStyle="Currency"/>
    <tableColumn id="5" xr3:uid="{4B242BB3-1333-418C-A07C-49DAE81876BA}" name="1401" totalsRowFunction="sum" dataDxfId="146" totalsRowDxfId="145" dataCellStyle="Currency"/>
    <tableColumn id="6" xr3:uid="{E1DE5B6C-E01B-4554-A846-06AB203F9C1A}" name="جمع" totalsRowFunction="sum" dataDxfId="144" totalsRowDxfId="143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42" dataDxfId="141">
  <autoFilter ref="A1:E9" xr:uid="{CA8A4239-364E-4650-9E13-6B35831DAABA}"/>
  <tableColumns count="5">
    <tableColumn id="1" xr3:uid="{54E6554F-B297-4533-AD8D-E06FC372FA4D}" name="ردیف" totalsRowLabel="Total" dataDxfId="140" totalsRowDxfId="139">
      <calculatedColumnFormula>ROW(A1)</calculatedColumnFormula>
    </tableColumn>
    <tableColumn id="2" xr3:uid="{C8AD3364-8867-4058-B64B-986B3858CF42}" name="عنوان" dataDxfId="138" totalsRowDxfId="137"/>
    <tableColumn id="3" xr3:uid="{7080C68D-A903-46EB-AC1E-5D0963B807EC}" name="1400" totalsRowFunction="sum" dataDxfId="136" totalsRowDxfId="135"/>
    <tableColumn id="4" xr3:uid="{B0566FF8-F510-4A8F-8E54-F68246E5F0A7}" name="1401" totalsRowFunction="sum" dataDxfId="134" totalsRowDxfId="133"/>
    <tableColumn id="5" xr3:uid="{192D38EC-CF7E-4D9A-99C8-24B0818C5DCC}" name="جمع" totalsRowFunction="sum" dataDxfId="132" totalsRowDxfId="131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C6" sqref="C6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1872000000</v>
      </c>
      <c r="E2" s="19">
        <f>SUM(tbl_servers[1401])</f>
        <v>3060000000</v>
      </c>
      <c r="F2" s="19">
        <f>SUM(tbl_sumary[[#This Row],[1400]:[1401]])</f>
        <v>4932000000</v>
      </c>
      <c r="G2" s="25">
        <f>(F2*100/SUM(tbl_sumary[مجموع])) / 100</f>
        <v>0.20963934636390075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240000000</v>
      </c>
      <c r="E3" s="19">
        <f>SUM(tbl_office12[1401])</f>
        <v>510000000</v>
      </c>
      <c r="F3" s="19">
        <f>SUM(tbl_sumary[[#This Row],[1400]:[1401]])</f>
        <v>750000000</v>
      </c>
      <c r="G3" s="25">
        <f>(F3*100/SUM(tbl_sumary[مجموع])) / 100</f>
        <v>3.187946264657858E-2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1121400000</v>
      </c>
      <c r="E4" s="19">
        <f>'حقوق و دستمزد'!D15</f>
        <v>8207580000</v>
      </c>
      <c r="F4" s="19">
        <f>SUM(tbl_sumary[[#This Row],[1400]:[1401]])</f>
        <v>9328980000</v>
      </c>
      <c r="G4" s="25">
        <f>(F4*100/SUM(tbl_sumary[مجموع])) / 100</f>
        <v>0.39653715925423816</v>
      </c>
    </row>
    <row r="5" spans="1:7" x14ac:dyDescent="0.4">
      <c r="A5" s="1">
        <f>ROW(A4)</f>
        <v>4</v>
      </c>
      <c r="B5" s="1" t="s">
        <v>45</v>
      </c>
      <c r="C5" s="1" t="s">
        <v>127</v>
      </c>
      <c r="D5" s="19">
        <f>SUM(tbl_marketing[1400])</f>
        <v>800000000</v>
      </c>
      <c r="E5" s="19">
        <f>SUM(tbl_marketing[1401])</f>
        <v>3000000000</v>
      </c>
      <c r="F5" s="19">
        <f>SUM(tbl_sumary[[#This Row],[1400]:[1401]])</f>
        <v>3800000000</v>
      </c>
      <c r="G5" s="25">
        <f>(F5*100/SUM(tbl_sumary[مجموع])) / 100</f>
        <v>0.1615226107426648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240000000</v>
      </c>
      <c r="E6" s="19">
        <f>d_spacePricePerStaff*SUM(tbl_salaryData[1401])*12</f>
        <v>750000000</v>
      </c>
      <c r="F6" s="19">
        <f>SUM(tbl_sumary[[#This Row],[1400]:[1401]])</f>
        <v>990000000</v>
      </c>
      <c r="G6" s="25">
        <f>(F6*100/SUM(tbl_sumary[مجموع])) / 100</f>
        <v>4.2080890693483725E-2</v>
      </c>
    </row>
    <row r="7" spans="1:7" x14ac:dyDescent="0.4">
      <c r="A7" s="1">
        <f>ROW(A6)</f>
        <v>6</v>
      </c>
      <c r="B7" s="1" t="s">
        <v>45</v>
      </c>
      <c r="C7" s="1" t="s">
        <v>126</v>
      </c>
      <c r="D7" s="19">
        <f>SUM(tbl_office[1400])</f>
        <v>422400000</v>
      </c>
      <c r="E7" s="19">
        <f>SUM(tbl_office[1401])</f>
        <v>1164000000</v>
      </c>
      <c r="F7" s="19">
        <f>SUM(tbl_sumary[[#This Row],[1400]:[1401]])</f>
        <v>1586400000</v>
      </c>
      <c r="G7" s="25">
        <f>(F7*100/SUM(tbl_sumary[مجموع])) / 100</f>
        <v>6.7431439390043021E-2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469580000</v>
      </c>
      <c r="E8" s="19">
        <f>SUM(E2:E7) * d_unpredictedPercent</f>
        <v>1669158000</v>
      </c>
      <c r="F8" s="19">
        <f>SUM(tbl_sumary[[#This Row],[1400]:[1401]])</f>
        <v>2138738000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5165380000</v>
      </c>
      <c r="E9" s="12">
        <f>SUBTOTAL(109,tbl_sumary[1401])</f>
        <v>18360738000</v>
      </c>
      <c r="F9" s="17">
        <f>SUBTOTAL(109,tbl_sumary[مجموع])</f>
        <v>23526118000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2112000000</v>
      </c>
      <c r="E13" s="31">
        <f>SUMIFS(tbl_sumary[1401],tbl_sumary[نوع],B13)</f>
        <v>3570000000</v>
      </c>
      <c r="F13" s="32">
        <f>SUM(D13:E13)</f>
        <v>5682000000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3053380000</v>
      </c>
      <c r="E14" s="33">
        <f>SUMIFS(tbl_sumary[1401],tbl_sumary[نوع],B14)</f>
        <v>14790738000</v>
      </c>
      <c r="F14" s="34">
        <f>SUM(D14:E14)</f>
        <v>17844118000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J8" sqref="J8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104</v>
      </c>
      <c r="D1" s="23" t="s">
        <v>105</v>
      </c>
      <c r="E1" s="23" t="s">
        <v>106</v>
      </c>
      <c r="F1" s="23" t="s">
        <v>107</v>
      </c>
      <c r="G1" s="23" t="s">
        <v>108</v>
      </c>
      <c r="H1" s="23" t="s">
        <v>109</v>
      </c>
      <c r="I1" s="23" t="s">
        <v>110</v>
      </c>
      <c r="J1" s="23" t="s">
        <v>111</v>
      </c>
    </row>
    <row r="2" spans="1:10" x14ac:dyDescent="0.4">
      <c r="A2" s="1">
        <f>ROW(A1)</f>
        <v>1</v>
      </c>
      <c r="B2" s="1" t="s">
        <v>112</v>
      </c>
      <c r="C2" s="4">
        <v>500</v>
      </c>
      <c r="D2" s="4">
        <v>1000</v>
      </c>
      <c r="E2" s="4">
        <v>1700</v>
      </c>
      <c r="F2" s="4">
        <v>4000</v>
      </c>
      <c r="G2" s="4">
        <v>8000</v>
      </c>
      <c r="H2" s="4">
        <v>15000</v>
      </c>
      <c r="I2" s="4">
        <v>30000</v>
      </c>
      <c r="J2" s="4">
        <v>50000</v>
      </c>
    </row>
    <row r="3" spans="1:10" x14ac:dyDescent="0.4">
      <c r="A3" s="1">
        <f t="shared" ref="A3:A8" si="0">ROW(A2)</f>
        <v>2</v>
      </c>
      <c r="B3" s="1" t="s">
        <v>103</v>
      </c>
      <c r="C3" s="38">
        <f>AVERAGE(tbl_pricing[درصد خرید])</f>
        <v>2.2708333333333334E-2</v>
      </c>
      <c r="D3" s="38">
        <f>AVERAGE(tbl_pricing[درصد خرید])</f>
        <v>2.2708333333333334E-2</v>
      </c>
      <c r="E3" s="38">
        <f>AVERAGE(tbl_pricing[درصد خرید])</f>
        <v>2.2708333333333334E-2</v>
      </c>
      <c r="F3" s="38">
        <f>AVERAGE(tbl_pricing[درصد خرید])</f>
        <v>2.2708333333333334E-2</v>
      </c>
      <c r="G3" s="38">
        <f>AVERAGE(tbl_pricing[درصد خرید])</f>
        <v>2.2708333333333334E-2</v>
      </c>
      <c r="H3" s="38">
        <f>AVERAGE(tbl_pricing[درصد خرید])</f>
        <v>2.2708333333333334E-2</v>
      </c>
      <c r="I3" s="38">
        <f>AVERAGE(tbl_pricing[درصد خرید])</f>
        <v>2.2708333333333334E-2</v>
      </c>
      <c r="J3" s="38">
        <f>AVERAGE(tbl_pricing[درصد خرید])</f>
        <v>2.2708333333333334E-2</v>
      </c>
    </row>
    <row r="4" spans="1:10" x14ac:dyDescent="0.4">
      <c r="A4" s="1">
        <f t="shared" si="0"/>
        <v>3</v>
      </c>
      <c r="B4" s="1" t="s">
        <v>113</v>
      </c>
      <c r="C4" s="4">
        <f>ROUND(C2*d_customerConvertRate, 0)</f>
        <v>11</v>
      </c>
      <c r="D4" s="4">
        <f>AVERAGE(tbl_pricing[درصد خرید])</f>
        <v>2.2708333333333334E-2</v>
      </c>
      <c r="E4" s="4">
        <f>AVERAGE(tbl_pricing[درصد خرید])</f>
        <v>2.2708333333333334E-2</v>
      </c>
      <c r="F4" s="4">
        <f>AVERAGE(tbl_pricing[درصد خرید])</f>
        <v>2.2708333333333334E-2</v>
      </c>
      <c r="G4" s="4">
        <f>AVERAGE(tbl_pricing[درصد خرید])</f>
        <v>2.2708333333333334E-2</v>
      </c>
      <c r="H4" s="4">
        <f>AVERAGE(tbl_pricing[درصد خرید])</f>
        <v>2.2708333333333334E-2</v>
      </c>
      <c r="I4" s="4">
        <f>AVERAGE(tbl_pricing[درصد خرید])</f>
        <v>2.2708333333333334E-2</v>
      </c>
      <c r="J4" s="4">
        <f>AVERAGE(tbl_pricing[درصد خرید])</f>
        <v>2.2708333333333334E-2</v>
      </c>
    </row>
    <row r="5" spans="1:10" x14ac:dyDescent="0.4">
      <c r="A5" s="1">
        <f t="shared" si="0"/>
        <v>4</v>
      </c>
      <c r="B5" s="1" t="s">
        <v>114</v>
      </c>
      <c r="C5" s="22">
        <f>SUM(tbl_pricing[سود به ازای هر بیزینس])</f>
        <v>32860</v>
      </c>
      <c r="D5" s="22">
        <f>SUM(tbl_pricing[سود به ازای هر بیزینس])</f>
        <v>32860</v>
      </c>
      <c r="E5" s="22">
        <f>SUM(tbl_pricing[سود به ازای هر بیزینس])</f>
        <v>32860</v>
      </c>
      <c r="F5" s="22">
        <f>SUM(tbl_pricing[سود به ازای هر بیزینس])</f>
        <v>32860</v>
      </c>
      <c r="G5" s="22">
        <f>SUM(tbl_pricing[سود به ازای هر بیزینس])</f>
        <v>32860</v>
      </c>
      <c r="H5" s="22">
        <f>SUM(tbl_pricing[سود به ازای هر بیزینس])</f>
        <v>32860</v>
      </c>
      <c r="I5" s="22">
        <f>SUM(tbl_pricing[سود به ازای هر بیزینس])</f>
        <v>32860</v>
      </c>
      <c r="J5" s="22">
        <f>SUM(tbl_pricing[سود به ازای هر بیزینس])</f>
        <v>32860</v>
      </c>
    </row>
    <row r="6" spans="1:10" x14ac:dyDescent="0.4">
      <c r="A6" s="1">
        <f t="shared" si="0"/>
        <v>5</v>
      </c>
      <c r="B6" s="1" t="s">
        <v>115</v>
      </c>
      <c r="C6" s="22">
        <f>C5*3</f>
        <v>98580</v>
      </c>
      <c r="D6" s="22">
        <f t="shared" ref="D6:J6" si="1">D5*3</f>
        <v>98580</v>
      </c>
      <c r="E6" s="22">
        <f t="shared" si="1"/>
        <v>98580</v>
      </c>
      <c r="F6" s="22">
        <f t="shared" si="1"/>
        <v>98580</v>
      </c>
      <c r="G6" s="22">
        <f t="shared" si="1"/>
        <v>98580</v>
      </c>
      <c r="H6" s="22">
        <f t="shared" si="1"/>
        <v>98580</v>
      </c>
      <c r="I6" s="22">
        <f t="shared" si="1"/>
        <v>98580</v>
      </c>
      <c r="J6" s="22">
        <f t="shared" si="1"/>
        <v>98580</v>
      </c>
    </row>
    <row r="7" spans="1:10" x14ac:dyDescent="0.4">
      <c r="A7" s="1">
        <f t="shared" si="0"/>
        <v>6</v>
      </c>
      <c r="B7" s="1" t="s">
        <v>84</v>
      </c>
      <c r="C7" s="12">
        <f t="shared" ref="C7:J7" si="2">C2*d_customerAvgRevenue</f>
        <v>16430000</v>
      </c>
      <c r="D7" s="12">
        <f t="shared" si="2"/>
        <v>32860000</v>
      </c>
      <c r="E7" s="12">
        <f t="shared" si="2"/>
        <v>55862000</v>
      </c>
      <c r="F7" s="12">
        <f t="shared" si="2"/>
        <v>131440000</v>
      </c>
      <c r="G7" s="12">
        <f t="shared" si="2"/>
        <v>262880000</v>
      </c>
      <c r="H7" s="12">
        <f t="shared" si="2"/>
        <v>492900000</v>
      </c>
      <c r="I7" s="12">
        <f t="shared" si="2"/>
        <v>985800000</v>
      </c>
      <c r="J7" s="12">
        <f t="shared" si="2"/>
        <v>1643000000</v>
      </c>
    </row>
    <row r="8" spans="1:10" x14ac:dyDescent="0.4">
      <c r="A8" s="1">
        <f t="shared" si="0"/>
        <v>7</v>
      </c>
      <c r="B8" s="55" t="s">
        <v>116</v>
      </c>
      <c r="C8" s="16">
        <f>C7*3</f>
        <v>49290000</v>
      </c>
      <c r="D8" s="16">
        <f t="shared" ref="D8:J8" si="3">D7*3</f>
        <v>98580000</v>
      </c>
      <c r="E8" s="16">
        <f t="shared" si="3"/>
        <v>167586000</v>
      </c>
      <c r="F8" s="16">
        <f t="shared" si="3"/>
        <v>394320000</v>
      </c>
      <c r="G8" s="16">
        <f t="shared" si="3"/>
        <v>788640000</v>
      </c>
      <c r="H8" s="16">
        <f t="shared" si="3"/>
        <v>1478700000</v>
      </c>
      <c r="I8" s="16">
        <f t="shared" si="3"/>
        <v>2957400000</v>
      </c>
      <c r="J8" s="16">
        <f t="shared" si="3"/>
        <v>4929000000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I27"/>
  <sheetViews>
    <sheetView rightToLeft="1" tabSelected="1" workbookViewId="0">
      <selection activeCell="D23" sqref="D23:E27"/>
    </sheetView>
  </sheetViews>
  <sheetFormatPr defaultRowHeight="17.25" x14ac:dyDescent="0.25"/>
  <cols>
    <col min="1" max="1" width="9.140625" style="56"/>
    <col min="2" max="2" width="32.85546875" style="56" bestFit="1" customWidth="1"/>
    <col min="3" max="3" width="26.5703125" style="56" bestFit="1" customWidth="1"/>
    <col min="4" max="9" width="25.7109375" style="56" customWidth="1"/>
    <col min="10" max="16384" width="9.140625" style="56"/>
  </cols>
  <sheetData>
    <row r="1" spans="1:9" x14ac:dyDescent="0.25">
      <c r="A1" s="56" t="s">
        <v>0</v>
      </c>
      <c r="B1" s="56" t="s">
        <v>46</v>
      </c>
      <c r="C1" s="57" t="s">
        <v>140</v>
      </c>
      <c r="D1" s="57" t="s">
        <v>14</v>
      </c>
      <c r="E1" s="57" t="s">
        <v>15</v>
      </c>
      <c r="F1" s="57" t="s">
        <v>117</v>
      </c>
      <c r="G1" s="57" t="s">
        <v>118</v>
      </c>
      <c r="H1" s="57" t="s">
        <v>119</v>
      </c>
      <c r="I1" s="57" t="s">
        <v>125</v>
      </c>
    </row>
    <row r="2" spans="1:9" x14ac:dyDescent="0.25">
      <c r="A2" s="56">
        <f>ROW(A1)</f>
        <v>1</v>
      </c>
      <c r="B2" s="56" t="s">
        <v>139</v>
      </c>
      <c r="C2" s="57"/>
      <c r="D2" s="58">
        <v>1</v>
      </c>
      <c r="E2" s="58">
        <v>2</v>
      </c>
      <c r="F2" s="58">
        <v>3</v>
      </c>
      <c r="G2" s="58">
        <v>4</v>
      </c>
      <c r="H2" s="58">
        <v>5</v>
      </c>
      <c r="I2" s="58">
        <v>6</v>
      </c>
    </row>
    <row r="3" spans="1:9" x14ac:dyDescent="0.25">
      <c r="A3" s="56">
        <f>ROW(A1)</f>
        <v>1</v>
      </c>
      <c r="B3" s="56" t="s">
        <v>128</v>
      </c>
      <c r="C3" s="56" t="s">
        <v>129</v>
      </c>
      <c r="D3" s="58">
        <f>'پیش‌بینی درآمد'!F2</f>
        <v>4000</v>
      </c>
      <c r="E3" s="58">
        <f>'پیش‌بینی درآمد'!J2</f>
        <v>50000</v>
      </c>
      <c r="F3" s="58">
        <f>tbl_revenue_summary[[#This Row],[1401]]*(1+s_cagr)</f>
        <v>100000</v>
      </c>
      <c r="G3" s="58">
        <f>tbl_revenue_summary[[#This Row],[1402]]*(1+s_cagr)</f>
        <v>200000</v>
      </c>
      <c r="H3" s="58">
        <f>tbl_revenue_summary[[#This Row],[1403]]*(1+s_cagr)</f>
        <v>400000</v>
      </c>
      <c r="I3" s="58">
        <f>tbl_revenue_summary[[#This Row],[1404]]*(1+s_cagr)</f>
        <v>800000</v>
      </c>
    </row>
    <row r="4" spans="1:9" x14ac:dyDescent="0.25">
      <c r="A4" s="56">
        <f>ROW(A1)</f>
        <v>1</v>
      </c>
      <c r="B4" s="56" t="s">
        <v>100</v>
      </c>
      <c r="C4" s="56" t="s">
        <v>130</v>
      </c>
      <c r="D4" s="62">
        <f>SUM('پیش‌بینی درآمد'!C8:F8)</f>
        <v>709776000</v>
      </c>
      <c r="E4" s="62">
        <f>SUM('پیش‌بینی درآمد'!$G$8:$J$8)</f>
        <v>10153740000</v>
      </c>
      <c r="F4" s="62">
        <f>tbl_revenue_summary[[#This Row],[1401]]*(1+s_cagr) *(1+s_costsGrowthYOY)</f>
        <v>28430472000</v>
      </c>
      <c r="G4" s="62">
        <f>tbl_revenue_summary[[#This Row],[1402]]*(1+s_cagr)*(1+s_costsGrowthYOY)</f>
        <v>79605321600</v>
      </c>
      <c r="H4" s="62">
        <f>tbl_revenue_summary[[#This Row],[1403]]*(1+s_cagr)*(1+s_costsGrowthYOY)</f>
        <v>222894900480</v>
      </c>
      <c r="I4" s="62">
        <f>tbl_revenue_summary[[#This Row],[1404]]*(1+s_cagr)*(1+s_costsGrowthYOY)</f>
        <v>624105721344</v>
      </c>
    </row>
    <row r="5" spans="1:9" x14ac:dyDescent="0.25">
      <c r="A5" s="56">
        <f>ROW(A4)</f>
        <v>4</v>
      </c>
      <c r="D5" s="59"/>
      <c r="E5" s="59"/>
      <c r="F5" s="59"/>
      <c r="G5" s="59"/>
      <c r="H5" s="59"/>
      <c r="I5" s="59"/>
    </row>
    <row r="6" spans="1:9" x14ac:dyDescent="0.25">
      <c r="A6" s="56">
        <f>ROW(A4)</f>
        <v>4</v>
      </c>
      <c r="B6" s="56" t="s">
        <v>57</v>
      </c>
      <c r="C6" s="56" t="s">
        <v>132</v>
      </c>
      <c r="D6" s="62">
        <f>SUMIFS(tbl_sumary[1400],tbl_sumary[نوع],tbl_revenue_summary[[#This Row],[نوع]])</f>
        <v>2112000000</v>
      </c>
      <c r="E6" s="62">
        <f>SUMIFS(tbl_sumary[1401],tbl_sumary[نوع],tbl_revenue_summary[[#This Row],[نوع]])</f>
        <v>3570000000</v>
      </c>
      <c r="F6" s="62">
        <f>tbl_revenue_summary[[#This Row],[1401]]*(1+s_costsGrowthCapexYOY)</f>
        <v>4284000000</v>
      </c>
      <c r="G6" s="62">
        <f>tbl_revenue_summary[[#This Row],[1402]]*(1+s_costsGrowthCapexYOY)</f>
        <v>5140800000</v>
      </c>
      <c r="H6" s="62">
        <f>tbl_revenue_summary[[#This Row],[1403]]*(1+s_costsGrowthCapexYOY)</f>
        <v>6168960000</v>
      </c>
      <c r="I6" s="62">
        <f>tbl_revenue_summary[[#This Row],[1404]]*(1+s_costsGrowthCapexYOY)</f>
        <v>7402752000</v>
      </c>
    </row>
    <row r="7" spans="1:9" x14ac:dyDescent="0.25">
      <c r="A7" s="56">
        <f t="shared" ref="A7:A10" si="0">ROW(A6)</f>
        <v>6</v>
      </c>
      <c r="B7" s="56" t="s">
        <v>45</v>
      </c>
      <c r="C7" s="56" t="s">
        <v>131</v>
      </c>
      <c r="D7" s="62">
        <f>SUMIFS(tbl_sumary[1400],tbl_sumary[نوع],tbl_revenue_summary[[#This Row],[نوع]])</f>
        <v>3053380000</v>
      </c>
      <c r="E7" s="62">
        <f>SUMIFS(tbl_sumary[1401],tbl_sumary[نوع],tbl_revenue_summary[[#This Row],[نوع]])</f>
        <v>14790738000</v>
      </c>
      <c r="F7" s="62">
        <f>tbl_revenue_summary[[#This Row],[1401]]*(1+s_costsGrowthYOY)</f>
        <v>20707033200</v>
      </c>
      <c r="G7" s="62">
        <f>tbl_revenue_summary[[#This Row],[1402]]*(1+s_costsGrowthYOY)</f>
        <v>28989846480</v>
      </c>
      <c r="H7" s="62">
        <f>tbl_revenue_summary[[#This Row],[1403]]*(1+s_costsGrowthYOY)</f>
        <v>40585785072</v>
      </c>
      <c r="I7" s="62">
        <f>tbl_revenue_summary[[#This Row],[1404]]*(1+s_costsGrowthYOY)</f>
        <v>56820099100.799995</v>
      </c>
    </row>
    <row r="8" spans="1:9" x14ac:dyDescent="0.25">
      <c r="A8" s="56">
        <f t="shared" si="0"/>
        <v>7</v>
      </c>
      <c r="B8" s="56" t="s">
        <v>133</v>
      </c>
      <c r="C8" s="56" t="s">
        <v>122</v>
      </c>
      <c r="D8" s="62">
        <f>D4-D7</f>
        <v>-2343604000</v>
      </c>
      <c r="E8" s="62">
        <f>E4-E7</f>
        <v>-4636998000</v>
      </c>
      <c r="F8" s="62">
        <f>F4-F7</f>
        <v>7723438800</v>
      </c>
      <c r="G8" s="62">
        <f>G4-G7</f>
        <v>50615475120</v>
      </c>
      <c r="H8" s="62">
        <f>H4-H7</f>
        <v>182309115408</v>
      </c>
      <c r="I8" s="62">
        <f>I4-I7</f>
        <v>567285622243.19995</v>
      </c>
    </row>
    <row r="9" spans="1:9" x14ac:dyDescent="0.25">
      <c r="A9" s="56">
        <f t="shared" si="0"/>
        <v>8</v>
      </c>
      <c r="B9" s="56" t="s">
        <v>134</v>
      </c>
      <c r="C9" s="56" t="s">
        <v>123</v>
      </c>
      <c r="D9" s="60">
        <f>D8/D4</f>
        <v>-3.301892428033633</v>
      </c>
      <c r="E9" s="60">
        <f>E8/E4</f>
        <v>-0.45667881982402542</v>
      </c>
      <c r="F9" s="60">
        <f>F8/F4</f>
        <v>0.27166059008798726</v>
      </c>
      <c r="G9" s="60">
        <f>G8/G4</f>
        <v>0.63583029504399369</v>
      </c>
      <c r="H9" s="60">
        <f>H8/H4</f>
        <v>0.81791514752199679</v>
      </c>
      <c r="I9" s="60">
        <f>I8/I4</f>
        <v>0.90895757376099828</v>
      </c>
    </row>
    <row r="10" spans="1:9" x14ac:dyDescent="0.25">
      <c r="A10" s="56">
        <f t="shared" si="0"/>
        <v>9</v>
      </c>
      <c r="B10" s="56" t="s">
        <v>135</v>
      </c>
      <c r="C10" s="56" t="s">
        <v>124</v>
      </c>
      <c r="D10" s="62">
        <f>D8-D6</f>
        <v>-4455604000</v>
      </c>
      <c r="E10" s="62">
        <f t="shared" ref="E10:I10" si="1">E8-E6</f>
        <v>-8206998000</v>
      </c>
      <c r="F10" s="62">
        <f t="shared" si="1"/>
        <v>3439438800</v>
      </c>
      <c r="G10" s="62">
        <f t="shared" si="1"/>
        <v>45474675120</v>
      </c>
      <c r="H10" s="62">
        <f t="shared" si="1"/>
        <v>176140155408</v>
      </c>
      <c r="I10" s="62">
        <f t="shared" si="1"/>
        <v>559882870243.19995</v>
      </c>
    </row>
    <row r="13" spans="1:9" x14ac:dyDescent="0.25">
      <c r="B13" s="56" t="s">
        <v>147</v>
      </c>
      <c r="C13" s="56" t="s">
        <v>136</v>
      </c>
      <c r="D13" s="61">
        <v>0.3</v>
      </c>
    </row>
    <row r="14" spans="1:9" x14ac:dyDescent="0.25">
      <c r="C14" s="56" t="s">
        <v>137</v>
      </c>
      <c r="D14" s="56">
        <v>2.5</v>
      </c>
    </row>
    <row r="15" spans="1:9" x14ac:dyDescent="0.25">
      <c r="C15" s="56" t="s">
        <v>138</v>
      </c>
      <c r="D15" s="62">
        <f>D10/(1+v_DiscountRate)^D2</f>
        <v>-3427387692.3076921</v>
      </c>
      <c r="E15" s="62">
        <f>E10/(1+v_DiscountRate)^E2</f>
        <v>-4856211834.3195257</v>
      </c>
      <c r="F15" s="62">
        <f>F10/(1+v_DiscountRate)^F2</f>
        <v>1565516067.3645878</v>
      </c>
      <c r="G15" s="62">
        <f>G10/(1+v_DiscountRate)^G2</f>
        <v>15921947802.948072</v>
      </c>
      <c r="H15" s="62">
        <f>H10/(1+v_DiscountRate)^H2</f>
        <v>47439665010.651955</v>
      </c>
      <c r="I15" s="62">
        <f>I10/(1+v_DiscountRate)^I2</f>
        <v>115994411679.2688</v>
      </c>
    </row>
    <row r="16" spans="1:9" x14ac:dyDescent="0.25">
      <c r="C16" s="56" t="s">
        <v>141</v>
      </c>
      <c r="D16" s="62">
        <f>D4*v_ExitRevenueMultiple/(1+v_DiscountRate)^D2</f>
        <v>1364953846.153846</v>
      </c>
      <c r="E16" s="62">
        <f>E4*v_ExitRevenueMultiple/(1+v_DiscountRate)^E2</f>
        <v>15020325443.786982</v>
      </c>
      <c r="F16" s="62">
        <f>F4*v_ExitRevenueMultiple/(1+v_DiscountRate)^F2</f>
        <v>32351470186.618107</v>
      </c>
      <c r="G16" s="62">
        <f>G4*v_ExitRevenueMultiple/(1+v_DiscountRate)^G2</f>
        <v>69680089632.715927</v>
      </c>
      <c r="H16" s="62">
        <f>H4*v_ExitRevenueMultiple/(1+v_DiscountRate)^H2</f>
        <v>150080193055.08044</v>
      </c>
      <c r="I16" s="62">
        <f>I4*v_ExitRevenueMultiple/(1+v_DiscountRate)^I2</f>
        <v>323249646580.17322</v>
      </c>
    </row>
    <row r="17" spans="2:9" x14ac:dyDescent="0.25">
      <c r="C17" s="56" t="s">
        <v>142</v>
      </c>
      <c r="D17" s="62">
        <f>SUM($D$15:D15) + D16</f>
        <v>-2062433846.153846</v>
      </c>
      <c r="E17" s="62">
        <f>SUM($D$15:E15) + E16</f>
        <v>6736725917.1597633</v>
      </c>
      <c r="F17" s="62">
        <f>SUM($D$15:F15) + F16</f>
        <v>25633386727.355476</v>
      </c>
      <c r="G17" s="62">
        <f>SUM($D$15:G15) + G16</f>
        <v>78883953976.401367</v>
      </c>
      <c r="H17" s="62">
        <f>SUM($D$15:H15) + H16</f>
        <v>206723722409.41785</v>
      </c>
      <c r="I17" s="62">
        <f>SUM($D$15:I15) + I16</f>
        <v>495887587613.77942</v>
      </c>
    </row>
    <row r="19" spans="2:9" x14ac:dyDescent="0.25">
      <c r="C19" s="56" t="s">
        <v>144</v>
      </c>
      <c r="E19" s="60" t="str">
        <f>IFERROR(IRR($D$8:E8), "-")</f>
        <v>-</v>
      </c>
      <c r="F19" s="60">
        <f>IFERROR(IRR($D$8:F8), "-")</f>
        <v>7.8133150593306944E-2</v>
      </c>
      <c r="G19" s="60">
        <f>IFERROR(IRR($D$8:G8), "-")</f>
        <v>1.5708963030749095</v>
      </c>
      <c r="H19" s="60">
        <f>IFERROR(IRR($D$8:H8), "-")</f>
        <v>2.2708205315062955</v>
      </c>
      <c r="I19" s="60">
        <f>IFERROR(IRR($D$8:I8), "-")</f>
        <v>2.6218279370332667</v>
      </c>
    </row>
    <row r="20" spans="2:9" x14ac:dyDescent="0.25">
      <c r="C20" s="56" t="s">
        <v>145</v>
      </c>
      <c r="E20" s="60" t="str">
        <f>IFERROR(IRR($D$10:E10), "-")</f>
        <v>-</v>
      </c>
      <c r="F20" s="60" t="str">
        <f>IFERROR(IRR($D$10:F10), "-")</f>
        <v>-</v>
      </c>
      <c r="G20" s="60">
        <f>IFERROR(IRR($D$10:G10), "-")</f>
        <v>0.7868082357056565</v>
      </c>
      <c r="H20" s="60">
        <f>IFERROR(IRR($D$10:H10), "-")</f>
        <v>1.5241026918087792</v>
      </c>
      <c r="I20" s="60">
        <f>IFERROR(IRR($D$10:I10), "-")</f>
        <v>1.9226622730685898</v>
      </c>
    </row>
    <row r="21" spans="2:9" x14ac:dyDescent="0.25">
      <c r="B21" s="56" t="s">
        <v>148</v>
      </c>
      <c r="C21" s="56" t="s">
        <v>146</v>
      </c>
      <c r="D21" s="62">
        <f>NPV(v_DiscountRate,D10)</f>
        <v>-3427387692.3076921</v>
      </c>
      <c r="E21" s="62">
        <f>NPV(v_DiscountRate,D10,E10)</f>
        <v>-8283599526.6272173</v>
      </c>
      <c r="F21" s="62">
        <f>NPV(v_DiscountRate,D10,E10,F10)</f>
        <v>-6718083459.2626295</v>
      </c>
      <c r="G21" s="62">
        <f>NPV(v_DiscountRate,D10,E10,F10,G10)</f>
        <v>9203864343.685442</v>
      </c>
      <c r="H21" s="62">
        <f>NPV(v_DiscountRate,D10,E10,F10,G10,H10)</f>
        <v>56643529354.337395</v>
      </c>
      <c r="I21" s="62">
        <f>NPV(v_DiscountRate,D10,E10,F10,G10,H10,I10)</f>
        <v>172637941033.60617</v>
      </c>
    </row>
    <row r="23" spans="2:9" x14ac:dyDescent="0.25">
      <c r="D23" s="56" t="s">
        <v>181</v>
      </c>
      <c r="E23" s="76">
        <v>1.2</v>
      </c>
    </row>
    <row r="24" spans="2:9" x14ac:dyDescent="0.25">
      <c r="D24" s="56" t="s">
        <v>182</v>
      </c>
      <c r="E24" s="77">
        <f>E23*60</f>
        <v>72</v>
      </c>
      <c r="F24" s="56" t="s">
        <v>184</v>
      </c>
      <c r="H24" s="75"/>
    </row>
    <row r="25" spans="2:9" x14ac:dyDescent="0.25">
      <c r="D25" s="56" t="s">
        <v>183</v>
      </c>
      <c r="E25" s="77">
        <f>E24*60</f>
        <v>4320</v>
      </c>
      <c r="F25" s="56" t="s">
        <v>185</v>
      </c>
    </row>
    <row r="26" spans="2:9" x14ac:dyDescent="0.25">
      <c r="D26" s="56" t="s">
        <v>186</v>
      </c>
      <c r="E26" s="77">
        <f>E25*24</f>
        <v>103680</v>
      </c>
    </row>
    <row r="27" spans="2:9" x14ac:dyDescent="0.25">
      <c r="D27" s="56" t="s">
        <v>187</v>
      </c>
      <c r="E27" s="78">
        <f>E26*30</f>
        <v>3110400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M39"/>
  <sheetViews>
    <sheetView rightToLeft="1" workbookViewId="0">
      <selection activeCell="D4" sqref="D4"/>
    </sheetView>
  </sheetViews>
  <sheetFormatPr defaultColWidth="0" defaultRowHeight="17.25" zeroHeight="1" x14ac:dyDescent="0.25"/>
  <cols>
    <col min="1" max="1" width="21" style="57" bestFit="1" customWidth="1"/>
    <col min="2" max="2" width="21" style="57" customWidth="1"/>
    <col min="3" max="4" width="25.7109375" style="57" customWidth="1"/>
    <col min="5" max="5" width="26.7109375" style="57" bestFit="1" customWidth="1"/>
    <col min="6" max="13" width="25.7109375" style="57" customWidth="1"/>
    <col min="14" max="18" width="9.140625" style="57" customWidth="1"/>
    <col min="19" max="16384" width="9.140625" style="57" hidden="1"/>
  </cols>
  <sheetData>
    <row r="1" spans="1:13" x14ac:dyDescent="0.25">
      <c r="A1" s="66" t="s">
        <v>156</v>
      </c>
      <c r="B1" s="66" t="s">
        <v>168</v>
      </c>
      <c r="C1" s="66" t="s">
        <v>171</v>
      </c>
      <c r="D1" s="66" t="s">
        <v>174</v>
      </c>
      <c r="E1" s="66" t="s">
        <v>173</v>
      </c>
      <c r="F1" s="66" t="s">
        <v>175</v>
      </c>
      <c r="G1" s="66" t="s">
        <v>170</v>
      </c>
      <c r="H1" s="66" t="s">
        <v>149</v>
      </c>
      <c r="I1" s="66" t="s">
        <v>150</v>
      </c>
      <c r="J1" s="66" t="s">
        <v>151</v>
      </c>
      <c r="K1" s="66" t="s">
        <v>178</v>
      </c>
      <c r="L1" s="66" t="s">
        <v>152</v>
      </c>
      <c r="M1" s="66" t="s">
        <v>153</v>
      </c>
    </row>
    <row r="2" spans="1:13" x14ac:dyDescent="0.25">
      <c r="A2" s="57" t="s">
        <v>162</v>
      </c>
      <c r="B2" s="57" t="s">
        <v>169</v>
      </c>
      <c r="C2" s="63"/>
      <c r="D2" s="63">
        <v>0.55000000000000004</v>
      </c>
      <c r="E2" s="64">
        <v>6.0100000000000001E-2</v>
      </c>
      <c r="F2" s="64">
        <v>8.6E-3</v>
      </c>
      <c r="G2" s="64">
        <v>2.0000000000000001E-4</v>
      </c>
      <c r="H2" s="68">
        <f>IFERROR(tbl_fundraisingSteps[[#This Row],[1399]]*(1-H$13-v_seriA), "-")</f>
        <v>1.3999999999999999E-4</v>
      </c>
      <c r="I2" s="68">
        <f>IFERROR(tbl_fundraisingSteps[[#This Row],[Series A]]*(1-v_seriB), "-")</f>
        <v>1.12E-4</v>
      </c>
      <c r="J2" s="68">
        <f>IFERROR(tbl_fundraisingSteps[[#This Row],[Series B]]*(1-v_seriC), "-")</f>
        <v>9.5199999999999997E-5</v>
      </c>
      <c r="K2" s="68">
        <f>IFERROR(tbl_fundraisingSteps[[#This Row],[Series C]]*(1-v_seriD), "-")</f>
        <v>8.0919999999999991E-5</v>
      </c>
      <c r="L2" s="68">
        <f>IFERROR(tbl_fundraisingSteps[[#This Row],[Series D]]*(1-v_seriE), "-")</f>
        <v>7.2827999999999988E-5</v>
      </c>
      <c r="M2" s="68">
        <f>IFERROR(tbl_fundraisingSteps[[#This Row],[Series E]]*(1-v_seriF), "-")</f>
        <v>6.5545199999999997E-5</v>
      </c>
    </row>
    <row r="3" spans="1:13" x14ac:dyDescent="0.25">
      <c r="A3" s="57" t="s">
        <v>162</v>
      </c>
      <c r="B3" s="57" t="s">
        <v>163</v>
      </c>
      <c r="C3" s="63" t="s">
        <v>161</v>
      </c>
      <c r="D3" s="63" t="s">
        <v>161</v>
      </c>
      <c r="E3" s="63" t="s">
        <v>161</v>
      </c>
      <c r="F3" s="63" t="s">
        <v>161</v>
      </c>
      <c r="G3" s="63" t="s">
        <v>161</v>
      </c>
      <c r="H3" s="69">
        <v>0.2</v>
      </c>
      <c r="I3" s="64">
        <f>IFERROR(tbl_fundraisingSteps[[#This Row],[Series A]]*(1-v_seriB), "-")</f>
        <v>0.16000000000000003</v>
      </c>
      <c r="J3" s="64">
        <f>IFERROR(tbl_fundraisingSteps[[#This Row],[Series B]]*(1-v_seriC), "-")</f>
        <v>0.13600000000000001</v>
      </c>
      <c r="K3" s="64">
        <f>IFERROR(tbl_fundraisingSteps[[#This Row],[Series C]]*(1-v_seriD), "-")</f>
        <v>0.11560000000000001</v>
      </c>
      <c r="L3" s="64">
        <f>IFERROR(tbl_fundraisingSteps[[#This Row],[Series D]]*(1-v_seriE), "-")</f>
        <v>0.10404000000000001</v>
      </c>
      <c r="M3" s="64">
        <f>IFERROR(tbl_fundraisingSteps[[#This Row],[Series E]]*(1-v_seriF), "-")</f>
        <v>9.3636000000000011E-2</v>
      </c>
    </row>
    <row r="4" spans="1:13" x14ac:dyDescent="0.25">
      <c r="A4" s="57" t="s">
        <v>162</v>
      </c>
      <c r="B4" s="57" t="s">
        <v>164</v>
      </c>
      <c r="C4" s="63" t="s">
        <v>161</v>
      </c>
      <c r="D4" s="63" t="s">
        <v>161</v>
      </c>
      <c r="E4" s="63" t="s">
        <v>161</v>
      </c>
      <c r="F4" s="63" t="s">
        <v>161</v>
      </c>
      <c r="G4" s="63" t="s">
        <v>161</v>
      </c>
      <c r="H4" s="64" t="str">
        <f>IFERROR(tbl_fundraisingSteps[[#This Row],[1399]]*(1-H$13-v_seriA), "-")</f>
        <v>-</v>
      </c>
      <c r="I4" s="69">
        <v>0.2</v>
      </c>
      <c r="J4" s="64">
        <f>IFERROR(tbl_fundraisingSteps[[#This Row],[Series B]]*(1-v_seriC), "-")</f>
        <v>0.17</v>
      </c>
      <c r="K4" s="64">
        <f>IFERROR(tbl_fundraisingSteps[[#This Row],[Series C]]*(1-v_seriD), "-")</f>
        <v>0.14450000000000002</v>
      </c>
      <c r="L4" s="64">
        <f>IFERROR(tbl_fundraisingSteps[[#This Row],[Series D]]*(1-v_seriE), "-")</f>
        <v>0.13005000000000003</v>
      </c>
      <c r="M4" s="64">
        <f>IFERROR(tbl_fundraisingSteps[[#This Row],[Series E]]*(1-v_seriF), "-")</f>
        <v>0.11704500000000002</v>
      </c>
    </row>
    <row r="5" spans="1:13" x14ac:dyDescent="0.25">
      <c r="A5" s="57" t="s">
        <v>162</v>
      </c>
      <c r="B5" s="57" t="s">
        <v>165</v>
      </c>
      <c r="C5" s="63" t="s">
        <v>161</v>
      </c>
      <c r="D5" s="63" t="s">
        <v>161</v>
      </c>
      <c r="E5" s="63" t="s">
        <v>161</v>
      </c>
      <c r="F5" s="63" t="s">
        <v>161</v>
      </c>
      <c r="G5" s="63" t="s">
        <v>161</v>
      </c>
      <c r="H5" s="64" t="str">
        <f>IFERROR(tbl_fundraisingSteps[[#This Row],[1399]]*(1-H$13-v_seriA), "-")</f>
        <v>-</v>
      </c>
      <c r="I5" s="64" t="str">
        <f>IFERROR(tbl_fundraisingSteps[[#This Row],[Series A]]*(1-v_seriB), "-")</f>
        <v>-</v>
      </c>
      <c r="J5" s="69">
        <v>0.15</v>
      </c>
      <c r="K5" s="64">
        <f>IFERROR(tbl_fundraisingSteps[[#This Row],[Series C]]*(1-v_seriD), "-")</f>
        <v>0.1275</v>
      </c>
      <c r="L5" s="64">
        <f>IFERROR(tbl_fundraisingSteps[[#This Row],[Series D]]*(1-v_seriE), "-")</f>
        <v>0.11475</v>
      </c>
      <c r="M5" s="64">
        <f>IFERROR(tbl_fundraisingSteps[[#This Row],[Series E]]*(1-v_seriF), "-")</f>
        <v>0.10327500000000001</v>
      </c>
    </row>
    <row r="6" spans="1:13" x14ac:dyDescent="0.25">
      <c r="A6" s="57" t="s">
        <v>162</v>
      </c>
      <c r="B6" s="57" t="s">
        <v>166</v>
      </c>
      <c r="C6" s="63" t="s">
        <v>161</v>
      </c>
      <c r="D6" s="63" t="s">
        <v>161</v>
      </c>
      <c r="E6" s="63" t="s">
        <v>161</v>
      </c>
      <c r="F6" s="63" t="s">
        <v>161</v>
      </c>
      <c r="G6" s="63" t="s">
        <v>161</v>
      </c>
      <c r="H6" s="64" t="str">
        <f>IFERROR(tbl_fundraisingSteps[[#This Row],[1399]]*(1-H$13-v_seriA), "-")</f>
        <v>-</v>
      </c>
      <c r="I6" s="64" t="str">
        <f>IFERROR(tbl_fundraisingSteps[[#This Row],[Series A]]*(1-v_seriB), "-")</f>
        <v>-</v>
      </c>
      <c r="J6" s="64" t="str">
        <f>IFERROR(tbl_fundraisingSteps[[#This Row],[Series B]]*(1-v_seriC), "-")</f>
        <v>-</v>
      </c>
      <c r="K6" s="69">
        <v>0.15</v>
      </c>
      <c r="L6" s="64">
        <f>IFERROR(tbl_fundraisingSteps[[#This Row],[Series D]]*(1-v_seriE), "-")</f>
        <v>0.13500000000000001</v>
      </c>
      <c r="M6" s="64">
        <f>IFERROR(tbl_fundraisingSteps[[#This Row],[Series E]]*(1-v_seriF), "-")</f>
        <v>0.12150000000000001</v>
      </c>
    </row>
    <row r="7" spans="1:13" x14ac:dyDescent="0.25">
      <c r="A7" s="57" t="s">
        <v>162</v>
      </c>
      <c r="B7" s="57" t="s">
        <v>176</v>
      </c>
      <c r="C7" s="63" t="s">
        <v>161</v>
      </c>
      <c r="D7" s="63" t="s">
        <v>161</v>
      </c>
      <c r="E7" s="64" t="s">
        <v>161</v>
      </c>
      <c r="F7" s="63" t="s">
        <v>161</v>
      </c>
      <c r="G7" s="63" t="s">
        <v>161</v>
      </c>
      <c r="H7" s="64" t="str">
        <f>IFERROR(tbl_fundraisingSteps[[#This Row],[1399]]*(1-H$13-v_seriA), "-")</f>
        <v>-</v>
      </c>
      <c r="I7" s="64" t="str">
        <f>IFERROR(tbl_fundraisingSteps[[#This Row],[Series A]]*(1-v_seriB), "-")</f>
        <v>-</v>
      </c>
      <c r="J7" s="64" t="str">
        <f>IFERROR(tbl_fundraisingSteps[[#This Row],[Series B]]*(1-v_seriC), "-")</f>
        <v>-</v>
      </c>
      <c r="K7" s="64" t="str">
        <f>IFERROR(tbl_fundraisingSteps[[#This Row],[Series C]]*(1-v_seriD), "-")</f>
        <v>-</v>
      </c>
      <c r="L7" s="69">
        <v>0.1</v>
      </c>
      <c r="M7" s="64">
        <f>IFERROR(tbl_fundraisingSteps[[#This Row],[Series E]]*(1-v_seriF), "-")</f>
        <v>9.0000000000000011E-2</v>
      </c>
    </row>
    <row r="8" spans="1:13" ht="18" thickBot="1" x14ac:dyDescent="0.3">
      <c r="A8" s="57" t="s">
        <v>162</v>
      </c>
      <c r="B8" s="57" t="s">
        <v>179</v>
      </c>
      <c r="C8" s="63" t="s">
        <v>161</v>
      </c>
      <c r="D8" s="63" t="s">
        <v>161</v>
      </c>
      <c r="E8" s="64" t="s">
        <v>161</v>
      </c>
      <c r="F8" s="63" t="s">
        <v>161</v>
      </c>
      <c r="G8" s="63" t="s">
        <v>161</v>
      </c>
      <c r="H8" s="64" t="str">
        <f>IFERROR(tbl_fundraisingSteps[[#This Row],[1399]]*(1-H$13-v_seriA), "-")</f>
        <v>-</v>
      </c>
      <c r="I8" s="64" t="s">
        <v>161</v>
      </c>
      <c r="J8" s="64" t="str">
        <f>IFERROR(tbl_fundraisingSteps[[#This Row],[Series B]]*(1-v_seriC), "-")</f>
        <v>-</v>
      </c>
      <c r="K8" s="64" t="str">
        <f>IFERROR(tbl_fundraisingSteps[[#This Row],[Series C]]*(1-v_seriD), "-")</f>
        <v>-</v>
      </c>
      <c r="L8" s="64" t="str">
        <f>IFERROR(tbl_fundraisingSteps[[#This Row],[Series D]]*(1-v_seriE), "-")</f>
        <v>-</v>
      </c>
      <c r="M8" s="69">
        <v>0.1</v>
      </c>
    </row>
    <row r="9" spans="1:13" x14ac:dyDescent="0.25">
      <c r="A9" s="72" t="s">
        <v>154</v>
      </c>
      <c r="B9" s="72" t="s">
        <v>157</v>
      </c>
      <c r="C9" s="73">
        <v>0.9</v>
      </c>
      <c r="D9" s="73">
        <v>0.3</v>
      </c>
      <c r="E9" s="74">
        <v>0.86</v>
      </c>
      <c r="F9" s="74">
        <v>0.75139999999999996</v>
      </c>
      <c r="G9" s="74">
        <v>0.6593</v>
      </c>
      <c r="H9" s="74">
        <f>IFERROR(tbl_fundraisingSteps[[#This Row],[1399]]*(1-H$13-v_seriA), "-")</f>
        <v>0.46150999999999998</v>
      </c>
      <c r="I9" s="74">
        <f>IFERROR(tbl_fundraisingSteps[[#This Row],[Series A]]*(1-v_seriB), "-")</f>
        <v>0.36920799999999998</v>
      </c>
      <c r="J9" s="74">
        <f>IFERROR(tbl_fundraisingSteps[[#This Row],[Series B]]*(1-v_seriC), "-")</f>
        <v>0.31382679999999996</v>
      </c>
      <c r="K9" s="74">
        <f>IFERROR(tbl_fundraisingSteps[[#This Row],[Series C]]*(1-v_seriD), "-")</f>
        <v>0.26675277999999997</v>
      </c>
      <c r="L9" s="74">
        <f>IFERROR(tbl_fundraisingSteps[[#This Row],[Series D]]*(1-v_seriE), "-")</f>
        <v>0.24007750199999997</v>
      </c>
      <c r="M9" s="74">
        <f>IFERROR(tbl_fundraisingSteps[[#This Row],[Series E]]*(1-v_seriF), "-")</f>
        <v>0.21606975179999999</v>
      </c>
    </row>
    <row r="10" spans="1:13" x14ac:dyDescent="0.25">
      <c r="A10" s="57" t="s">
        <v>154</v>
      </c>
      <c r="B10" s="57" t="s">
        <v>158</v>
      </c>
      <c r="C10" s="63" t="s">
        <v>161</v>
      </c>
      <c r="D10" s="63" t="s">
        <v>161</v>
      </c>
      <c r="E10" s="63" t="s">
        <v>161</v>
      </c>
      <c r="F10" s="63">
        <v>0.19</v>
      </c>
      <c r="G10" s="63">
        <v>0.3</v>
      </c>
      <c r="H10" s="64">
        <f>IFERROR(tbl_fundraisingSteps[[#This Row],[1399]]*(1-H$13-v_seriA), "-")</f>
        <v>0.21</v>
      </c>
      <c r="I10" s="64">
        <f>IFERROR(tbl_fundraisingSteps[[#This Row],[Series A]]*(1-v_seriB), "-")</f>
        <v>0.16800000000000001</v>
      </c>
      <c r="J10" s="64">
        <f>IFERROR(tbl_fundraisingSteps[[#This Row],[Series B]]*(1-v_seriC), "-")</f>
        <v>0.14280000000000001</v>
      </c>
      <c r="K10" s="64">
        <f>IFERROR(tbl_fundraisingSteps[[#This Row],[Series C]]*(1-v_seriD), "-")</f>
        <v>0.12138</v>
      </c>
      <c r="L10" s="64">
        <f>IFERROR(tbl_fundraisingSteps[[#This Row],[Series D]]*(1-v_seriE), "-")</f>
        <v>0.10924200000000001</v>
      </c>
      <c r="M10" s="64">
        <f>IFERROR(tbl_fundraisingSteps[[#This Row],[Series E]]*(1-v_seriF), "-")</f>
        <v>9.8317800000000011E-2</v>
      </c>
    </row>
    <row r="11" spans="1:13" x14ac:dyDescent="0.25">
      <c r="A11" s="57" t="s">
        <v>154</v>
      </c>
      <c r="B11" s="57" t="s">
        <v>159</v>
      </c>
      <c r="C11" s="63">
        <v>0.1</v>
      </c>
      <c r="D11" s="63" t="s">
        <v>161</v>
      </c>
      <c r="E11" s="64" t="s">
        <v>161</v>
      </c>
      <c r="F11" s="64">
        <v>2.86E-2</v>
      </c>
      <c r="G11" s="63">
        <v>0.04</v>
      </c>
      <c r="H11" s="64">
        <f>IFERROR(tbl_fundraisingSteps[[#This Row],[1399]]*(1-H$13-v_seriA), "-")</f>
        <v>2.7999999999999997E-2</v>
      </c>
      <c r="I11" s="64">
        <f>IFERROR(tbl_fundraisingSteps[[#This Row],[Series A]]*(1-v_seriB), "-")</f>
        <v>2.24E-2</v>
      </c>
      <c r="J11" s="64">
        <f>IFERROR(tbl_fundraisingSteps[[#This Row],[Series B]]*(1-v_seriC), "-")</f>
        <v>1.9039999999999998E-2</v>
      </c>
      <c r="K11" s="64">
        <f>IFERROR(tbl_fundraisingSteps[[#This Row],[Series C]]*(1-v_seriD), "-")</f>
        <v>1.6183999999999997E-2</v>
      </c>
      <c r="L11" s="64">
        <f>IFERROR(tbl_fundraisingSteps[[#This Row],[Series D]]*(1-v_seriE), "-")</f>
        <v>1.4565599999999998E-2</v>
      </c>
      <c r="M11" s="64">
        <f>IFERROR(tbl_fundraisingSteps[[#This Row],[Series E]]*(1-v_seriF), "-")</f>
        <v>1.3109039999999999E-2</v>
      </c>
    </row>
    <row r="12" spans="1:13" x14ac:dyDescent="0.25">
      <c r="A12" s="57" t="s">
        <v>154</v>
      </c>
      <c r="B12" s="57" t="s">
        <v>160</v>
      </c>
      <c r="C12" s="63" t="s">
        <v>161</v>
      </c>
      <c r="D12" s="63">
        <v>0.15</v>
      </c>
      <c r="E12" s="64">
        <v>7.9899999999999999E-2</v>
      </c>
      <c r="F12" s="64">
        <v>2.1399999999999999E-2</v>
      </c>
      <c r="G12" s="64">
        <v>5.0000000000000001E-4</v>
      </c>
      <c r="H12" s="64">
        <f>IFERROR(tbl_fundraisingSteps[[#This Row],[1399]]*(1-H$13-v_seriA), "-")</f>
        <v>3.5E-4</v>
      </c>
      <c r="I12" s="64">
        <f>IFERROR(tbl_fundraisingSteps[[#This Row],[Series A]]*(1-v_seriB), "-")</f>
        <v>2.8000000000000003E-4</v>
      </c>
      <c r="J12" s="64">
        <f>IFERROR(tbl_fundraisingSteps[[#This Row],[Series B]]*(1-v_seriC), "-")</f>
        <v>2.3800000000000001E-4</v>
      </c>
      <c r="K12" s="64">
        <f>IFERROR(tbl_fundraisingSteps[[#This Row],[Series C]]*(1-v_seriD), "-")</f>
        <v>2.0230000000000001E-4</v>
      </c>
      <c r="L12" s="64">
        <f>IFERROR(tbl_fundraisingSteps[[#This Row],[Series D]]*(1-v_seriE), "-")</f>
        <v>1.8207000000000002E-4</v>
      </c>
      <c r="M12" s="64">
        <f>IFERROR(tbl_fundraisingSteps[[#This Row],[Series E]]*(1-v_seriF), "-")</f>
        <v>1.6386300000000001E-4</v>
      </c>
    </row>
    <row r="13" spans="1:13" x14ac:dyDescent="0.25">
      <c r="A13" s="57" t="s">
        <v>155</v>
      </c>
      <c r="B13" s="57" t="s">
        <v>167</v>
      </c>
      <c r="C13" s="63" t="s">
        <v>161</v>
      </c>
      <c r="D13" s="63" t="s">
        <v>161</v>
      </c>
      <c r="E13" s="63" t="s">
        <v>161</v>
      </c>
      <c r="F13" s="63" t="s">
        <v>161</v>
      </c>
      <c r="G13" s="63" t="s">
        <v>161</v>
      </c>
      <c r="H13" s="70">
        <v>0.1</v>
      </c>
      <c r="I13" s="64">
        <f>IFERROR(tbl_fundraisingSteps[[#This Row],[Series A]]*(1-v_seriB), "-")</f>
        <v>8.0000000000000016E-2</v>
      </c>
      <c r="J13" s="64">
        <f>IFERROR(tbl_fundraisingSteps[[#This Row],[Series B]]*(1-v_seriC), "-")</f>
        <v>6.8000000000000005E-2</v>
      </c>
      <c r="K13" s="64">
        <f>IFERROR(tbl_fundraisingSteps[[#This Row],[Series C]]*(1-v_seriD), "-")</f>
        <v>5.7800000000000004E-2</v>
      </c>
      <c r="L13" s="64">
        <f>IFERROR(tbl_fundraisingSteps[[#This Row],[Series D]]*(1-v_seriE), "-")</f>
        <v>5.2020000000000004E-2</v>
      </c>
      <c r="M13" s="64">
        <f>IFERROR(tbl_fundraisingSteps[[#This Row],[Series E]]*(1-v_seriF), "-")</f>
        <v>4.6818000000000005E-2</v>
      </c>
    </row>
    <row r="14" spans="1:13" x14ac:dyDescent="0.25">
      <c r="A14" s="57" t="s">
        <v>1</v>
      </c>
      <c r="C14" s="65">
        <f>SUBTOTAL(109,tbl_fundraisingSteps[Start 1394])</f>
        <v>1</v>
      </c>
      <c r="D14" s="65">
        <f>SUBTOTAL(109,tbl_fundraisingSteps[Seed Angel 1395])</f>
        <v>1</v>
      </c>
      <c r="E14" s="65">
        <f>SUBTOTAL(109,tbl_fundraisingSteps[Angel Out 1397/2/22])</f>
        <v>1</v>
      </c>
      <c r="F14" s="65">
        <f>SUBTOTAL(109,tbl_fundraisingSteps[1397/5/1])</f>
        <v>0.99999999999999989</v>
      </c>
      <c r="G14" s="65">
        <f>SUBTOTAL(109,tbl_fundraisingSteps[1399])</f>
        <v>1</v>
      </c>
      <c r="H14" s="65">
        <f>SUBTOTAL(109,tbl_fundraisingSteps[Series A])</f>
        <v>0.99999999999999989</v>
      </c>
      <c r="I14" s="65">
        <f>SUBTOTAL(109,tbl_fundraisingSteps[Series B])</f>
        <v>1</v>
      </c>
      <c r="J14" s="65">
        <f>SUBTOTAL(109,tbl_fundraisingSteps[Series C])</f>
        <v>1</v>
      </c>
      <c r="K14" s="65">
        <f>SUBTOTAL(109,tbl_fundraisingSteps[Series D])</f>
        <v>0.99999999999999989</v>
      </c>
      <c r="L14" s="65">
        <f>SUBTOTAL(109,tbl_fundraisingSteps[Series E])</f>
        <v>1</v>
      </c>
      <c r="M14" s="71">
        <f>SUBTOTAL(109,tbl_fundraisingSteps[Series F])</f>
        <v>1</v>
      </c>
    </row>
    <row r="15" spans="1:13" x14ac:dyDescent="0.25"/>
    <row r="16" spans="1:13" x14ac:dyDescent="0.25">
      <c r="A16" s="57" t="s">
        <v>172</v>
      </c>
      <c r="C16" s="67">
        <v>10000000</v>
      </c>
      <c r="D16" s="67">
        <v>10000000</v>
      </c>
      <c r="E16" s="67">
        <v>1000000</v>
      </c>
      <c r="F16" s="67">
        <v>7000000</v>
      </c>
      <c r="G16" s="67">
        <v>300000000</v>
      </c>
      <c r="H16" s="67"/>
      <c r="I16" s="67"/>
      <c r="J16" s="67"/>
      <c r="K16" s="67"/>
      <c r="L16" s="67"/>
    </row>
    <row r="17" spans="1:13" x14ac:dyDescent="0.25">
      <c r="C17" s="67"/>
      <c r="D17" s="67"/>
      <c r="E17" s="67"/>
      <c r="F17" s="67"/>
      <c r="G17" s="67"/>
      <c r="H17" s="67"/>
      <c r="I17" s="67"/>
      <c r="J17" s="67"/>
      <c r="K17" s="67"/>
      <c r="L17" s="67"/>
    </row>
    <row r="18" spans="1:13" x14ac:dyDescent="0.25"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1:13" x14ac:dyDescent="0.25"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3" x14ac:dyDescent="0.25"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3" x14ac:dyDescent="0.25"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3" x14ac:dyDescent="0.25"/>
    <row r="23" spans="1:13" x14ac:dyDescent="0.25">
      <c r="A23" s="57" t="s">
        <v>156</v>
      </c>
      <c r="B23" s="57" t="s">
        <v>177</v>
      </c>
      <c r="C23" s="57" t="s">
        <v>171</v>
      </c>
      <c r="D23" s="57" t="s">
        <v>174</v>
      </c>
      <c r="E23" s="57" t="s">
        <v>173</v>
      </c>
      <c r="F23" s="57" t="s">
        <v>175</v>
      </c>
      <c r="G23" s="57" t="s">
        <v>170</v>
      </c>
      <c r="H23" s="57" t="s">
        <v>149</v>
      </c>
      <c r="I23" s="57" t="s">
        <v>150</v>
      </c>
      <c r="J23" s="57" t="s">
        <v>151</v>
      </c>
      <c r="K23" s="57" t="s">
        <v>178</v>
      </c>
      <c r="L23" s="57" t="s">
        <v>152</v>
      </c>
      <c r="M23" s="57" t="s">
        <v>153</v>
      </c>
    </row>
    <row r="24" spans="1:13" x14ac:dyDescent="0.25">
      <c r="A24" s="57" t="s">
        <v>162</v>
      </c>
      <c r="C24" s="64">
        <f>SUMIFS(tbl_fundraisingSteps[Start 1394],tbl_fundraisingSteps[نوع سهام‌دار],Table13[[#This Row],[نوع سهام‌دار]])</f>
        <v>0</v>
      </c>
      <c r="D24" s="64">
        <f>SUMIFS(tbl_fundraisingSteps[Seed Angel 1395],tbl_fundraisingSteps[نوع سهام‌دار],Table13[[#This Row],[نوع سهام‌دار]])</f>
        <v>0.55000000000000004</v>
      </c>
      <c r="E24" s="64">
        <f>SUMIFS(tbl_fundraisingSteps[Angel Out 1397/2/22],tbl_fundraisingSteps[نوع سهام‌دار],Table13[[#This Row],[نوع سهام‌دار]])</f>
        <v>6.0100000000000001E-2</v>
      </c>
      <c r="F24" s="64">
        <f>SUMIFS(tbl_fundraisingSteps[1397/5/1],tbl_fundraisingSteps[نوع سهام‌دار],Table13[[#This Row],[نوع سهام‌دار]])</f>
        <v>8.6E-3</v>
      </c>
      <c r="G24" s="64">
        <f>SUMIFS(tbl_fundraisingSteps[1399],tbl_fundraisingSteps[نوع سهام‌دار],Table13[[#This Row],[نوع سهام‌دار]])</f>
        <v>2.0000000000000001E-4</v>
      </c>
      <c r="H24" s="64">
        <f>SUMIFS(tbl_fundraisingSteps[Series A],tbl_fundraisingSteps[نوع سهام‌دار],Table13[[#This Row],[نوع سهام‌دار]])</f>
        <v>0.20014000000000001</v>
      </c>
      <c r="I24" s="64">
        <f>SUMIFS(tbl_fundraisingSteps[Series B],tbl_fundraisingSteps[نوع سهام‌دار],Table13[[#This Row],[نوع سهام‌دار]])</f>
        <v>0.36011200000000004</v>
      </c>
      <c r="J24" s="64">
        <f>SUMIFS(tbl_fundraisingSteps[Series C],tbl_fundraisingSteps[نوع سهام‌دار],Table13[[#This Row],[نوع سهام‌دار]])</f>
        <v>0.45609520000000003</v>
      </c>
      <c r="K24" s="64">
        <f>SUMIFS(tbl_fundraisingSteps[Series D],tbl_fundraisingSteps[نوع سهام‌دار],Table13[[#This Row],[نوع سهام‌دار]])</f>
        <v>0.53768092000000001</v>
      </c>
      <c r="L24" s="64">
        <f>SUMIFS(tbl_fundraisingSteps[Series E],tbl_fundraisingSteps[نوع سهام‌دار],Table13[[#This Row],[نوع سهام‌دار]])</f>
        <v>0.58391282800000011</v>
      </c>
      <c r="M24" s="64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7" t="s">
        <v>154</v>
      </c>
      <c r="C25" s="64">
        <f>SUMIFS(tbl_fundraisingSteps[Start 1394],tbl_fundraisingSteps[نوع سهام‌دار],Table13[[#This Row],[نوع سهام‌دار]])</f>
        <v>1</v>
      </c>
      <c r="D25" s="64">
        <f>SUMIFS(tbl_fundraisingSteps[Seed Angel 1395],tbl_fundraisingSteps[نوع سهام‌دار],Table13[[#This Row],[نوع سهام‌دار]])</f>
        <v>0.44999999999999996</v>
      </c>
      <c r="E25" s="64">
        <f>SUMIFS(tbl_fundraisingSteps[Angel Out 1397/2/22],tbl_fundraisingSteps[نوع سهام‌دار],Table13[[#This Row],[نوع سهام‌دار]])</f>
        <v>0.93989999999999996</v>
      </c>
      <c r="F25" s="64">
        <f>SUMIFS(tbl_fundraisingSteps[1397/5/1],tbl_fundraisingSteps[نوع سهام‌دار],Table13[[#This Row],[نوع سهام‌دار]])</f>
        <v>0.99139999999999995</v>
      </c>
      <c r="G25" s="64">
        <f>SUMIFS(tbl_fundraisingSteps[1399],tbl_fundraisingSteps[نوع سهام‌دار],Table13[[#This Row],[نوع سهام‌دار]])</f>
        <v>0.99980000000000002</v>
      </c>
      <c r="H25" s="64">
        <f>SUMIFS(tbl_fundraisingSteps[Series A],tbl_fundraisingSteps[نوع سهام‌دار],Table13[[#This Row],[نوع سهام‌دار]])</f>
        <v>0.69985999999999993</v>
      </c>
      <c r="I25" s="64">
        <f>SUMIFS(tbl_fundraisingSteps[Series B],tbl_fundraisingSteps[نوع سهام‌دار],Table13[[#This Row],[نوع سهام‌دار]])</f>
        <v>0.55988799999999994</v>
      </c>
      <c r="J25" s="64">
        <f>SUMIFS(tbl_fundraisingSteps[Series C],tbl_fundraisingSteps[نوع سهام‌دار],Table13[[#This Row],[نوع سهام‌دار]])</f>
        <v>0.47590480000000002</v>
      </c>
      <c r="K25" s="64">
        <f>SUMIFS(tbl_fundraisingSteps[Series D],tbl_fundraisingSteps[نوع سهام‌دار],Table13[[#This Row],[نوع سهام‌دار]])</f>
        <v>0.40451907999999992</v>
      </c>
      <c r="L25" s="64">
        <f>SUMIFS(tbl_fundraisingSteps[Series E],tbl_fundraisingSteps[نوع سهام‌دار],Table13[[#This Row],[نوع سهام‌دار]])</f>
        <v>0.36406717199999994</v>
      </c>
      <c r="M25" s="64">
        <f>SUMIFS(tbl_fundraisingSteps[Series F],tbl_fundraisingSteps[نوع سهام‌دار],Table13[[#This Row],[نوع سهام‌دار]])</f>
        <v>0.3276604548</v>
      </c>
    </row>
    <row r="26" spans="1:13" x14ac:dyDescent="0.25">
      <c r="A26" s="57" t="s">
        <v>155</v>
      </c>
      <c r="C26" s="64">
        <f>SUMIFS(tbl_fundraisingSteps[Start 1394],tbl_fundraisingSteps[نوع سهام‌دار],Table13[[#This Row],[نوع سهام‌دار]])</f>
        <v>0</v>
      </c>
      <c r="D26" s="64">
        <f>SUMIFS(tbl_fundraisingSteps[Seed Angel 1395],tbl_fundraisingSteps[نوع سهام‌دار],Table13[[#This Row],[نوع سهام‌دار]])</f>
        <v>0</v>
      </c>
      <c r="E26" s="64">
        <f>SUMIFS(tbl_fundraisingSteps[Angel Out 1397/2/22],tbl_fundraisingSteps[نوع سهام‌دار],Table13[[#This Row],[نوع سهام‌دار]])</f>
        <v>0</v>
      </c>
      <c r="F26" s="64">
        <f>SUMIFS(tbl_fundraisingSteps[1397/5/1],tbl_fundraisingSteps[نوع سهام‌دار],Table13[[#This Row],[نوع سهام‌دار]])</f>
        <v>0</v>
      </c>
      <c r="G26" s="64">
        <f>SUMIFS(tbl_fundraisingSteps[1399],tbl_fundraisingSteps[نوع سهام‌دار],Table13[[#This Row],[نوع سهام‌دار]])</f>
        <v>0</v>
      </c>
      <c r="H26" s="64">
        <f>SUMIFS(tbl_fundraisingSteps[Series A],tbl_fundraisingSteps[نوع سهام‌دار],Table13[[#This Row],[نوع سهام‌دار]])</f>
        <v>0.1</v>
      </c>
      <c r="I26" s="64">
        <f>SUMIFS(tbl_fundraisingSteps[Series B],tbl_fundraisingSteps[نوع سهام‌دار],Table13[[#This Row],[نوع سهام‌دار]])</f>
        <v>8.0000000000000016E-2</v>
      </c>
      <c r="J26" s="64">
        <f>SUMIFS(tbl_fundraisingSteps[Series C],tbl_fundraisingSteps[نوع سهام‌دار],Table13[[#This Row],[نوع سهام‌دار]])</f>
        <v>6.8000000000000005E-2</v>
      </c>
      <c r="K26" s="64">
        <f>SUMIFS(tbl_fundraisingSteps[Series D],tbl_fundraisingSteps[نوع سهام‌دار],Table13[[#This Row],[نوع سهام‌دار]])</f>
        <v>5.7800000000000004E-2</v>
      </c>
      <c r="L26" s="64">
        <f>SUMIFS(tbl_fundraisingSteps[Series E],tbl_fundraisingSteps[نوع سهام‌دار],Table13[[#This Row],[نوع سهام‌دار]])</f>
        <v>5.2020000000000004E-2</v>
      </c>
      <c r="M26" s="64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7" t="s">
        <v>1</v>
      </c>
      <c r="C27" s="71">
        <f>SUBTOTAL(109,Table13[Start 1394])</f>
        <v>1</v>
      </c>
      <c r="D27" s="71">
        <f>SUBTOTAL(109,Table13[Seed Angel 1395])</f>
        <v>1</v>
      </c>
      <c r="E27" s="71">
        <f>SUBTOTAL(109,Table13[Angel Out 1397/2/22])</f>
        <v>1</v>
      </c>
      <c r="F27" s="71">
        <f>SUBTOTAL(109,Table13[1397/5/1])</f>
        <v>1</v>
      </c>
      <c r="G27" s="71">
        <f>SUBTOTAL(109,Table13[1399])</f>
        <v>1</v>
      </c>
      <c r="H27" s="71">
        <f>SUBTOTAL(109,Table13[Series A])</f>
        <v>0.99999999999999989</v>
      </c>
      <c r="I27" s="71">
        <f>SUBTOTAL(109,Table13[Series B])</f>
        <v>1</v>
      </c>
      <c r="J27" s="71">
        <f>SUBTOTAL(109,Table13[Series C])</f>
        <v>1</v>
      </c>
      <c r="K27" s="71">
        <f>SUBTOTAL(109,Table13[Series D])</f>
        <v>0.99999999999999989</v>
      </c>
      <c r="L27" s="71">
        <f>SUBTOTAL(109,Table13[Series E])</f>
        <v>1</v>
      </c>
      <c r="M27" s="71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N26" sqref="N26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21" sqref="B21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0.45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22">
        <v>25000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1000000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500</v>
      </c>
    </row>
    <row r="13" spans="1:2" x14ac:dyDescent="0.4">
      <c r="A13" s="1" t="s">
        <v>49</v>
      </c>
      <c r="B13" s="12">
        <f>d_serverDollarCost*d_toman2dollar</f>
        <v>300000000</v>
      </c>
    </row>
    <row r="14" spans="1:2" x14ac:dyDescent="0.4">
      <c r="A14" s="1" t="s">
        <v>54</v>
      </c>
      <c r="B14" s="12">
        <f>d_ssdDollarCost*d_toman2dollar * 12</f>
        <v>150000000</v>
      </c>
    </row>
    <row r="15" spans="1:2" x14ac:dyDescent="0.4">
      <c r="A15" s="1" t="s">
        <v>50</v>
      </c>
      <c r="B15" s="12">
        <v>3000000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65</v>
      </c>
      <c r="B17" s="37"/>
    </row>
    <row r="18" spans="1:2" x14ac:dyDescent="0.4">
      <c r="A18" s="35" t="s">
        <v>66</v>
      </c>
      <c r="B18" s="21">
        <v>0.4</v>
      </c>
    </row>
    <row r="19" spans="1:2" x14ac:dyDescent="0.4">
      <c r="A19" s="1" t="s">
        <v>120</v>
      </c>
      <c r="B19" s="21">
        <v>1</v>
      </c>
    </row>
    <row r="20" spans="1:2" x14ac:dyDescent="0.4">
      <c r="A20" s="1" t="s">
        <v>121</v>
      </c>
      <c r="B20" s="21">
        <v>0.4</v>
      </c>
    </row>
    <row r="21" spans="1:2" x14ac:dyDescent="0.4">
      <c r="A21" s="1" t="s">
        <v>143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1200000000</v>
      </c>
      <c r="D2" s="12">
        <f>(tbl_serverCount[1401] - tbl_serverCount[1400])*d_serverCost</f>
        <v>1800000000</v>
      </c>
      <c r="E2" s="12">
        <f>SUM(tbl_servers[[#This Row],[1400]:[1401]])</f>
        <v>3000000000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600000000</v>
      </c>
      <c r="D3" s="12">
        <f>(tbl_serverCount[1401] - tbl_serverCount[1400])*d_ssdCost</f>
        <v>900000000</v>
      </c>
      <c r="E3" s="12">
        <f>SUM(tbl_servers[[#This Row],[1400]:[1401]])</f>
        <v>1500000000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72000000</v>
      </c>
      <c r="D4" s="12">
        <f>tbl_serverCount[1401]*d_coloCost * 12</f>
        <v>360000000</v>
      </c>
      <c r="E4" s="12">
        <f>SUM(tbl_servers[[#This Row],[1400]:[1401]])</f>
        <v>432000000</v>
      </c>
    </row>
    <row r="5" spans="1:5" x14ac:dyDescent="0.4">
      <c r="A5" s="1" t="s">
        <v>1</v>
      </c>
      <c r="C5" s="12">
        <f>SUBTOTAL(109,tbl_servers[1400])</f>
        <v>1872000000</v>
      </c>
      <c r="D5" s="12">
        <f>SUBTOTAL(109,tbl_servers[1401])</f>
        <v>3060000000</v>
      </c>
      <c r="E5" s="12">
        <f>SUBTOTAL(109,tbl_servers[جمع])</f>
        <v>4932000000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10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C2" sqref="C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240000000</v>
      </c>
      <c r="D2" s="12">
        <f>d_staff1401 * d_systemPerPerson</f>
        <v>510000000</v>
      </c>
      <c r="E2" s="12">
        <f>SUM(tbl_office12[[#This Row],[1400]:[1401]])</f>
        <v>750000000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5</v>
      </c>
      <c r="D2" s="3">
        <v>10</v>
      </c>
      <c r="F2" s="4"/>
      <c r="G2" s="5"/>
    </row>
    <row r="3" spans="1:7" x14ac:dyDescent="0.4">
      <c r="A3" s="1">
        <f t="shared" ref="A3:A4" si="0">ROW(A2)</f>
        <v>2</v>
      </c>
      <c r="B3" s="1" t="s">
        <v>11</v>
      </c>
      <c r="C3" s="3">
        <v>1</v>
      </c>
      <c r="D3" s="3">
        <v>8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2</v>
      </c>
    </row>
    <row r="5" spans="1:7" x14ac:dyDescent="0.4">
      <c r="A5" s="1" t="e">
        <f>ROW(#REF!)</f>
        <v>#REF!</v>
      </c>
      <c r="B5" s="1" t="s">
        <v>13</v>
      </c>
      <c r="C5" s="3">
        <v>1</v>
      </c>
      <c r="D5" s="3">
        <v>5</v>
      </c>
    </row>
    <row r="6" spans="1:7" x14ac:dyDescent="0.4">
      <c r="A6" s="1" t="s">
        <v>21</v>
      </c>
      <c r="C6" s="3">
        <f>SUBTOTAL(109,tbl_salaryData[1400])</f>
        <v>8</v>
      </c>
      <c r="D6" s="3">
        <f>SUBTOTAL(109,tbl_salaryData[1401])</f>
        <v>25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8</v>
      </c>
      <c r="D12" s="24">
        <f>SUM(tbl_salaryData[1401])-C12</f>
        <v>17</v>
      </c>
      <c r="E12" s="11">
        <f>SUM(C12:D12)</f>
        <v>25</v>
      </c>
    </row>
    <row r="13" spans="1:7" x14ac:dyDescent="0.4">
      <c r="A13" s="9"/>
      <c r="B13" s="10" t="s">
        <v>16</v>
      </c>
      <c r="C13" s="11">
        <f>C2*C$23+C3*C$24+C4*C$25+C5*C$26</f>
        <v>126000000</v>
      </c>
      <c r="D13" s="11">
        <f>D2*D$23+D3*D$24+D4*D$25+D5*D$26</f>
        <v>461100000</v>
      </c>
      <c r="E13" s="11">
        <f>SUM(C13:D13)</f>
        <v>587100000</v>
      </c>
    </row>
    <row r="14" spans="1:7" x14ac:dyDescent="0.4">
      <c r="A14" s="9"/>
      <c r="B14" s="10" t="s">
        <v>17</v>
      </c>
      <c r="C14" s="11">
        <f>C13*d_year1400Remain</f>
        <v>756000000</v>
      </c>
      <c r="D14" s="11">
        <f t="shared" ref="D14" si="1">D13*12</f>
        <v>5533200000</v>
      </c>
      <c r="E14" s="12">
        <f t="shared" ref="E14:E15" si="2">SUM(C14:D14)</f>
        <v>6289200000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1121400000</v>
      </c>
      <c r="D15" s="15">
        <f>ROUND(D13*d_AnnualSalary,0)</f>
        <v>8207580000</v>
      </c>
      <c r="E15" s="16">
        <f t="shared" si="2"/>
        <v>9328980000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29000000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516200000</v>
      </c>
    </row>
    <row r="24" spans="1:6" x14ac:dyDescent="0.4">
      <c r="A24" s="1">
        <v>2</v>
      </c>
      <c r="B24" s="1" t="s">
        <v>11</v>
      </c>
      <c r="C24" s="19">
        <v>8000000</v>
      </c>
      <c r="D24" s="12">
        <f>tbl_jobSalary[[#This Row],[میانگین پرداختی ۱۴۰۰]]*(d_salaryYOY + 1)</f>
        <v>11600000</v>
      </c>
      <c r="E24" s="12">
        <f>tbl_jobSalary[[#This Row],[میانگین پرداختی ۱۴۰۰]]*d_AnnualSalary</f>
        <v>142400000</v>
      </c>
      <c r="F24" s="12">
        <f>tbl_jobSalary[[#This Row],[میانگین پرداختی ۱۴۰۱]]*d_AnnualSalary</f>
        <v>206480000</v>
      </c>
    </row>
    <row r="25" spans="1:6" x14ac:dyDescent="0.4">
      <c r="A25" s="1">
        <v>3</v>
      </c>
      <c r="B25" s="1" t="s">
        <v>12</v>
      </c>
      <c r="C25" s="19">
        <v>12000000</v>
      </c>
      <c r="D25" s="12">
        <f>tbl_jobSalary[[#This Row],[میانگین پرداختی ۱۴۰۰]]*(d_salaryYOY + 1)</f>
        <v>17400000</v>
      </c>
      <c r="E25" s="12">
        <f>tbl_jobSalary[[#This Row],[میانگین پرداختی ۱۴۰۰]]*d_AnnualSalary</f>
        <v>213600000</v>
      </c>
      <c r="F25" s="12">
        <f>tbl_jobSalary[[#This Row],[میانگین پرداختی ۱۴۰۱]]*d_AnnualSalary</f>
        <v>309720000</v>
      </c>
    </row>
    <row r="26" spans="1:6" x14ac:dyDescent="0.4">
      <c r="A26" s="1">
        <v>5</v>
      </c>
      <c r="B26" s="1" t="s">
        <v>13</v>
      </c>
      <c r="C26" s="19">
        <v>6000000</v>
      </c>
      <c r="D26" s="12">
        <f>tbl_jobSalary[[#This Row],[میانگین پرداختی ۱۴۰۰]]*(d_salaryYOY + 1)</f>
        <v>8700000</v>
      </c>
      <c r="E26" s="12">
        <f>tbl_jobSalary[[#This Row],[میانگین پرداختی ۱۴۰۰]]*d_AnnualSalary</f>
        <v>106800000</v>
      </c>
      <c r="F26" s="12">
        <f>tbl_jobSalary[[#This Row],[میانگین پرداختی ۱۴۰۱]]*d_AnnualSalary</f>
        <v>154860000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200000000</v>
      </c>
      <c r="E2" s="19">
        <f>SUM(tbl_marketing[[#This Row],[1400]:[1401]])</f>
        <v>250000000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500000000</v>
      </c>
      <c r="E3" s="19">
        <f>SUM(tbl_marketing[[#This Row],[1400]:[1401]])</f>
        <v>600000000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1000000000</v>
      </c>
      <c r="E4" s="19">
        <f>SUM(tbl_marketing[[#This Row],[1400]:[1401]])</f>
        <v>1200000000</v>
      </c>
    </row>
    <row r="5" spans="1:5" x14ac:dyDescent="0.4">
      <c r="A5" s="1">
        <f t="shared" si="0"/>
        <v>4</v>
      </c>
      <c r="B5" s="1" t="s">
        <v>63</v>
      </c>
      <c r="C5" s="19">
        <v>80000000</v>
      </c>
      <c r="D5" s="19">
        <v>500000000</v>
      </c>
      <c r="E5" s="19">
        <f>SUM(tbl_marketing[[#This Row],[1400]:[1401]])</f>
        <v>580000000</v>
      </c>
    </row>
    <row r="6" spans="1:5" x14ac:dyDescent="0.4">
      <c r="A6" s="1">
        <f t="shared" si="0"/>
        <v>5</v>
      </c>
      <c r="B6" s="1" t="s">
        <v>23</v>
      </c>
      <c r="C6" s="19">
        <v>40000000</v>
      </c>
      <c r="D6" s="19">
        <v>100000000</v>
      </c>
      <c r="E6" s="19">
        <f>SUM(tbl_marketing[[#This Row],[1400]:[1401]])</f>
        <v>140000000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50000000</v>
      </c>
      <c r="E7" s="19">
        <f>SUM(tbl_marketing[[#This Row],[1400]:[1401]])</f>
        <v>60000000</v>
      </c>
    </row>
    <row r="8" spans="1:5" x14ac:dyDescent="0.4">
      <c r="A8" s="1">
        <f t="shared" si="0"/>
        <v>7</v>
      </c>
      <c r="B8" s="1" t="s">
        <v>24</v>
      </c>
      <c r="C8" s="19">
        <v>50000000</v>
      </c>
      <c r="D8" s="19">
        <v>100000000</v>
      </c>
      <c r="E8" s="19">
        <f>SUM(tbl_marketing[[#This Row],[1400]:[1401]])</f>
        <v>150000000</v>
      </c>
    </row>
    <row r="9" spans="1:5" x14ac:dyDescent="0.4">
      <c r="A9" s="1">
        <f t="shared" si="0"/>
        <v>8</v>
      </c>
      <c r="B9" s="1" t="s">
        <v>25</v>
      </c>
      <c r="C9" s="19">
        <v>70000000</v>
      </c>
      <c r="D9" s="19">
        <v>50000000</v>
      </c>
      <c r="E9" s="19">
        <f>SUM(tbl_marketing[[#This Row],[1400]:[1401]])</f>
        <v>120000000</v>
      </c>
    </row>
    <row r="10" spans="1:5" x14ac:dyDescent="0.4">
      <c r="A10" s="1">
        <f t="shared" si="0"/>
        <v>9</v>
      </c>
      <c r="B10" s="1" t="s">
        <v>26</v>
      </c>
      <c r="C10" s="19">
        <v>200000000</v>
      </c>
      <c r="D10" s="19">
        <v>500000000</v>
      </c>
      <c r="E10" s="19">
        <f>SUM(tbl_marketing[[#This Row],[1400]:[1401]])</f>
        <v>700000000</v>
      </c>
    </row>
    <row r="11" spans="1:5" x14ac:dyDescent="0.4">
      <c r="A11" s="1" t="s">
        <v>1</v>
      </c>
      <c r="C11" s="12">
        <f>SUBTOTAL(109,tbl_marketing[1400])</f>
        <v>800000000</v>
      </c>
      <c r="D11" s="12">
        <f>SUBTOTAL(109,tbl_marketing[1401])</f>
        <v>3000000000</v>
      </c>
      <c r="E11" s="12">
        <f>SUBTOTAL(109,tbl_marketing[جمع])</f>
        <v>3800000000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C5" sqref="C5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72000000</v>
      </c>
      <c r="D2" s="12">
        <f>tbl_serverCount[1401]*d_coloCost * 12</f>
        <v>360000000</v>
      </c>
      <c r="E2" s="12">
        <f>SUM(tbl_office[[#This Row],[1400]:[1401]])</f>
        <v>432000000</v>
      </c>
    </row>
    <row r="3" spans="1:5" x14ac:dyDescent="0.4">
      <c r="A3" s="1">
        <f t="shared" ref="A3:A9" si="0">ROW(A2)</f>
        <v>2</v>
      </c>
      <c r="B3" s="1" t="s">
        <v>62</v>
      </c>
      <c r="C3" s="12">
        <v>200000000</v>
      </c>
      <c r="D3" s="12">
        <v>80000000</v>
      </c>
      <c r="E3" s="12">
        <f>SUM(tbl_office[[#This Row],[1400]:[1401]])</f>
        <v>280000000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100000000</v>
      </c>
      <c r="E4" s="12">
        <f>SUM(tbl_office[[#This Row],[1400]:[1401]])</f>
        <v>110000000</v>
      </c>
    </row>
    <row r="5" spans="1:5" x14ac:dyDescent="0.4">
      <c r="A5" s="1">
        <f t="shared" si="0"/>
        <v>4</v>
      </c>
      <c r="B5" s="1" t="s">
        <v>83</v>
      </c>
      <c r="C5" s="12">
        <v>10000000</v>
      </c>
      <c r="D5" s="12">
        <v>50000000</v>
      </c>
      <c r="E5" s="12">
        <f>SUM(tbl_office[[#This Row],[1400]:[1401]])</f>
        <v>60000000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48000000</v>
      </c>
      <c r="D6" s="12">
        <f>d_staffTotal * d_usagePerPersonPerMonth * 12</f>
        <v>300000000</v>
      </c>
      <c r="E6" s="12">
        <f>SUM(tbl_office[[#This Row],[1400]:[1401]])</f>
        <v>348000000</v>
      </c>
    </row>
    <row r="7" spans="1:5" x14ac:dyDescent="0.4">
      <c r="A7" s="1">
        <f t="shared" si="0"/>
        <v>6</v>
      </c>
      <c r="B7" s="1" t="s">
        <v>43</v>
      </c>
      <c r="C7" s="12">
        <v>2000000</v>
      </c>
      <c r="D7" s="12">
        <v>50000000</v>
      </c>
      <c r="E7" s="12">
        <f>SUM(tbl_office[[#This Row],[1400]:[1401]])</f>
        <v>52000000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30000000</v>
      </c>
      <c r="E8" s="12">
        <f>SUM(tbl_office[[#This Row],[1400]:[1401]])</f>
        <v>40000000</v>
      </c>
    </row>
    <row r="9" spans="1:5" x14ac:dyDescent="0.4">
      <c r="A9" s="1">
        <f t="shared" si="0"/>
        <v>8</v>
      </c>
      <c r="B9" s="1" t="s">
        <v>61</v>
      </c>
      <c r="C9" s="12">
        <f>SUM(C2:C8) * 20%</f>
        <v>70400000</v>
      </c>
      <c r="D9" s="12">
        <f>SUM(D2:D8) * 20%</f>
        <v>194000000</v>
      </c>
      <c r="E9" s="12">
        <f>SUM(tbl_office[[#This Row],[1400]:[1401]])</f>
        <v>264400000</v>
      </c>
    </row>
    <row r="10" spans="1:5" x14ac:dyDescent="0.4">
      <c r="A10" s="1" t="s">
        <v>1</v>
      </c>
      <c r="C10" s="12">
        <f>SUBTOTAL(109,tbl_office[1400])</f>
        <v>422400000</v>
      </c>
      <c r="D10" s="12">
        <f>SUBTOTAL(109,tbl_office[1401])</f>
        <v>1164000000</v>
      </c>
      <c r="E10" s="12">
        <f>SUBTOTAL(109,tbl_office[جمع])</f>
        <v>1586400000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2"/>
  <sheetViews>
    <sheetView rightToLeft="1" zoomScaleNormal="100" workbookViewId="0">
      <selection activeCell="F15" sqref="F15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69</v>
      </c>
      <c r="D1" s="1" t="s">
        <v>80</v>
      </c>
      <c r="E1" s="1" t="s">
        <v>81</v>
      </c>
      <c r="F1" s="1" t="s">
        <v>79</v>
      </c>
      <c r="G1" s="1" t="s">
        <v>67</v>
      </c>
      <c r="H1" s="1" t="s">
        <v>98</v>
      </c>
      <c r="I1" s="23" t="s">
        <v>97</v>
      </c>
      <c r="J1" s="1" t="s">
        <v>87</v>
      </c>
      <c r="K1" s="41" t="s">
        <v>88</v>
      </c>
      <c r="L1" s="41" t="s">
        <v>89</v>
      </c>
      <c r="M1" s="41" t="s">
        <v>90</v>
      </c>
      <c r="N1" s="41" t="s">
        <v>91</v>
      </c>
      <c r="O1" s="41" t="s">
        <v>92</v>
      </c>
      <c r="P1" s="23" t="s">
        <v>93</v>
      </c>
      <c r="Q1" s="23" t="s">
        <v>94</v>
      </c>
      <c r="R1" s="23" t="s">
        <v>95</v>
      </c>
    </row>
    <row r="2" spans="1:18" x14ac:dyDescent="0.4">
      <c r="A2" s="1">
        <f>ROW(A1)</f>
        <v>1</v>
      </c>
      <c r="B2" s="1" t="s">
        <v>64</v>
      </c>
      <c r="C2" s="1" t="s">
        <v>86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0.04</v>
      </c>
      <c r="H2" s="45">
        <f>tbl_pricing[[#This Row],[درصد خرید]]*tbl_pricing[[#This Row],[سود]]</f>
        <v>1360</v>
      </c>
      <c r="I2" s="44">
        <f>tbl_pricing[[#This Row],[کل بیزینس‌ها]]/ SUM(tbl_pricing[کل بیزینس‌ها])</f>
        <v>7.2907592307176847E-2</v>
      </c>
      <c r="J2" s="50">
        <f>tbl_pricing[[#Headers],[500]]*tbl_pricing[[#This Row],[درصد خرید]]*tbl_pricing[[#This Row],[سود به ازای هر بیزینس]]</f>
        <v>27200</v>
      </c>
      <c r="K2" s="48">
        <f>tbl_pricing[[#Headers],[500]]*tbl_pricing[[#This Row],[درصد خرید]]</f>
        <v>20</v>
      </c>
      <c r="L2" s="48">
        <f>tbl_pricing[[#Headers],[1000]]*tbl_pricing[[#This Row],[درصد خرید]]</f>
        <v>40</v>
      </c>
      <c r="M2" s="48">
        <f>tbl_pricing[[#Headers],[2000]]*tbl_pricing[[#This Row],[درصد خرید]]</f>
        <v>80</v>
      </c>
      <c r="N2" s="48">
        <f>tbl_pricing[[#Headers],[5000]]*tbl_pricing[[#This Row],[درصد خرید]]</f>
        <v>200</v>
      </c>
      <c r="O2" s="48">
        <f>tbl_pricing[[#Headers],[10000]]*tbl_pricing[[#This Row],[درصد خرید]]</f>
        <v>400</v>
      </c>
      <c r="P2" s="48">
        <f>tbl_pricing[[#Headers],[20000]]*tbl_pricing[[#This Row],[درصد خرید]]</f>
        <v>800</v>
      </c>
      <c r="Q2" s="48">
        <f>tbl_pricing[[#Headers],[50000]]*tbl_pricing[[#This Row],[درصد خرید]]</f>
        <v>2000</v>
      </c>
      <c r="R2" s="48">
        <f>tbl_pricing[[#Headers],[100000]]*tbl_pricing[[#This Row],[درصد خرید]]</f>
        <v>4000</v>
      </c>
    </row>
    <row r="3" spans="1:18" x14ac:dyDescent="0.4">
      <c r="A3" s="1">
        <f t="shared" ref="A3:A13" si="0">ROW(A2)</f>
        <v>2</v>
      </c>
      <c r="B3" s="1" t="s">
        <v>68</v>
      </c>
      <c r="C3" s="1" t="s">
        <v>71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0.05</v>
      </c>
      <c r="H3" s="45">
        <f>tbl_pricing[[#This Row],[درصد خرید]]*tbl_pricing[[#This Row],[سود]]</f>
        <v>5000</v>
      </c>
      <c r="I3" s="44">
        <f>tbl_pricing[[#This Row],[کل بیزینس‌ها]]/ SUM(tbl_pricing[کل بیزینس‌ها])</f>
        <v>0.3350532734704818</v>
      </c>
      <c r="J3" s="50">
        <f>tbl_pricing[[#Headers],[500]]*tbl_pricing[[#This Row],[درصد خرید]]*tbl_pricing[[#This Row],[سود به ازای هر بیزینس]]</f>
        <v>125000</v>
      </c>
      <c r="K3" s="48">
        <f>tbl_pricing[[#Headers],[500]]*tbl_pricing[[#This Row],[درصد خرید]]</f>
        <v>25</v>
      </c>
      <c r="L3" s="48">
        <f>tbl_pricing[[#Headers],[1000]]*tbl_pricing[[#This Row],[درصد خرید]]</f>
        <v>50</v>
      </c>
      <c r="M3" s="48">
        <f>tbl_pricing[[#Headers],[2000]]*tbl_pricing[[#This Row],[درصد خرید]]</f>
        <v>100</v>
      </c>
      <c r="N3" s="48">
        <f>tbl_pricing[[#Headers],[5000]]*tbl_pricing[[#This Row],[درصد خرید]]</f>
        <v>250</v>
      </c>
      <c r="O3" s="48">
        <f>tbl_pricing[[#Headers],[10000]]*tbl_pricing[[#This Row],[درصد خرید]]</f>
        <v>500</v>
      </c>
      <c r="P3" s="48">
        <f>tbl_pricing[[#Headers],[20000]]*tbl_pricing[[#This Row],[درصد خرید]]</f>
        <v>1000</v>
      </c>
      <c r="Q3" s="48">
        <f>tbl_pricing[[#Headers],[50000]]*tbl_pricing[[#This Row],[درصد خرید]]</f>
        <v>2500</v>
      </c>
      <c r="R3" s="48">
        <f>tbl_pricing[[#Headers],[100000]]*tbl_pricing[[#This Row],[درصد خرید]]</f>
        <v>5000</v>
      </c>
    </row>
    <row r="4" spans="1:18" x14ac:dyDescent="0.4">
      <c r="A4" s="1">
        <f t="shared" si="0"/>
        <v>3</v>
      </c>
      <c r="B4" s="1" t="s">
        <v>72</v>
      </c>
      <c r="C4" s="1" t="s">
        <v>70</v>
      </c>
      <c r="D4" s="12">
        <v>50000</v>
      </c>
      <c r="E4" s="12"/>
      <c r="F4" s="12">
        <f>tbl_pricing[[#This Row],[مبلغ پرداختی]]-tbl_pricing[[#This Row],[بهای تمام شده]]</f>
        <v>50000</v>
      </c>
      <c r="G4" s="38">
        <v>0.06</v>
      </c>
      <c r="H4" s="45">
        <f>tbl_pricing[[#This Row],[درصد خرید]]*tbl_pricing[[#This Row],[سود]]</f>
        <v>3000</v>
      </c>
      <c r="I4" s="44">
        <f>tbl_pricing[[#This Row],[کل بیزینس‌ها]]/ SUM(tbl_pricing[کل بیزینس‌ها])</f>
        <v>0.2412383568987469</v>
      </c>
      <c r="J4" s="50">
        <f>tbl_pricing[[#Headers],[500]]*tbl_pricing[[#This Row],[درصد خرید]]*tbl_pricing[[#This Row],[سود به ازای هر بیزینس]]</f>
        <v>90000</v>
      </c>
      <c r="K4" s="48">
        <f>tbl_pricing[[#Headers],[500]]*tbl_pricing[[#This Row],[درصد خرید]]</f>
        <v>30</v>
      </c>
      <c r="L4" s="48">
        <f>tbl_pricing[[#Headers],[1000]]*tbl_pricing[[#This Row],[درصد خرید]]</f>
        <v>60</v>
      </c>
      <c r="M4" s="48">
        <f>tbl_pricing[[#Headers],[2000]]*tbl_pricing[[#This Row],[درصد خرید]]</f>
        <v>120</v>
      </c>
      <c r="N4" s="48">
        <f>tbl_pricing[[#Headers],[5000]]*tbl_pricing[[#This Row],[درصد خرید]]</f>
        <v>300</v>
      </c>
      <c r="O4" s="48">
        <f>tbl_pricing[[#Headers],[10000]]*tbl_pricing[[#This Row],[درصد خرید]]</f>
        <v>600</v>
      </c>
      <c r="P4" s="48">
        <f>tbl_pricing[[#Headers],[20000]]*tbl_pricing[[#This Row],[درصد خرید]]</f>
        <v>1200</v>
      </c>
      <c r="Q4" s="48">
        <f>tbl_pricing[[#Headers],[50000]]*tbl_pricing[[#This Row],[درصد خرید]]</f>
        <v>3000</v>
      </c>
      <c r="R4" s="48">
        <f>tbl_pricing[[#Headers],[100000]]*tbl_pricing[[#This Row],[درصد خرید]]</f>
        <v>6000</v>
      </c>
    </row>
    <row r="5" spans="1:18" x14ac:dyDescent="0.4">
      <c r="A5" s="1">
        <f t="shared" si="0"/>
        <v>4</v>
      </c>
      <c r="B5" s="1" t="s">
        <v>73</v>
      </c>
      <c r="C5" s="1" t="s">
        <v>71</v>
      </c>
      <c r="D5" s="12">
        <v>5000000</v>
      </c>
      <c r="E5" s="12"/>
      <c r="F5" s="12">
        <f>tbl_pricing[[#This Row],[مبلغ پرداختی]]-tbl_pricing[[#This Row],[بهای تمام شده]]</f>
        <v>5000000</v>
      </c>
      <c r="G5" s="39">
        <v>1E-3</v>
      </c>
      <c r="H5" s="45">
        <f>tbl_pricing[[#This Row],[درصد خرید]]*tbl_pricing[[#This Row],[سود]]</f>
        <v>5000</v>
      </c>
      <c r="I5" s="44">
        <f>tbl_pricing[[#This Row],[کل بیزینس‌ها]]/ SUM(tbl_pricing[کل بیزینس‌ها])</f>
        <v>6.7010654694096361E-3</v>
      </c>
      <c r="J5" s="50">
        <f>tbl_pricing[[#Headers],[500]]*tbl_pricing[[#This Row],[درصد خرید]]*tbl_pricing[[#This Row],[سود به ازای هر بیزینس]]</f>
        <v>2500</v>
      </c>
      <c r="K5" s="48">
        <f>tbl_pricing[[#Headers],[500]]*tbl_pricing[[#This Row],[درصد خرید]]</f>
        <v>0.5</v>
      </c>
      <c r="L5" s="48">
        <f>tbl_pricing[[#Headers],[1000]]*tbl_pricing[[#This Row],[درصد خرید]]</f>
        <v>1</v>
      </c>
      <c r="M5" s="48">
        <f>tbl_pricing[[#Headers],[2000]]*tbl_pricing[[#This Row],[درصد خرید]]</f>
        <v>2</v>
      </c>
      <c r="N5" s="48">
        <f>tbl_pricing[[#Headers],[5000]]*tbl_pricing[[#This Row],[درصد خرید]]</f>
        <v>5</v>
      </c>
      <c r="O5" s="48">
        <f>tbl_pricing[[#Headers],[10000]]*tbl_pricing[[#This Row],[درصد خرید]]</f>
        <v>10</v>
      </c>
      <c r="P5" s="48">
        <f>tbl_pricing[[#Headers],[20000]]*tbl_pricing[[#This Row],[درصد خرید]]</f>
        <v>20</v>
      </c>
      <c r="Q5" s="48">
        <f>tbl_pricing[[#Headers],[50000]]*tbl_pricing[[#This Row],[درصد خرید]]</f>
        <v>50</v>
      </c>
      <c r="R5" s="48">
        <f>tbl_pricing[[#Headers],[100000]]*tbl_pricing[[#This Row],[درصد خرید]]</f>
        <v>100</v>
      </c>
    </row>
    <row r="6" spans="1:18" x14ac:dyDescent="0.4">
      <c r="A6" s="1">
        <f t="shared" si="0"/>
        <v>5</v>
      </c>
      <c r="B6" s="1" t="s">
        <v>74</v>
      </c>
      <c r="C6" s="1" t="s">
        <v>71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1.675266367352409E-3</v>
      </c>
      <c r="J6" s="50">
        <f>tbl_pricing[[#Headers],[500]]*tbl_pricing[[#This Row],[درصد خرید]]*tbl_pricing[[#This Row],[سود به ازای هر بیزینس]]</f>
        <v>625</v>
      </c>
      <c r="K6" s="48">
        <f>tbl_pricing[[#Headers],[500]]*tbl_pricing[[#This Row],[درصد خرید]]</f>
        <v>0.25</v>
      </c>
      <c r="L6" s="48">
        <f>tbl_pricing[[#Headers],[1000]]*tbl_pricing[[#This Row],[درصد خرید]]</f>
        <v>0.5</v>
      </c>
      <c r="M6" s="48">
        <f>tbl_pricing[[#Headers],[2000]]*tbl_pricing[[#This Row],[درصد خرید]]</f>
        <v>1</v>
      </c>
      <c r="N6" s="48">
        <f>tbl_pricing[[#Headers],[5000]]*tbl_pricing[[#This Row],[درصد خرید]]</f>
        <v>2.5</v>
      </c>
      <c r="O6" s="48">
        <f>tbl_pricing[[#Headers],[10000]]*tbl_pricing[[#This Row],[درصد خرید]]</f>
        <v>5</v>
      </c>
      <c r="P6" s="48">
        <f>tbl_pricing[[#Headers],[20000]]*tbl_pricing[[#This Row],[درصد خرید]]</f>
        <v>10</v>
      </c>
      <c r="Q6" s="48">
        <f>tbl_pricing[[#Headers],[50000]]*tbl_pricing[[#This Row],[درصد خرید]]</f>
        <v>25</v>
      </c>
      <c r="R6" s="48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96</v>
      </c>
      <c r="C7" s="1" t="s">
        <v>71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3.3505327347048181E-3</v>
      </c>
      <c r="J7" s="50">
        <f>tbl_pricing[[#Headers],[500]]*tbl_pricing[[#This Row],[درصد خرید]]*tbl_pricing[[#This Row],[سود به ازای هر بیزینس]]</f>
        <v>1250</v>
      </c>
      <c r="K7" s="48">
        <f>tbl_pricing[[#Headers],[500]]*tbl_pricing[[#This Row],[درصد خرید]]</f>
        <v>2.5</v>
      </c>
      <c r="L7" s="48">
        <f>tbl_pricing[[#Headers],[1000]]*tbl_pricing[[#This Row],[درصد خرید]]</f>
        <v>5</v>
      </c>
      <c r="M7" s="48">
        <f>tbl_pricing[[#Headers],[2000]]*tbl_pricing[[#This Row],[درصد خرید]]</f>
        <v>10</v>
      </c>
      <c r="N7" s="48">
        <f>tbl_pricing[[#Headers],[5000]]*tbl_pricing[[#This Row],[درصد خرید]]</f>
        <v>25</v>
      </c>
      <c r="O7" s="48">
        <f>tbl_pricing[[#Headers],[10000]]*tbl_pricing[[#This Row],[درصد خرید]]</f>
        <v>50</v>
      </c>
      <c r="P7" s="48">
        <f>tbl_pricing[[#Headers],[20000]]*tbl_pricing[[#This Row],[درصد خرید]]</f>
        <v>100</v>
      </c>
      <c r="Q7" s="48">
        <f>tbl_pricing[[#Headers],[50000]]*tbl_pricing[[#This Row],[درصد خرید]]</f>
        <v>250</v>
      </c>
      <c r="R7" s="48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180</v>
      </c>
      <c r="C8" s="1" t="s">
        <v>86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43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3.3505327347048183E-2</v>
      </c>
      <c r="J8" s="50">
        <f>tbl_pricing[[#Headers],[500]]*tbl_pricing[[#This Row],[درصد خرید]]*tbl_pricing[[#This Row],[سود به ازای هر بیزینس]]</f>
        <v>12500</v>
      </c>
      <c r="K8" s="48">
        <f>tbl_pricing[[#Headers],[500]]*tbl_pricing[[#This Row],[درصد خرید]]</f>
        <v>25</v>
      </c>
      <c r="L8" s="48">
        <f>tbl_pricing[[#Headers],[1000]]*tbl_pricing[[#This Row],[درصد خرید]]</f>
        <v>50</v>
      </c>
      <c r="M8" s="48">
        <f>tbl_pricing[[#Headers],[2000]]*tbl_pricing[[#This Row],[درصد خرید]]</f>
        <v>100</v>
      </c>
      <c r="N8" s="48">
        <f>tbl_pricing[[#Headers],[5000]]*tbl_pricing[[#This Row],[درصد خرید]]</f>
        <v>250</v>
      </c>
      <c r="O8" s="48">
        <f>tbl_pricing[[#Headers],[10000]]*tbl_pricing[[#This Row],[درصد خرید]]</f>
        <v>500</v>
      </c>
      <c r="P8" s="48">
        <f>tbl_pricing[[#Headers],[20000]]*tbl_pricing[[#This Row],[درصد خرید]]</f>
        <v>1000</v>
      </c>
      <c r="Q8" s="48">
        <f>tbl_pricing[[#Headers],[50000]]*tbl_pricing[[#This Row],[درصد خرید]]</f>
        <v>2500</v>
      </c>
      <c r="R8" s="48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76</v>
      </c>
      <c r="C9" s="1" t="s">
        <v>71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2.6804261877638545E-2</v>
      </c>
      <c r="J9" s="50">
        <f>tbl_pricing[[#Headers],[500]]*tbl_pricing[[#This Row],[درصد خرید]]*tbl_pricing[[#This Row],[سود به ازای هر بیزینس]]</f>
        <v>10000</v>
      </c>
      <c r="K9" s="48">
        <f>tbl_pricing[[#Headers],[500]]*tbl_pricing[[#This Row],[درصد خرید]]</f>
        <v>10</v>
      </c>
      <c r="L9" s="48">
        <f>tbl_pricing[[#Headers],[1000]]*tbl_pricing[[#This Row],[درصد خرید]]</f>
        <v>20</v>
      </c>
      <c r="M9" s="48">
        <f>tbl_pricing[[#Headers],[2000]]*tbl_pricing[[#This Row],[درصد خرید]]</f>
        <v>40</v>
      </c>
      <c r="N9" s="48">
        <f>tbl_pricing[[#Headers],[5000]]*tbl_pricing[[#This Row],[درصد خرید]]</f>
        <v>100</v>
      </c>
      <c r="O9" s="48">
        <f>tbl_pricing[[#Headers],[10000]]*tbl_pricing[[#This Row],[درصد خرید]]</f>
        <v>200</v>
      </c>
      <c r="P9" s="48">
        <f>tbl_pricing[[#Headers],[20000]]*tbl_pricing[[#This Row],[درصد خرید]]</f>
        <v>400</v>
      </c>
      <c r="Q9" s="48">
        <f>tbl_pricing[[#Headers],[50000]]*tbl_pricing[[#This Row],[درصد خرید]]</f>
        <v>1000</v>
      </c>
      <c r="R9" s="48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75</v>
      </c>
      <c r="C10" s="1" t="s">
        <v>71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6.7010654694096361E-3</v>
      </c>
      <c r="J10" s="50">
        <f>tbl_pricing[[#Headers],[500]]*tbl_pricing[[#This Row],[درصد خرید]]*tbl_pricing[[#This Row],[سود به ازای هر بیزینس]]</f>
        <v>2500</v>
      </c>
      <c r="K10" s="48">
        <f>tbl_pricing[[#Headers],[500]]*tbl_pricing[[#This Row],[درصد خرید]]</f>
        <v>2.5</v>
      </c>
      <c r="L10" s="48">
        <f>tbl_pricing[[#Headers],[1000]]*tbl_pricing[[#This Row],[درصد خرید]]</f>
        <v>5</v>
      </c>
      <c r="M10" s="48">
        <f>tbl_pricing[[#Headers],[2000]]*tbl_pricing[[#This Row],[درصد خرید]]</f>
        <v>10</v>
      </c>
      <c r="N10" s="48">
        <f>tbl_pricing[[#Headers],[5000]]*tbl_pricing[[#This Row],[درصد خرید]]</f>
        <v>25</v>
      </c>
      <c r="O10" s="48">
        <f>tbl_pricing[[#Headers],[10000]]*tbl_pricing[[#This Row],[درصد خرید]]</f>
        <v>50</v>
      </c>
      <c r="P10" s="48">
        <f>tbl_pricing[[#Headers],[20000]]*tbl_pricing[[#This Row],[درصد خرید]]</f>
        <v>100</v>
      </c>
      <c r="Q10" s="48">
        <f>tbl_pricing[[#Headers],[50000]]*tbl_pricing[[#This Row],[درصد خرید]]</f>
        <v>250</v>
      </c>
      <c r="R10" s="48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77</v>
      </c>
      <c r="C11" s="1" t="s">
        <v>71</v>
      </c>
      <c r="D11" s="12">
        <v>400000</v>
      </c>
      <c r="E11" s="12"/>
      <c r="F11" s="12">
        <f>tbl_pricing[[#This Row],[مبلغ پرداختی]]-tbl_pricing[[#This Row],[بهای تمام شده]]</f>
        <v>400000</v>
      </c>
      <c r="G11" s="38">
        <v>0.02</v>
      </c>
      <c r="H11" s="45">
        <f>tbl_pricing[[#This Row],[درصد خرید]]*tbl_pricing[[#This Row],[سود]]</f>
        <v>8000</v>
      </c>
      <c r="I11" s="44">
        <f>tbl_pricing[[#This Row],[کل بیزینس‌ها]]/ SUM(tbl_pricing[کل بیزینس‌ها])</f>
        <v>0.21443409502110836</v>
      </c>
      <c r="J11" s="50">
        <f>tbl_pricing[[#Headers],[500]]*tbl_pricing[[#This Row],[درصد خرید]]*tbl_pricing[[#This Row],[سود به ازای هر بیزینس]]</f>
        <v>80000</v>
      </c>
      <c r="K11" s="48">
        <f>tbl_pricing[[#Headers],[500]]*tbl_pricing[[#This Row],[درصد خرید]]</f>
        <v>10</v>
      </c>
      <c r="L11" s="48">
        <f>tbl_pricing[[#Headers],[1000]]*tbl_pricing[[#This Row],[درصد خرید]]</f>
        <v>20</v>
      </c>
      <c r="M11" s="48">
        <f>tbl_pricing[[#Headers],[2000]]*tbl_pricing[[#This Row],[درصد خرید]]</f>
        <v>40</v>
      </c>
      <c r="N11" s="48">
        <f>tbl_pricing[[#Headers],[5000]]*tbl_pricing[[#This Row],[درصد خرید]]</f>
        <v>100</v>
      </c>
      <c r="O11" s="48">
        <f>tbl_pricing[[#Headers],[10000]]*tbl_pricing[[#This Row],[درصد خرید]]</f>
        <v>200</v>
      </c>
      <c r="P11" s="48">
        <f>tbl_pricing[[#Headers],[20000]]*tbl_pricing[[#This Row],[درصد خرید]]</f>
        <v>400</v>
      </c>
      <c r="Q11" s="48">
        <f>tbl_pricing[[#Headers],[50000]]*tbl_pricing[[#This Row],[درصد خرید]]</f>
        <v>1000</v>
      </c>
      <c r="R11" s="48">
        <f>tbl_pricing[[#Headers],[100000]]*tbl_pricing[[#This Row],[درصد خرید]]</f>
        <v>2000</v>
      </c>
    </row>
    <row r="12" spans="1:18" x14ac:dyDescent="0.4">
      <c r="A12" s="1">
        <f t="shared" si="0"/>
        <v>11</v>
      </c>
      <c r="B12" s="1" t="s">
        <v>78</v>
      </c>
      <c r="C12" s="1" t="s">
        <v>71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5.3608523755277089E-2</v>
      </c>
      <c r="J12" s="50">
        <f>tbl_pricing[[#Headers],[500]]*tbl_pricing[[#This Row],[درصد خرید]]*tbl_pricing[[#This Row],[سود به ازای هر بیزینس]]</f>
        <v>20000</v>
      </c>
      <c r="K12" s="48">
        <f>tbl_pricing[[#Headers],[500]]*tbl_pricing[[#This Row],[درصد خرید]]</f>
        <v>10</v>
      </c>
      <c r="L12" s="48">
        <f>tbl_pricing[[#Headers],[1000]]*tbl_pricing[[#This Row],[درصد خرید]]</f>
        <v>20</v>
      </c>
      <c r="M12" s="48">
        <f>tbl_pricing[[#Headers],[2000]]*tbl_pricing[[#This Row],[درصد خرید]]</f>
        <v>40</v>
      </c>
      <c r="N12" s="48">
        <f>tbl_pricing[[#Headers],[5000]]*tbl_pricing[[#This Row],[درصد خرید]]</f>
        <v>100</v>
      </c>
      <c r="O12" s="48">
        <f>tbl_pricing[[#Headers],[10000]]*tbl_pricing[[#This Row],[درصد خرید]]</f>
        <v>200</v>
      </c>
      <c r="P12" s="48">
        <f>tbl_pricing[[#Headers],[20000]]*tbl_pricing[[#This Row],[درصد خرید]]</f>
        <v>400</v>
      </c>
      <c r="Q12" s="48">
        <f>tbl_pricing[[#Headers],[50000]]*tbl_pricing[[#This Row],[درصد خرید]]</f>
        <v>1000</v>
      </c>
      <c r="R12" s="48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82</v>
      </c>
      <c r="C13" s="1" t="s">
        <v>71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1E-3</v>
      </c>
      <c r="H13" s="45">
        <f>tbl_pricing[[#This Row],[درصد خرید]]*tbl_pricing[[#This Row],[سود]]</f>
        <v>3000</v>
      </c>
      <c r="I13" s="44">
        <f>tbl_pricing[[#This Row],[کل بیزینس‌ها]]/ SUM(tbl_pricing[کل بیزینس‌ها])</f>
        <v>4.0206392816457817E-3</v>
      </c>
      <c r="J13" s="50">
        <f>tbl_pricing[[#Headers],[500]]*tbl_pricing[[#This Row],[درصد خرید]]*tbl_pricing[[#This Row],[سود به ازای هر بیزینس]]</f>
        <v>1500</v>
      </c>
      <c r="K13" s="48">
        <f>tbl_pricing[[#Headers],[500]]*tbl_pricing[[#This Row],[درصد خرید]]</f>
        <v>0.5</v>
      </c>
      <c r="L13" s="48">
        <f>tbl_pricing[[#Headers],[1000]]*tbl_pricing[[#This Row],[درصد خرید]]</f>
        <v>1</v>
      </c>
      <c r="M13" s="48">
        <f>tbl_pricing[[#Headers],[2000]]*tbl_pricing[[#This Row],[درصد خرید]]</f>
        <v>2</v>
      </c>
      <c r="N13" s="48">
        <f>tbl_pricing[[#Headers],[5000]]*tbl_pricing[[#This Row],[درصد خرید]]</f>
        <v>5</v>
      </c>
      <c r="O13" s="48">
        <f>tbl_pricing[[#Headers],[10000]]*tbl_pricing[[#This Row],[درصد خرید]]</f>
        <v>10</v>
      </c>
      <c r="P13" s="48">
        <f>tbl_pricing[[#Headers],[20000]]*tbl_pricing[[#This Row],[درصد خرید]]</f>
        <v>20</v>
      </c>
      <c r="Q13" s="48">
        <f>tbl_pricing[[#Headers],[50000]]*tbl_pricing[[#This Row],[درصد خرید]]</f>
        <v>50</v>
      </c>
      <c r="R13" s="48">
        <f>tbl_pricing[[#Headers],[100000]]*tbl_pricing[[#This Row],[درصد خرید]]</f>
        <v>100</v>
      </c>
    </row>
    <row r="14" spans="1:18" x14ac:dyDescent="0.4">
      <c r="A14" s="1" t="s">
        <v>1</v>
      </c>
      <c r="D14" s="12"/>
      <c r="F14" s="12"/>
      <c r="G14" s="46">
        <f>SUBTOTAL(101,tbl_pricing[درصد خرید])</f>
        <v>2.2708333333333334E-2</v>
      </c>
      <c r="H14" s="45">
        <f>SUBTOTAL(109,tbl_pricing[سود به ازای هر بیزینس])</f>
        <v>32860</v>
      </c>
      <c r="I14" s="42"/>
      <c r="J14" s="1"/>
      <c r="K14" s="3"/>
      <c r="L14" s="3"/>
      <c r="M14" s="3"/>
      <c r="N14" s="3"/>
      <c r="O14" s="3"/>
      <c r="P14" s="3"/>
      <c r="Q14" s="49"/>
      <c r="R14" s="3"/>
    </row>
    <row r="17" spans="1:17" x14ac:dyDescent="0.4">
      <c r="A17" s="6" t="s">
        <v>35</v>
      </c>
      <c r="B17" s="7" t="s">
        <v>2</v>
      </c>
      <c r="C17" s="51" t="s">
        <v>3</v>
      </c>
    </row>
    <row r="18" spans="1:17" x14ac:dyDescent="0.4">
      <c r="A18" s="26">
        <v>1</v>
      </c>
      <c r="B18" s="27" t="s">
        <v>103</v>
      </c>
      <c r="C18" s="52">
        <f>AVERAGE(tbl_pricing[درصد خرید])</f>
        <v>2.2708333333333334E-2</v>
      </c>
    </row>
    <row r="19" spans="1:17" x14ac:dyDescent="0.4">
      <c r="A19" s="13">
        <v>2</v>
      </c>
      <c r="B19" s="28" t="s">
        <v>102</v>
      </c>
      <c r="C19" s="53">
        <f>SUM(tbl_pricing[سود به ازای هر بیزینس])</f>
        <v>32860</v>
      </c>
    </row>
    <row r="20" spans="1:17" x14ac:dyDescent="0.4">
      <c r="C20" s="53"/>
      <c r="E20" s="54"/>
    </row>
    <row r="23" spans="1:17" x14ac:dyDescent="0.4">
      <c r="A23" s="47" t="s">
        <v>99</v>
      </c>
      <c r="B23" s="47" t="s">
        <v>101</v>
      </c>
      <c r="C23" s="47" t="s">
        <v>84</v>
      </c>
      <c r="D23" s="47" t="s">
        <v>85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11.354166666666666</v>
      </c>
      <c r="C24" s="12">
        <f>d_customerAvgRevenue*tbl_pricing_predict[[#This Row],[تعداد بیزینس]]</f>
        <v>16430000</v>
      </c>
      <c r="D24" s="12">
        <f>tbl_pricing_predict[[#This Row],[درآمد ماهیانه]]*12</f>
        <v>197160000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22.708333333333332</v>
      </c>
      <c r="C25" s="12">
        <f>d_customerAvgRevenue*tbl_pricing_predict[[#This Row],[تعداد بیزینس]]</f>
        <v>32860000</v>
      </c>
      <c r="D25" s="12">
        <f>tbl_pricing_predict[[#This Row],[درآمد ماهیانه]]*12</f>
        <v>394320000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45.416666666666664</v>
      </c>
      <c r="C26" s="12">
        <f>d_customerAvgRevenue*tbl_pricing_predict[[#This Row],[تعداد بیزینس]]</f>
        <v>65720000</v>
      </c>
      <c r="D26" s="12">
        <f>tbl_pricing_predict[[#This Row],[درآمد ماهیانه]]*12</f>
        <v>788640000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113.54166666666667</v>
      </c>
      <c r="C27" s="12">
        <f>d_customerAvgRevenue*tbl_pricing_predict[[#This Row],[تعداد بیزینس]]</f>
        <v>164300000</v>
      </c>
      <c r="D27" s="12">
        <f>tbl_pricing_predict[[#This Row],[درآمد ماهیانه]]*12</f>
        <v>1971600000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227.08333333333334</v>
      </c>
      <c r="C28" s="12">
        <f>d_customerAvgRevenue*tbl_pricing_predict[[#This Row],[تعداد بیزینس]]</f>
        <v>328600000</v>
      </c>
      <c r="D28" s="12">
        <f>tbl_pricing_predict[[#This Row],[درآمد ماهیانه]]*12</f>
        <v>3943200000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454.16666666666669</v>
      </c>
      <c r="C29" s="12">
        <f>d_customerAvgRevenue*tbl_pricing_predict[[#This Row],[تعداد بیزینس]]</f>
        <v>657200000</v>
      </c>
      <c r="D29" s="12">
        <f>tbl_pricing_predict[[#This Row],[درآمد ماهیانه]]*12</f>
        <v>7886400000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1135.4166666666667</v>
      </c>
      <c r="C30" s="12">
        <f>d_customerAvgRevenue*tbl_pricing_predict[[#This Row],[تعداد بیزینس]]</f>
        <v>1643000000</v>
      </c>
      <c r="D30" s="12">
        <f>tbl_pricing_predict[[#This Row],[درآمد ماهیانه]]*12</f>
        <v>19716000000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2270.8333333333335</v>
      </c>
      <c r="C31" s="12">
        <f>d_customerAvgRevenue*tbl_pricing_predict[[#This Row],[تعداد بیزینس]]</f>
        <v>3286000000</v>
      </c>
      <c r="D31" s="12">
        <f>tbl_pricing_predict[[#This Row],[درآمد ماهیانه]]*12</f>
        <v>39432000000</v>
      </c>
    </row>
    <row r="32" spans="1:17" x14ac:dyDescent="0.4">
      <c r="A32" s="4">
        <v>1000000</v>
      </c>
      <c r="B32" s="5">
        <f>tbl_pricing_predict[[#This Row],[تعداد بیزینس]]*AVERAGE(tbl_pricing[درصد خرید])</f>
        <v>22708.333333333332</v>
      </c>
      <c r="C32" s="12">
        <f>d_customerAvgRevenue*tbl_pricing_predict[[#This Row],[تعداد بیزینس]]</f>
        <v>32860000000</v>
      </c>
      <c r="D32" s="12">
        <f>tbl_pricing_predict[[#This Row],[درآمد ماهیانه]]*12</f>
        <v>394320000000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30</vt:i4>
      </vt:variant>
    </vt:vector>
  </HeadingPairs>
  <TitlesOfParts>
    <vt:vector size="42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Evazzadeh</dc:creator>
  <cp:lastModifiedBy>Javad Evazzadeh</cp:lastModifiedBy>
  <cp:lastPrinted>2021-05-15T13:21:20Z</cp:lastPrinted>
  <dcterms:created xsi:type="dcterms:W3CDTF">2021-05-14T11:36:15Z</dcterms:created>
  <dcterms:modified xsi:type="dcterms:W3CDTF">2021-05-16T14:01:21Z</dcterms:modified>
</cp:coreProperties>
</file>