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CA450B55-8070-4A01-BFE0-B68F47F1824E}" xr6:coauthVersionLast="46" xr6:coauthVersionMax="46" xr10:uidLastSave="{00000000-0000-0000-0000-000000000000}"/>
  <bookViews>
    <workbookView xWindow="38280" yWindow="-120" windowWidth="29040" windowHeight="15840" tabRatio="792" activeTab="10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مراحل سرمایه‌گذاری" sheetId="15" r:id="rId12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ارزیابی'!$D$20</definedName>
    <definedName name="v_ExitRevenueMultiple">'خلاصه و ارزیابی'!$D$21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4" l="1"/>
  <c r="F38" i="14"/>
  <c r="G38" i="14"/>
  <c r="H38" i="14"/>
  <c r="I38" i="14"/>
  <c r="D38" i="14"/>
  <c r="E12" i="14"/>
  <c r="D12" i="14"/>
  <c r="A12" i="14"/>
  <c r="A6" i="14"/>
  <c r="B32" i="12"/>
  <c r="B33" i="12"/>
  <c r="A5" i="2" l="1"/>
  <c r="B14" i="3"/>
  <c r="A5" i="14" l="1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F27" i="15" l="1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E35" i="14" l="1"/>
  <c r="D35" i="14"/>
  <c r="D23" i="14"/>
  <c r="D5" i="14"/>
  <c r="E6" i="14" s="1"/>
  <c r="F4" i="14"/>
  <c r="E23" i="14"/>
  <c r="A2" i="12"/>
  <c r="F35" i="14" l="1"/>
  <c r="F5" i="14"/>
  <c r="F6" i="14" s="1"/>
  <c r="G4" i="14"/>
  <c r="F23" i="14"/>
  <c r="A3" i="2"/>
  <c r="A4" i="2"/>
  <c r="G35" i="14" l="1"/>
  <c r="H4" i="14"/>
  <c r="H35" i="14" s="1"/>
  <c r="G5" i="14"/>
  <c r="G6" i="14" s="1"/>
  <c r="G23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I35" i="14" s="1"/>
  <c r="H5" i="14"/>
  <c r="H6" i="14" s="1"/>
  <c r="H23" i="14"/>
  <c r="C6" i="5"/>
  <c r="E6" i="1"/>
  <c r="C2" i="8"/>
  <c r="D3" i="1" s="1"/>
  <c r="D2" i="8"/>
  <c r="E4" i="6"/>
  <c r="E2" i="5"/>
  <c r="C3" i="6"/>
  <c r="D2" i="6"/>
  <c r="I5" i="14" l="1"/>
  <c r="J4" i="14"/>
  <c r="I23" i="14"/>
  <c r="E6" i="5"/>
  <c r="C9" i="5"/>
  <c r="C10" i="5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G36" i="14" l="1"/>
  <c r="E36" i="14"/>
  <c r="I36" i="14"/>
  <c r="H36" i="14"/>
  <c r="F36" i="14"/>
  <c r="D36" i="14"/>
  <c r="J7" i="14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29" i="14" s="1"/>
  <c r="E37" i="14"/>
  <c r="D37" i="14"/>
  <c r="G8" i="14"/>
  <c r="H8" i="14" s="1"/>
  <c r="I8" i="14" s="1"/>
  <c r="F37" i="14"/>
  <c r="C14" i="14"/>
  <c r="D11" i="14"/>
  <c r="D30" i="14" s="1"/>
  <c r="D10" i="14"/>
  <c r="E9" i="14"/>
  <c r="E9" i="1"/>
  <c r="E14" i="1"/>
  <c r="F14" i="1" s="1"/>
  <c r="F8" i="1"/>
  <c r="G3" i="1" s="1"/>
  <c r="J8" i="14" l="1"/>
  <c r="G37" i="14"/>
  <c r="I37" i="14"/>
  <c r="H37" i="14"/>
  <c r="D22" i="14"/>
  <c r="D24" i="14" s="1"/>
  <c r="D25" i="14" s="1"/>
  <c r="D31" i="14"/>
  <c r="E11" i="14"/>
  <c r="E29" i="14"/>
  <c r="E10" i="14"/>
  <c r="F9" i="14"/>
  <c r="F9" i="1"/>
  <c r="G4" i="1"/>
  <c r="G5" i="1"/>
  <c r="G2" i="1"/>
  <c r="G8" i="1"/>
  <c r="G7" i="1"/>
  <c r="G6" i="1"/>
  <c r="E22" i="14" l="1"/>
  <c r="E31" i="14"/>
  <c r="E30" i="14"/>
  <c r="F29" i="14"/>
  <c r="F11" i="14"/>
  <c r="F10" i="14"/>
  <c r="G9" i="14"/>
  <c r="G11" i="14" s="1"/>
  <c r="G9" i="1"/>
  <c r="F22" i="14" l="1"/>
  <c r="F24" i="14" s="1"/>
  <c r="F25" i="14" s="1"/>
  <c r="F12" i="14"/>
  <c r="G12" i="14"/>
  <c r="E24" i="14"/>
  <c r="E25" i="14" s="1"/>
  <c r="G29" i="14"/>
  <c r="F30" i="14"/>
  <c r="G30" i="14"/>
  <c r="F31" i="14"/>
  <c r="H9" i="14"/>
  <c r="H29" i="14" s="1"/>
  <c r="I9" i="14"/>
  <c r="I11" i="14" s="1"/>
  <c r="G22" i="14"/>
  <c r="G24" i="14" s="1"/>
  <c r="G25" i="14" s="1"/>
  <c r="G10" i="14"/>
  <c r="H10" i="14" l="1"/>
  <c r="H11" i="14"/>
  <c r="I29" i="14"/>
  <c r="I10" i="14"/>
  <c r="I22" i="14"/>
  <c r="H22" i="14" l="1"/>
  <c r="H24" i="14" s="1"/>
  <c r="H25" i="14" s="1"/>
  <c r="H12" i="14"/>
  <c r="I12" i="14"/>
  <c r="I24" i="14"/>
  <c r="I25" i="14" s="1"/>
  <c r="I31" i="14"/>
  <c r="I30" i="14"/>
  <c r="H31" i="14"/>
  <c r="H30" i="14"/>
  <c r="H14" i="15" l="1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</rPr>
          <t>Earnings before interest, tax, depreciation and amortization</t>
        </r>
      </text>
    </comment>
    <comment ref="B24" authorId="0" shapeId="0" xr:uid="{68FD4E4E-6D9E-4BED-9405-F6FD701F704A}">
      <text>
        <r>
          <rPr>
            <sz val="9"/>
            <color indexed="81"/>
            <rFont val="Tahoma"/>
          </rPr>
          <t>Post-money valuation</t>
        </r>
      </text>
    </comment>
    <comment ref="B25" authorId="0" shapeId="0" xr:uid="{225D4D8D-7B54-479E-8CEC-45A0AC103571}">
      <text>
        <r>
          <rPr>
            <sz val="9"/>
            <color indexed="81"/>
            <rFont val="Tahoma"/>
          </rPr>
          <t>Post-money valuation</t>
        </r>
      </text>
    </comment>
    <comment ref="C29" authorId="0" shapeId="0" xr:uid="{17C37891-F9D3-447A-B8FE-A7C8660AE20C}">
      <text>
        <r>
          <rPr>
            <b/>
            <sz val="9"/>
            <color indexed="81"/>
            <rFont val="Tahoma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<sst xmlns="http://schemas.openxmlformats.org/spreadsheetml/2006/main" count="343" uniqueCount="200">
  <si>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</si>
  <si>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</si>
  <si>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</si>
  <si>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</si>
  <si>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</si>
  <si>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</si>
  <si>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</si>
  <si>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</si>
  <si>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</si>
  <si>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</si>
  <si>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</si>
  <si>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</si>
  <si>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</si>
  <si>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</si>
  <si>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</si>
  <si>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</si>
  <si>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</si>
  <si>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</si>
  <si>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</si>
  <si>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</si>
  <si>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</si>
  <si>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</si>
  <si>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</si>
  <si>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</si>
  <si>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</si>
  <si>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</si>
  <si>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</si>
  <si>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</si>
  <si>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</si>
  <si>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</si>
  <si>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</si>
  <si>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</si>
  <si>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</si>
  <si>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</si>
  <si>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</si>
  <si>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</si>
  <si>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</si>
  <si>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</si>
  <si>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</si>
  <si>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</si>
  <si>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</si>
  <si>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</si>
  <si>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</si>
  <si>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</si>
  <si>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</si>
  <si>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</si>
  <si>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</si>
  <si>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</si>
  <si>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</si>
  <si>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</si>
  <si>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</si>
  <si>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</si>
  <si>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</si>
  <si>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</si>
  <si>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</si>
  <si>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</si>
  <si>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</si>
  <si>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</si>
  <si>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</si>
  <si>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</si>
  <si>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</si>
  <si>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</si>
  <si>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</si>
  <si>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</si>
  <si>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</si>
  <si>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</si>
  <si>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</si>
  <si>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</si>
  <si>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</si>
  <si>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</si>
  <si>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</si>
  <si>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</si>
  <si>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</si>
  <si>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</si>
  <si>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</si>
  <si>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</si>
  <si>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</si>
  <si>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</si>
  <si>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</si>
  <si>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</si>
  <si>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</si>
  <si>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</si>
  <si>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</si>
  <si>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</si>
  <si>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</si>
  <si>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</si>
  <si>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</si>
  <si>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</si>
  <si>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</si>
  <si>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</si>
  <si>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</si>
  <si>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</si>
  <si>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</si>
  <si>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</si>
  <si>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</si>
  <si>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</si>
  <si>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</si>
  <si>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</si>
  <si>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</si>
  <si>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</si>
  <si>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</si>
  <si>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</si>
  <si>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</si>
  <si>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</si>
  <si>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</si>
  <si>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</si>
  <si>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</si>
  <si>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</si>
  <si>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</si>
  <si>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</si>
  <si>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</si>
  <si>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</si>
  <si>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</si>
  <si>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</si>
  <si>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</si>
  <si>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</si>
  <si>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</si>
  <si>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</si>
  <si>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</si>
  <si>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</si>
  <si>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</si>
  <si>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</si>
  <si>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</si>
  <si>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</si>
  <si>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</si>
  <si>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</si>
  <si>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</si>
  <si>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</si>
  <si>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</si>
  <si>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</si>
  <si>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</si>
  <si>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</si>
  <si>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</si>
  <si>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</si>
  <si>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</si>
  <si>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</si>
  <si>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</si>
  <si>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</si>
  <si>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</si>
  <si>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</si>
  <si>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</si>
  <si>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</si>
  <si>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</si>
  <si>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</si>
  <si>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</si>
  <si>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</si>
  <si>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</si>
  <si>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</si>
  <si>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</si>
  <si>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</si>
  <si>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</si>
  <si>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</si>
  <si>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</si>
  <si>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</si>
  <si>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</si>
  <si>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</si>
  <si>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</si>
  <si>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</si>
  <si>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</si>
  <si>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</si>
  <si>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</si>
  <si>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</si>
  <si>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</si>
  <si>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</si>
  <si>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</si>
  <si>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</si>
  <si>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</si>
  <si>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</si>
  <si>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</si>
  <si>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</si>
  <si>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</si>
  <si>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</si>
  <si>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</si>
  <si>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</si>
  <si>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</si>
  <si>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</si>
  <si>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</si>
  <si>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</si>
  <si>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</si>
  <si>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</si>
  <si>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</si>
  <si>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</si>
  <si>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</si>
  <si>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</si>
  <si>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</si>
  <si>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</si>
  <si>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</si>
  <si>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</si>
  <si>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</si>
  <si>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</si>
  <si>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</si>
  <si>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</si>
  <si>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دوره بازگشت سرمایه</t>
  </si>
  <si>
    <t>مجموع درآمد تجمعی</t>
  </si>
  <si>
    <t>مجموع هزینه سرمایه ثابت تجمعی</t>
  </si>
  <si>
    <t>مجموع هزینه سرمایه در گردش</t>
  </si>
  <si>
    <t>جریان نقدی آزاد (سود و زیان)</t>
  </si>
  <si>
    <t>سود و زیان تجمیعی</t>
  </si>
  <si>
    <t>میزان بازده داخلی (نرخ داخلی بازگشت سرمایه)</t>
  </si>
  <si>
    <t>جمع هزینه‌ها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</si>
</sst>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168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0" fontId="2" fillId="8" borderId="0" xfId="0" applyFont="1" applyFill="1" applyAlignment="1">
      <alignment horizontal="right" vertical="center"/>
    </xf>
    <xf numFmtId="166" fontId="2" fillId="0" borderId="0" xfId="2" applyNumberFormat="1" applyFont="1" applyAlignment="1">
      <alignment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2208000000</c:v>
                </c:pt>
                <c:pt idx="1">
                  <c:v>210000000</c:v>
                </c:pt>
                <c:pt idx="2">
                  <c:v>970100000</c:v>
                </c:pt>
                <c:pt idx="3">
                  <c:v>540000000</c:v>
                </c:pt>
                <c:pt idx="4">
                  <c:v>210000000</c:v>
                </c:pt>
                <c:pt idx="5">
                  <c:v>224180000</c:v>
                </c:pt>
                <c:pt idx="6">
                  <c:v>436228000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1344000000</c:v>
                </c:pt>
                <c:pt idx="1">
                  <c:v>210000000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927420000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3552000000</c:v>
                </c:pt>
                <c:pt idx="1">
                  <c:v>420000000</c:v>
                </c:pt>
                <c:pt idx="2">
                  <c:v>5929180000</c:v>
                </c:pt>
                <c:pt idx="3">
                  <c:v>2090000000</c:v>
                </c:pt>
                <c:pt idx="4">
                  <c:v>630000000</c:v>
                </c:pt>
                <c:pt idx="5">
                  <c:v>1015300000</c:v>
                </c:pt>
                <c:pt idx="6">
                  <c:v>1363648000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2418000000</c:v>
                </c:pt>
                <c:pt idx="1">
                  <c:v>1554000000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2380508000</c:v>
                </c:pt>
                <c:pt idx="1">
                  <c:v>8647620000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4798508000</c:v>
                </c:pt>
                <c:pt idx="1">
                  <c:v>10201620000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10" dataDxfId="209" totalsRowDxfId="208">
  <autoFilter ref="A1:G8" xr:uid="{5810A676-66BF-4EA4-B586-C6E90025121D}"/>
  <tableColumns count="7">
    <tableColumn id="5" xr3:uid="{47369FE7-678F-4F87-AB99-EE1EDC617F1A}" name="#" totalsRowLabel="Total" dataDxfId="207" totalsRowDxfId="206">
      <calculatedColumnFormula>ROW(A1)</calculatedColumnFormula>
    </tableColumn>
    <tableColumn id="1" xr3:uid="{3037BF7E-6F17-4FD9-B0BA-2603DBE3AA73}" name="نوع" dataDxfId="205" totalsRowDxfId="204"/>
    <tableColumn id="2" xr3:uid="{5543AAC9-D97A-4AF1-B9C8-BCB750FF9446}" name="عنوان" dataDxfId="203" totalsRowDxfId="202"/>
    <tableColumn id="4" xr3:uid="{363204E2-D323-45E0-8740-F6AAC858616C}" name="1400" totalsRowFunction="sum" totalsRowDxfId="201" dataCellStyle="Currency"/>
    <tableColumn id="6" xr3:uid="{0C5EF792-05B7-4EDA-BEF7-3C660D2AFD4B}" name="1401" totalsRowFunction="sum" totalsRowDxfId="200" dataCellStyle="Currency"/>
    <tableColumn id="8" xr3:uid="{29FAD03A-69B3-4207-A748-8BD45D15D581}" name="مجموع" totalsRowFunction="sum" totalsRowDxfId="199" dataCellStyle="Currency">
      <calculatedColumnFormula>SUM(tbl_sumary[[#This Row],[1400]:[1401]])</calculatedColumnFormula>
    </tableColumn>
    <tableColumn id="3" xr3:uid="{CDA3691F-C5E7-4ED9-A080-98FD93E74B52}" name="درصد" totalsRowFunction="sum" dataDxfId="198" totalsRowDxfId="197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34" dataDxfId="133">
  <autoFilter ref="A1:R13" xr:uid="{11174E64-8CFF-4722-BD71-DA8D32366E61}"/>
  <tableColumns count="18">
    <tableColumn id="1" xr3:uid="{9A53D445-08A1-4BD8-A9B1-36B149B75784}" name="ردیف" totalsRowLabel="Total" dataDxfId="132" totalsRowDxfId="131">
      <calculatedColumnFormula>ROW(A1)</calculatedColumnFormula>
    </tableColumn>
    <tableColumn id="2" xr3:uid="{A097EA43-7198-43D4-A945-9788D7E650A6}" name="عنوان" dataDxfId="130" totalsRowDxfId="129"/>
    <tableColumn id="5" xr3:uid="{EEC712EC-61BA-44C7-A77F-FC5EE5CA47F3}" name="مدل پرداخت" dataDxfId="128" totalsRowDxfId="127"/>
    <tableColumn id="3" xr3:uid="{B9F7695D-2433-4D21-A6B5-58ABCCFB2FEF}" name="مبلغ پرداختی" dataDxfId="126" totalsRowDxfId="125"/>
    <tableColumn id="6" xr3:uid="{EC802C2A-E591-4D77-926A-410A0C0BDAA0}" name="بهای تمام شده" dataDxfId="124" totalsRowDxfId="123"/>
    <tableColumn id="7" xr3:uid="{A37BFF77-E27B-448B-B94A-F9B63A90085C}" name="سود" dataDxfId="122" totalsRowDxfId="121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20" totalsRowDxfId="119" dataCellStyle="Percent"/>
    <tableColumn id="21" xr3:uid="{30514F62-ED70-4E43-940C-9DBD8F3236F7}" name="سود به ازای هر بیزینس" totalsRowFunction="sum" dataDxfId="118" totalsRowDxfId="117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16" totalsRowDxfId="115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14" totalsRowDxfId="113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12" totalsRowDxfId="111">
      <calculatedColumnFormula>tbl_pricing[[#Headers],[500]]*tbl_pricing[[#This Row],[درصد خرید]]</calculatedColumnFormula>
    </tableColumn>
    <tableColumn id="10" xr3:uid="{9AB94E1B-34ED-4589-8806-1371AF0006CE}" name="1000" dataDxfId="110" totalsRowDxfId="109">
      <calculatedColumnFormula>tbl_pricing[[#Headers],[1000]]*tbl_pricing[[#This Row],[درصد خرید]]</calculatedColumnFormula>
    </tableColumn>
    <tableColumn id="11" xr3:uid="{73D11ABE-3FE2-4354-9B4D-6A48992B395A}" name="2000" dataDxfId="108" totalsRowDxfId="107">
      <calculatedColumnFormula>tbl_pricing[[#Headers],[2000]]*tbl_pricing[[#This Row],[درصد خرید]]</calculatedColumnFormula>
    </tableColumn>
    <tableColumn id="12" xr3:uid="{C88D635E-46CD-44BB-9844-EBB575A727B1}" name="5000" dataDxfId="106" totalsRowDxfId="105">
      <calculatedColumnFormula>tbl_pricing[[#Headers],[5000]]*tbl_pricing[[#This Row],[درصد خرید]]</calculatedColumnFormula>
    </tableColumn>
    <tableColumn id="13" xr3:uid="{159DCBCC-07DD-484D-8F87-B26CA28EFF29}" name="10000" dataDxfId="104" totalsRowDxfId="103">
      <calculatedColumnFormula>tbl_pricing[[#Headers],[10000]]*tbl_pricing[[#This Row],[درصد خرید]]</calculatedColumnFormula>
    </tableColumn>
    <tableColumn id="14" xr3:uid="{1A3D8FD2-70CB-4665-975C-2114464348DB}" name="20000" dataDxfId="102" totalsRowDxfId="101">
      <calculatedColumnFormula>tbl_pricing[[#Headers],[20000]]*tbl_pricing[[#This Row],[درصد خرید]]</calculatedColumnFormula>
    </tableColumn>
    <tableColumn id="15" xr3:uid="{8854EC08-9308-4944-BDA8-75596BFE727B}" name="50000" dataDxfId="100" totalsRowDxfId="99">
      <calculatedColumnFormula>tbl_pricing[[#Headers],[50000]]*tbl_pricing[[#This Row],[درصد خرید]]</calculatedColumnFormula>
    </tableColumn>
    <tableColumn id="16" xr3:uid="{AA928AC4-CF96-4BA2-8936-8A643A7DDAA6}" name="100000" dataDxfId="98" totalsRowDxfId="97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96" dataDxfId="95">
  <autoFilter ref="A23:D34" xr:uid="{652F814E-9275-4FA3-8E84-CADC4414840E}"/>
  <tableColumns count="4">
    <tableColumn id="1" xr3:uid="{1DE062CE-5BF5-4FEA-A98A-704F2735EAA7}" name="تعداد بیزینس" dataDxfId="94" dataCellStyle="Comma"/>
    <tableColumn id="2" xr3:uid="{9A3B5D26-797A-4D19-9504-750237C50E47}" name="تعداد بیزینس‌هایی که پرداخت دارند" dataDxfId="93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92">
      <calculatedColumnFormula>d_customerAvgRevenue*tbl_pricing_predict[[#This Row],[تعداد بیزینس]]</calculatedColumnFormula>
    </tableColumn>
    <tableColumn id="4" xr3:uid="{16B0B2F6-77AB-4BCF-B967-97D476246151}" name="درآمد سالیانه" dataDxfId="91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90" dataDxfId="89">
  <autoFilter ref="A1:J8" xr:uid="{4B45EF50-D07B-4462-B4EB-CF690CB4B7A8}"/>
  <tableColumns count="10">
    <tableColumn id="1" xr3:uid="{3233B9C7-9724-4673-B9F1-EAE50D2C9670}" name="ردیف" dataDxfId="88">
      <calculatedColumnFormula>ROW(A1)</calculatedColumnFormula>
    </tableColumn>
    <tableColumn id="10" xr3:uid="{60819422-87DD-4CFF-AB10-DB3E961E5555}" name="عنوان" dataDxfId="87"/>
    <tableColumn id="2" xr3:uid="{18B29F41-DC81-4467-BD19-639C5E40AC0E}" name="1400-Q1" dataDxfId="86"/>
    <tableColumn id="3" xr3:uid="{75B9AC7C-0C9A-4EBB-A21B-9103F31171A5}" name="1400-Q2" dataDxfId="85">
      <calculatedColumnFormula>AVERAGE(tbl_pricing[درصد خرید])</calculatedColumnFormula>
    </tableColumn>
    <tableColumn id="4" xr3:uid="{A6A37BC8-F105-4BC7-BBA5-7CD986675C7E}" name="1400-Q3" dataDxfId="84">
      <calculatedColumnFormula>AVERAGE(tbl_pricing[درصد خرید])</calculatedColumnFormula>
    </tableColumn>
    <tableColumn id="5" xr3:uid="{7CD9CE2A-0982-402E-90BB-A37955F9417B}" name="1400-Q4" dataDxfId="83">
      <calculatedColumnFormula>AVERAGE(tbl_pricing[درصد خرید])</calculatedColumnFormula>
    </tableColumn>
    <tableColumn id="6" xr3:uid="{F574DA15-52E0-46FF-8058-3626E90ADCD3}" name="1401-Q1" dataDxfId="82">
      <calculatedColumnFormula>AVERAGE(tbl_pricing[درصد خرید])</calculatedColumnFormula>
    </tableColumn>
    <tableColumn id="7" xr3:uid="{265E39CF-C0D3-42D3-BE97-6DA6F758CCBB}" name="1401-Q2" dataDxfId="81">
      <calculatedColumnFormula>AVERAGE(tbl_pricing[درصد خرید])</calculatedColumnFormula>
    </tableColumn>
    <tableColumn id="8" xr3:uid="{491DB0FE-9C40-4DCA-8643-B5E810C0361E}" name="1401-Q3" dataDxfId="80">
      <calculatedColumnFormula>AVERAGE(tbl_pricing[درصد خرید])</calculatedColumnFormula>
    </tableColumn>
    <tableColumn id="9" xr3:uid="{299BD95A-56DA-46C1-AD0F-CE6FCABD7593}" name="1401-Q4" dataDxfId="79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2" totalsRowShown="0" headerRowDxfId="78" dataDxfId="77">
  <autoFilter ref="A1:J12" xr:uid="{0E994EE0-F0F0-4FBF-9544-F0DF02B7F5C3}"/>
  <tableColumns count="10">
    <tableColumn id="1" xr3:uid="{7CFD1D53-F749-4B43-9DD3-BE3F1C5EC98F}" name="#" dataDxfId="76">
      <calculatedColumnFormula>ROW(A1)</calculatedColumnFormula>
    </tableColumn>
    <tableColumn id="11" xr3:uid="{EDB8F8AF-AD21-41D4-84B7-19B49F8D2731}" name="نوع" dataDxfId="75"/>
    <tableColumn id="8" xr3:uid="{54E69985-F797-4A1D-810B-CD4B14DE4247}" name="Title" dataDxfId="74"/>
    <tableColumn id="3" xr3:uid="{4C28CA0D-B0C2-4EC6-9320-E20F2AA18D35}" name="1400" dataDxfId="73">
      <calculatedColumnFormula>'پیش‌بینی درآمد'!$C$8:$F$8</calculatedColumnFormula>
    </tableColumn>
    <tableColumn id="4" xr3:uid="{BE2DB32D-49B5-4174-91DB-055B8A546B01}" name="1401" dataDxfId="72">
      <calculatedColumnFormula>SUM('پیش‌بینی درآمد'!$G$8:$J$8)</calculatedColumnFormula>
    </tableColumn>
    <tableColumn id="5" xr3:uid="{200B4D8D-3290-4392-A148-F2EC03CDB0D3}" name="1402" dataDxfId="71">
      <calculatedColumnFormula>tbl_revenue_summary[[#This Row],[1401]]*(1+s_cagr)</calculatedColumnFormula>
    </tableColumn>
    <tableColumn id="6" xr3:uid="{A7A00C3C-C62A-4AFB-8F2F-961D9B70FA4E}" name="1403" dataDxfId="70"/>
    <tableColumn id="7" xr3:uid="{CD51A06F-0126-4363-82F1-83D419084E3E}" name="1404" dataDxfId="69"/>
    <tableColumn id="2" xr3:uid="{9FF3912E-8E29-4421-A4CB-E01182C34419}" name="1405" dataDxfId="68"/>
    <tableColumn id="9" xr3:uid="{A95B37EE-B672-4C1F-B96C-91C026F696D6}" name="جمع" dataDxfId="10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67" dataDxfId="66" totalsRowDxfId="65">
  <autoFilter ref="A1:M13" xr:uid="{7E87C80A-E7EE-4352-81C0-E925498C3A9A}"/>
  <tableColumns count="13">
    <tableColumn id="1" xr3:uid="{12E2DB3F-C608-4C14-BC50-2BC1F2A76D86}" name="نوع سهام‌دار" totalsRowLabel="Total" dataDxfId="64" totalsRowDxfId="63"/>
    <tableColumn id="8" xr3:uid="{879A5D2D-8CD3-4CD8-9A10-ACEBF45244A1}" name="نام به تفکیک" dataDxfId="62" totalsRowDxfId="61"/>
    <tableColumn id="9" xr3:uid="{504C5ECB-7E69-4D58-88F2-F2EE7BF3AF63}" name="Start 1394" totalsRowFunction="sum" dataDxfId="60" totalsRowDxfId="59" dataCellStyle="Percent"/>
    <tableColumn id="10" xr3:uid="{489B3961-F0BB-4DBA-9569-4B6F9D2C8136}" name="Seed Angel 1395" totalsRowFunction="sum" dataDxfId="58" totalsRowDxfId="57" dataCellStyle="Percent"/>
    <tableColumn id="12" xr3:uid="{2F49346B-42D1-4A05-A022-49E685B8F677}" name="Angel Out 1397/2/22" totalsRowFunction="sum" dataDxfId="56" totalsRowDxfId="55" dataCellStyle="Percent"/>
    <tableColumn id="11" xr3:uid="{D7B34FBB-1249-4A52-BC71-F4F4C353E9FF}" name="1397/5/1" totalsRowFunction="sum" dataDxfId="54" totalsRowDxfId="53" dataCellStyle="Percent"/>
    <tableColumn id="7" xr3:uid="{D017C8F8-D15A-4768-9250-191C7C3FBCAD}" name="1399" totalsRowFunction="sum" dataDxfId="52" totalsRowDxfId="51" dataCellStyle="Percent"/>
    <tableColumn id="2" xr3:uid="{CC921348-160B-4F0D-9BE4-5DDA1AD69B16}" name="Series A" totalsRowFunction="sum" dataDxfId="50" totalsRowDxfId="49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48" totalsRowDxfId="47" dataCellStyle="Percent"/>
    <tableColumn id="4" xr3:uid="{077EF452-6558-4AC1-8073-331A97F79010}" name="Series C" totalsRowFunction="sum" dataDxfId="46" totalsRowDxfId="45" dataCellStyle="Percent"/>
    <tableColumn id="5" xr3:uid="{4EBDA36A-837C-4D6F-8F61-A05A0A68122A}" name="Series D" totalsRowFunction="sum" dataDxfId="44" totalsRowDxfId="43" dataCellStyle="Percent"/>
    <tableColumn id="6" xr3:uid="{8993C8BA-E6C1-4341-9D63-25AE19DA5FDB}" name="Series E" totalsRowFunction="sum" dataDxfId="42" totalsRowDxfId="41" dataCellStyle="Percent"/>
    <tableColumn id="13" xr3:uid="{8B46D6B7-B794-4A24-8CAA-5733D667F553}" name="Series F" totalsRowFunction="sum" dataDxfId="40" totalsRowDxfId="39" dataCellStyle="Percent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38" dataDxfId="37">
  <autoFilter ref="A23:M26" xr:uid="{65851948-34D5-432A-B8FB-4FA5D425C4F9}"/>
  <tableColumns count="13">
    <tableColumn id="1" xr3:uid="{34E46D92-A5C7-4723-8F0E-96589EB1AEC2}" name="نوع سهام‌دار" totalsRowLabel="Total" dataDxfId="36" totalsRowDxfId="35"/>
    <tableColumn id="2" xr3:uid="{A5B597FC-720C-447A-9F66-CBDB8836AFA2}" name="جمع سهام" dataDxfId="34" totalsRowDxfId="33"/>
    <tableColumn id="3" xr3:uid="{9D64E6C7-4D6D-46C0-921E-CD57FADBCEA8}" name="Start 1394" totalsRowFunction="sum" dataDxfId="32" totalsRowDxfId="31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30" totalsRowDxfId="29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28" totalsRowDxfId="27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26" totalsRowDxfId="25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24" totalsRowDxfId="23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22" totalsRowDxfId="21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20" totalsRowDxfId="19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18" totalsRowDxfId="17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16" totalsRowDxfId="15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14" totalsRowDxfId="13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2" totalsRowDxfId="11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196" dataDxfId="195">
  <autoFilter ref="A1:B21" xr:uid="{2B9E2DB8-FBB8-45B3-A4BF-A27446C1BBC1}"/>
  <tableColumns count="2">
    <tableColumn id="1" xr3:uid="{04846D46-98AF-4645-B227-FF19272102B1}" name="عنوان" dataDxfId="194"/>
    <tableColumn id="2" xr3:uid="{D4584107-29D2-4B18-94B1-795D1E01B117}" name="مقدار" dataDxfId="193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192" dataDxfId="191">
  <autoFilter ref="A1:E4" xr:uid="{6BB248A9-012D-4836-9305-5141AF978271}"/>
  <tableColumns count="5">
    <tableColumn id="1" xr3:uid="{C1D9DC5C-1F85-426E-959C-3165A99CD6EC}" name="ردیف" totalsRowLabel="Total" dataDxfId="190" totalsRowDxfId="189">
      <calculatedColumnFormula>ROW(A1)</calculatedColumnFormula>
    </tableColumn>
    <tableColumn id="2" xr3:uid="{23A7CE2D-4EC2-4F59-9E8C-744F0E351954}" name="عنوان" dataDxfId="188" totalsRowDxfId="187"/>
    <tableColumn id="3" xr3:uid="{C5D9D589-B23B-4019-B4E1-A8A2308C3099}" name="1400" totalsRowFunction="sum" dataDxfId="186" totalsRowDxfId="185"/>
    <tableColumn id="4" xr3:uid="{A20DFB1D-E3C4-4F6A-9CE1-76537256DDA0}" name="1401" totalsRowFunction="sum" dataDxfId="184" totalsRowDxfId="183"/>
    <tableColumn id="5" xr3:uid="{7320D442-6698-4FA5-BB88-10D126434BE0}" name="جمع" totalsRowFunction="sum" dataDxfId="182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181" dataDxfId="180">
  <autoFilter ref="A9:D10" xr:uid="{939160DD-2EDF-4878-9A71-0E47E271CD17}"/>
  <tableColumns count="4">
    <tableColumn id="1" xr3:uid="{7CFB71D1-2F91-4886-8D95-C562400CF4F7}" name="9" dataDxfId="179">
      <calculatedColumnFormula>ROW(A1)</calculatedColumnFormula>
    </tableColumn>
    <tableColumn id="2" xr3:uid="{EBEBDCFA-6F86-4BB9-A4E1-CFAC0B6394D2}" name="عنوان" dataDxfId="178"/>
    <tableColumn id="3" xr3:uid="{9FF7CA43-0705-4E77-85EC-B371DC78ACA4}" name="1400" dataDxfId="177"/>
    <tableColumn id="4" xr3:uid="{B14BB7F9-8746-4829-AA07-C639400E814F}" name="1401" dataDxfId="176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175" dataDxfId="174">
  <autoFilter ref="A1:E2" xr:uid="{CA8A4239-364E-4650-9E13-6B35831DAABA}"/>
  <tableColumns count="5">
    <tableColumn id="1" xr3:uid="{276EA653-F6EB-43D8-A8E6-02705C4FC3C6}" name="ردیف" dataDxfId="173">
      <calculatedColumnFormula>ROW(A1)</calculatedColumnFormula>
    </tableColumn>
    <tableColumn id="2" xr3:uid="{C917D43E-3C18-4ECC-857D-F6E368E7D1DD}" name="عنوان" dataDxfId="172"/>
    <tableColumn id="3" xr3:uid="{936C2C7C-5EB9-4B64-BF32-AA11DA4CFE26}" name="1400" dataDxfId="171"/>
    <tableColumn id="4" xr3:uid="{81F72F41-D8FD-4195-ABBB-05037CE3698B}" name="1401" dataDxfId="170"/>
    <tableColumn id="5" xr3:uid="{C0453677-E159-4921-9E18-2A6C08C14999}" name="جمع" dataDxfId="169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68" dataDxfId="167" totalsRowDxfId="166">
  <autoFilter ref="A1:D5" xr:uid="{0FEAC4E8-3C92-4ECC-A20C-80059709130D}"/>
  <tableColumns count="4">
    <tableColumn id="1" xr3:uid="{DA73BFFA-A796-4432-914A-1F59F00537F5}" name="#" totalsRowLabel="جمع" dataDxfId="165" totalsRowDxfId="164">
      <calculatedColumnFormula>ROW(A1)</calculatedColumnFormula>
    </tableColumn>
    <tableColumn id="2" xr3:uid="{32ED334C-D261-4D20-8958-087C27AD9FBF}" name="عنوان شغلی" dataDxfId="163" totalsRowDxfId="162"/>
    <tableColumn id="4" xr3:uid="{0925C41E-9619-42E8-8F24-EDDF62C48C09}" name="1400" totalsRowFunction="sum" dataDxfId="161" totalsRowDxfId="160"/>
    <tableColumn id="5" xr3:uid="{0BE3F0C5-39C2-4F5C-A4BB-D96C51FFD2B1}" name="1401" totalsRowFunction="sum" dataDxfId="159" totalsRowDxfId="15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57" dataDxfId="156">
  <autoFilter ref="A22:F26" xr:uid="{C45356D1-9A71-4483-8364-A8B472AE846A}"/>
  <tableColumns count="6">
    <tableColumn id="3" xr3:uid="{EAA5B31A-763B-44E2-8C7F-741E10086C03}" name="#" dataDxfId="155"/>
    <tableColumn id="1" xr3:uid="{0C7B43BD-CDE0-4542-994E-07BECC378178}" name="عنوان شغلی" dataDxfId="154"/>
    <tableColumn id="2" xr3:uid="{23FA6089-E4D9-4C9C-9ADF-69E1A5FBE988}" name="میانگین پرداختی ۱۴۰۰" dataDxfId="153" dataCellStyle="Currency"/>
    <tableColumn id="4" xr3:uid="{FCAB3AB9-4281-4E61-A996-650242F1C298}" name="میانگین پرداختی ۱۴۰۱" dataDxfId="152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51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50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49" dataDxfId="148" totalsRowDxfId="147">
  <autoFilter ref="A1:E10" xr:uid="{387B4E0D-6F55-44DA-9344-EB9622378522}"/>
  <tableColumns count="5">
    <tableColumn id="1" xr3:uid="{A7835E4F-01BA-4B39-9B47-77E68912210A}" name="#" totalsRowLabel="Total" dataDxfId="146" totalsRowDxfId="9">
      <calculatedColumnFormula>ROW(A1)</calculatedColumnFormula>
    </tableColumn>
    <tableColumn id="2" xr3:uid="{915237E7-1F0F-42A4-A7C8-041DBDA02143}" name="عنوان" dataDxfId="145" totalsRowDxfId="8"/>
    <tableColumn id="4" xr3:uid="{50081311-D116-4A8B-B3B1-362E4B876409}" name="1400" totalsRowFunction="sum" dataDxfId="144" totalsRowDxfId="7" dataCellStyle="Currency"/>
    <tableColumn id="5" xr3:uid="{4B242BB3-1333-418C-A07C-49DAE81876BA}" name="1401" totalsRowFunction="sum" dataDxfId="143" totalsRowDxfId="6" dataCellStyle="Currency"/>
    <tableColumn id="6" xr3:uid="{E1DE5B6C-E01B-4554-A846-06AB203F9C1A}" name="جمع" totalsRowFunction="sum" dataDxfId="142" totalsRowDxfId="5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41" dataDxfId="140">
  <autoFilter ref="A1:E9" xr:uid="{CA8A4239-364E-4650-9E13-6B35831DAABA}"/>
  <tableColumns count="5">
    <tableColumn id="1" xr3:uid="{54E6554F-B297-4533-AD8D-E06FC372FA4D}" name="ردیف" totalsRowLabel="Total" dataDxfId="139" totalsRowDxfId="4">
      <calculatedColumnFormula>ROW(A1)</calculatedColumnFormula>
    </tableColumn>
    <tableColumn id="2" xr3:uid="{C8AD3364-8867-4058-B64B-986B3858CF42}" name="عنوان" dataDxfId="138" totalsRowDxfId="3"/>
    <tableColumn id="3" xr3:uid="{7080C68D-A903-46EB-AC1E-5D0963B807EC}" name="1400" totalsRowFunction="sum" dataDxfId="137" totalsRowDxfId="2"/>
    <tableColumn id="4" xr3:uid="{B0566FF8-F510-4A8F-8E54-F68246E5F0A7}" name="1401" totalsRowFunction="sum" dataDxfId="136" totalsRowDxfId="1"/>
    <tableColumn id="5" xr3:uid="{192D38EC-CF7E-4D9A-99C8-24B0818C5DCC}" name="جمع" totalsRowFunction="sum" dataDxfId="135" totalsRowDxfId="0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D3" sqref="D3:D4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2208000000</v>
      </c>
      <c r="E2" s="19">
        <f>SUM(tbl_servers[1401])</f>
        <v>1344000000</v>
      </c>
      <c r="F2" s="19">
        <f>SUM(tbl_sumary[[#This Row],[1400]:[1401]])</f>
        <v>3552000000</v>
      </c>
      <c r="G2" s="25">
        <f>(F2*100/SUM(tbl_sumary[مجموع])) / 100</f>
        <v>0.23679797932390975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210000000</v>
      </c>
      <c r="E3" s="19">
        <f>SUM(tbl_office12[1401])</f>
        <v>210000000</v>
      </c>
      <c r="F3" s="19">
        <f>SUM(tbl_sumary[[#This Row],[1400]:[1401]])</f>
        <v>420000000</v>
      </c>
      <c r="G3" s="25">
        <f>(F3*100/SUM(tbl_sumary[مجموع])) / 100</f>
        <v>2.7999761068705546E-2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970100000</v>
      </c>
      <c r="E4" s="19">
        <f>'حقوق و دستمزد'!D15</f>
        <v>4959080000</v>
      </c>
      <c r="F4" s="19">
        <f>SUM(tbl_sumary[[#This Row],[1400]:[1401]])</f>
        <v>5929180000</v>
      </c>
      <c r="G4" s="25">
        <f>(F4*100/SUM(tbl_sumary[مجموع])) / 100</f>
        <v>0.39527529365082748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0.1393321443657014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210000000</v>
      </c>
      <c r="E6" s="19">
        <f>d_spacePricePerStaff*SUM(tbl_salaryData[1401])*12</f>
        <v>420000000</v>
      </c>
      <c r="F6" s="19">
        <f>SUM(tbl_sumary[[#This Row],[1400]:[1401]])</f>
        <v>630000000</v>
      </c>
      <c r="G6" s="25">
        <f>(F6*100/SUM(tbl_sumary[مجموع])) / 100</f>
        <v>4.1999641603058323E-2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224180000</v>
      </c>
      <c r="E7" s="19">
        <f>SUM(tbl_office[1401])</f>
        <v>791120000</v>
      </c>
      <c r="F7" s="19">
        <f>SUM(tbl_sumary[[#This Row],[1400]:[1401]])</f>
        <v>1015300000</v>
      </c>
      <c r="G7" s="25">
        <f>(F7*100/SUM(tbl_sumary[مجموع])) / 100</f>
        <v>6.7686089078706532E-2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436228000</v>
      </c>
      <c r="E8" s="19">
        <f>SUM(E2:E7) * d_unpredictedPercent</f>
        <v>927420000</v>
      </c>
      <c r="F8" s="19">
        <f>SUM(tbl_sumary[[#This Row],[1400]:[1401]])</f>
        <v>1363648000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4798508000</v>
      </c>
      <c r="E9" s="12">
        <f>SUBTOTAL(109,tbl_sumary[1401])</f>
        <v>10201620000</v>
      </c>
      <c r="F9" s="17">
        <f>SUBTOTAL(109,tbl_sumary[مجموع])</f>
        <v>15000128000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2418000000</v>
      </c>
      <c r="E13" s="31">
        <f>SUMIFS(tbl_sumary[1401],tbl_sumary[نوع],B13)</f>
        <v>1554000000</v>
      </c>
      <c r="F13" s="32">
        <f>SUM(D13:E13)</f>
        <v>3972000000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2380508000</v>
      </c>
      <c r="E14" s="33">
        <f>SUMIFS(tbl_sumary[1401],tbl_sumary[نوع],B14)</f>
        <v>8647620000</v>
      </c>
      <c r="F14" s="34">
        <f>SUM(D14:E14)</f>
        <v>11028128000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E3" sqref="E3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1500</v>
      </c>
      <c r="F2" s="4">
        <v>4000</v>
      </c>
      <c r="G2" s="4">
        <v>5000</v>
      </c>
      <c r="H2" s="4">
        <v>10000</v>
      </c>
      <c r="I2" s="4">
        <v>20000</v>
      </c>
      <c r="J2" s="4">
        <v>40000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1.7041666666666667E-2</v>
      </c>
      <c r="D3" s="39">
        <f t="shared" si="1"/>
        <v>1.7041666666666667E-2</v>
      </c>
      <c r="E3" s="39">
        <f t="shared" si="1"/>
        <v>1.7041666666666667E-2</v>
      </c>
      <c r="F3" s="39">
        <f t="shared" si="1"/>
        <v>1.7041666666666667E-2</v>
      </c>
      <c r="G3" s="39">
        <f t="shared" si="1"/>
        <v>1.7041666666666667E-2</v>
      </c>
      <c r="H3" s="39">
        <f t="shared" si="1"/>
        <v>1.7041666666666667E-2</v>
      </c>
      <c r="I3" s="39">
        <f t="shared" si="1"/>
        <v>1.7041666666666667E-2</v>
      </c>
      <c r="J3" s="39">
        <f t="shared" si="1"/>
        <v>1.7041666666666667E-2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9</v>
      </c>
      <c r="D4" s="4">
        <f t="shared" si="2"/>
        <v>14</v>
      </c>
      <c r="E4" s="4">
        <f t="shared" si="2"/>
        <v>26</v>
      </c>
      <c r="F4" s="4">
        <f t="shared" si="2"/>
        <v>68</v>
      </c>
      <c r="G4" s="4">
        <f t="shared" si="2"/>
        <v>85</v>
      </c>
      <c r="H4" s="4">
        <f t="shared" si="2"/>
        <v>170</v>
      </c>
      <c r="I4" s="4">
        <f t="shared" si="2"/>
        <v>341</v>
      </c>
      <c r="J4" s="4">
        <f t="shared" si="2"/>
        <v>682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30260</v>
      </c>
      <c r="D5" s="22">
        <f t="shared" si="3"/>
        <v>30260</v>
      </c>
      <c r="E5" s="22">
        <f t="shared" si="3"/>
        <v>30260</v>
      </c>
      <c r="F5" s="22">
        <f t="shared" si="3"/>
        <v>30260</v>
      </c>
      <c r="G5" s="22">
        <f t="shared" si="3"/>
        <v>30260</v>
      </c>
      <c r="H5" s="22">
        <f t="shared" si="3"/>
        <v>30260</v>
      </c>
      <c r="I5" s="22">
        <f t="shared" si="3"/>
        <v>30260</v>
      </c>
      <c r="J5" s="22">
        <f t="shared" si="3"/>
        <v>30260</v>
      </c>
    </row>
    <row r="6" spans="1:10" x14ac:dyDescent="0.4">
      <c r="A6" s="1">
        <f t="shared" si="0"/>
        <v>5</v>
      </c>
      <c r="B6" s="1" t="s">
        <v>113</v>
      </c>
      <c r="C6" s="22">
        <f>C5*3</f>
        <v>90780</v>
      </c>
      <c r="D6" s="22">
        <f t="shared" ref="D6:J6" si="4">D5*3</f>
        <v>90780</v>
      </c>
      <c r="E6" s="22">
        <f t="shared" si="4"/>
        <v>90780</v>
      </c>
      <c r="F6" s="22">
        <f t="shared" si="4"/>
        <v>90780</v>
      </c>
      <c r="G6" s="22">
        <f t="shared" si="4"/>
        <v>90780</v>
      </c>
      <c r="H6" s="22">
        <f t="shared" si="4"/>
        <v>90780</v>
      </c>
      <c r="I6" s="22">
        <f t="shared" si="4"/>
        <v>90780</v>
      </c>
      <c r="J6" s="22">
        <f t="shared" si="4"/>
        <v>90780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15130000</v>
      </c>
      <c r="D7" s="12">
        <f t="shared" si="5"/>
        <v>24208000</v>
      </c>
      <c r="E7" s="12">
        <f t="shared" si="5"/>
        <v>45390000</v>
      </c>
      <c r="F7" s="12">
        <f t="shared" si="5"/>
        <v>121040000</v>
      </c>
      <c r="G7" s="12">
        <f t="shared" si="5"/>
        <v>151300000</v>
      </c>
      <c r="H7" s="12">
        <f t="shared" si="5"/>
        <v>302600000</v>
      </c>
      <c r="I7" s="12">
        <f t="shared" si="5"/>
        <v>605200000</v>
      </c>
      <c r="J7" s="12">
        <f t="shared" si="5"/>
        <v>1210400000</v>
      </c>
    </row>
    <row r="8" spans="1:10" x14ac:dyDescent="0.4">
      <c r="A8" s="1">
        <f t="shared" si="0"/>
        <v>7</v>
      </c>
      <c r="B8" s="55" t="s">
        <v>114</v>
      </c>
      <c r="C8" s="16">
        <f>C7*3</f>
        <v>45390000</v>
      </c>
      <c r="D8" s="16">
        <f t="shared" ref="D8:J8" si="6">D7*3</f>
        <v>72624000</v>
      </c>
      <c r="E8" s="16">
        <f t="shared" si="6"/>
        <v>136170000</v>
      </c>
      <c r="F8" s="16">
        <f t="shared" si="6"/>
        <v>363120000</v>
      </c>
      <c r="G8" s="16">
        <f t="shared" si="6"/>
        <v>453900000</v>
      </c>
      <c r="H8" s="16">
        <f t="shared" si="6"/>
        <v>907800000</v>
      </c>
      <c r="I8" s="16">
        <f t="shared" si="6"/>
        <v>1815600000</v>
      </c>
      <c r="J8" s="16">
        <f t="shared" si="6"/>
        <v>3631200000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3"/>
  <sheetViews>
    <sheetView rightToLeft="1" tabSelected="1" topLeftCell="A16" workbookViewId="0">
      <selection activeCell="I38" sqref="I38"/>
    </sheetView>
  </sheetViews>
  <sheetFormatPr defaultColWidth="0" defaultRowHeight="17.25" zeroHeight="1" x14ac:dyDescent="0.25"/>
  <cols>
    <col min="1" max="1" width="9.140625" style="56" customWidth="1"/>
    <col min="2" max="2" width="41.7109375" style="56" bestFit="1" customWidth="1"/>
    <col min="3" max="3" width="33.140625" style="56" bestFit="1" customWidth="1"/>
    <col min="4" max="9" width="25.7109375" style="56" customWidth="1"/>
    <col min="10" max="10" width="23.5703125" style="56" bestFit="1" customWidth="1"/>
    <col min="11" max="12" width="9.140625" style="56" customWidth="1"/>
    <col min="13" max="19" width="9.140625" style="56" hidden="1" customWidth="1"/>
    <col min="20" max="16384" width="0" style="56" hidden="1"/>
  </cols>
  <sheetData>
    <row r="1" spans="1:10" x14ac:dyDescent="0.25">
      <c r="A1" s="56" t="s">
        <v>0</v>
      </c>
      <c r="B1" s="56" t="s">
        <v>46</v>
      </c>
      <c r="C1" s="57" t="s">
        <v>136</v>
      </c>
      <c r="D1" s="57" t="s">
        <v>14</v>
      </c>
      <c r="E1" s="57" t="s">
        <v>15</v>
      </c>
      <c r="F1" s="57" t="s">
        <v>115</v>
      </c>
      <c r="G1" s="57" t="s">
        <v>116</v>
      </c>
      <c r="H1" s="57" t="s">
        <v>117</v>
      </c>
      <c r="I1" s="57" t="s">
        <v>123</v>
      </c>
      <c r="J1" s="56" t="s">
        <v>21</v>
      </c>
    </row>
    <row r="2" spans="1:10" x14ac:dyDescent="0.25">
      <c r="A2" s="56">
        <f>ROW(A1)</f>
        <v>1</v>
      </c>
      <c r="B2" s="56" t="s">
        <v>175</v>
      </c>
      <c r="C2" s="76" t="s">
        <v>176</v>
      </c>
      <c r="D2" s="58">
        <v>1</v>
      </c>
      <c r="E2" s="58">
        <v>2</v>
      </c>
      <c r="F2" s="58">
        <v>3</v>
      </c>
      <c r="G2" s="58">
        <v>4</v>
      </c>
      <c r="H2" s="58">
        <v>5</v>
      </c>
      <c r="I2" s="58">
        <v>6</v>
      </c>
      <c r="J2" s="59"/>
    </row>
    <row r="3" spans="1:10" x14ac:dyDescent="0.25">
      <c r="A3" s="56">
        <f>ROW(A1)</f>
        <v>1</v>
      </c>
      <c r="B3" s="56" t="s">
        <v>126</v>
      </c>
      <c r="C3" s="56" t="s">
        <v>127</v>
      </c>
      <c r="D3" s="58">
        <f>'پیش‌بینی درآمد'!F2</f>
        <v>4000</v>
      </c>
      <c r="E3" s="58">
        <f>'پیش‌بینی درآمد'!J2</f>
        <v>40000</v>
      </c>
      <c r="F3" s="58">
        <f>tbl_revenue_summary[[#This Row],[1401]]*(1+s_cagr)</f>
        <v>90000</v>
      </c>
      <c r="G3" s="58">
        <f>tbl_revenue_summary[[#This Row],[1402]]*(1+s_cagr)</f>
        <v>202500</v>
      </c>
      <c r="H3" s="58">
        <f>tbl_revenue_summary[[#This Row],[1403]]*(1+s_cagr)</f>
        <v>455625</v>
      </c>
      <c r="I3" s="58">
        <f>tbl_revenue_summary[[#This Row],[1404]]*(1+s_cagr)</f>
        <v>1025156.25</v>
      </c>
      <c r="J3" s="59"/>
    </row>
    <row r="4" spans="1:10" x14ac:dyDescent="0.25">
      <c r="A4" s="56">
        <f>ROW(A1)</f>
        <v>1</v>
      </c>
      <c r="B4" s="56" t="s">
        <v>98</v>
      </c>
      <c r="C4" s="56" t="s">
        <v>128</v>
      </c>
      <c r="D4" s="62">
        <f>SUM('پیش‌بینی درآمد'!C8:F8)</f>
        <v>617304000</v>
      </c>
      <c r="E4" s="62">
        <f>SUM('پیش‌بینی درآمد'!$G$8:$J$8)</f>
        <v>6808500000</v>
      </c>
      <c r="F4" s="62">
        <f>tbl_revenue_summary[[#This Row],[1401]]*(1+s_cagr) *(1+s_costsGrowthYOY)</f>
        <v>21446775000</v>
      </c>
      <c r="G4" s="62">
        <f>tbl_revenue_summary[[#This Row],[1402]]*(1+s_cagr)*(1+s_costsGrowthYOY)</f>
        <v>67557341249.999992</v>
      </c>
      <c r="H4" s="62">
        <f>tbl_revenue_summary[[#This Row],[1403]]*(1+s_cagr)*(1+s_costsGrowthYOY)</f>
        <v>212805624937.49994</v>
      </c>
      <c r="I4" s="62">
        <f>tbl_revenue_summary[[#This Row],[1404]]*(1+s_cagr)*(1+s_costsGrowthYOY)</f>
        <v>670337718553.12476</v>
      </c>
      <c r="J4" s="59">
        <f>SUM(tbl_revenue_summary[[#This Row],[1400]:[1405]])</f>
        <v>979573263740.62476</v>
      </c>
    </row>
    <row r="5" spans="1:10" x14ac:dyDescent="0.25">
      <c r="A5" s="56">
        <f>ROW(A4)</f>
        <v>4</v>
      </c>
      <c r="B5" s="56" t="s">
        <v>188</v>
      </c>
      <c r="D5" s="77">
        <f>D4/d_toman2dollar</f>
        <v>30865.200000000001</v>
      </c>
      <c r="E5" s="77">
        <f>E4/d_toman2dollar</f>
        <v>340425</v>
      </c>
      <c r="F5" s="77">
        <f>F4/d_toman2dollar</f>
        <v>1072338.75</v>
      </c>
      <c r="G5" s="77">
        <f>G4/d_toman2dollar</f>
        <v>3377867.0624999995</v>
      </c>
      <c r="H5" s="77">
        <f>H4/d_toman2dollar</f>
        <v>10640281.246874997</v>
      </c>
      <c r="I5" s="77">
        <f>I4/d_toman2dollar</f>
        <v>33516885.927656237</v>
      </c>
      <c r="J5" s="59">
        <f>SUM(tbl_revenue_summary[[#This Row],[1400]:[1405]])</f>
        <v>48978663.187031232</v>
      </c>
    </row>
    <row r="6" spans="1:10" x14ac:dyDescent="0.25">
      <c r="A6" s="56">
        <f>ROW(A5)</f>
        <v>5</v>
      </c>
      <c r="B6" s="56" t="s">
        <v>191</v>
      </c>
      <c r="D6" s="79"/>
      <c r="E6" s="60">
        <f>E5/D5</f>
        <v>11.029411764705882</v>
      </c>
      <c r="F6" s="60">
        <f t="shared" ref="F6:I6" si="0">F5/E5</f>
        <v>3.15</v>
      </c>
      <c r="G6" s="60">
        <f t="shared" si="0"/>
        <v>3.1499999999999995</v>
      </c>
      <c r="H6" s="60">
        <f t="shared" si="0"/>
        <v>3.1499999999999995</v>
      </c>
      <c r="I6" s="60">
        <f t="shared" si="0"/>
        <v>3.1499999999999995</v>
      </c>
      <c r="J6" s="59"/>
    </row>
    <row r="7" spans="1:10" x14ac:dyDescent="0.25">
      <c r="A7" s="56">
        <f>ROW(A4)</f>
        <v>4</v>
      </c>
      <c r="B7" s="56" t="s">
        <v>57</v>
      </c>
      <c r="C7" s="56" t="s">
        <v>130</v>
      </c>
      <c r="D7" s="62">
        <f>SUMIFS(tbl_sumary[1400],tbl_sumary[نوع],tbl_revenue_summary[[#This Row],[نوع]])</f>
        <v>2418000000</v>
      </c>
      <c r="E7" s="62">
        <f>SUMIFS(tbl_sumary[1401],tbl_sumary[نوع],tbl_revenue_summary[[#This Row],[نوع]])</f>
        <v>1554000000</v>
      </c>
      <c r="F7" s="62">
        <f>tbl_revenue_summary[[#This Row],[1401]]*(1+s_costsGrowthCapexYOY)</f>
        <v>1864800000</v>
      </c>
      <c r="G7" s="62">
        <f>tbl_revenue_summary[[#This Row],[1402]]*(1+s_costsGrowthCapexYOY)</f>
        <v>2237760000</v>
      </c>
      <c r="H7" s="62">
        <f>tbl_revenue_summary[[#This Row],[1403]]*(1+s_costsGrowthCapexYOY)</f>
        <v>2685312000</v>
      </c>
      <c r="I7" s="62">
        <f>tbl_revenue_summary[[#This Row],[1404]]*(1+s_costsGrowthCapexYOY)</f>
        <v>3222374400</v>
      </c>
      <c r="J7" s="62">
        <f>SUM(tbl_revenue_summary[[#This Row],[1400]:[1405]])</f>
        <v>13982246400</v>
      </c>
    </row>
    <row r="8" spans="1:10" x14ac:dyDescent="0.25">
      <c r="A8" s="56">
        <f t="shared" ref="A8:A11" si="1">ROW(A7)</f>
        <v>7</v>
      </c>
      <c r="B8" s="56" t="s">
        <v>45</v>
      </c>
      <c r="C8" s="56" t="s">
        <v>129</v>
      </c>
      <c r="D8" s="62">
        <f>SUMIFS(tbl_sumary[1400],tbl_sumary[نوع],tbl_revenue_summary[[#This Row],[نوع]])</f>
        <v>2380508000</v>
      </c>
      <c r="E8" s="62">
        <f>SUMIFS(tbl_sumary[1401],tbl_sumary[نوع],tbl_revenue_summary[[#This Row],[نوع]])</f>
        <v>8647620000</v>
      </c>
      <c r="F8" s="62">
        <f>tbl_revenue_summary[[#This Row],[1401]]*(1+s_costsGrowthYOY)</f>
        <v>12106668000</v>
      </c>
      <c r="G8" s="62">
        <f>tbl_revenue_summary[[#This Row],[1402]]*(1+s_costsGrowthYOY)</f>
        <v>16949335199.999998</v>
      </c>
      <c r="H8" s="62">
        <f>tbl_revenue_summary[[#This Row],[1403]]*(1+s_costsGrowthYOY)</f>
        <v>23729069279.999996</v>
      </c>
      <c r="I8" s="62">
        <f>tbl_revenue_summary[[#This Row],[1404]]*(1+s_costsGrowthYOY)</f>
        <v>33220696991.999992</v>
      </c>
      <c r="J8" s="62">
        <f>SUM(tbl_revenue_summary[[#This Row],[1400]:[1405]])</f>
        <v>97033897472</v>
      </c>
    </row>
    <row r="9" spans="1:10" x14ac:dyDescent="0.25">
      <c r="A9" s="56">
        <f>ROW(A8)</f>
        <v>8</v>
      </c>
      <c r="B9" s="56" t="s">
        <v>131</v>
      </c>
      <c r="C9" s="56" t="s">
        <v>120</v>
      </c>
      <c r="D9" s="62">
        <f>D4-D8</f>
        <v>-1763204000</v>
      </c>
      <c r="E9" s="62">
        <f>E4-E8</f>
        <v>-1839120000</v>
      </c>
      <c r="F9" s="62">
        <f>F4-F8</f>
        <v>9340107000</v>
      </c>
      <c r="G9" s="62">
        <f>G4-G8</f>
        <v>50608006049.999992</v>
      </c>
      <c r="H9" s="62">
        <f>H4-H8</f>
        <v>189076555657.49994</v>
      </c>
      <c r="I9" s="62">
        <f>I4-I8</f>
        <v>637117021561.12476</v>
      </c>
      <c r="J9" s="59"/>
    </row>
    <row r="10" spans="1:10" x14ac:dyDescent="0.25">
      <c r="A10" s="56">
        <f t="shared" si="1"/>
        <v>9</v>
      </c>
      <c r="B10" s="56" t="s">
        <v>132</v>
      </c>
      <c r="C10" s="56" t="s">
        <v>121</v>
      </c>
      <c r="D10" s="60">
        <f>D9/D4</f>
        <v>-2.8562977074504619</v>
      </c>
      <c r="E10" s="60">
        <f>E9/E4</f>
        <v>-0.27012117206433134</v>
      </c>
      <c r="F10" s="60">
        <f>F9/F4</f>
        <v>0.43550170130474164</v>
      </c>
      <c r="G10" s="60">
        <f>G9/G4</f>
        <v>0.74911186724655177</v>
      </c>
      <c r="H10" s="60">
        <f>H9/H4</f>
        <v>0.88849416322068964</v>
      </c>
      <c r="I10" s="60">
        <f>I9/I4</f>
        <v>0.95044185032030648</v>
      </c>
      <c r="J10" s="59"/>
    </row>
    <row r="11" spans="1:10" x14ac:dyDescent="0.25">
      <c r="A11" s="56">
        <f t="shared" si="1"/>
        <v>10</v>
      </c>
      <c r="B11" s="56" t="s">
        <v>196</v>
      </c>
      <c r="C11" s="56" t="s">
        <v>122</v>
      </c>
      <c r="D11" s="62">
        <f>D9-D7</f>
        <v>-4181204000</v>
      </c>
      <c r="E11" s="62">
        <f>E9-E7</f>
        <v>-3393120000</v>
      </c>
      <c r="F11" s="62">
        <f>F9-F7</f>
        <v>7475307000</v>
      </c>
      <c r="G11" s="62">
        <f>G9-G7</f>
        <v>48370246049.999992</v>
      </c>
      <c r="H11" s="62">
        <f>H9-H7</f>
        <v>186391243657.49994</v>
      </c>
      <c r="I11" s="62">
        <f>I9-I7</f>
        <v>633894647161.12476</v>
      </c>
      <c r="J11" s="59"/>
    </row>
    <row r="12" spans="1:10" x14ac:dyDescent="0.25">
      <c r="A12" s="56">
        <f>ROW(A11)</f>
        <v>11</v>
      </c>
      <c r="B12" s="56" t="s">
        <v>197</v>
      </c>
      <c r="D12" s="62">
        <f>SUM($D$11:D11)</f>
        <v>-4181204000</v>
      </c>
      <c r="E12" s="62">
        <f>SUM($D$11:E11)</f>
        <v>-7574324000</v>
      </c>
      <c r="F12" s="62">
        <f>SUM($D$11:F11)</f>
        <v>-99017000</v>
      </c>
      <c r="G12" s="62">
        <f>SUM($D$11:G11)</f>
        <v>48271229049.999992</v>
      </c>
      <c r="H12" s="62">
        <f>SUM($D$11:H11)</f>
        <v>234662472707.49994</v>
      </c>
      <c r="I12" s="62">
        <f>SUM($D$11:I11)</f>
        <v>868557119868.62476</v>
      </c>
      <c r="J12" s="59"/>
    </row>
    <row r="13" spans="1:10" x14ac:dyDescent="0.25">
      <c r="D13" s="62"/>
      <c r="E13" s="62"/>
      <c r="F13" s="62"/>
      <c r="G13" s="62"/>
      <c r="H13" s="62"/>
      <c r="I13" s="62"/>
    </row>
    <row r="14" spans="1:10" x14ac:dyDescent="0.25">
      <c r="B14" s="56" t="s">
        <v>190</v>
      </c>
      <c r="C14" s="62">
        <f>ROUND(SUM(tbl_sumary[[1400]:[1401]]),-7 )</f>
        <v>15000000000</v>
      </c>
      <c r="D14" s="62"/>
      <c r="E14" s="62"/>
      <c r="F14" s="62"/>
      <c r="G14" s="62"/>
      <c r="H14" s="62"/>
      <c r="I14" s="62"/>
    </row>
    <row r="15" spans="1:10" x14ac:dyDescent="0.25">
      <c r="C15" s="62"/>
      <c r="D15" s="62"/>
      <c r="E15" s="62"/>
      <c r="F15" s="62"/>
      <c r="G15" s="62"/>
      <c r="H15" s="62"/>
      <c r="I15" s="62"/>
    </row>
    <row r="16" spans="1:10" x14ac:dyDescent="0.25">
      <c r="C16" s="62"/>
      <c r="D16" s="62"/>
      <c r="E16" s="62"/>
      <c r="F16" s="62"/>
      <c r="G16" s="62"/>
      <c r="H16" s="62"/>
      <c r="I16" s="62"/>
    </row>
    <row r="17" spans="2:9" x14ac:dyDescent="0.25">
      <c r="C17" s="62"/>
      <c r="D17" s="62"/>
      <c r="E17" s="62"/>
      <c r="F17" s="62"/>
      <c r="G17" s="62"/>
      <c r="H17" s="62"/>
      <c r="I17" s="62"/>
    </row>
    <row r="18" spans="2:9" x14ac:dyDescent="0.25"/>
    <row r="19" spans="2:9" x14ac:dyDescent="0.25">
      <c r="B19" s="78" t="s">
        <v>177</v>
      </c>
      <c r="C19" s="78"/>
      <c r="D19" s="78"/>
      <c r="E19" s="78"/>
      <c r="F19" s="78"/>
      <c r="G19" s="78"/>
      <c r="H19" s="78"/>
      <c r="I19" s="78"/>
    </row>
    <row r="20" spans="2:9" x14ac:dyDescent="0.25">
      <c r="B20" s="56" t="s">
        <v>141</v>
      </c>
      <c r="C20" s="56" t="s">
        <v>133</v>
      </c>
      <c r="D20" s="61">
        <v>0.3</v>
      </c>
    </row>
    <row r="21" spans="2:9" x14ac:dyDescent="0.25">
      <c r="B21" s="56" t="s">
        <v>183</v>
      </c>
      <c r="C21" s="56" t="s">
        <v>134</v>
      </c>
      <c r="D21" s="56">
        <v>2</v>
      </c>
    </row>
    <row r="22" spans="2:9" x14ac:dyDescent="0.25">
      <c r="B22" s="56" t="s">
        <v>182</v>
      </c>
      <c r="C22" s="56" t="s">
        <v>135</v>
      </c>
      <c r="D22" s="62">
        <f>D11/(1+v_DiscountRate)^D2</f>
        <v>-3216310769.2307692</v>
      </c>
      <c r="E22" s="62">
        <f>E11/(1+v_DiscountRate)^E2</f>
        <v>-2007763313.6094673</v>
      </c>
      <c r="F22" s="62">
        <f>F11/(1+v_DiscountRate)^F2</f>
        <v>3402506599.9089661</v>
      </c>
      <c r="G22" s="62">
        <f>G11/(1+v_DiscountRate)^G2</f>
        <v>16935767672.700529</v>
      </c>
      <c r="H22" s="62">
        <f>H11/(1+v_DiscountRate)^H2</f>
        <v>50200581119.897194</v>
      </c>
      <c r="I22" s="62">
        <f>I11/(1+v_DiscountRate)^I2</f>
        <v>131327891192.94435</v>
      </c>
    </row>
    <row r="23" spans="2:9" x14ac:dyDescent="0.25">
      <c r="B23" s="56" t="s">
        <v>180</v>
      </c>
      <c r="C23" s="56" t="s">
        <v>179</v>
      </c>
      <c r="D23" s="62">
        <f t="shared" ref="D23:I23" si="2">D4*v_ExitRevenueMultiple/(1+v_DiscountRate)^D2</f>
        <v>949698461.53846145</v>
      </c>
      <c r="E23" s="62">
        <f t="shared" si="2"/>
        <v>8057396449.7041416</v>
      </c>
      <c r="F23" s="62">
        <f t="shared" si="2"/>
        <v>19523691397.360031</v>
      </c>
      <c r="G23" s="62">
        <f t="shared" si="2"/>
        <v>47307406078.218536</v>
      </c>
      <c r="H23" s="62">
        <f t="shared" si="2"/>
        <v>114629483958.76027</v>
      </c>
      <c r="I23" s="62">
        <f t="shared" si="2"/>
        <v>277756057284.68829</v>
      </c>
    </row>
    <row r="24" spans="2:9" x14ac:dyDescent="0.25">
      <c r="B24" s="56" t="s">
        <v>181</v>
      </c>
      <c r="C24" s="56" t="s">
        <v>174</v>
      </c>
      <c r="D24" s="62" t="str">
        <f>IF(SUM($D$22:D22) + D23 &gt; 0, SUM($D$22:D22) + D23, "-")</f>
        <v>-</v>
      </c>
      <c r="E24" s="62">
        <f>IF(SUM($D$22:E22) + E23 &gt; 0, SUM($D$22:E22) + E23, "-")</f>
        <v>2833322366.863905</v>
      </c>
      <c r="F24" s="62">
        <f>IF(SUM($D$22:F22) + F23 &gt; 0, SUM($D$22:F22) + F23, "-")</f>
        <v>17702123914.428761</v>
      </c>
      <c r="G24" s="62">
        <f>IF(SUM($D$22:G22) + G23 &gt; 0, SUM($D$22:G22) + G23, "-")</f>
        <v>62421606267.987793</v>
      </c>
      <c r="H24" s="62">
        <f>IF(SUM($D$22:H22) + H23 &gt; 0, SUM($D$22:H22) + H23, "-")</f>
        <v>179944265268.42673</v>
      </c>
      <c r="I24" s="62">
        <f>IF(SUM($D$22:I22) + I23 &gt; 0, SUM($D$22:I22) + I23, "-")</f>
        <v>474398729787.29907</v>
      </c>
    </row>
    <row r="25" spans="2:9" x14ac:dyDescent="0.25">
      <c r="B25" s="56" t="s">
        <v>189</v>
      </c>
      <c r="D25" s="77" t="str">
        <f>IFERROR(D24/d_toman2dollar, "-")</f>
        <v>-</v>
      </c>
      <c r="E25" s="77">
        <f>IFERROR(E24/d_toman2dollar, "-")</f>
        <v>141666.11834319524</v>
      </c>
      <c r="F25" s="77">
        <f>IFERROR(F24/d_toman2dollar, "-")</f>
        <v>885106.19572143804</v>
      </c>
      <c r="G25" s="77">
        <f>IFERROR(G24/d_toman2dollar, "-")</f>
        <v>3121080.3133993899</v>
      </c>
      <c r="H25" s="77">
        <f>IFERROR(H24/d_toman2dollar, "-")</f>
        <v>8997213.2634213362</v>
      </c>
      <c r="I25" s="77">
        <f>IFERROR(I24/d_toman2dollar, "-")</f>
        <v>23719936.489364952</v>
      </c>
    </row>
    <row r="26" spans="2:9" x14ac:dyDescent="0.25">
      <c r="D26" s="77"/>
      <c r="E26" s="77"/>
      <c r="F26" s="77"/>
      <c r="G26" s="77"/>
      <c r="H26" s="77"/>
      <c r="I26" s="77"/>
    </row>
    <row r="27" spans="2:9" x14ac:dyDescent="0.25">
      <c r="D27" s="62"/>
      <c r="E27" s="62"/>
      <c r="F27" s="62"/>
      <c r="G27" s="62"/>
      <c r="H27" s="62"/>
      <c r="I27" s="62"/>
    </row>
    <row r="28" spans="2:9" x14ac:dyDescent="0.25">
      <c r="B28" s="78" t="s">
        <v>178</v>
      </c>
      <c r="C28" s="78"/>
      <c r="D28" s="78"/>
      <c r="E28" s="78"/>
      <c r="F28" s="78"/>
      <c r="G28" s="78"/>
      <c r="H28" s="78"/>
      <c r="I28" s="78"/>
    </row>
    <row r="29" spans="2:9" x14ac:dyDescent="0.25">
      <c r="B29" s="56" t="s">
        <v>198</v>
      </c>
      <c r="C29" s="56" t="s">
        <v>138</v>
      </c>
      <c r="D29" s="60" t="str">
        <f>IFERROR(IRR($D$9:D9), "-")</f>
        <v>-</v>
      </c>
      <c r="E29" s="60" t="str">
        <f>IFERROR(IRR($D$9:E9), "-")</f>
        <v>-</v>
      </c>
      <c r="F29" s="60">
        <f>IFERROR(IRR($D$9:F9), "-")</f>
        <v>0.83839309797384365</v>
      </c>
      <c r="G29" s="60">
        <f>IFERROR(IRR($D$9:G9), "-")</f>
        <v>2.267175795965922</v>
      </c>
      <c r="H29" s="60">
        <f>IFERROR(IRR($D$9:H9), "-")</f>
        <v>2.9299689338111237</v>
      </c>
      <c r="I29" s="60">
        <f>IFERROR(IRR($D$9:I9), "-")</f>
        <v>3.2615611775252757</v>
      </c>
    </row>
    <row r="30" spans="2:9" x14ac:dyDescent="0.25">
      <c r="B30" s="56" t="s">
        <v>187</v>
      </c>
      <c r="C30" s="56" t="s">
        <v>139</v>
      </c>
      <c r="D30" s="60" t="str">
        <f>IFERROR(IRR($D$11:D11), "-")</f>
        <v>-</v>
      </c>
      <c r="E30" s="60" t="str">
        <f>IFERROR(IRR($D$11:E11), "-")</f>
        <v>-</v>
      </c>
      <c r="F30" s="60">
        <f>IFERROR(IRR($D$11:F11), "-")</f>
        <v>-8.4484027911593262E-3</v>
      </c>
      <c r="G30" s="60">
        <f>IFERROR(IRR($D$11:G11), "-")</f>
        <v>1.2553940010120117</v>
      </c>
      <c r="H30" s="60">
        <f>IFERROR(IRR($D$11:H11), "-")</f>
        <v>1.9270719674645109</v>
      </c>
      <c r="I30" s="60">
        <f>IFERROR(IRR($D$11:I11), "-")</f>
        <v>2.3025435900559077</v>
      </c>
    </row>
    <row r="31" spans="2:9" x14ac:dyDescent="0.25">
      <c r="B31" s="56" t="s">
        <v>184</v>
      </c>
      <c r="C31" s="56" t="s">
        <v>140</v>
      </c>
      <c r="D31" s="62">
        <f>NPV(v_DiscountRate,D11)</f>
        <v>-3216310769.2307692</v>
      </c>
      <c r="E31" s="62">
        <f>NPV(v_DiscountRate,D11,E11)</f>
        <v>-5224074082.8402367</v>
      </c>
      <c r="F31" s="62">
        <f>NPV(v_DiscountRate,D11,E11,F11)</f>
        <v>-1821567482.9312699</v>
      </c>
      <c r="G31" s="62">
        <v>3</v>
      </c>
      <c r="H31" s="62">
        <f>NPV(v_DiscountRate,D11,E11,F11,G11,H11)</f>
        <v>65314781309.666451</v>
      </c>
      <c r="I31" s="62">
        <f>NPV(v_DiscountRate,D11,E11,F11,G11,H11,I11)</f>
        <v>196642672502.61081</v>
      </c>
    </row>
    <row r="32" spans="2:9" x14ac:dyDescent="0.25">
      <c r="D32" s="77"/>
      <c r="E32" s="77"/>
      <c r="F32" s="77"/>
      <c r="G32" s="77"/>
      <c r="H32" s="77"/>
      <c r="I32" s="77"/>
    </row>
    <row r="33" spans="2:9" x14ac:dyDescent="0.25">
      <c r="E33" s="75"/>
    </row>
    <row r="34" spans="2:9" x14ac:dyDescent="0.25">
      <c r="B34" s="78" t="s">
        <v>192</v>
      </c>
      <c r="C34" s="78"/>
      <c r="D34" s="78"/>
      <c r="E34" s="78"/>
      <c r="F34" s="78"/>
      <c r="G34" s="78"/>
      <c r="H34" s="78"/>
      <c r="I34" s="78"/>
    </row>
    <row r="35" spans="2:9" x14ac:dyDescent="0.25">
      <c r="B35" s="56" t="s">
        <v>193</v>
      </c>
      <c r="D35" s="62">
        <f>SUM($D$4:D4)</f>
        <v>617304000</v>
      </c>
      <c r="E35" s="62">
        <f>SUM($D$4:E4)</f>
        <v>7425804000</v>
      </c>
      <c r="F35" s="62">
        <f>SUM($D$4:F4)</f>
        <v>28872579000</v>
      </c>
      <c r="G35" s="62">
        <f>SUM($D$4:G4)</f>
        <v>96429920250</v>
      </c>
      <c r="H35" s="62">
        <f>SUM($D$4:H4)</f>
        <v>309235545187.49994</v>
      </c>
      <c r="I35" s="62">
        <f>SUM($D$4:I4)</f>
        <v>979573263740.62476</v>
      </c>
    </row>
    <row r="36" spans="2:9" x14ac:dyDescent="0.25">
      <c r="B36" s="56" t="s">
        <v>194</v>
      </c>
      <c r="D36" s="62">
        <f>SUM($D$7:D7)</f>
        <v>2418000000</v>
      </c>
      <c r="E36" s="62">
        <f>SUM($D$7:E7)</f>
        <v>3972000000</v>
      </c>
      <c r="F36" s="62">
        <f>SUM($D$7:F7)</f>
        <v>5836800000</v>
      </c>
      <c r="G36" s="62">
        <f>SUM($D$7:G7)</f>
        <v>8074560000</v>
      </c>
      <c r="H36" s="62">
        <f>SUM($D$7:H7)</f>
        <v>10759872000</v>
      </c>
      <c r="I36" s="62">
        <f>SUM($D$7:I7)</f>
        <v>13982246400</v>
      </c>
    </row>
    <row r="37" spans="2:9" x14ac:dyDescent="0.25">
      <c r="B37" s="56" t="s">
        <v>195</v>
      </c>
      <c r="D37" s="62">
        <f>SUM($D$7:D8)</f>
        <v>4798508000</v>
      </c>
      <c r="E37" s="62">
        <f>SUM($D$7:E8)</f>
        <v>15000128000</v>
      </c>
      <c r="F37" s="62">
        <f>SUM($D$7:F8)</f>
        <v>28971596000</v>
      </c>
      <c r="G37" s="62">
        <f>SUM($D$7:G8)</f>
        <v>48158691200</v>
      </c>
      <c r="H37" s="62">
        <f>SUM($D$7:H8)</f>
        <v>74573072480</v>
      </c>
      <c r="I37" s="62">
        <f>SUM($D$7:I8)</f>
        <v>111016143872</v>
      </c>
    </row>
    <row r="38" spans="2:9" x14ac:dyDescent="0.25">
      <c r="B38" s="56" t="s">
        <v>199</v>
      </c>
      <c r="D38" s="62">
        <f>SUM(D36:D37)</f>
        <v>7216508000</v>
      </c>
      <c r="E38" s="62">
        <f t="shared" ref="E38:I38" si="3">SUM(E36:E37)</f>
        <v>18972128000</v>
      </c>
      <c r="F38" s="62">
        <f t="shared" si="3"/>
        <v>34808396000</v>
      </c>
      <c r="G38" s="62">
        <f t="shared" si="3"/>
        <v>56233251200</v>
      </c>
      <c r="H38" s="62">
        <f t="shared" si="3"/>
        <v>85332944480</v>
      </c>
      <c r="I38" s="62">
        <f t="shared" si="3"/>
        <v>124998390272</v>
      </c>
    </row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</sheetData>
  <mergeCells count="3">
    <mergeCell ref="B19:I19"/>
    <mergeCell ref="B28:I28"/>
    <mergeCell ref="B34:I34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7" bestFit="1" customWidth="1"/>
    <col min="2" max="2" width="21" style="57" customWidth="1"/>
    <col min="3" max="4" width="25.7109375" style="57" customWidth="1"/>
    <col min="5" max="5" width="26.7109375" style="57" bestFit="1" customWidth="1"/>
    <col min="6" max="13" width="25.7109375" style="57" customWidth="1"/>
    <col min="14" max="18" width="9.140625" style="57" customWidth="1"/>
    <col min="19" max="16384" width="9.140625" style="57" hidden="1"/>
  </cols>
  <sheetData>
    <row r="1" spans="1:13" x14ac:dyDescent="0.25">
      <c r="A1" s="66" t="s">
        <v>149</v>
      </c>
      <c r="B1" s="66" t="s">
        <v>161</v>
      </c>
      <c r="C1" s="66" t="s">
        <v>164</v>
      </c>
      <c r="D1" s="66" t="s">
        <v>167</v>
      </c>
      <c r="E1" s="66" t="s">
        <v>166</v>
      </c>
      <c r="F1" s="66" t="s">
        <v>168</v>
      </c>
      <c r="G1" s="66" t="s">
        <v>163</v>
      </c>
      <c r="H1" s="66" t="s">
        <v>142</v>
      </c>
      <c r="I1" s="66" t="s">
        <v>143</v>
      </c>
      <c r="J1" s="66" t="s">
        <v>144</v>
      </c>
      <c r="K1" s="66" t="s">
        <v>171</v>
      </c>
      <c r="L1" s="66" t="s">
        <v>145</v>
      </c>
      <c r="M1" s="66" t="s">
        <v>146</v>
      </c>
    </row>
    <row r="2" spans="1:13" x14ac:dyDescent="0.25">
      <c r="A2" s="57" t="s">
        <v>155</v>
      </c>
      <c r="B2" s="57" t="s">
        <v>162</v>
      </c>
      <c r="C2" s="63"/>
      <c r="D2" s="63">
        <v>0.55000000000000004</v>
      </c>
      <c r="E2" s="64">
        <v>6.0100000000000001E-2</v>
      </c>
      <c r="F2" s="64">
        <v>8.6E-3</v>
      </c>
      <c r="G2" s="64">
        <v>2.0000000000000001E-4</v>
      </c>
      <c r="H2" s="68">
        <f>IFERROR(tbl_fundraisingSteps[[#This Row],[1399]]*(1-H$13-v_seriA), "-")</f>
        <v>1.3999999999999999E-4</v>
      </c>
      <c r="I2" s="68">
        <f>IFERROR(tbl_fundraisingSteps[[#This Row],[Series A]]*(1-v_seriB), "-")</f>
        <v>1.12E-4</v>
      </c>
      <c r="J2" s="68">
        <f>IFERROR(tbl_fundraisingSteps[[#This Row],[Series B]]*(1-v_seriC), "-")</f>
        <v>9.5199999999999997E-5</v>
      </c>
      <c r="K2" s="68">
        <f>IFERROR(tbl_fundraisingSteps[[#This Row],[Series C]]*(1-v_seriD), "-")</f>
        <v>8.0919999999999991E-5</v>
      </c>
      <c r="L2" s="68">
        <f>IFERROR(tbl_fundraisingSteps[[#This Row],[Series D]]*(1-v_seriE), "-")</f>
        <v>7.2827999999999988E-5</v>
      </c>
      <c r="M2" s="68">
        <f>IFERROR(tbl_fundraisingSteps[[#This Row],[Series E]]*(1-v_seriF), "-")</f>
        <v>6.5545199999999997E-5</v>
      </c>
    </row>
    <row r="3" spans="1:13" x14ac:dyDescent="0.25">
      <c r="A3" s="57" t="s">
        <v>155</v>
      </c>
      <c r="B3" s="57" t="s">
        <v>156</v>
      </c>
      <c r="C3" s="63" t="s">
        <v>154</v>
      </c>
      <c r="D3" s="63" t="s">
        <v>154</v>
      </c>
      <c r="E3" s="63" t="s">
        <v>154</v>
      </c>
      <c r="F3" s="63" t="s">
        <v>154</v>
      </c>
      <c r="G3" s="63" t="s">
        <v>154</v>
      </c>
      <c r="H3" s="69">
        <v>0.2</v>
      </c>
      <c r="I3" s="64">
        <f>IFERROR(tbl_fundraisingSteps[[#This Row],[Series A]]*(1-v_seriB), "-")</f>
        <v>0.16000000000000003</v>
      </c>
      <c r="J3" s="64">
        <f>IFERROR(tbl_fundraisingSteps[[#This Row],[Series B]]*(1-v_seriC), "-")</f>
        <v>0.13600000000000001</v>
      </c>
      <c r="K3" s="64">
        <f>IFERROR(tbl_fundraisingSteps[[#This Row],[Series C]]*(1-v_seriD), "-")</f>
        <v>0.11560000000000001</v>
      </c>
      <c r="L3" s="64">
        <f>IFERROR(tbl_fundraisingSteps[[#This Row],[Series D]]*(1-v_seriE), "-")</f>
        <v>0.10404000000000001</v>
      </c>
      <c r="M3" s="64">
        <f>IFERROR(tbl_fundraisingSteps[[#This Row],[Series E]]*(1-v_seriF), "-")</f>
        <v>9.3636000000000011E-2</v>
      </c>
    </row>
    <row r="4" spans="1:13" x14ac:dyDescent="0.25">
      <c r="A4" s="57" t="s">
        <v>155</v>
      </c>
      <c r="B4" s="57" t="s">
        <v>157</v>
      </c>
      <c r="C4" s="63" t="s">
        <v>154</v>
      </c>
      <c r="D4" s="63" t="s">
        <v>154</v>
      </c>
      <c r="E4" s="63" t="s">
        <v>154</v>
      </c>
      <c r="F4" s="63" t="s">
        <v>154</v>
      </c>
      <c r="G4" s="63" t="s">
        <v>154</v>
      </c>
      <c r="H4" s="64" t="str">
        <f>IFERROR(tbl_fundraisingSteps[[#This Row],[1399]]*(1-H$13-v_seriA), "-")</f>
        <v>-</v>
      </c>
      <c r="I4" s="69">
        <v>0.2</v>
      </c>
      <c r="J4" s="64">
        <f>IFERROR(tbl_fundraisingSteps[[#This Row],[Series B]]*(1-v_seriC), "-")</f>
        <v>0.17</v>
      </c>
      <c r="K4" s="64">
        <f>IFERROR(tbl_fundraisingSteps[[#This Row],[Series C]]*(1-v_seriD), "-")</f>
        <v>0.14450000000000002</v>
      </c>
      <c r="L4" s="64">
        <f>IFERROR(tbl_fundraisingSteps[[#This Row],[Series D]]*(1-v_seriE), "-")</f>
        <v>0.13005000000000003</v>
      </c>
      <c r="M4" s="64">
        <f>IFERROR(tbl_fundraisingSteps[[#This Row],[Series E]]*(1-v_seriF), "-")</f>
        <v>0.11704500000000002</v>
      </c>
    </row>
    <row r="5" spans="1:13" x14ac:dyDescent="0.25">
      <c r="A5" s="57" t="s">
        <v>155</v>
      </c>
      <c r="B5" s="57" t="s">
        <v>158</v>
      </c>
      <c r="C5" s="63" t="s">
        <v>154</v>
      </c>
      <c r="D5" s="63" t="s">
        <v>154</v>
      </c>
      <c r="E5" s="63" t="s">
        <v>154</v>
      </c>
      <c r="F5" s="63" t="s">
        <v>154</v>
      </c>
      <c r="G5" s="63" t="s">
        <v>154</v>
      </c>
      <c r="H5" s="64" t="str">
        <f>IFERROR(tbl_fundraisingSteps[[#This Row],[1399]]*(1-H$13-v_seriA), "-")</f>
        <v>-</v>
      </c>
      <c r="I5" s="64" t="str">
        <f>IFERROR(tbl_fundraisingSteps[[#This Row],[Series A]]*(1-v_seriB), "-")</f>
        <v>-</v>
      </c>
      <c r="J5" s="69">
        <v>0.15</v>
      </c>
      <c r="K5" s="64">
        <f>IFERROR(tbl_fundraisingSteps[[#This Row],[Series C]]*(1-v_seriD), "-")</f>
        <v>0.1275</v>
      </c>
      <c r="L5" s="64">
        <f>IFERROR(tbl_fundraisingSteps[[#This Row],[Series D]]*(1-v_seriE), "-")</f>
        <v>0.11475</v>
      </c>
      <c r="M5" s="64">
        <f>IFERROR(tbl_fundraisingSteps[[#This Row],[Series E]]*(1-v_seriF), "-")</f>
        <v>0.10327500000000001</v>
      </c>
    </row>
    <row r="6" spans="1:13" x14ac:dyDescent="0.25">
      <c r="A6" s="57" t="s">
        <v>155</v>
      </c>
      <c r="B6" s="57" t="s">
        <v>159</v>
      </c>
      <c r="C6" s="63" t="s">
        <v>154</v>
      </c>
      <c r="D6" s="63" t="s">
        <v>154</v>
      </c>
      <c r="E6" s="63" t="s">
        <v>154</v>
      </c>
      <c r="F6" s="63" t="s">
        <v>154</v>
      </c>
      <c r="G6" s="63" t="s">
        <v>154</v>
      </c>
      <c r="H6" s="64" t="str">
        <f>IFERROR(tbl_fundraisingSteps[[#This Row],[1399]]*(1-H$13-v_seriA), "-")</f>
        <v>-</v>
      </c>
      <c r="I6" s="64" t="str">
        <f>IFERROR(tbl_fundraisingSteps[[#This Row],[Series A]]*(1-v_seriB), "-")</f>
        <v>-</v>
      </c>
      <c r="J6" s="64" t="str">
        <f>IFERROR(tbl_fundraisingSteps[[#This Row],[Series B]]*(1-v_seriC), "-")</f>
        <v>-</v>
      </c>
      <c r="K6" s="69">
        <v>0.15</v>
      </c>
      <c r="L6" s="64">
        <f>IFERROR(tbl_fundraisingSteps[[#This Row],[Series D]]*(1-v_seriE), "-")</f>
        <v>0.13500000000000001</v>
      </c>
      <c r="M6" s="64">
        <f>IFERROR(tbl_fundraisingSteps[[#This Row],[Series E]]*(1-v_seriF), "-")</f>
        <v>0.12150000000000001</v>
      </c>
    </row>
    <row r="7" spans="1:13" x14ac:dyDescent="0.25">
      <c r="A7" s="57" t="s">
        <v>155</v>
      </c>
      <c r="B7" s="57" t="s">
        <v>169</v>
      </c>
      <c r="C7" s="63" t="s">
        <v>154</v>
      </c>
      <c r="D7" s="63" t="s">
        <v>154</v>
      </c>
      <c r="E7" s="64" t="s">
        <v>154</v>
      </c>
      <c r="F7" s="63" t="s">
        <v>154</v>
      </c>
      <c r="G7" s="63" t="s">
        <v>154</v>
      </c>
      <c r="H7" s="64" t="str">
        <f>IFERROR(tbl_fundraisingSteps[[#This Row],[1399]]*(1-H$13-v_seriA), "-")</f>
        <v>-</v>
      </c>
      <c r="I7" s="64" t="str">
        <f>IFERROR(tbl_fundraisingSteps[[#This Row],[Series A]]*(1-v_seriB), "-")</f>
        <v>-</v>
      </c>
      <c r="J7" s="64" t="str">
        <f>IFERROR(tbl_fundraisingSteps[[#This Row],[Series B]]*(1-v_seriC), "-")</f>
        <v>-</v>
      </c>
      <c r="K7" s="64" t="str">
        <f>IFERROR(tbl_fundraisingSteps[[#This Row],[Series C]]*(1-v_seriD), "-")</f>
        <v>-</v>
      </c>
      <c r="L7" s="69">
        <v>0.1</v>
      </c>
      <c r="M7" s="64">
        <f>IFERROR(tbl_fundraisingSteps[[#This Row],[Series E]]*(1-v_seriF), "-")</f>
        <v>9.0000000000000011E-2</v>
      </c>
    </row>
    <row r="8" spans="1:13" ht="18" thickBot="1" x14ac:dyDescent="0.3">
      <c r="A8" s="57" t="s">
        <v>155</v>
      </c>
      <c r="B8" s="57" t="s">
        <v>172</v>
      </c>
      <c r="C8" s="63" t="s">
        <v>154</v>
      </c>
      <c r="D8" s="63" t="s">
        <v>154</v>
      </c>
      <c r="E8" s="64" t="s">
        <v>154</v>
      </c>
      <c r="F8" s="63" t="s">
        <v>154</v>
      </c>
      <c r="G8" s="63" t="s">
        <v>154</v>
      </c>
      <c r="H8" s="64" t="str">
        <f>IFERROR(tbl_fundraisingSteps[[#This Row],[1399]]*(1-H$13-v_seriA), "-")</f>
        <v>-</v>
      </c>
      <c r="I8" s="64" t="s">
        <v>154</v>
      </c>
      <c r="J8" s="64" t="str">
        <f>IFERROR(tbl_fundraisingSteps[[#This Row],[Series B]]*(1-v_seriC), "-")</f>
        <v>-</v>
      </c>
      <c r="K8" s="64" t="str">
        <f>IFERROR(tbl_fundraisingSteps[[#This Row],[Series C]]*(1-v_seriD), "-")</f>
        <v>-</v>
      </c>
      <c r="L8" s="64" t="str">
        <f>IFERROR(tbl_fundraisingSteps[[#This Row],[Series D]]*(1-v_seriE), "-")</f>
        <v>-</v>
      </c>
      <c r="M8" s="69">
        <v>0.1</v>
      </c>
    </row>
    <row r="9" spans="1:13" x14ac:dyDescent="0.25">
      <c r="A9" s="72" t="s">
        <v>147</v>
      </c>
      <c r="B9" s="72" t="s">
        <v>150</v>
      </c>
      <c r="C9" s="73">
        <v>0.9</v>
      </c>
      <c r="D9" s="73">
        <v>0.3</v>
      </c>
      <c r="E9" s="74">
        <v>0.86</v>
      </c>
      <c r="F9" s="74">
        <v>0.75139999999999996</v>
      </c>
      <c r="G9" s="74">
        <v>0.6593</v>
      </c>
      <c r="H9" s="74">
        <f>IFERROR(tbl_fundraisingSteps[[#This Row],[1399]]*(1-H$13-v_seriA), "-")</f>
        <v>0.46150999999999998</v>
      </c>
      <c r="I9" s="74">
        <f>IFERROR(tbl_fundraisingSteps[[#This Row],[Series A]]*(1-v_seriB), "-")</f>
        <v>0.36920799999999998</v>
      </c>
      <c r="J9" s="74">
        <f>IFERROR(tbl_fundraisingSteps[[#This Row],[Series B]]*(1-v_seriC), "-")</f>
        <v>0.31382679999999996</v>
      </c>
      <c r="K9" s="74">
        <f>IFERROR(tbl_fundraisingSteps[[#This Row],[Series C]]*(1-v_seriD), "-")</f>
        <v>0.26675277999999997</v>
      </c>
      <c r="L9" s="74">
        <f>IFERROR(tbl_fundraisingSteps[[#This Row],[Series D]]*(1-v_seriE), "-")</f>
        <v>0.24007750199999997</v>
      </c>
      <c r="M9" s="74">
        <f>IFERROR(tbl_fundraisingSteps[[#This Row],[Series E]]*(1-v_seriF), "-")</f>
        <v>0.21606975179999999</v>
      </c>
    </row>
    <row r="10" spans="1:13" x14ac:dyDescent="0.25">
      <c r="A10" s="57" t="s">
        <v>147</v>
      </c>
      <c r="B10" s="57" t="s">
        <v>151</v>
      </c>
      <c r="C10" s="63" t="s">
        <v>154</v>
      </c>
      <c r="D10" s="63" t="s">
        <v>154</v>
      </c>
      <c r="E10" s="63" t="s">
        <v>154</v>
      </c>
      <c r="F10" s="63">
        <v>0.19</v>
      </c>
      <c r="G10" s="63">
        <v>0.3</v>
      </c>
      <c r="H10" s="64">
        <f>IFERROR(tbl_fundraisingSteps[[#This Row],[1399]]*(1-H$13-v_seriA), "-")</f>
        <v>0.21</v>
      </c>
      <c r="I10" s="64">
        <f>IFERROR(tbl_fundraisingSteps[[#This Row],[Series A]]*(1-v_seriB), "-")</f>
        <v>0.16800000000000001</v>
      </c>
      <c r="J10" s="64">
        <f>IFERROR(tbl_fundraisingSteps[[#This Row],[Series B]]*(1-v_seriC), "-")</f>
        <v>0.14280000000000001</v>
      </c>
      <c r="K10" s="64">
        <f>IFERROR(tbl_fundraisingSteps[[#This Row],[Series C]]*(1-v_seriD), "-")</f>
        <v>0.12138</v>
      </c>
      <c r="L10" s="64">
        <f>IFERROR(tbl_fundraisingSteps[[#This Row],[Series D]]*(1-v_seriE), "-")</f>
        <v>0.10924200000000001</v>
      </c>
      <c r="M10" s="64">
        <f>IFERROR(tbl_fundraisingSteps[[#This Row],[Series E]]*(1-v_seriF), "-")</f>
        <v>9.8317800000000011E-2</v>
      </c>
    </row>
    <row r="11" spans="1:13" x14ac:dyDescent="0.25">
      <c r="A11" s="57" t="s">
        <v>147</v>
      </c>
      <c r="B11" s="57" t="s">
        <v>152</v>
      </c>
      <c r="C11" s="63">
        <v>0.1</v>
      </c>
      <c r="D11" s="63" t="s">
        <v>154</v>
      </c>
      <c r="E11" s="64" t="s">
        <v>154</v>
      </c>
      <c r="F11" s="64">
        <v>2.86E-2</v>
      </c>
      <c r="G11" s="63">
        <v>0.04</v>
      </c>
      <c r="H11" s="64">
        <f>IFERROR(tbl_fundraisingSteps[[#This Row],[1399]]*(1-H$13-v_seriA), "-")</f>
        <v>2.7999999999999997E-2</v>
      </c>
      <c r="I11" s="64">
        <f>IFERROR(tbl_fundraisingSteps[[#This Row],[Series A]]*(1-v_seriB), "-")</f>
        <v>2.24E-2</v>
      </c>
      <c r="J11" s="64">
        <f>IFERROR(tbl_fundraisingSteps[[#This Row],[Series B]]*(1-v_seriC), "-")</f>
        <v>1.9039999999999998E-2</v>
      </c>
      <c r="K11" s="64">
        <f>IFERROR(tbl_fundraisingSteps[[#This Row],[Series C]]*(1-v_seriD), "-")</f>
        <v>1.6183999999999997E-2</v>
      </c>
      <c r="L11" s="64">
        <f>IFERROR(tbl_fundraisingSteps[[#This Row],[Series D]]*(1-v_seriE), "-")</f>
        <v>1.4565599999999998E-2</v>
      </c>
      <c r="M11" s="64">
        <f>IFERROR(tbl_fundraisingSteps[[#This Row],[Series E]]*(1-v_seriF), "-")</f>
        <v>1.3109039999999999E-2</v>
      </c>
    </row>
    <row r="12" spans="1:13" x14ac:dyDescent="0.25">
      <c r="A12" s="57" t="s">
        <v>147</v>
      </c>
      <c r="B12" s="57" t="s">
        <v>153</v>
      </c>
      <c r="C12" s="63" t="s">
        <v>154</v>
      </c>
      <c r="D12" s="63">
        <v>0.15</v>
      </c>
      <c r="E12" s="64">
        <v>7.9899999999999999E-2</v>
      </c>
      <c r="F12" s="64">
        <v>2.1399999999999999E-2</v>
      </c>
      <c r="G12" s="64">
        <v>5.0000000000000001E-4</v>
      </c>
      <c r="H12" s="64">
        <f>IFERROR(tbl_fundraisingSteps[[#This Row],[1399]]*(1-H$13-v_seriA), "-")</f>
        <v>3.5E-4</v>
      </c>
      <c r="I12" s="64">
        <f>IFERROR(tbl_fundraisingSteps[[#This Row],[Series A]]*(1-v_seriB), "-")</f>
        <v>2.8000000000000003E-4</v>
      </c>
      <c r="J12" s="64">
        <f>IFERROR(tbl_fundraisingSteps[[#This Row],[Series B]]*(1-v_seriC), "-")</f>
        <v>2.3800000000000001E-4</v>
      </c>
      <c r="K12" s="64">
        <f>IFERROR(tbl_fundraisingSteps[[#This Row],[Series C]]*(1-v_seriD), "-")</f>
        <v>2.0230000000000001E-4</v>
      </c>
      <c r="L12" s="64">
        <f>IFERROR(tbl_fundraisingSteps[[#This Row],[Series D]]*(1-v_seriE), "-")</f>
        <v>1.8207000000000002E-4</v>
      </c>
      <c r="M12" s="64">
        <f>IFERROR(tbl_fundraisingSteps[[#This Row],[Series E]]*(1-v_seriF), "-")</f>
        <v>1.6386300000000001E-4</v>
      </c>
    </row>
    <row r="13" spans="1:13" x14ac:dyDescent="0.25">
      <c r="A13" s="57" t="s">
        <v>148</v>
      </c>
      <c r="B13" s="57" t="s">
        <v>160</v>
      </c>
      <c r="C13" s="63" t="s">
        <v>154</v>
      </c>
      <c r="D13" s="63" t="s">
        <v>154</v>
      </c>
      <c r="E13" s="63" t="s">
        <v>154</v>
      </c>
      <c r="F13" s="63" t="s">
        <v>154</v>
      </c>
      <c r="G13" s="63" t="s">
        <v>154</v>
      </c>
      <c r="H13" s="70">
        <v>0.1</v>
      </c>
      <c r="I13" s="64">
        <f>IFERROR(tbl_fundraisingSteps[[#This Row],[Series A]]*(1-v_seriB), "-")</f>
        <v>8.0000000000000016E-2</v>
      </c>
      <c r="J13" s="64">
        <f>IFERROR(tbl_fundraisingSteps[[#This Row],[Series B]]*(1-v_seriC), "-")</f>
        <v>6.8000000000000005E-2</v>
      </c>
      <c r="K13" s="64">
        <f>IFERROR(tbl_fundraisingSteps[[#This Row],[Series C]]*(1-v_seriD), "-")</f>
        <v>5.7800000000000004E-2</v>
      </c>
      <c r="L13" s="64">
        <f>IFERROR(tbl_fundraisingSteps[[#This Row],[Series D]]*(1-v_seriE), "-")</f>
        <v>5.2020000000000004E-2</v>
      </c>
      <c r="M13" s="64">
        <f>IFERROR(tbl_fundraisingSteps[[#This Row],[Series E]]*(1-v_seriF), "-")</f>
        <v>4.6818000000000005E-2</v>
      </c>
    </row>
    <row r="14" spans="1:13" x14ac:dyDescent="0.25">
      <c r="A14" s="57" t="s">
        <v>1</v>
      </c>
      <c r="C14" s="65">
        <f>SUBTOTAL(109,tbl_fundraisingSteps[Start 1394])</f>
        <v>1</v>
      </c>
      <c r="D14" s="65">
        <f>SUBTOTAL(109,tbl_fundraisingSteps[Seed Angel 1395])</f>
        <v>1</v>
      </c>
      <c r="E14" s="65">
        <f>SUBTOTAL(109,tbl_fundraisingSteps[Angel Out 1397/2/22])</f>
        <v>1</v>
      </c>
      <c r="F14" s="65">
        <f>SUBTOTAL(109,tbl_fundraisingSteps[1397/5/1])</f>
        <v>0.99999999999999989</v>
      </c>
      <c r="G14" s="65">
        <f>SUBTOTAL(109,tbl_fundraisingSteps[1399])</f>
        <v>1</v>
      </c>
      <c r="H14" s="65">
        <f>SUBTOTAL(109,tbl_fundraisingSteps[Series A])</f>
        <v>0.99999999999999989</v>
      </c>
      <c r="I14" s="65">
        <f>SUBTOTAL(109,tbl_fundraisingSteps[Series B])</f>
        <v>1</v>
      </c>
      <c r="J14" s="65">
        <f>SUBTOTAL(109,tbl_fundraisingSteps[Series C])</f>
        <v>1</v>
      </c>
      <c r="K14" s="65">
        <f>SUBTOTAL(109,tbl_fundraisingSteps[Series D])</f>
        <v>0.99999999999999989</v>
      </c>
      <c r="L14" s="65">
        <f>SUBTOTAL(109,tbl_fundraisingSteps[Series E])</f>
        <v>1</v>
      </c>
      <c r="M14" s="71">
        <f>SUBTOTAL(109,tbl_fundraisingSteps[Series F])</f>
        <v>1</v>
      </c>
    </row>
    <row r="15" spans="1:13" x14ac:dyDescent="0.25"/>
    <row r="16" spans="1:13" x14ac:dyDescent="0.25">
      <c r="A16" s="57" t="s">
        <v>165</v>
      </c>
      <c r="C16" s="67">
        <v>10000000</v>
      </c>
      <c r="D16" s="67">
        <v>10000000</v>
      </c>
      <c r="E16" s="67">
        <v>1000000</v>
      </c>
      <c r="F16" s="67">
        <v>7000000</v>
      </c>
      <c r="G16" s="67">
        <v>300000000</v>
      </c>
      <c r="H16" s="67"/>
      <c r="I16" s="67"/>
      <c r="J16" s="67"/>
      <c r="K16" s="67"/>
      <c r="L16" s="67"/>
    </row>
    <row r="17" spans="1:13" x14ac:dyDescent="0.25"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3" x14ac:dyDescent="0.25"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x14ac:dyDescent="0.25"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25"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25"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25"/>
    <row r="23" spans="1:13" x14ac:dyDescent="0.25">
      <c r="A23" s="57" t="s">
        <v>149</v>
      </c>
      <c r="B23" s="57" t="s">
        <v>170</v>
      </c>
      <c r="C23" s="57" t="s">
        <v>164</v>
      </c>
      <c r="D23" s="57" t="s">
        <v>167</v>
      </c>
      <c r="E23" s="57" t="s">
        <v>166</v>
      </c>
      <c r="F23" s="57" t="s">
        <v>168</v>
      </c>
      <c r="G23" s="57" t="s">
        <v>163</v>
      </c>
      <c r="H23" s="57" t="s">
        <v>142</v>
      </c>
      <c r="I23" s="57" t="s">
        <v>143</v>
      </c>
      <c r="J23" s="57" t="s">
        <v>144</v>
      </c>
      <c r="K23" s="57" t="s">
        <v>171</v>
      </c>
      <c r="L23" s="57" t="s">
        <v>145</v>
      </c>
      <c r="M23" s="57" t="s">
        <v>146</v>
      </c>
    </row>
    <row r="24" spans="1:13" x14ac:dyDescent="0.25">
      <c r="A24" s="57" t="s">
        <v>155</v>
      </c>
      <c r="C24" s="64">
        <f>SUMIFS(tbl_fundraisingSteps[Start 1394],tbl_fundraisingSteps[نوع سهام‌دار],Table13[[#This Row],[نوع سهام‌دار]])</f>
        <v>0</v>
      </c>
      <c r="D24" s="64">
        <f>SUMIFS(tbl_fundraisingSteps[Seed Angel 1395],tbl_fundraisingSteps[نوع سهام‌دار],Table13[[#This Row],[نوع سهام‌دار]])</f>
        <v>0.55000000000000004</v>
      </c>
      <c r="E24" s="64">
        <f>SUMIFS(tbl_fundraisingSteps[Angel Out 1397/2/22],tbl_fundraisingSteps[نوع سهام‌دار],Table13[[#This Row],[نوع سهام‌دار]])</f>
        <v>6.0100000000000001E-2</v>
      </c>
      <c r="F24" s="64">
        <f>SUMIFS(tbl_fundraisingSteps[1397/5/1],tbl_fundraisingSteps[نوع سهام‌دار],Table13[[#This Row],[نوع سهام‌دار]])</f>
        <v>8.6E-3</v>
      </c>
      <c r="G24" s="64">
        <f>SUMIFS(tbl_fundraisingSteps[1399],tbl_fundraisingSteps[نوع سهام‌دار],Table13[[#This Row],[نوع سهام‌دار]])</f>
        <v>2.0000000000000001E-4</v>
      </c>
      <c r="H24" s="64">
        <f>SUMIFS(tbl_fundraisingSteps[Series A],tbl_fundraisingSteps[نوع سهام‌دار],Table13[[#This Row],[نوع سهام‌دار]])</f>
        <v>0.20014000000000001</v>
      </c>
      <c r="I24" s="64">
        <f>SUMIFS(tbl_fundraisingSteps[Series B],tbl_fundraisingSteps[نوع سهام‌دار],Table13[[#This Row],[نوع سهام‌دار]])</f>
        <v>0.36011200000000004</v>
      </c>
      <c r="J24" s="64">
        <f>SUMIFS(tbl_fundraisingSteps[Series C],tbl_fundraisingSteps[نوع سهام‌دار],Table13[[#This Row],[نوع سهام‌دار]])</f>
        <v>0.45609520000000003</v>
      </c>
      <c r="K24" s="64">
        <f>SUMIFS(tbl_fundraisingSteps[Series D],tbl_fundraisingSteps[نوع سهام‌دار],Table13[[#This Row],[نوع سهام‌دار]])</f>
        <v>0.53768092000000001</v>
      </c>
      <c r="L24" s="64">
        <f>SUMIFS(tbl_fundraisingSteps[Series E],tbl_fundraisingSteps[نوع سهام‌دار],Table13[[#This Row],[نوع سهام‌دار]])</f>
        <v>0.58391282800000011</v>
      </c>
      <c r="M24" s="64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7" t="s">
        <v>147</v>
      </c>
      <c r="C25" s="64">
        <f>SUMIFS(tbl_fundraisingSteps[Start 1394],tbl_fundraisingSteps[نوع سهام‌دار],Table13[[#This Row],[نوع سهام‌دار]])</f>
        <v>1</v>
      </c>
      <c r="D25" s="64">
        <f>SUMIFS(tbl_fundraisingSteps[Seed Angel 1395],tbl_fundraisingSteps[نوع سهام‌دار],Table13[[#This Row],[نوع سهام‌دار]])</f>
        <v>0.44999999999999996</v>
      </c>
      <c r="E25" s="64">
        <f>SUMIFS(tbl_fundraisingSteps[Angel Out 1397/2/22],tbl_fundraisingSteps[نوع سهام‌دار],Table13[[#This Row],[نوع سهام‌دار]])</f>
        <v>0.93989999999999996</v>
      </c>
      <c r="F25" s="64">
        <f>SUMIFS(tbl_fundraisingSteps[1397/5/1],tbl_fundraisingSteps[نوع سهام‌دار],Table13[[#This Row],[نوع سهام‌دار]])</f>
        <v>0.99139999999999995</v>
      </c>
      <c r="G25" s="64">
        <f>SUMIFS(tbl_fundraisingSteps[1399],tbl_fundraisingSteps[نوع سهام‌دار],Table13[[#This Row],[نوع سهام‌دار]])</f>
        <v>0.99980000000000002</v>
      </c>
      <c r="H25" s="64">
        <f>SUMIFS(tbl_fundraisingSteps[Series A],tbl_fundraisingSteps[نوع سهام‌دار],Table13[[#This Row],[نوع سهام‌دار]])</f>
        <v>0.69985999999999993</v>
      </c>
      <c r="I25" s="64">
        <f>SUMIFS(tbl_fundraisingSteps[Series B],tbl_fundraisingSteps[نوع سهام‌دار],Table13[[#This Row],[نوع سهام‌دار]])</f>
        <v>0.55988799999999994</v>
      </c>
      <c r="J25" s="64">
        <f>SUMIFS(tbl_fundraisingSteps[Series C],tbl_fundraisingSteps[نوع سهام‌دار],Table13[[#This Row],[نوع سهام‌دار]])</f>
        <v>0.47590480000000002</v>
      </c>
      <c r="K25" s="64">
        <f>SUMIFS(tbl_fundraisingSteps[Series D],tbl_fundraisingSteps[نوع سهام‌دار],Table13[[#This Row],[نوع سهام‌دار]])</f>
        <v>0.40451907999999992</v>
      </c>
      <c r="L25" s="64">
        <f>SUMIFS(tbl_fundraisingSteps[Series E],tbl_fundraisingSteps[نوع سهام‌دار],Table13[[#This Row],[نوع سهام‌دار]])</f>
        <v>0.36406717199999994</v>
      </c>
      <c r="M25" s="64">
        <f>SUMIFS(tbl_fundraisingSteps[Series F],tbl_fundraisingSteps[نوع سهام‌دار],Table13[[#This Row],[نوع سهام‌دار]])</f>
        <v>0.3276604548</v>
      </c>
    </row>
    <row r="26" spans="1:13" x14ac:dyDescent="0.25">
      <c r="A26" s="57" t="s">
        <v>148</v>
      </c>
      <c r="C26" s="64">
        <f>SUMIFS(tbl_fundraisingSteps[Start 1394],tbl_fundraisingSteps[نوع سهام‌دار],Table13[[#This Row],[نوع سهام‌دار]])</f>
        <v>0</v>
      </c>
      <c r="D26" s="64">
        <f>SUMIFS(tbl_fundraisingSteps[Seed Angel 1395],tbl_fundraisingSteps[نوع سهام‌دار],Table13[[#This Row],[نوع سهام‌دار]])</f>
        <v>0</v>
      </c>
      <c r="E26" s="64">
        <f>SUMIFS(tbl_fundraisingSteps[Angel Out 1397/2/22],tbl_fundraisingSteps[نوع سهام‌دار],Table13[[#This Row],[نوع سهام‌دار]])</f>
        <v>0</v>
      </c>
      <c r="F26" s="64">
        <f>SUMIFS(tbl_fundraisingSteps[1397/5/1],tbl_fundraisingSteps[نوع سهام‌دار],Table13[[#This Row],[نوع سهام‌دار]])</f>
        <v>0</v>
      </c>
      <c r="G26" s="64">
        <f>SUMIFS(tbl_fundraisingSteps[1399],tbl_fundraisingSteps[نوع سهام‌دار],Table13[[#This Row],[نوع سهام‌دار]])</f>
        <v>0</v>
      </c>
      <c r="H26" s="64">
        <f>SUMIFS(tbl_fundraisingSteps[Series A],tbl_fundraisingSteps[نوع سهام‌دار],Table13[[#This Row],[نوع سهام‌دار]])</f>
        <v>0.1</v>
      </c>
      <c r="I26" s="64">
        <f>SUMIFS(tbl_fundraisingSteps[Series B],tbl_fundraisingSteps[نوع سهام‌دار],Table13[[#This Row],[نوع سهام‌دار]])</f>
        <v>8.0000000000000016E-2</v>
      </c>
      <c r="J26" s="64">
        <f>SUMIFS(tbl_fundraisingSteps[Series C],tbl_fundraisingSteps[نوع سهام‌دار],Table13[[#This Row],[نوع سهام‌دار]])</f>
        <v>6.8000000000000005E-2</v>
      </c>
      <c r="K26" s="64">
        <f>SUMIFS(tbl_fundraisingSteps[Series D],tbl_fundraisingSteps[نوع سهام‌دار],Table13[[#This Row],[نوع سهام‌دار]])</f>
        <v>5.7800000000000004E-2</v>
      </c>
      <c r="L26" s="64">
        <f>SUMIFS(tbl_fundraisingSteps[Series E],tbl_fundraisingSteps[نوع سهام‌دار],Table13[[#This Row],[نوع سهام‌دار]])</f>
        <v>5.2020000000000004E-2</v>
      </c>
      <c r="M26" s="64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7" t="s">
        <v>1</v>
      </c>
      <c r="C27" s="71">
        <f>SUBTOTAL(109,Table13[Start 1394])</f>
        <v>1</v>
      </c>
      <c r="D27" s="71">
        <f>SUBTOTAL(109,Table13[Seed Angel 1395])</f>
        <v>1</v>
      </c>
      <c r="E27" s="71">
        <f>SUBTOTAL(109,Table13[Angel Out 1397/2/22])</f>
        <v>1</v>
      </c>
      <c r="F27" s="71">
        <f>SUBTOTAL(109,Table13[1397/5/1])</f>
        <v>1</v>
      </c>
      <c r="G27" s="71">
        <f>SUBTOTAL(109,Table13[1399])</f>
        <v>1</v>
      </c>
      <c r="H27" s="71">
        <f>SUBTOTAL(109,Table13[Series A])</f>
        <v>0.99999999999999989</v>
      </c>
      <c r="I27" s="71">
        <f>SUBTOTAL(109,Table13[Series B])</f>
        <v>1</v>
      </c>
      <c r="J27" s="71">
        <f>SUBTOTAL(109,Table13[Series C])</f>
        <v>1</v>
      </c>
      <c r="K27" s="71">
        <f>SUBTOTAL(109,Table13[Series D])</f>
        <v>0.99999999999999989</v>
      </c>
      <c r="L27" s="71">
        <f>SUBTOTAL(109,Table13[Series E])</f>
        <v>1</v>
      </c>
      <c r="M27" s="71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20" sqref="B20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22">
        <v>20000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240000000</v>
      </c>
    </row>
    <row r="14" spans="1:2" x14ac:dyDescent="0.4">
      <c r="A14" s="1" t="s">
        <v>54</v>
      </c>
      <c r="B14" s="12">
        <f>d_ssdDollarCost*d_toman2dollar * 24</f>
        <v>288000000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C11" sqref="C11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960000000</v>
      </c>
      <c r="D2" s="12">
        <f>(tbl_serverCount[1401] - tbl_serverCount[1400])*d_serverCost</f>
        <v>480000000</v>
      </c>
      <c r="E2" s="12">
        <f>SUM(tbl_servers[[#This Row],[1400]:[1401]])</f>
        <v>1440000000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1152000000</v>
      </c>
      <c r="D3" s="12">
        <f>(tbl_serverCount[1401] - tbl_serverCount[1400])*d_ssdCost</f>
        <v>576000000</v>
      </c>
      <c r="E3" s="12">
        <f>SUM(tbl_servers[[#This Row],[1400]:[1401]])</f>
        <v>1728000000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2208000000</v>
      </c>
      <c r="D5" s="12">
        <f>SUBTOTAL(109,tbl_servers[1401])</f>
        <v>1344000000</v>
      </c>
      <c r="E5" s="12">
        <f>SUBTOTAL(109,tbl_servers[جمع])</f>
        <v>3552000000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210000000</v>
      </c>
      <c r="D2" s="12">
        <f>d_staff1401 * d_systemPerPerson</f>
        <v>210000000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25" sqref="C25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4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7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7</v>
      </c>
      <c r="D12" s="24">
        <f>SUM(tbl_salaryData[1401])-C12</f>
        <v>7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109000000</v>
      </c>
      <c r="D13" s="11">
        <f>D2*D$23+D3*D$24+D4*D$25+D5*D$26</f>
        <v>278600000</v>
      </c>
      <c r="E13" s="11">
        <f>SUM(C13:D13)</f>
        <v>387600000</v>
      </c>
    </row>
    <row r="14" spans="1:7" x14ac:dyDescent="0.4">
      <c r="A14" s="9"/>
      <c r="B14" s="10" t="s">
        <v>17</v>
      </c>
      <c r="C14" s="11">
        <f>C13*d_year1400Remain</f>
        <v>654000000</v>
      </c>
      <c r="D14" s="11">
        <f t="shared" ref="D14" si="1">D13*12</f>
        <v>3343200000</v>
      </c>
      <c r="E14" s="12">
        <f t="shared" ref="E14:E15" si="2">SUM(C14:D14)</f>
        <v>3997200000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970100000</v>
      </c>
      <c r="D15" s="15">
        <f>ROUND(D13*d_AnnualSalary,0)</f>
        <v>4959080000</v>
      </c>
      <c r="E15" s="16">
        <f t="shared" si="2"/>
        <v>5929180000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37800000</v>
      </c>
      <c r="D6" s="12">
        <f>d_staffTotal * d_usagePerPersonPerMonth * 12</f>
        <v>151200000</v>
      </c>
      <c r="E6" s="12">
        <f>SUM(tbl_office[[#This Row],[1400]:[1401]])</f>
        <v>189000000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20380000</v>
      </c>
      <c r="D9" s="12">
        <f>SUM(D2:D8) * 10%</f>
        <v>71920000</v>
      </c>
      <c r="E9" s="12">
        <f>SUM(tbl_office[[#This Row],[1400]:[1401]])</f>
        <v>92300000</v>
      </c>
    </row>
    <row r="10" spans="1:5" x14ac:dyDescent="0.4">
      <c r="A10" s="1" t="s">
        <v>1</v>
      </c>
      <c r="C10" s="12">
        <f>SUBTOTAL(109,tbl_office[1400])</f>
        <v>224180000</v>
      </c>
      <c r="D10" s="12">
        <f>SUBTOTAL(109,tbl_office[1401])</f>
        <v>791120000</v>
      </c>
      <c r="E10" s="12">
        <f>SUBTOTAL(109,tbl_office[جمع])</f>
        <v>1015300000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topLeftCell="A7" zoomScaleNormal="100" workbookViewId="0">
      <selection activeCell="B34" sqref="B34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0.04</v>
      </c>
      <c r="H2" s="45">
        <f>tbl_pricing[[#This Row],[درصد خرید]]*tbl_pricing[[#This Row],[سود]]</f>
        <v>1360</v>
      </c>
      <c r="I2" s="44">
        <f>tbl_pricing[[#This Row],[کل بیزینس‌ها]]/ SUM(tbl_pricing[کل بیزینس‌ها])</f>
        <v>0.16280113721382614</v>
      </c>
      <c r="J2" s="50">
        <f>tbl_pricing[[#Headers],[500]]*tbl_pricing[[#This Row],[درصد خرید]]*tbl_pricing[[#This Row],[سود به ازای هر بیزینس]]</f>
        <v>27200</v>
      </c>
      <c r="K2" s="48">
        <f>tbl_pricing[[#Headers],[500]]*tbl_pricing[[#This Row],[درصد خرید]]</f>
        <v>20</v>
      </c>
      <c r="L2" s="48">
        <f>tbl_pricing[[#Headers],[1000]]*tbl_pricing[[#This Row],[درصد خرید]]</f>
        <v>40</v>
      </c>
      <c r="M2" s="48">
        <f>tbl_pricing[[#Headers],[2000]]*tbl_pricing[[#This Row],[درصد خرید]]</f>
        <v>80</v>
      </c>
      <c r="N2" s="48">
        <f>tbl_pricing[[#Headers],[5000]]*tbl_pricing[[#This Row],[درصد خرید]]</f>
        <v>200</v>
      </c>
      <c r="O2" s="48">
        <f>tbl_pricing[[#Headers],[10000]]*tbl_pricing[[#This Row],[درصد خرید]]</f>
        <v>400</v>
      </c>
      <c r="P2" s="48">
        <f>tbl_pricing[[#Headers],[20000]]*tbl_pricing[[#This Row],[درصد خرید]]</f>
        <v>800</v>
      </c>
      <c r="Q2" s="48">
        <f>tbl_pricing[[#Headers],[50000]]*tbl_pricing[[#This Row],[درصد خرید]]</f>
        <v>2000</v>
      </c>
      <c r="R2" s="48">
        <f>tbl_pricing[[#Headers],[100000]]*tbl_pricing[[#This Row],[درصد خرید]]</f>
        <v>4000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0.02</v>
      </c>
      <c r="H3" s="45">
        <f>tbl_pricing[[#This Row],[درصد خرید]]*tbl_pricing[[#This Row],[سود]]</f>
        <v>2000</v>
      </c>
      <c r="I3" s="44">
        <f>tbl_pricing[[#This Row],[کل بیزینس‌ها]]/ SUM(tbl_pricing[کل بیزینس‌ها])</f>
        <v>0.11970671853957804</v>
      </c>
      <c r="J3" s="50">
        <f>tbl_pricing[[#Headers],[500]]*tbl_pricing[[#This Row],[درصد خرید]]*tbl_pricing[[#This Row],[سود به ازای هر بیزینس]]</f>
        <v>20000</v>
      </c>
      <c r="K3" s="48">
        <f>tbl_pricing[[#Headers],[500]]*tbl_pricing[[#This Row],[درصد خرید]]</f>
        <v>10</v>
      </c>
      <c r="L3" s="48">
        <f>tbl_pricing[[#Headers],[1000]]*tbl_pricing[[#This Row],[درصد خرید]]</f>
        <v>20</v>
      </c>
      <c r="M3" s="48">
        <f>tbl_pricing[[#Headers],[2000]]*tbl_pricing[[#This Row],[درصد خرید]]</f>
        <v>40</v>
      </c>
      <c r="N3" s="48">
        <f>tbl_pricing[[#Headers],[5000]]*tbl_pricing[[#This Row],[درصد خرید]]</f>
        <v>100</v>
      </c>
      <c r="O3" s="48">
        <f>tbl_pricing[[#Headers],[10000]]*tbl_pricing[[#This Row],[درصد خرید]]</f>
        <v>200</v>
      </c>
      <c r="P3" s="48">
        <f>tbl_pricing[[#Headers],[20000]]*tbl_pricing[[#This Row],[درصد خرید]]</f>
        <v>400</v>
      </c>
      <c r="Q3" s="48">
        <f>tbl_pricing[[#Headers],[50000]]*tbl_pricing[[#This Row],[درصد خرید]]</f>
        <v>1000</v>
      </c>
      <c r="R3" s="48">
        <f>tbl_pricing[[#Headers],[100000]]*tbl_pricing[[#This Row],[درصد خرید]]</f>
        <v>2000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0.03</v>
      </c>
      <c r="H4" s="45">
        <f>tbl_pricing[[#This Row],[درصد خرید]]*tbl_pricing[[#This Row],[سود]]</f>
        <v>2400</v>
      </c>
      <c r="I4" s="44">
        <f>tbl_pricing[[#This Row],[کل بیزینس‌ها]]/ SUM(tbl_pricing[کل بیزینس‌ها])</f>
        <v>0.21547209337124046</v>
      </c>
      <c r="J4" s="50">
        <f>tbl_pricing[[#Headers],[500]]*tbl_pricing[[#This Row],[درصد خرید]]*tbl_pricing[[#This Row],[سود به ازای هر بیزینس]]</f>
        <v>36000</v>
      </c>
      <c r="K4" s="48">
        <f>tbl_pricing[[#Headers],[500]]*tbl_pricing[[#This Row],[درصد خرید]]</f>
        <v>15</v>
      </c>
      <c r="L4" s="48">
        <f>tbl_pricing[[#Headers],[1000]]*tbl_pricing[[#This Row],[درصد خرید]]</f>
        <v>30</v>
      </c>
      <c r="M4" s="48">
        <f>tbl_pricing[[#Headers],[2000]]*tbl_pricing[[#This Row],[درصد خرید]]</f>
        <v>60</v>
      </c>
      <c r="N4" s="48">
        <f>tbl_pricing[[#Headers],[5000]]*tbl_pricing[[#This Row],[درصد خرید]]</f>
        <v>150</v>
      </c>
      <c r="O4" s="48">
        <f>tbl_pricing[[#Headers],[10000]]*tbl_pricing[[#This Row],[درصد خرید]]</f>
        <v>300</v>
      </c>
      <c r="P4" s="48">
        <f>tbl_pricing[[#Headers],[20000]]*tbl_pricing[[#This Row],[درصد خرید]]</f>
        <v>600</v>
      </c>
      <c r="Q4" s="48">
        <f>tbl_pricing[[#Headers],[50000]]*tbl_pricing[[#This Row],[درصد خرید]]</f>
        <v>1500</v>
      </c>
      <c r="R4" s="48">
        <f>tbl_pricing[[#Headers],[100000]]*tbl_pricing[[#This Row],[درصد خرید]]</f>
        <v>3000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2E-3</v>
      </c>
      <c r="H5" s="45">
        <f>tbl_pricing[[#This Row],[درصد خرید]]*tbl_pricing[[#This Row],[سود]]</f>
        <v>6000</v>
      </c>
      <c r="I5" s="44">
        <f>tbl_pricing[[#This Row],[کل بیزینس‌ها]]/ SUM(tbl_pricing[کل بیزینس‌ها])</f>
        <v>3.5912015561873407E-2</v>
      </c>
      <c r="J5" s="50">
        <f>tbl_pricing[[#Headers],[500]]*tbl_pricing[[#This Row],[درصد خرید]]*tbl_pricing[[#This Row],[سود به ازای هر بیزینس]]</f>
        <v>6000</v>
      </c>
      <c r="K5" s="48">
        <f>tbl_pricing[[#Headers],[500]]*tbl_pricing[[#This Row],[درصد خرید]]</f>
        <v>1</v>
      </c>
      <c r="L5" s="48">
        <f>tbl_pricing[[#Headers],[1000]]*tbl_pricing[[#This Row],[درصد خرید]]</f>
        <v>2</v>
      </c>
      <c r="M5" s="48">
        <f>tbl_pricing[[#Headers],[2000]]*tbl_pricing[[#This Row],[درصد خرید]]</f>
        <v>4</v>
      </c>
      <c r="N5" s="48">
        <f>tbl_pricing[[#Headers],[5000]]*tbl_pricing[[#This Row],[درصد خرید]]</f>
        <v>10</v>
      </c>
      <c r="O5" s="48">
        <f>tbl_pricing[[#Headers],[10000]]*tbl_pricing[[#This Row],[درصد خرید]]</f>
        <v>20</v>
      </c>
      <c r="P5" s="48">
        <f>tbl_pricing[[#Headers],[20000]]*tbl_pricing[[#This Row],[درصد خرید]]</f>
        <v>40</v>
      </c>
      <c r="Q5" s="48">
        <f>tbl_pricing[[#Headers],[50000]]*tbl_pricing[[#This Row],[درصد خرید]]</f>
        <v>100</v>
      </c>
      <c r="R5" s="48">
        <f>tbl_pricing[[#Headers],[100000]]*tbl_pricing[[#This Row],[درصد خرید]]</f>
        <v>200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3.7408349543618137E-3</v>
      </c>
      <c r="J6" s="50">
        <f>tbl_pricing[[#Headers],[500]]*tbl_pricing[[#This Row],[درصد خرید]]*tbl_pricing[[#This Row],[سود به ازای هر بیزینس]]</f>
        <v>625</v>
      </c>
      <c r="K6" s="48">
        <f>tbl_pricing[[#Headers],[500]]*tbl_pricing[[#This Row],[درصد خرید]]</f>
        <v>0.25</v>
      </c>
      <c r="L6" s="48">
        <f>tbl_pricing[[#Headers],[1000]]*tbl_pricing[[#This Row],[درصد خرید]]</f>
        <v>0.5</v>
      </c>
      <c r="M6" s="48">
        <f>tbl_pricing[[#Headers],[2000]]*tbl_pricing[[#This Row],[درصد خرید]]</f>
        <v>1</v>
      </c>
      <c r="N6" s="48">
        <f>tbl_pricing[[#Headers],[5000]]*tbl_pricing[[#This Row],[درصد خرید]]</f>
        <v>2.5</v>
      </c>
      <c r="O6" s="48">
        <f>tbl_pricing[[#Headers],[10000]]*tbl_pricing[[#This Row],[درصد خرید]]</f>
        <v>5</v>
      </c>
      <c r="P6" s="48">
        <f>tbl_pricing[[#Headers],[20000]]*tbl_pricing[[#This Row],[درصد خرید]]</f>
        <v>10</v>
      </c>
      <c r="Q6" s="48">
        <f>tbl_pricing[[#Headers],[50000]]*tbl_pricing[[#This Row],[درصد خرید]]</f>
        <v>25</v>
      </c>
      <c r="R6" s="48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7.4816699087236274E-3</v>
      </c>
      <c r="J7" s="50">
        <f>tbl_pricing[[#Headers],[500]]*tbl_pricing[[#This Row],[درصد خرید]]*tbl_pricing[[#This Row],[سود به ازای هر بیزینس]]</f>
        <v>1250</v>
      </c>
      <c r="K7" s="48">
        <f>tbl_pricing[[#Headers],[500]]*tbl_pricing[[#This Row],[درصد خرید]]</f>
        <v>2.5</v>
      </c>
      <c r="L7" s="48">
        <f>tbl_pricing[[#Headers],[1000]]*tbl_pricing[[#This Row],[درصد خرید]]</f>
        <v>5</v>
      </c>
      <c r="M7" s="48">
        <f>tbl_pricing[[#Headers],[2000]]*tbl_pricing[[#This Row],[درصد خرید]]</f>
        <v>10</v>
      </c>
      <c r="N7" s="48">
        <f>tbl_pricing[[#Headers],[5000]]*tbl_pricing[[#This Row],[درصد خرید]]</f>
        <v>25</v>
      </c>
      <c r="O7" s="48">
        <f>tbl_pricing[[#Headers],[10000]]*tbl_pricing[[#This Row],[درصد خرید]]</f>
        <v>50</v>
      </c>
      <c r="P7" s="48">
        <f>tbl_pricing[[#Headers],[20000]]*tbl_pricing[[#This Row],[درصد خرید]]</f>
        <v>100</v>
      </c>
      <c r="Q7" s="48">
        <f>tbl_pricing[[#Headers],[50000]]*tbl_pricing[[#This Row],[درصد خرید]]</f>
        <v>250</v>
      </c>
      <c r="R7" s="48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7.4816699087236274E-2</v>
      </c>
      <c r="J8" s="50">
        <f>tbl_pricing[[#Headers],[500]]*tbl_pricing[[#This Row],[درصد خرید]]*tbl_pricing[[#This Row],[سود به ازای هر بیزینس]]</f>
        <v>12500</v>
      </c>
      <c r="K8" s="48">
        <f>tbl_pricing[[#Headers],[500]]*tbl_pricing[[#This Row],[درصد خرید]]</f>
        <v>25</v>
      </c>
      <c r="L8" s="48">
        <f>tbl_pricing[[#Headers],[1000]]*tbl_pricing[[#This Row],[درصد خرید]]</f>
        <v>50</v>
      </c>
      <c r="M8" s="48">
        <f>tbl_pricing[[#Headers],[2000]]*tbl_pricing[[#This Row],[درصد خرید]]</f>
        <v>100</v>
      </c>
      <c r="N8" s="48">
        <f>tbl_pricing[[#Headers],[5000]]*tbl_pricing[[#This Row],[درصد خرید]]</f>
        <v>250</v>
      </c>
      <c r="O8" s="48">
        <f>tbl_pricing[[#Headers],[10000]]*tbl_pricing[[#This Row],[درصد خرید]]</f>
        <v>500</v>
      </c>
      <c r="P8" s="48">
        <f>tbl_pricing[[#Headers],[20000]]*tbl_pricing[[#This Row],[درصد خرید]]</f>
        <v>1000</v>
      </c>
      <c r="Q8" s="48">
        <f>tbl_pricing[[#Headers],[50000]]*tbl_pricing[[#This Row],[درصد خرید]]</f>
        <v>2500</v>
      </c>
      <c r="R8" s="48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5.9853359269789019E-2</v>
      </c>
      <c r="J9" s="50">
        <f>tbl_pricing[[#Headers],[500]]*tbl_pricing[[#This Row],[درصد خرید]]*tbl_pricing[[#This Row],[سود به ازای هر بیزینس]]</f>
        <v>10000</v>
      </c>
      <c r="K9" s="48">
        <f>tbl_pricing[[#Headers],[500]]*tbl_pricing[[#This Row],[درصد خرید]]</f>
        <v>10</v>
      </c>
      <c r="L9" s="48">
        <f>tbl_pricing[[#Headers],[1000]]*tbl_pricing[[#This Row],[درصد خرید]]</f>
        <v>20</v>
      </c>
      <c r="M9" s="48">
        <f>tbl_pricing[[#Headers],[2000]]*tbl_pricing[[#This Row],[درصد خرید]]</f>
        <v>40</v>
      </c>
      <c r="N9" s="48">
        <f>tbl_pricing[[#Headers],[5000]]*tbl_pricing[[#This Row],[درصد خرید]]</f>
        <v>100</v>
      </c>
      <c r="O9" s="48">
        <f>tbl_pricing[[#Headers],[10000]]*tbl_pricing[[#This Row],[درصد خرید]]</f>
        <v>200</v>
      </c>
      <c r="P9" s="48">
        <f>tbl_pricing[[#Headers],[20000]]*tbl_pricing[[#This Row],[درصد خرید]]</f>
        <v>400</v>
      </c>
      <c r="Q9" s="48">
        <f>tbl_pricing[[#Headers],[50000]]*tbl_pricing[[#This Row],[درصد خرید]]</f>
        <v>1000</v>
      </c>
      <c r="R9" s="48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1.4963339817447255E-2</v>
      </c>
      <c r="J10" s="50">
        <f>tbl_pricing[[#Headers],[500]]*tbl_pricing[[#This Row],[درصد خرید]]*tbl_pricing[[#This Row],[سود به ازای هر بیزینس]]</f>
        <v>2500</v>
      </c>
      <c r="K10" s="48">
        <f>tbl_pricing[[#Headers],[500]]*tbl_pricing[[#This Row],[درصد خرید]]</f>
        <v>2.5</v>
      </c>
      <c r="L10" s="48">
        <f>tbl_pricing[[#Headers],[1000]]*tbl_pricing[[#This Row],[درصد خرید]]</f>
        <v>5</v>
      </c>
      <c r="M10" s="48">
        <f>tbl_pricing[[#Headers],[2000]]*tbl_pricing[[#This Row],[درصد خرید]]</f>
        <v>10</v>
      </c>
      <c r="N10" s="48">
        <f>tbl_pricing[[#Headers],[5000]]*tbl_pricing[[#This Row],[درصد خرید]]</f>
        <v>25</v>
      </c>
      <c r="O10" s="48">
        <f>tbl_pricing[[#Headers],[10000]]*tbl_pricing[[#This Row],[درصد خرید]]</f>
        <v>50</v>
      </c>
      <c r="P10" s="48">
        <f>tbl_pricing[[#Headers],[20000]]*tbl_pricing[[#This Row],[درصد خرید]]</f>
        <v>100</v>
      </c>
      <c r="Q10" s="48">
        <f>tbl_pricing[[#Headers],[50000]]*tbl_pricing[[#This Row],[درصد خرید]]</f>
        <v>250</v>
      </c>
      <c r="R10" s="48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0.01</v>
      </c>
      <c r="H11" s="45">
        <f>tbl_pricing[[#This Row],[درصد خرید]]*tbl_pricing[[#This Row],[سود]]</f>
        <v>5000</v>
      </c>
      <c r="I11" s="44">
        <f>tbl_pricing[[#This Row],[کل بیزینس‌ها]]/ SUM(tbl_pricing[کل بیزینس‌ها])</f>
        <v>0.14963339817447255</v>
      </c>
      <c r="J11" s="50">
        <f>tbl_pricing[[#Headers],[500]]*tbl_pricing[[#This Row],[درصد خرید]]*tbl_pricing[[#This Row],[سود به ازای هر بیزینس]]</f>
        <v>25000</v>
      </c>
      <c r="K11" s="48">
        <f>tbl_pricing[[#Headers],[500]]*tbl_pricing[[#This Row],[درصد خرید]]</f>
        <v>5</v>
      </c>
      <c r="L11" s="48">
        <f>tbl_pricing[[#Headers],[1000]]*tbl_pricing[[#This Row],[درصد خرید]]</f>
        <v>10</v>
      </c>
      <c r="M11" s="48">
        <f>tbl_pricing[[#Headers],[2000]]*tbl_pricing[[#This Row],[درصد خرید]]</f>
        <v>20</v>
      </c>
      <c r="N11" s="48">
        <f>tbl_pricing[[#Headers],[5000]]*tbl_pricing[[#This Row],[درصد خرید]]</f>
        <v>50</v>
      </c>
      <c r="O11" s="48">
        <f>tbl_pricing[[#Headers],[10000]]*tbl_pricing[[#This Row],[درصد خرید]]</f>
        <v>100</v>
      </c>
      <c r="P11" s="48">
        <f>tbl_pricing[[#Headers],[20000]]*tbl_pricing[[#This Row],[درصد خرید]]</f>
        <v>200</v>
      </c>
      <c r="Q11" s="48">
        <f>tbl_pricing[[#Headers],[50000]]*tbl_pricing[[#This Row],[درصد خرید]]</f>
        <v>500</v>
      </c>
      <c r="R11" s="48">
        <f>tbl_pricing[[#Headers],[100000]]*tbl_pricing[[#This Row],[درصد خرید]]</f>
        <v>1000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0.11970671853957804</v>
      </c>
      <c r="J12" s="50">
        <f>tbl_pricing[[#Headers],[500]]*tbl_pricing[[#This Row],[درصد خرید]]*tbl_pricing[[#This Row],[سود به ازای هر بیزینس]]</f>
        <v>20000</v>
      </c>
      <c r="K12" s="48">
        <f>tbl_pricing[[#Headers],[500]]*tbl_pricing[[#This Row],[درصد خرید]]</f>
        <v>10</v>
      </c>
      <c r="L12" s="48">
        <f>tbl_pricing[[#Headers],[1000]]*tbl_pricing[[#This Row],[درصد خرید]]</f>
        <v>20</v>
      </c>
      <c r="M12" s="48">
        <f>tbl_pricing[[#Headers],[2000]]*tbl_pricing[[#This Row],[درصد خرید]]</f>
        <v>40</v>
      </c>
      <c r="N12" s="48">
        <f>tbl_pricing[[#Headers],[5000]]*tbl_pricing[[#This Row],[درصد خرید]]</f>
        <v>100</v>
      </c>
      <c r="O12" s="48">
        <f>tbl_pricing[[#Headers],[10000]]*tbl_pricing[[#This Row],[درصد خرید]]</f>
        <v>200</v>
      </c>
      <c r="P12" s="48">
        <f>tbl_pricing[[#Headers],[20000]]*tbl_pricing[[#This Row],[درصد خرید]]</f>
        <v>400</v>
      </c>
      <c r="Q12" s="48">
        <f>tbl_pricing[[#Headers],[50000]]*tbl_pricing[[#This Row],[درصد خرید]]</f>
        <v>1000</v>
      </c>
      <c r="R12" s="48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3.5912015561873407E-2</v>
      </c>
      <c r="J13" s="50">
        <f>tbl_pricing[[#Headers],[500]]*tbl_pricing[[#This Row],[درصد خرید]]*tbl_pricing[[#This Row],[سود به ازای هر بیزینس]]</f>
        <v>6000</v>
      </c>
      <c r="K13" s="48">
        <f>tbl_pricing[[#Headers],[500]]*tbl_pricing[[#This Row],[درصد خرید]]</f>
        <v>1</v>
      </c>
      <c r="L13" s="48">
        <f>tbl_pricing[[#Headers],[1000]]*tbl_pricing[[#This Row],[درصد خرید]]</f>
        <v>2</v>
      </c>
      <c r="M13" s="48">
        <f>tbl_pricing[[#Headers],[2000]]*tbl_pricing[[#This Row],[درصد خرید]]</f>
        <v>4</v>
      </c>
      <c r="N13" s="48">
        <f>tbl_pricing[[#Headers],[5000]]*tbl_pricing[[#This Row],[درصد خرید]]</f>
        <v>10</v>
      </c>
      <c r="O13" s="48">
        <f>tbl_pricing[[#Headers],[10000]]*tbl_pricing[[#This Row],[درصد خرید]]</f>
        <v>20</v>
      </c>
      <c r="P13" s="48">
        <f>tbl_pricing[[#Headers],[20000]]*tbl_pricing[[#This Row],[درصد خرید]]</f>
        <v>40</v>
      </c>
      <c r="Q13" s="48">
        <f>tbl_pricing[[#Headers],[50000]]*tbl_pricing[[#This Row],[درصد خرید]]</f>
        <v>100</v>
      </c>
      <c r="R13" s="48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6">
        <f>SUBTOTAL(101,tbl_pricing[درصد خرید])</f>
        <v>1.7041666666666667E-2</v>
      </c>
      <c r="H14" s="45">
        <f>SUBTOTAL(109,tbl_pricing[سود به ازای هر بیزینس])</f>
        <v>30260</v>
      </c>
      <c r="I14" s="42"/>
      <c r="J14" s="1"/>
      <c r="K14" s="3"/>
      <c r="L14" s="3"/>
      <c r="M14" s="3"/>
      <c r="N14" s="3"/>
      <c r="O14" s="3"/>
      <c r="P14" s="3"/>
      <c r="Q14" s="49"/>
      <c r="R14" s="3"/>
    </row>
    <row r="17" spans="1:17" x14ac:dyDescent="0.4">
      <c r="A17" s="6" t="s">
        <v>35</v>
      </c>
      <c r="B17" s="7" t="s">
        <v>2</v>
      </c>
      <c r="C17" s="51" t="s">
        <v>3</v>
      </c>
    </row>
    <row r="18" spans="1:17" x14ac:dyDescent="0.4">
      <c r="A18" s="26">
        <v>1</v>
      </c>
      <c r="B18" s="27" t="s">
        <v>101</v>
      </c>
      <c r="C18" s="52">
        <f>AVERAGE(tbl_pricing[درصد خرید])</f>
        <v>1.7041666666666667E-2</v>
      </c>
    </row>
    <row r="19" spans="1:17" x14ac:dyDescent="0.4">
      <c r="A19" s="13">
        <v>2</v>
      </c>
      <c r="B19" s="28" t="s">
        <v>100</v>
      </c>
      <c r="C19" s="53">
        <f>SUM(tbl_pricing[سود به ازای هر بیزینس])</f>
        <v>30260</v>
      </c>
    </row>
    <row r="20" spans="1:17" x14ac:dyDescent="0.4">
      <c r="C20" s="53"/>
      <c r="E20" s="54"/>
    </row>
    <row r="23" spans="1:17" x14ac:dyDescent="0.4">
      <c r="A23" s="47" t="s">
        <v>97</v>
      </c>
      <c r="B23" s="47" t="s">
        <v>99</v>
      </c>
      <c r="C23" s="47" t="s">
        <v>82</v>
      </c>
      <c r="D23" s="47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8.5208333333333339</v>
      </c>
      <c r="C24" s="12">
        <f>d_customerAvgRevenue*tbl_pricing_predict[[#This Row],[تعداد بیزینس]]</f>
        <v>15130000</v>
      </c>
      <c r="D24" s="12">
        <f>tbl_pricing_predict[[#This Row],[درآمد ماهیانه]]*12</f>
        <v>181560000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17.041666666666668</v>
      </c>
      <c r="C25" s="12">
        <f>d_customerAvgRevenue*tbl_pricing_predict[[#This Row],[تعداد بیزینس]]</f>
        <v>30260000</v>
      </c>
      <c r="D25" s="12">
        <f>tbl_pricing_predict[[#This Row],[درآمد ماهیانه]]*12</f>
        <v>363120000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34.083333333333336</v>
      </c>
      <c r="C26" s="12">
        <f>d_customerAvgRevenue*tbl_pricing_predict[[#This Row],[تعداد بیزینس]]</f>
        <v>60520000</v>
      </c>
      <c r="D26" s="12">
        <f>tbl_pricing_predict[[#This Row],[درآمد ماهیانه]]*12</f>
        <v>726240000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85.208333333333329</v>
      </c>
      <c r="C27" s="12">
        <f>d_customerAvgRevenue*tbl_pricing_predict[[#This Row],[تعداد بیزینس]]</f>
        <v>151300000</v>
      </c>
      <c r="D27" s="12">
        <f>tbl_pricing_predict[[#This Row],[درآمد ماهیانه]]*12</f>
        <v>1815600000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170.41666666666666</v>
      </c>
      <c r="C28" s="12">
        <f>d_customerAvgRevenue*tbl_pricing_predict[[#This Row],[تعداد بیزینس]]</f>
        <v>302600000</v>
      </c>
      <c r="D28" s="12">
        <f>tbl_pricing_predict[[#This Row],[درآمد ماهیانه]]*12</f>
        <v>3631200000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340.83333333333331</v>
      </c>
      <c r="C29" s="12">
        <f>d_customerAvgRevenue*tbl_pricing_predict[[#This Row],[تعداد بیزینس]]</f>
        <v>605200000</v>
      </c>
      <c r="D29" s="12">
        <f>tbl_pricing_predict[[#This Row],[درآمد ماهیانه]]*12</f>
        <v>7262400000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852.08333333333337</v>
      </c>
      <c r="C30" s="12">
        <f>d_customerAvgRevenue*tbl_pricing_predict[[#This Row],[تعداد بیزینس]]</f>
        <v>1513000000</v>
      </c>
      <c r="D30" s="12">
        <f>tbl_pricing_predict[[#This Row],[درآمد ماهیانه]]*12</f>
        <v>18156000000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1704.1666666666667</v>
      </c>
      <c r="C31" s="12">
        <f>d_customerAvgRevenue*tbl_pricing_predict[[#This Row],[تعداد بیزینس]]</f>
        <v>3026000000</v>
      </c>
      <c r="D31" s="12">
        <f>tbl_pricing_predict[[#This Row],[درآمد ماهیانه]]*12</f>
        <v>36312000000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3408.3333333333335</v>
      </c>
      <c r="C32" s="12">
        <f>d_customerAvgRevenue*tbl_pricing_predict[[#This Row],[تعداد بیزینس]]</f>
        <v>6052000000</v>
      </c>
      <c r="D32" s="12">
        <f>tbl_pricing_predict[[#This Row],[درآمد ماهیانه]]*12</f>
        <v>72624000000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8520.8333333333339</v>
      </c>
      <c r="C33" s="12">
        <f>d_customerAvgRevenue*tbl_pricing_predict[[#This Row],[تعداد بیزینس]]</f>
        <v>15130000000</v>
      </c>
      <c r="D33" s="12">
        <f>tbl_pricing_predict[[#This Row],[درآمد ماهیانه]]*12</f>
        <v>181560000000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17041.666666666668</v>
      </c>
      <c r="C34" s="12">
        <f>d_customerAvgRevenue*tbl_pricing_predict[[#This Row],[تعداد بیزینس]]</f>
        <v>30260000000</v>
      </c>
      <c r="D34" s="12">
        <f>tbl_pricing_predict[[#This Row],[درآمد ماهیانه]]*12</f>
        <v>363120000000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2021-05-19T09:42:37Z</dcterms:modified>
</cp:coreProperties>
</file>