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44C72493-022B-4F5E-BAD8-7477D9FCCC9E}" xr6:coauthVersionLast="47" xr6:coauthVersionMax="47" xr10:uidLastSave="{00000000-0000-0000-0000-000000000000}"/>
  <bookViews>
    <workbookView xWindow="-120" yWindow="-120" windowWidth="38640" windowHeight="15840" tabRatio="865" activeTab="9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CAGR">فرضیات!$B$23</definedName>
    <definedName name="CAGR_Jibres">فرضیات!$B$24</definedName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3" l="1"/>
  <c r="J30" i="13"/>
  <c r="J29" i="13"/>
  <c r="J27" i="13"/>
  <c r="J26" i="13"/>
  <c r="I24" i="13"/>
  <c r="G24" i="13" s="1"/>
  <c r="H27" i="13"/>
  <c r="H26" i="13"/>
  <c r="H25" i="13"/>
  <c r="H20" i="13"/>
  <c r="I20" i="13"/>
  <c r="G20" i="13"/>
  <c r="H19" i="13"/>
  <c r="I19" i="13"/>
  <c r="G19" i="13"/>
  <c r="C18" i="12"/>
  <c r="C3" i="13" s="1"/>
  <c r="I17" i="13"/>
  <c r="H17" i="13"/>
  <c r="G17" i="13"/>
  <c r="E9" i="13"/>
  <c r="F9" i="13"/>
  <c r="G9" i="13"/>
  <c r="H9" i="13"/>
  <c r="I9" i="13"/>
  <c r="J9" i="13"/>
  <c r="K9" i="13"/>
  <c r="L9" i="13"/>
  <c r="M9" i="13"/>
  <c r="N9" i="13"/>
  <c r="D9" i="13"/>
  <c r="A9" i="13"/>
  <c r="C17" i="13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H28" i="13" l="1"/>
  <c r="L4" i="13"/>
  <c r="K4" i="13"/>
  <c r="N4" i="13"/>
  <c r="K3" i="13"/>
  <c r="M4" i="13"/>
  <c r="N3" i="13"/>
  <c r="E3" i="13"/>
  <c r="M3" i="13"/>
  <c r="D3" i="13"/>
  <c r="L3" i="13"/>
  <c r="D18" i="16"/>
  <c r="E18" i="16"/>
  <c r="F18" i="16" s="1"/>
  <c r="A18" i="16"/>
  <c r="A17" i="16"/>
  <c r="D17" i="16"/>
  <c r="E17" i="16"/>
  <c r="F17" i="16" s="1"/>
  <c r="A3" i="16"/>
  <c r="A2" i="16"/>
  <c r="D3" i="16"/>
  <c r="D2" i="16"/>
  <c r="E3" i="16"/>
  <c r="F3" i="16" s="1"/>
  <c r="E2" i="16"/>
  <c r="F2" i="16" s="1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6" i="16" l="1"/>
  <c r="R2" i="16"/>
  <c r="R4" i="16"/>
  <c r="R5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H3" i="13"/>
  <c r="D4" i="13"/>
  <c r="H4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N7" i="13" l="1"/>
  <c r="N8" i="13" s="1"/>
  <c r="M7" i="13"/>
  <c r="M8" i="13" s="1"/>
  <c r="K5" i="13"/>
  <c r="K6" i="13" s="1"/>
  <c r="N5" i="13"/>
  <c r="N6" i="13" s="1"/>
  <c r="L5" i="13"/>
  <c r="L6" i="13" s="1"/>
  <c r="K7" i="13"/>
  <c r="K8" i="13" s="1"/>
  <c r="M5" i="13"/>
  <c r="M6" i="13" s="1"/>
  <c r="L7" i="13"/>
  <c r="L8" i="13" s="1"/>
  <c r="C33" i="12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H18" i="13" l="1"/>
  <c r="G18" i="13"/>
  <c r="I18" i="13"/>
  <c r="D4" i="14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<sst xmlns="http://schemas.openxmlformats.org/spreadsheetml/2006/main" count="420" uniqueCount="263">
  <si>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</si>
  <si>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</si>
  <si>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</si>
  <si>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</si>
  <si>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</si>
  <si>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</si>
  <si>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</si>
  <si>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</si>
  <si>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</si>
  <si>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</si>
  <si>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</si>
  <si>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</si>
  <si>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</si>
  <si>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</si>
  <si>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</si>
  <si>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</si>
  <si>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</si>
  <si>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</si>
  <si>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</si>
  <si>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</si>
  <si>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</si>
  <si>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</si>
  <si>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</si>
  <si>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</si>
  <si>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</si>
  <si>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</si>
  <si>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</si>
  <si>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</si>
  <si>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</si>
  <si>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</si>
  <si>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</si>
  <si>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</si>
  <si>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</si>
  <si>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</si>
  <si>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</si>
  <si>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</si>
  <si>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</si>
  <si>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</si>
  <si>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</si>
  <si>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</si>
  <si>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</si>
  <si>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</si>
  <si>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</si>
  <si>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</si>
  <si>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</si>
  <si>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</si>
  <si>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</si>
  <si>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</si>
  <si>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</si>
  <si>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</si>
  <si>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</si>
  <si>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</si>
  <si>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</si>
  <si>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</si>
  <si>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</si>
  <si>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</si>
  <si>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</si>
  <si>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</si>
  <si>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</si>
  <si>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</si>
  <si>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</si>
  <si>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</si>
  <si>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</si>
  <si>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</si>
  <si>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</si>
  <si>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</si>
  <si>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</si>
  <si>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</si>
  <si>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</si>
  <si>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</si>
  <si>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</si>
  <si>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</si>
  <si>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</si>
  <si>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</si>
  <si>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</si>
  <si>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</si>
  <si>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</si>
  <si>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</si>
  <si>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</si>
  <si>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</si>
  <si>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</si>
  <si>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</si>
  <si>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</si>
  <si>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</si>
  <si>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</si>
  <si>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</si>
  <si>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</si>
  <si>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</si>
  <si>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</si>
  <si>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</si>
  <si>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</si>
  <si>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</si>
  <si>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</si>
  <si>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</si>
  <si>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</si>
  <si>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</si>
  <si>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</si>
  <si>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</si>
  <si>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</si>
  <si>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</si>
  <si>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</si>
  <si>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</si>
  <si>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</si>
  <si>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</si>
  <si>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</si>
  <si>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</si>
  <si>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</si>
  <si>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</si>
  <si>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</si>
  <si>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</si>
  <si>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</si>
  <si>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</si>
  <si>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</si>
  <si>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</si>
  <si>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</si>
  <si>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</si>
  <si>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</si>
  <si>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</si>
  <si>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</si>
  <si>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</si>
  <si>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</si>
  <si>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</si>
  <si>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</si>
  <si>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</si>
  <si>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</si>
  <si>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</si>
  <si>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</si>
  <si>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</si>
  <si>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</si>
  <si>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</si>
  <si>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</si>
  <si>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</si>
  <si>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</si>
  <si>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</si>
  <si>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</si>
  <si>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</si>
  <si>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</si>
  <si>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</si>
  <si>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</si>
  <si>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</si>
  <si>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</si>
  <si>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</si>
  <si>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</si>
  <si>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</si>
  <si>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</si>
  <si>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</si>
  <si>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</si>
  <si>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</si>
  <si>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</si>
  <si>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</si>
  <si>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</si>
  <si>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</si>
  <si>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</si>
  <si>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</si>
  <si>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</si>
  <si>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</si>
  <si>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</si>
  <si>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</si>
  <si>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</si>
  <si>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</si>
  <si>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</si>
  <si>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</si>
  <si>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</si>
  <si>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</si>
  <si>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</si>
  <si>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</si>
  <si>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</si>
  <si>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</si>
  <si>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</si>
  <si>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</si>
  <si>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</si>
  <si>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</si>
  <si>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</si>
  <si>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</si>
  <si>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</si>
  <si>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</si>
  <si>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</si>
  <si>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</si>
  <si>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</si>
  <si>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</si>
  <si>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</si>
  <si>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</si>
  <si>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</si>
  <si>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</si>
  <si>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</si>
  <si>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</si>
  <si>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</si>
  <si>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</si>
  <si>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</si>
  <si>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</si>
  <si>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</si>
  <si>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</si>
  <si>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</si>
  <si>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</si>
  <si>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</si>
  <si>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</si>
  <si>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</si>
  <si>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</si>
  <si>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</si>
  <si>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</si>
  <si>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</si>
  <si>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</si>
  <si>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</si>
  <si>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</si>
  <si>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</si>
  <si>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</si>
  <si>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</si>
  <si>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</si>
  <si>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</si>
  <si>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</si>
  <si>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</si>
  <si>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</si>
  <si>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</si>
  <si>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</si>
  <si>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</si>
  <si>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</si>
  <si>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</si>
  <si>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</si>
  <si>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</si>
  <si>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</si>
  <si>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</si>
  <si>
    <t>1400-03</t>
  </si>
  <si>
    <t>1400-04</t>
  </si>
  <si>
    <t>نسخه</t>
  </si>
  <si>
    <t>1402-Q1</t>
  </si>
  <si>
    <t>1402-Q2</t>
  </si>
  <si>
    <t>1402-Q3</t>
  </si>
  <si>
    <t>1402-Q4</t>
  </si>
  <si>
    <t>1400-10</t>
  </si>
  <si>
    <t>1400-11</t>
  </si>
  <si>
    <t>1400-12</t>
  </si>
  <si>
    <t>1401-01</t>
  </si>
  <si>
    <t>1401-02</t>
  </si>
  <si>
    <t>1401-03</t>
  </si>
  <si>
    <t>1401-04</t>
  </si>
  <si>
    <t>1401-05</t>
  </si>
  <si>
    <t>1401-06</t>
  </si>
  <si>
    <t>1401-07</t>
  </si>
  <si>
    <t>1401-08</t>
  </si>
  <si>
    <t>1401-09</t>
  </si>
  <si>
    <t>1401-10</t>
  </si>
  <si>
    <t>1401-11</t>
  </si>
  <si>
    <t>1401-12</t>
  </si>
  <si>
    <t>1402-01</t>
  </si>
  <si>
    <t>1402-02</t>
  </si>
  <si>
    <t>1402-03</t>
  </si>
  <si>
    <t>1402-04</t>
  </si>
  <si>
    <t>1402-05</t>
  </si>
  <si>
    <t>1402-06</t>
  </si>
  <si>
    <t>1402-07</t>
  </si>
  <si>
    <t>1402-08</t>
  </si>
  <si>
    <t>1402-09</t>
  </si>
  <si>
    <t>1402-10</t>
  </si>
  <si>
    <t>1402-11</t>
  </si>
  <si>
    <t>1402-12</t>
  </si>
  <si>
    <t>تاریخ</t>
  </si>
  <si>
    <t>1400-09</t>
  </si>
  <si>
    <t>رشد صنعت CAGR</t>
  </si>
  <si>
    <t>*</t>
  </si>
  <si>
    <t>Column1</t>
  </si>
  <si>
    <t>رشد CAGR جیبرس</t>
  </si>
  <si>
    <t>درصد رشد تعداد بیزینس‌ها نسبت به سه‌ماهه قبل</t>
  </si>
  <si>
    <t>روزانه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</si>
</sst>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166" fontId="10" fillId="0" borderId="0" xfId="1" applyNumberFormat="1" applyFont="1"/>
    <xf numFmtId="168" fontId="2" fillId="0" borderId="0" xfId="0" applyNumberFormat="1" applyFont="1"/>
    <xf numFmtId="10" fontId="2" fillId="3" borderId="6" xfId="3" applyNumberFormat="1" applyFont="1" applyFill="1" applyBorder="1"/>
    <xf numFmtId="2" fontId="2" fillId="0" borderId="0" xfId="1" applyNumberFormat="1" applyFont="1" applyAlignment="1">
      <alignment horizontal="center"/>
    </xf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63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3369600000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527994000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1924800000</c:v>
                </c:pt>
                <c:pt idx="1">
                  <c:v>240000000</c:v>
                </c:pt>
                <c:pt idx="2">
                  <c:v>4959080000</c:v>
                </c:pt>
                <c:pt idx="3">
                  <c:v>2550000000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1088500000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5294400000</c:v>
                </c:pt>
                <c:pt idx="1">
                  <c:v>420000000</c:v>
                </c:pt>
                <c:pt idx="2">
                  <c:v>5751180000</c:v>
                </c:pt>
                <c:pt idx="3">
                  <c:v>3090000000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1616494000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3549600000</c:v>
                </c:pt>
                <c:pt idx="1">
                  <c:v>2164800000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2258334000</c:v>
                </c:pt>
                <c:pt idx="1">
                  <c:v>9808700000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5807934000</c:v>
                </c:pt>
                <c:pt idx="1">
                  <c:v>11973500000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Jibres CAGR -</a:t>
            </a:r>
            <a:r>
              <a:rPr lang="en-US" baseline="0"/>
              <a:t> Merchants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'پیش‌بینی درآمد'!$E$1</c:f>
              <c:strCache>
                <c:ptCount val="1"/>
                <c:pt idx="0">
                  <c:v>1400-Q3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'پیش‌بینی درآمد'!$E$2</c:f>
              <c:numCache>
                <c:formatCode>_(* #,##0_);_(* \(#,##0\);_(* "-"??_);_(@_)</c:formatCode>
                <c:ptCount val="1"/>
                <c:pt idx="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5-4DD4-93B7-C83D997CD5F9}"/>
            </c:ext>
          </c:extLst>
        </c:ser>
        <c:ser>
          <c:idx val="1"/>
          <c:order val="1"/>
          <c:tx>
            <c:strRef>
              <c:f>'پیش‌بینی درآمد'!$F$1</c:f>
              <c:strCache>
                <c:ptCount val="1"/>
                <c:pt idx="0">
                  <c:v>1400-Q4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'پیش‌بینی درآمد'!$F$2</c:f>
              <c:numCache>
                <c:formatCode>_(* #,##0_);_(* \(#,##0\);_(* "-"??_);_(@_)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5-4DD4-93B7-C83D997CD5F9}"/>
            </c:ext>
          </c:extLst>
        </c:ser>
        <c:ser>
          <c:idx val="2"/>
          <c:order val="2"/>
          <c:tx>
            <c:strRef>
              <c:f>'پیش‌بینی درآمد'!$G$1</c:f>
              <c:strCache>
                <c:ptCount val="1"/>
                <c:pt idx="0">
                  <c:v>1401-Q1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'پیش‌بینی درآمد'!$G$2</c:f>
              <c:numCache>
                <c:formatCode>_(* #,##0_);_(* \(#,##0\);_(* "-"??_);_(@_)</c:formatCode>
                <c:ptCount val="1"/>
                <c:pt idx="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5-4DD4-93B7-C83D997CD5F9}"/>
            </c:ext>
          </c:extLst>
        </c:ser>
        <c:ser>
          <c:idx val="3"/>
          <c:order val="3"/>
          <c:tx>
            <c:strRef>
              <c:f>'پیش‌بینی درآمد'!$H$1</c:f>
              <c:strCache>
                <c:ptCount val="1"/>
                <c:pt idx="0">
                  <c:v>1401-Q2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'پیش‌بینی درآمد'!$H$2</c:f>
              <c:numCache>
                <c:formatCode>_(* #,##0_);_(* \(#,##0\);_(* "-"??_);_(@_)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5-4DD4-93B7-C83D997CD5F9}"/>
            </c:ext>
          </c:extLst>
        </c:ser>
        <c:ser>
          <c:idx val="4"/>
          <c:order val="4"/>
          <c:tx>
            <c:strRef>
              <c:f>'پیش‌بینی درآمد'!$I$1</c:f>
              <c:strCache>
                <c:ptCount val="1"/>
                <c:pt idx="0">
                  <c:v>1401-Q3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'پیش‌بینی درآمد'!$I$2</c:f>
              <c:numCache>
                <c:formatCode>_(* #,##0_);_(* \(#,##0\);_(* "-"??_);_(@_)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5-4DD4-93B7-C83D997CD5F9}"/>
            </c:ext>
          </c:extLst>
        </c:ser>
        <c:ser>
          <c:idx val="5"/>
          <c:order val="5"/>
          <c:tx>
            <c:strRef>
              <c:f>'پیش‌بینی درآمد'!$J$1</c:f>
              <c:strCache>
                <c:ptCount val="1"/>
                <c:pt idx="0">
                  <c:v>1401-Q4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'پیش‌بینی درآمد'!$J$2</c:f>
              <c:numCache>
                <c:formatCode>_(* #,##0_);_(* \(#,##0\);_(* "-"??_);_(@_)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5-4DD4-93B7-C83D997CD5F9}"/>
            </c:ext>
          </c:extLst>
        </c:ser>
        <c:ser>
          <c:idx val="6"/>
          <c:order val="6"/>
          <c:tx>
            <c:strRef>
              <c:f>'پیش‌بینی درآمد'!$K$1</c:f>
              <c:strCache>
                <c:ptCount val="1"/>
                <c:pt idx="0">
                  <c:v>1402-Q1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درآمد'!$K$2</c:f>
              <c:numCache>
                <c:formatCode>_(* #,##0_);_(* \(#,##0\);_(* "-"??_);_(@_)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5-4DD4-93B7-C83D997CD5F9}"/>
            </c:ext>
          </c:extLst>
        </c:ser>
        <c:ser>
          <c:idx val="7"/>
          <c:order val="7"/>
          <c:tx>
            <c:strRef>
              <c:f>'پیش‌بینی درآمد'!$L$1</c:f>
              <c:strCache>
                <c:ptCount val="1"/>
                <c:pt idx="0">
                  <c:v>1402-Q2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درآمد'!$L$2</c:f>
              <c:numCache>
                <c:formatCode>_(* #,##0_);_(* \(#,##0\);_(* "-"??_);_(@_)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5-4DD4-93B7-C83D997CD5F9}"/>
            </c:ext>
          </c:extLst>
        </c:ser>
        <c:ser>
          <c:idx val="8"/>
          <c:order val="8"/>
          <c:tx>
            <c:strRef>
              <c:f>'پیش‌بینی درآمد'!$M$1</c:f>
              <c:strCache>
                <c:ptCount val="1"/>
                <c:pt idx="0">
                  <c:v>1402-Q3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درآمد'!$M$2</c:f>
              <c:numCache>
                <c:formatCode>_(* #,##0_);_(* \(#,##0\);_(*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5-4DD4-93B7-C83D997CD5F9}"/>
            </c:ext>
          </c:extLst>
        </c:ser>
        <c:ser>
          <c:idx val="9"/>
          <c:order val="9"/>
          <c:tx>
            <c:strRef>
              <c:f>'پیش‌بینی درآمد'!$N$1</c:f>
              <c:strCache>
                <c:ptCount val="1"/>
                <c:pt idx="0">
                  <c:v>1402-Q4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درآمد'!$N$2</c:f>
              <c:numCache>
                <c:formatCode>_(* #,##0_);_(* \(#,##0\);_(*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5-4DD4-93B7-C83D997C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231936"/>
        <c:axId val="1077229024"/>
      </c:barChart>
      <c:catAx>
        <c:axId val="107723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9024"/>
        <c:crosses val="autoZero"/>
        <c:auto val="1"/>
        <c:lblAlgn val="ctr"/>
        <c:lblOffset val="100"/>
        <c:noMultiLvlLbl val="0"/>
      </c:catAx>
      <c:valAx>
        <c:axId val="1077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ماه'!$B$2:$B$18</c:f>
              <c:strCache>
                <c:ptCount val="17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  <c:pt idx="15">
                  <c:v>1400-03</c:v>
                </c:pt>
                <c:pt idx="16">
                  <c:v>1400-04</c:v>
                </c:pt>
              </c:strCache>
            </c:strRef>
          </c:cat>
          <c:val>
            <c:numRef>
              <c:f>'درآمد جیبرس به تفکیک ماه'!$C$2:$C$18</c:f>
              <c:numCache>
                <c:formatCode>_(\I\R\T\ * #,##0_);[Red]_(\I\R\T\ * "-"#,##0_)</c:formatCode>
                <c:ptCount val="17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  <c:pt idx="15">
                  <c:v>18458000</c:v>
                </c:pt>
                <c:pt idx="16">
                  <c:v>51226500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9</xdr:row>
      <xdr:rowOff>204786</xdr:rowOff>
    </xdr:from>
    <xdr:to>
      <xdr:col>15</xdr:col>
      <xdr:colOff>38100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394C5-2CC6-4BF2-94E5-71EB0949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23</xdr:row>
      <xdr:rowOff>138112</xdr:rowOff>
    </xdr:from>
    <xdr:to>
      <xdr:col>17</xdr:col>
      <xdr:colOff>1952625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19</xdr:row>
      <xdr:rowOff>100012</xdr:rowOff>
    </xdr:from>
    <xdr:to>
      <xdr:col>6</xdr:col>
      <xdr:colOff>1447800</xdr:colOff>
      <xdr:row>31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62" dataDxfId="261" totalsRowDxfId="260">
  <autoFilter ref="A1:G8" xr:uid="{5810A676-66BF-4EA4-B586-C6E90025121D}"/>
  <tableColumns count="7">
    <tableColumn id="5" xr3:uid="{47369FE7-678F-4F87-AB99-EE1EDC617F1A}" name="#" totalsRowLabel="Total" dataDxfId="259" totalsRowDxfId="258">
      <calculatedColumnFormula>ROW(A1)</calculatedColumnFormula>
    </tableColumn>
    <tableColumn id="1" xr3:uid="{3037BF7E-6F17-4FD9-B0BA-2603DBE3AA73}" name="نوع" dataDxfId="257" totalsRowDxfId="256"/>
    <tableColumn id="2" xr3:uid="{5543AAC9-D97A-4AF1-B9C8-BCB750FF9446}" name="عنوان" dataDxfId="255" totalsRowDxfId="254"/>
    <tableColumn id="4" xr3:uid="{363204E2-D323-45E0-8740-F6AAC858616C}" name="1400" totalsRowFunction="sum" totalsRowDxfId="253" dataCellStyle="Currency"/>
    <tableColumn id="6" xr3:uid="{0C5EF792-05B7-4EDA-BEF7-3C660D2AFD4B}" name="1401" totalsRowFunction="sum" totalsRowDxfId="252" dataCellStyle="Currency"/>
    <tableColumn id="8" xr3:uid="{29FAD03A-69B3-4207-A748-8BD45D15D581}" name="مجموع" totalsRowFunction="sum" totalsRowDxfId="251" dataCellStyle="Currency">
      <calculatedColumnFormula>SUM(tbl_sumary[[#This Row],[1400]:[1401]])</calculatedColumnFormula>
    </tableColumn>
    <tableColumn id="3" xr3:uid="{CDA3691F-C5E7-4ED9-A080-98FD93E74B52}" name="درصد" totalsRowFunction="sum" dataDxfId="250" totalsRowDxfId="249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76" dataDxfId="175">
  <autoFilter ref="A1:R13" xr:uid="{11174E64-8CFF-4722-BD71-DA8D32366E61}"/>
  <tableColumns count="18">
    <tableColumn id="1" xr3:uid="{9A53D445-08A1-4BD8-A9B1-36B149B75784}" name="ردیف" totalsRowLabel="Total" dataDxfId="174" totalsRowDxfId="173">
      <calculatedColumnFormula>ROW(A1)</calculatedColumnFormula>
    </tableColumn>
    <tableColumn id="2" xr3:uid="{A097EA43-7198-43D4-A945-9788D7E650A6}" name="عنوان" dataDxfId="172" totalsRowDxfId="171"/>
    <tableColumn id="5" xr3:uid="{EEC712EC-61BA-44C7-A77F-FC5EE5CA47F3}" name="مدل پرداخت" dataDxfId="170" totalsRowDxfId="169"/>
    <tableColumn id="3" xr3:uid="{B9F7695D-2433-4D21-A6B5-58ABCCFB2FEF}" name="مبلغ پرداختی" dataDxfId="168" totalsRowDxfId="167"/>
    <tableColumn id="6" xr3:uid="{EC802C2A-E591-4D77-926A-410A0C0BDAA0}" name="بهای تمام شده" dataDxfId="166" totalsRowDxfId="165"/>
    <tableColumn id="7" xr3:uid="{A37BFF77-E27B-448B-B94A-F9B63A90085C}" name="سود" dataDxfId="164" totalsRowDxfId="163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62" totalsRowDxfId="161" dataCellStyle="Percent"/>
    <tableColumn id="21" xr3:uid="{30514F62-ED70-4E43-940C-9DBD8F3236F7}" name="سود به ازای هر بیزینس" totalsRowFunction="sum" dataDxfId="160" totalsRowDxfId="159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58" totalsRowDxfId="157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56" totalsRowDxfId="155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54" totalsRowDxfId="153">
      <calculatedColumnFormula>tbl_pricing[[#Headers],[500]]*tbl_pricing[[#This Row],[درصد خرید]]</calculatedColumnFormula>
    </tableColumn>
    <tableColumn id="10" xr3:uid="{9AB94E1B-34ED-4589-8806-1371AF0006CE}" name="1000" dataDxfId="152" totalsRowDxfId="151">
      <calculatedColumnFormula>tbl_pricing[[#Headers],[1000]]*tbl_pricing[[#This Row],[درصد خرید]]</calculatedColumnFormula>
    </tableColumn>
    <tableColumn id="11" xr3:uid="{73D11ABE-3FE2-4354-9B4D-6A48992B395A}" name="2000" dataDxfId="150" totalsRowDxfId="149">
      <calculatedColumnFormula>tbl_pricing[[#Headers],[2000]]*tbl_pricing[[#This Row],[درصد خرید]]</calculatedColumnFormula>
    </tableColumn>
    <tableColumn id="12" xr3:uid="{C88D635E-46CD-44BB-9844-EBB575A727B1}" name="5000" dataDxfId="148" totalsRowDxfId="147">
      <calculatedColumnFormula>tbl_pricing[[#Headers],[5000]]*tbl_pricing[[#This Row],[درصد خرید]]</calculatedColumnFormula>
    </tableColumn>
    <tableColumn id="13" xr3:uid="{159DCBCC-07DD-484D-8F87-B26CA28EFF29}" name="10000" dataDxfId="146" totalsRowDxfId="145">
      <calculatedColumnFormula>tbl_pricing[[#Headers],[10000]]*tbl_pricing[[#This Row],[درصد خرید]]</calculatedColumnFormula>
    </tableColumn>
    <tableColumn id="14" xr3:uid="{1A3D8FD2-70CB-4665-975C-2114464348DB}" name="20000" dataDxfId="144" totalsRowDxfId="143">
      <calculatedColumnFormula>tbl_pricing[[#Headers],[20000]]*tbl_pricing[[#This Row],[درصد خرید]]</calculatedColumnFormula>
    </tableColumn>
    <tableColumn id="15" xr3:uid="{8854EC08-9308-4944-BDA8-75596BFE727B}" name="50000" dataDxfId="142" totalsRowDxfId="141">
      <calculatedColumnFormula>tbl_pricing[[#Headers],[50000]]*tbl_pricing[[#This Row],[درصد خرید]]</calculatedColumnFormula>
    </tableColumn>
    <tableColumn id="16" xr3:uid="{AA928AC4-CF96-4BA2-8936-8A643A7DDAA6}" name="100000" dataDxfId="140" totalsRowDxfId="139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38" dataDxfId="137">
  <autoFilter ref="A23:D34" xr:uid="{652F814E-9275-4FA3-8E84-CADC4414840E}"/>
  <tableColumns count="4">
    <tableColumn id="1" xr3:uid="{1DE062CE-5BF5-4FEA-A98A-704F2735EAA7}" name="تعداد بیزینس" dataDxfId="136" dataCellStyle="Comma"/>
    <tableColumn id="2" xr3:uid="{9A3B5D26-797A-4D19-9504-750237C50E47}" name="تعداد بیزینس‌هایی که پرداخت دارند" dataDxfId="135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34">
      <calculatedColumnFormula>d_customerAvgRevenue*tbl_pricing_predict[[#This Row],[تعداد بیزینس]]</calculatedColumnFormula>
    </tableColumn>
    <tableColumn id="4" xr3:uid="{16B0B2F6-77AB-4BCF-B967-97D476246151}" name="درآمد سالیانه" dataDxfId="133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N10" totalsRowCount="1" headerRowDxfId="132" dataDxfId="131">
  <autoFilter ref="A1:N9" xr:uid="{4B45EF50-D07B-4462-B4EB-CF690CB4B7A8}"/>
  <tableColumns count="14">
    <tableColumn id="1" xr3:uid="{3233B9C7-9724-4673-B9F1-EAE50D2C9670}" name="ردیف" dataDxfId="130" totalsRowDxfId="129">
      <calculatedColumnFormula>ROW(A1)</calculatedColumnFormula>
    </tableColumn>
    <tableColumn id="10" xr3:uid="{60819422-87DD-4CFF-AB10-DB3E961E5555}" name="عنوان" dataDxfId="128" totalsRowDxfId="127"/>
    <tableColumn id="2" xr3:uid="{18B29F41-DC81-4467-BD19-639C5E40AC0E}" name="1400-Q1" dataDxfId="126" totalsRowDxfId="125"/>
    <tableColumn id="3" xr3:uid="{75B9AC7C-0C9A-4EBB-A21B-9103F31171A5}" name="1400-Q2" dataDxfId="124" totalsRowDxfId="123">
      <calculatedColumnFormula>AVERAGE(tbl_pricing[درصد خرید])</calculatedColumnFormula>
    </tableColumn>
    <tableColumn id="4" xr3:uid="{A6A37BC8-F105-4BC7-BBA5-7CD986675C7E}" name="1400-Q3" dataDxfId="122" totalsRowDxfId="121">
      <calculatedColumnFormula>AVERAGE(tbl_pricing[درصد خرید])</calculatedColumnFormula>
    </tableColumn>
    <tableColumn id="5" xr3:uid="{7CD9CE2A-0982-402E-90BB-A37955F9417B}" name="1400-Q4" dataDxfId="120" totalsRowDxfId="119">
      <calculatedColumnFormula>AVERAGE(tbl_pricing[درصد خرید])</calculatedColumnFormula>
    </tableColumn>
    <tableColumn id="6" xr3:uid="{F574DA15-52E0-46FF-8058-3626E90ADCD3}" name="1401-Q1" dataDxfId="118" totalsRowDxfId="117">
      <calculatedColumnFormula>AVERAGE(tbl_pricing[درصد خرید])</calculatedColumnFormula>
    </tableColumn>
    <tableColumn id="7" xr3:uid="{265E39CF-C0D3-42D3-BE97-6DA6F758CCBB}" name="1401-Q2" dataDxfId="116" totalsRowDxfId="115">
      <calculatedColumnFormula>AVERAGE(tbl_pricing[درصد خرید])</calculatedColumnFormula>
    </tableColumn>
    <tableColumn id="8" xr3:uid="{491DB0FE-9C40-4DCA-8643-B5E810C0361E}" name="1401-Q3" dataDxfId="114" totalsRowDxfId="113">
      <calculatedColumnFormula>AVERAGE(tbl_pricing[درصد خرید])</calculatedColumnFormula>
    </tableColumn>
    <tableColumn id="9" xr3:uid="{299BD95A-56DA-46C1-AD0F-CE6FCABD7593}" name="1401-Q4" dataDxfId="112" totalsRowDxfId="111">
      <calculatedColumnFormula>AVERAGE(tbl_pricing[درصد خرید])</calculatedColumnFormula>
    </tableColumn>
    <tableColumn id="11" xr3:uid="{E5E75370-59A9-478F-AD12-D9DFE8A58690}" name="1402-Q1" dataDxfId="110" totalsRowDxfId="109"/>
    <tableColumn id="12" xr3:uid="{C4364BA3-9C9A-4265-A6D3-7CE0E76CAE66}" name="1402-Q2" dataDxfId="108" totalsRowDxfId="107"/>
    <tableColumn id="13" xr3:uid="{49E2EBC9-64E3-427F-B506-12906391CA1E}" name="1402-Q3" dataDxfId="106" totalsRowDxfId="105"/>
    <tableColumn id="14" xr3:uid="{C9211DBC-B52A-4861-8024-A922692AD33E}" name="1402-Q4" dataDxfId="104" totalsRowDxfId="103"/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891E41-FBB0-4A7D-8022-E9A567F2755B}" name="Table19" displayName="Table19" ref="A15:D43" totalsRowShown="0" headerRowDxfId="6" dataDxfId="5">
  <autoFilter ref="A15:D43" xr:uid="{D7891E41-FBB0-4A7D-8022-E9A567F2755B}"/>
  <tableColumns count="4">
    <tableColumn id="1" xr3:uid="{7B0EFEC3-8172-4D43-9BF4-B3EBF38D7C74}" name="ردیف" dataDxfId="4"/>
    <tableColumn id="2" xr3:uid="{13829869-610F-405E-BEEA-1B5A437D3B56}" name="تاریخ" dataDxfId="3"/>
    <tableColumn id="3" xr3:uid="{66C497CF-87AE-457C-8CE6-EFC4D0083899}" name="تعداد بیزینس‌ها" dataDxfId="2" dataCellStyle="Comma"/>
    <tableColumn id="4" xr3:uid="{10E89E4A-5DA9-477F-92BF-2ED669AB1E08}" name="Column1" dataDxfId="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102" dataDxfId="101">
  <autoFilter ref="A1:J13" xr:uid="{0E994EE0-F0F0-4FBF-9544-F0DF02B7F5C3}"/>
  <tableColumns count="10">
    <tableColumn id="1" xr3:uid="{7CFD1D53-F749-4B43-9DD3-BE3F1C5EC98F}" name="#" dataDxfId="100">
      <calculatedColumnFormula>ROW(A1)</calculatedColumnFormula>
    </tableColumn>
    <tableColumn id="11" xr3:uid="{EDB8F8AF-AD21-41D4-84B7-19B49F8D2731}" name="نوع" dataDxfId="99"/>
    <tableColumn id="8" xr3:uid="{54E69985-F797-4A1D-810B-CD4B14DE4247}" name="Title" dataDxfId="98"/>
    <tableColumn id="3" xr3:uid="{4C28CA0D-B0C2-4EC6-9320-E20F2AA18D35}" name="1400" dataDxfId="97">
      <calculatedColumnFormula>'پیش‌بینی درآمد'!$C$8:$F$8</calculatedColumnFormula>
    </tableColumn>
    <tableColumn id="4" xr3:uid="{BE2DB32D-49B5-4174-91DB-055B8A546B01}" name="1401" dataDxfId="96">
      <calculatedColumnFormula>SUM('پیش‌بینی درآمد'!$G$8:$J$8)</calculatedColumnFormula>
    </tableColumn>
    <tableColumn id="5" xr3:uid="{200B4D8D-3290-4392-A148-F2EC03CDB0D3}" name="1402" dataDxfId="95">
      <calculatedColumnFormula>tbl_revenue_summary[[#This Row],[1401]]*(1+s_cagr)</calculatedColumnFormula>
    </tableColumn>
    <tableColumn id="6" xr3:uid="{A7A00C3C-C62A-4AFB-8F2F-961D9B70FA4E}" name="1403" dataDxfId="94"/>
    <tableColumn id="7" xr3:uid="{CD51A06F-0126-4363-82F1-83D419084E3E}" name="1404" dataDxfId="93"/>
    <tableColumn id="2" xr3:uid="{9FF3912E-8E29-4421-A4CB-E01182C34419}" name="1405" dataDxfId="92"/>
    <tableColumn id="9" xr3:uid="{A95B37EE-B672-4C1F-B96C-91C026F696D6}" name="جمع" dataDxfId="91"/>
  </tableColumns>
  <tableStyleInfo name="TableStyleLight6" showFirstColumn="0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8" totalsRowShown="0" headerRowDxfId="90" dataDxfId="89">
  <autoFilter ref="A1:G18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8">
      <calculatedColumnFormula>ROW(A1)</calculatedColumnFormula>
    </tableColumn>
    <tableColumn id="2" xr3:uid="{168739EF-6C06-4113-BBDD-AAF168610AA5}" name="سال و ماه" dataDxfId="87"/>
    <tableColumn id="3" xr3:uid="{66F66387-A8B5-43AA-87B7-3D0CC9168F60}" name="مبلغ درآمد کسب شده" dataDxfId="86" dataCellStyle="Comma"/>
    <tableColumn id="4" xr3:uid="{52595ECE-74E2-4FC3-B5B6-FA33D7AC0B25}" name="سال" dataDxfId="85">
      <calculatedColumnFormula>_xlfn.NUMBERVALUE(LEFT(tbl_jibres_revenue[[#This Row],[سال و ماه]],4))</calculatedColumnFormula>
    </tableColumn>
    <tableColumn id="5" xr3:uid="{76A94C10-B40B-457E-B3BA-12ED3056AC3C}" name="ماه" dataDxfId="84">
      <calculatedColumnFormula>_xlfn.NUMBERVALUE(RIGHT(tbl_jibres_revenue[[#This Row],[سال و ماه]],2))</calculatedColumnFormula>
    </tableColumn>
    <tableColumn id="6" xr3:uid="{788D8E6A-2106-4F14-AE9E-6B9F33B3D9AA}" name="فصل" dataDxfId="83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82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81" dataDxfId="80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9" totalsRowDxfId="78"/>
    <tableColumn id="2" xr3:uid="{76BD64A1-CD1F-41A3-B845-76B7D5F43482}" name="جمع درآمد" totalsRowFunction="sum" dataDxfId="77" totalsRowDxfId="76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75" dataDxfId="74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73" totalsRowDxfId="72"/>
    <tableColumn id="2" xr3:uid="{A46F4F4D-DEED-4FF6-AA41-10D2448BC299}" name="فصل" dataDxfId="71" totalsRowDxfId="70"/>
    <tableColumn id="4" xr3:uid="{FB4496C4-A8EE-4D44-8763-AB435C002C0F}" name="عنوان" dataDxfId="69" totalsRowDxfId="68">
      <calculatedColumnFormula>Table18[[#This Row],[سال]]&amp; "-Q"&amp;Table18[[#This Row],[فصل]]</calculatedColumnFormula>
    </tableColumn>
    <tableColumn id="3" xr3:uid="{EF262220-04D4-41A3-9C08-5E8E750EDD38}" name="جمع درآمد" dataDxfId="67" totalsRowDxfId="66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65" totalsRowDxfId="64" data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63" dataDxfId="62" totalsRowDxfId="61">
  <autoFilter ref="A1:M13" xr:uid="{7E87C80A-E7EE-4352-81C0-E925498C3A9A}"/>
  <tableColumns count="13">
    <tableColumn id="1" xr3:uid="{12E2DB3F-C608-4C14-BC50-2BC1F2A76D86}" name="نوع سهام‌دار" totalsRowLabel="Total" dataDxfId="60" totalsRowDxfId="59"/>
    <tableColumn id="8" xr3:uid="{879A5D2D-8CD3-4CD8-9A10-ACEBF45244A1}" name="نام به تفکیک" dataDxfId="58" totalsRowDxfId="57"/>
    <tableColumn id="9" xr3:uid="{504C5ECB-7E69-4D58-88F2-F2EE7BF3AF63}" name="Start 1394" totalsRowFunction="sum" dataDxfId="56" totalsRowDxfId="55" dataCellStyle="Percent"/>
    <tableColumn id="10" xr3:uid="{489B3961-F0BB-4DBA-9569-4B6F9D2C8136}" name="Seed Angel 1395" totalsRowFunction="sum" dataDxfId="54" totalsRowDxfId="53" dataCellStyle="Percent"/>
    <tableColumn id="12" xr3:uid="{2F49346B-42D1-4A05-A022-49E685B8F677}" name="Angel Out 1397/2/22" totalsRowFunction="sum" dataDxfId="52" totalsRowDxfId="51" dataCellStyle="Percent"/>
    <tableColumn id="11" xr3:uid="{D7B34FBB-1249-4A52-BC71-F4F4C353E9FF}" name="1397/5/1" totalsRowFunction="sum" dataDxfId="50" totalsRowDxfId="49" dataCellStyle="Percent"/>
    <tableColumn id="7" xr3:uid="{D017C8F8-D15A-4768-9250-191C7C3FBCAD}" name="1399" totalsRowFunction="sum" dataDxfId="48" totalsRowDxfId="47" dataCellStyle="Percent"/>
    <tableColumn id="2" xr3:uid="{CC921348-160B-4F0D-9BE4-5DDA1AD69B16}" name="Series A" totalsRowFunction="sum" dataDxfId="46" totalsRowDxfId="45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44" totalsRowDxfId="43" dataCellStyle="Percent"/>
    <tableColumn id="4" xr3:uid="{077EF452-6558-4AC1-8073-331A97F79010}" name="Series C" totalsRowFunction="sum" dataDxfId="42" totalsRowDxfId="41" dataCellStyle="Percent"/>
    <tableColumn id="5" xr3:uid="{4EBDA36A-837C-4D6F-8F61-A05A0A68122A}" name="Series D" totalsRowFunction="sum" dataDxfId="40" totalsRowDxfId="39" dataCellStyle="Percent"/>
    <tableColumn id="6" xr3:uid="{8993C8BA-E6C1-4341-9D63-25AE19DA5FDB}" name="Series E" totalsRowFunction="sum" dataDxfId="38" totalsRowDxfId="37" dataCellStyle="Percent"/>
    <tableColumn id="13" xr3:uid="{8B46D6B7-B794-4A24-8CAA-5733D667F553}" name="Series F" totalsRowFunction="sum" dataDxfId="36" totalsRowDxfId="35" dataCellStyle="Percent"/>
  </tableColumns>
  <tableStyleInfo name="TableStyleLight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34" dataDxfId="33">
  <autoFilter ref="A23:M26" xr:uid="{65851948-34D5-432A-B8FB-4FA5D425C4F9}"/>
  <tableColumns count="13">
    <tableColumn id="1" xr3:uid="{34E46D92-A5C7-4723-8F0E-96589EB1AEC2}" name="نوع سهام‌دار" totalsRowLabel="Total" dataDxfId="32" totalsRowDxfId="31"/>
    <tableColumn id="2" xr3:uid="{A5B597FC-720C-447A-9F66-CBDB8836AFA2}" name="جمع سهام" dataDxfId="30" totalsRowDxfId="29"/>
    <tableColumn id="3" xr3:uid="{9D64E6C7-4D6D-46C0-921E-CD57FADBCEA8}" name="Start 1394" totalsRowFunction="sum" dataDxfId="28" totalsRowDxfId="27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26" totalsRowDxfId="25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24" totalsRowDxfId="23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22" totalsRowDxfId="21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20" totalsRowDxfId="19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8" totalsRowDxfId="17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16" totalsRowDxfId="15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14" totalsRowDxfId="13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12" totalsRowDxfId="11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10" totalsRowDxfId="9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8" totalsRowDxfId="7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4" totalsRowShown="0" headerRowDxfId="248" dataDxfId="247">
  <autoFilter ref="A1:B24" xr:uid="{2B9E2DB8-FBB8-45B3-A4BF-A27446C1BBC1}"/>
  <tableColumns count="2">
    <tableColumn id="1" xr3:uid="{04846D46-98AF-4645-B227-FF19272102B1}" name="عنوان" dataDxfId="246"/>
    <tableColumn id="2" xr3:uid="{D4584107-29D2-4B18-94B1-795D1E01B117}" name="مقدار" dataDxfId="245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44" dataDxfId="243">
  <autoFilter ref="A1:E4" xr:uid="{6BB248A9-012D-4836-9305-5141AF978271}"/>
  <tableColumns count="5">
    <tableColumn id="1" xr3:uid="{C1D9DC5C-1F85-426E-959C-3165A99CD6EC}" name="ردیف" totalsRowLabel="Total" dataDxfId="242" totalsRowDxfId="241">
      <calculatedColumnFormula>ROW(A1)</calculatedColumnFormula>
    </tableColumn>
    <tableColumn id="2" xr3:uid="{23A7CE2D-4EC2-4F59-9E8C-744F0E351954}" name="عنوان" dataDxfId="240" totalsRowDxfId="239"/>
    <tableColumn id="3" xr3:uid="{C5D9D589-B23B-4019-B4E1-A8A2308C3099}" name="1400" totalsRowFunction="sum" dataDxfId="238" totalsRowDxfId="237"/>
    <tableColumn id="4" xr3:uid="{A20DFB1D-E3C4-4F6A-9CE1-76537256DDA0}" name="1401" totalsRowFunction="sum" dataDxfId="236" totalsRowDxfId="235"/>
    <tableColumn id="5" xr3:uid="{7320D442-6698-4FA5-BB88-10D126434BE0}" name="جمع" totalsRowFunction="sum" dataDxfId="234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33" dataDxfId="232">
  <autoFilter ref="A9:D10" xr:uid="{939160DD-2EDF-4878-9A71-0E47E271CD17}"/>
  <tableColumns count="4">
    <tableColumn id="1" xr3:uid="{7CFB71D1-2F91-4886-8D95-C562400CF4F7}" name="9" dataDxfId="231">
      <calculatedColumnFormula>ROW(A1)</calculatedColumnFormula>
    </tableColumn>
    <tableColumn id="2" xr3:uid="{EBEBDCFA-6F86-4BB9-A4E1-CFAC0B6394D2}" name="عنوان" dataDxfId="230"/>
    <tableColumn id="3" xr3:uid="{9FF7CA43-0705-4E77-85EC-B371DC78ACA4}" name="1400" dataDxfId="229"/>
    <tableColumn id="4" xr3:uid="{B14BB7F9-8746-4829-AA07-C639400E814F}" name="1401" dataDxfId="228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27" dataDxfId="226">
  <autoFilter ref="A1:E2" xr:uid="{CA8A4239-364E-4650-9E13-6B35831DAABA}"/>
  <tableColumns count="5">
    <tableColumn id="1" xr3:uid="{276EA653-F6EB-43D8-A8E6-02705C4FC3C6}" name="ردیف" dataDxfId="225">
      <calculatedColumnFormula>ROW(A1)</calculatedColumnFormula>
    </tableColumn>
    <tableColumn id="2" xr3:uid="{C917D43E-3C18-4ECC-857D-F6E368E7D1DD}" name="عنوان" dataDxfId="224"/>
    <tableColumn id="3" xr3:uid="{936C2C7C-5EB9-4B64-BF32-AA11DA4CFE26}" name="1400" dataDxfId="223"/>
    <tableColumn id="4" xr3:uid="{81F72F41-D8FD-4195-ABBB-05037CE3698B}" name="1401" dataDxfId="222"/>
    <tableColumn id="5" xr3:uid="{C0453677-E159-4921-9E18-2A6C08C14999}" name="جمع" dataDxfId="221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220" dataDxfId="219" totalsRowDxfId="218">
  <autoFilter ref="A1:D5" xr:uid="{0FEAC4E8-3C92-4ECC-A20C-80059709130D}"/>
  <tableColumns count="4">
    <tableColumn id="1" xr3:uid="{DA73BFFA-A796-4432-914A-1F59F00537F5}" name="#" totalsRowLabel="جمع" dataDxfId="217" totalsRowDxfId="216">
      <calculatedColumnFormula>ROW(A1)</calculatedColumnFormula>
    </tableColumn>
    <tableColumn id="2" xr3:uid="{32ED334C-D261-4D20-8958-087C27AD9FBF}" name="عنوان شغلی" dataDxfId="215" totalsRowDxfId="214"/>
    <tableColumn id="4" xr3:uid="{0925C41E-9619-42E8-8F24-EDDF62C48C09}" name="1400" totalsRowFunction="sum" dataDxfId="213" totalsRowDxfId="212"/>
    <tableColumn id="5" xr3:uid="{0BE3F0C5-39C2-4F5C-A4BB-D96C51FFD2B1}" name="1401" totalsRowFunction="sum" dataDxfId="211" totalsRowDxfId="21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209" dataDxfId="208">
  <autoFilter ref="A22:F26" xr:uid="{C45356D1-9A71-4483-8364-A8B472AE846A}"/>
  <tableColumns count="6">
    <tableColumn id="3" xr3:uid="{EAA5B31A-763B-44E2-8C7F-741E10086C03}" name="#" dataDxfId="207"/>
    <tableColumn id="1" xr3:uid="{0C7B43BD-CDE0-4542-994E-07BECC378178}" name="عنوان شغلی" dataDxfId="206"/>
    <tableColumn id="2" xr3:uid="{23FA6089-E4D9-4C9C-9ADF-69E1A5FBE988}" name="میانگین پرداختی ۱۴۰۰" dataDxfId="205" dataCellStyle="Currency"/>
    <tableColumn id="4" xr3:uid="{FCAB3AB9-4281-4E61-A996-650242F1C298}" name="میانگین پرداختی ۱۴۰۱" dataDxfId="204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203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202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201" dataDxfId="200" totalsRowDxfId="199">
  <autoFilter ref="A1:E10" xr:uid="{387B4E0D-6F55-44DA-9344-EB9622378522}"/>
  <tableColumns count="5">
    <tableColumn id="1" xr3:uid="{A7835E4F-01BA-4B39-9B47-77E68912210A}" name="#" totalsRowLabel="Total" dataDxfId="198" totalsRowDxfId="197">
      <calculatedColumnFormula>ROW(A1)</calculatedColumnFormula>
    </tableColumn>
    <tableColumn id="2" xr3:uid="{915237E7-1F0F-42A4-A7C8-041DBDA02143}" name="عنوان" dataDxfId="196" totalsRowDxfId="195"/>
    <tableColumn id="4" xr3:uid="{50081311-D116-4A8B-B3B1-362E4B876409}" name="1400" totalsRowFunction="sum" dataDxfId="194" totalsRowDxfId="193" dataCellStyle="Currency"/>
    <tableColumn id="5" xr3:uid="{4B242BB3-1333-418C-A07C-49DAE81876BA}" name="1401" totalsRowFunction="sum" dataDxfId="192" totalsRowDxfId="191" dataCellStyle="Currency"/>
    <tableColumn id="6" xr3:uid="{E1DE5B6C-E01B-4554-A846-06AB203F9C1A}" name="جمع" totalsRowFunction="sum" dataDxfId="190" totalsRowDxfId="189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88" dataDxfId="187">
  <autoFilter ref="A1:E9" xr:uid="{CA8A4239-364E-4650-9E13-6B35831DAABA}"/>
  <tableColumns count="5">
    <tableColumn id="1" xr3:uid="{54E6554F-B297-4533-AD8D-E06FC372FA4D}" name="ردیف" totalsRowLabel="Total" dataDxfId="186" totalsRowDxfId="185">
      <calculatedColumnFormula>ROW(A1)</calculatedColumnFormula>
    </tableColumn>
    <tableColumn id="2" xr3:uid="{C8AD3364-8867-4058-B64B-986B3858CF42}" name="عنوان" dataDxfId="184" totalsRowDxfId="183"/>
    <tableColumn id="3" xr3:uid="{7080C68D-A903-46EB-AC1E-5D0963B807EC}" name="1400" totalsRowFunction="sum" dataDxfId="182" totalsRowDxfId="181"/>
    <tableColumn id="4" xr3:uid="{B0566FF8-F510-4A8F-8E54-F68246E5F0A7}" name="1401" totalsRowFunction="sum" dataDxfId="180" totalsRowDxfId="179"/>
    <tableColumn id="5" xr3:uid="{192D38EC-CF7E-4D9A-99C8-24B0818C5DCC}" name="جمع" totalsRowFunction="sum" dataDxfId="178" totalsRowDxfId="177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3" sqref="C3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3369600000</v>
      </c>
      <c r="E2" s="19">
        <f>SUM(tbl_servers[1401])</f>
        <v>1924800000</v>
      </c>
      <c r="F2" s="19">
        <f>SUM(tbl_sumary[[#This Row],[1400]:[1401]])</f>
        <v>5294400000</v>
      </c>
      <c r="G2" s="25">
        <f>(F2*100/SUM(tbl_sumary[مجموع])) / 100</f>
        <v>0.29774876424477353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2.3620142222500164E-2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0.32343735606475832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2550000000</v>
      </c>
      <c r="F5" s="19">
        <f>SUM(tbl_sumary[[#This Row],[1400]:[1401]])</f>
        <v>3090000000</v>
      </c>
      <c r="G5" s="25">
        <f>(F5*100/SUM(tbl_sumary[مجموع])) / 100</f>
        <v>0.17377676063696551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3.3743060317857378E-2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5.6764825604054207E-2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527994000</v>
      </c>
      <c r="E8" s="19">
        <f>SUM(E2:E7) * d_unpredictedPercent</f>
        <v>1088500000</v>
      </c>
      <c r="F8" s="19">
        <f>SUM(tbl_sumary[[#This Row],[1400]:[1401]])</f>
        <v>1616494000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5807934000</v>
      </c>
      <c r="E9" s="12">
        <f>SUBTOTAL(109,tbl_sumary[1401])</f>
        <v>11973500000</v>
      </c>
      <c r="F9" s="17">
        <f>SUBTOTAL(109,tbl_sumary[مجموع])</f>
        <v>17781434000</v>
      </c>
      <c r="G9" s="21">
        <f>SUBTOTAL(109,tbl_sumary[درصد])</f>
        <v>0.99999999999999989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3549600000</v>
      </c>
      <c r="E13" s="31">
        <f>SUMIFS(tbl_sumary[1401],tbl_sumary[نوع],B13)</f>
        <v>2164800000</v>
      </c>
      <c r="F13" s="32">
        <f>SUM(D13:E13)</f>
        <v>5714400000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2258334000</v>
      </c>
      <c r="E14" s="33">
        <f>SUMIFS(tbl_sumary[1401],tbl_sumary[نوع],B14)</f>
        <v>9808700000</v>
      </c>
      <c r="F14" s="34">
        <f>SUM(D14:E14)</f>
        <v>12067034000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Q43"/>
  <sheetViews>
    <sheetView rightToLeft="1" tabSelected="1" workbookViewId="0">
      <selection activeCell="Q4" sqref="Q4"/>
    </sheetView>
  </sheetViews>
  <sheetFormatPr defaultRowHeight="17.25" x14ac:dyDescent="0.4"/>
  <cols>
    <col min="1" max="1" width="9.140625" style="1"/>
    <col min="2" max="2" width="45.42578125" style="1" bestFit="1" customWidth="1"/>
    <col min="3" max="10" width="21.7109375" style="1" customWidth="1"/>
    <col min="11" max="14" width="21.7109375" style="1" bestFit="1" customWidth="1"/>
    <col min="15" max="16" width="9.140625" style="1"/>
    <col min="17" max="17" width="14.5703125" style="1" bestFit="1" customWidth="1"/>
    <col min="18" max="16384" width="9.140625" style="1"/>
  </cols>
  <sheetData>
    <row r="1" spans="1:17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  <c r="K1" s="23" t="s">
        <v>224</v>
      </c>
      <c r="L1" s="23" t="s">
        <v>225</v>
      </c>
      <c r="M1" s="23" t="s">
        <v>226</v>
      </c>
      <c r="N1" s="23" t="s">
        <v>227</v>
      </c>
    </row>
    <row r="2" spans="1:17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920</v>
      </c>
      <c r="F2" s="4">
        <v>1100</v>
      </c>
      <c r="G2" s="4">
        <v>1350</v>
      </c>
      <c r="H2" s="4">
        <v>1700</v>
      </c>
      <c r="I2" s="4">
        <v>2200</v>
      </c>
      <c r="J2" s="4">
        <v>3000</v>
      </c>
      <c r="K2" s="4">
        <v>4500</v>
      </c>
      <c r="L2" s="4">
        <v>8000</v>
      </c>
      <c r="M2" s="4">
        <v>15000</v>
      </c>
      <c r="N2" s="4">
        <v>30000</v>
      </c>
    </row>
    <row r="3" spans="1:17" x14ac:dyDescent="0.4">
      <c r="A3" s="1">
        <f t="shared" ref="A3:A8" si="0">ROW(A2)</f>
        <v>2</v>
      </c>
      <c r="B3" s="1" t="s">
        <v>101</v>
      </c>
      <c r="C3" s="39">
        <f t="shared" ref="C3:N3" si="1">d_customerConvertRate</f>
        <v>5.9833333333333336E-3</v>
      </c>
      <c r="D3" s="39">
        <f t="shared" si="1"/>
        <v>5.9833333333333336E-3</v>
      </c>
      <c r="E3" s="39">
        <f t="shared" si="1"/>
        <v>5.9833333333333336E-3</v>
      </c>
      <c r="F3" s="39">
        <f t="shared" si="1"/>
        <v>5.9833333333333336E-3</v>
      </c>
      <c r="G3" s="39">
        <f t="shared" si="1"/>
        <v>5.9833333333333336E-3</v>
      </c>
      <c r="H3" s="39">
        <f t="shared" si="1"/>
        <v>5.9833333333333336E-3</v>
      </c>
      <c r="I3" s="39">
        <f t="shared" si="1"/>
        <v>5.9833333333333336E-3</v>
      </c>
      <c r="J3" s="39">
        <f t="shared" si="1"/>
        <v>5.9833333333333336E-3</v>
      </c>
      <c r="K3" s="39">
        <f t="shared" si="1"/>
        <v>5.9833333333333336E-3</v>
      </c>
      <c r="L3" s="39">
        <f t="shared" si="1"/>
        <v>5.9833333333333336E-3</v>
      </c>
      <c r="M3" s="39">
        <f t="shared" si="1"/>
        <v>5.9833333333333336E-3</v>
      </c>
      <c r="N3" s="39">
        <f t="shared" si="1"/>
        <v>5.9833333333333336E-3</v>
      </c>
    </row>
    <row r="4" spans="1:17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3</v>
      </c>
      <c r="D4" s="4">
        <f t="shared" si="2"/>
        <v>5</v>
      </c>
      <c r="E4" s="4">
        <f t="shared" si="2"/>
        <v>6</v>
      </c>
      <c r="F4" s="4">
        <f t="shared" si="2"/>
        <v>7</v>
      </c>
      <c r="G4" s="4">
        <f t="shared" si="2"/>
        <v>8</v>
      </c>
      <c r="H4" s="4">
        <f t="shared" si="2"/>
        <v>10</v>
      </c>
      <c r="I4" s="4">
        <f t="shared" si="2"/>
        <v>13</v>
      </c>
      <c r="J4" s="4">
        <f t="shared" si="2"/>
        <v>18</v>
      </c>
      <c r="K4" s="4">
        <f t="shared" ref="K4:N4" si="3">ROUND(K2*d_customerConvertRate, 0)</f>
        <v>27</v>
      </c>
      <c r="L4" s="4">
        <f t="shared" si="3"/>
        <v>48</v>
      </c>
      <c r="M4" s="4">
        <f t="shared" si="3"/>
        <v>90</v>
      </c>
      <c r="N4" s="4">
        <f t="shared" si="3"/>
        <v>180</v>
      </c>
      <c r="Q4" s="4"/>
    </row>
    <row r="5" spans="1:17" x14ac:dyDescent="0.4">
      <c r="A5" s="1">
        <f t="shared" si="0"/>
        <v>4</v>
      </c>
      <c r="B5" s="1" t="s">
        <v>112</v>
      </c>
      <c r="C5" s="22">
        <f t="shared" ref="C5:N5" si="4">d_customerAvgRevenue</f>
        <v>11000</v>
      </c>
      <c r="D5" s="22">
        <f t="shared" si="4"/>
        <v>11000</v>
      </c>
      <c r="E5" s="22">
        <f t="shared" si="4"/>
        <v>11000</v>
      </c>
      <c r="F5" s="22">
        <f t="shared" si="4"/>
        <v>11000</v>
      </c>
      <c r="G5" s="22">
        <f t="shared" si="4"/>
        <v>11000</v>
      </c>
      <c r="H5" s="22">
        <f t="shared" si="4"/>
        <v>11000</v>
      </c>
      <c r="I5" s="22">
        <f t="shared" si="4"/>
        <v>11000</v>
      </c>
      <c r="J5" s="22">
        <f t="shared" si="4"/>
        <v>11000</v>
      </c>
      <c r="K5" s="22">
        <f t="shared" si="4"/>
        <v>11000</v>
      </c>
      <c r="L5" s="22">
        <f t="shared" si="4"/>
        <v>11000</v>
      </c>
      <c r="M5" s="22">
        <f t="shared" si="4"/>
        <v>11000</v>
      </c>
      <c r="N5" s="22">
        <f t="shared" si="4"/>
        <v>11000</v>
      </c>
    </row>
    <row r="6" spans="1:17" x14ac:dyDescent="0.4">
      <c r="A6" s="1">
        <f t="shared" si="0"/>
        <v>5</v>
      </c>
      <c r="B6" s="1" t="s">
        <v>113</v>
      </c>
      <c r="C6" s="22">
        <f>C5*3</f>
        <v>33000</v>
      </c>
      <c r="D6" s="22">
        <f t="shared" ref="D6:J6" si="5">D5*3</f>
        <v>33000</v>
      </c>
      <c r="E6" s="22">
        <f t="shared" si="5"/>
        <v>33000</v>
      </c>
      <c r="F6" s="22">
        <f t="shared" si="5"/>
        <v>33000</v>
      </c>
      <c r="G6" s="22">
        <f t="shared" si="5"/>
        <v>33000</v>
      </c>
      <c r="H6" s="22">
        <f t="shared" si="5"/>
        <v>33000</v>
      </c>
      <c r="I6" s="22">
        <f t="shared" si="5"/>
        <v>33000</v>
      </c>
      <c r="J6" s="22">
        <f t="shared" si="5"/>
        <v>33000</v>
      </c>
      <c r="K6" s="22">
        <f t="shared" ref="K6:N6" si="6">K5*3</f>
        <v>33000</v>
      </c>
      <c r="L6" s="22">
        <f t="shared" si="6"/>
        <v>33000</v>
      </c>
      <c r="M6" s="22">
        <f t="shared" si="6"/>
        <v>33000</v>
      </c>
      <c r="N6" s="22">
        <f t="shared" si="6"/>
        <v>33000</v>
      </c>
    </row>
    <row r="7" spans="1:17" x14ac:dyDescent="0.4">
      <c r="A7" s="1">
        <f t="shared" si="0"/>
        <v>6</v>
      </c>
      <c r="B7" s="1" t="s">
        <v>82</v>
      </c>
      <c r="C7" s="12">
        <f t="shared" ref="C7:J7" si="7">C2*d_customerAvgRevenue</f>
        <v>5500000</v>
      </c>
      <c r="D7" s="12">
        <f t="shared" si="7"/>
        <v>8800000</v>
      </c>
      <c r="E7" s="12">
        <f t="shared" si="7"/>
        <v>10120000</v>
      </c>
      <c r="F7" s="12">
        <f t="shared" si="7"/>
        <v>12100000</v>
      </c>
      <c r="G7" s="12">
        <f t="shared" si="7"/>
        <v>14850000</v>
      </c>
      <c r="H7" s="12">
        <f t="shared" si="7"/>
        <v>18700000</v>
      </c>
      <c r="I7" s="12">
        <f t="shared" si="7"/>
        <v>24200000</v>
      </c>
      <c r="J7" s="12">
        <f t="shared" si="7"/>
        <v>33000000</v>
      </c>
      <c r="K7" s="12">
        <f t="shared" ref="K7:N7" si="8">K2*d_customerAvgRevenue</f>
        <v>49500000</v>
      </c>
      <c r="L7" s="12">
        <f t="shared" si="8"/>
        <v>88000000</v>
      </c>
      <c r="M7" s="12">
        <f t="shared" si="8"/>
        <v>165000000</v>
      </c>
      <c r="N7" s="12">
        <f t="shared" si="8"/>
        <v>330000000</v>
      </c>
    </row>
    <row r="8" spans="1:17" x14ac:dyDescent="0.4">
      <c r="A8" s="1">
        <f t="shared" si="0"/>
        <v>7</v>
      </c>
      <c r="B8" s="52" t="s">
        <v>114</v>
      </c>
      <c r="C8" s="16">
        <f>C7*3</f>
        <v>16500000</v>
      </c>
      <c r="D8" s="16">
        <f t="shared" ref="D8:J8" si="9">D7*3</f>
        <v>26400000</v>
      </c>
      <c r="E8" s="16">
        <f t="shared" si="9"/>
        <v>30360000</v>
      </c>
      <c r="F8" s="16">
        <f t="shared" si="9"/>
        <v>36300000</v>
      </c>
      <c r="G8" s="16">
        <f t="shared" si="9"/>
        <v>44550000</v>
      </c>
      <c r="H8" s="16">
        <f t="shared" si="9"/>
        <v>56100000</v>
      </c>
      <c r="I8" s="16">
        <f t="shared" si="9"/>
        <v>72600000</v>
      </c>
      <c r="J8" s="16">
        <f t="shared" si="9"/>
        <v>99000000</v>
      </c>
      <c r="K8" s="16">
        <f t="shared" ref="K8:N8" si="10">K7*3</f>
        <v>148500000</v>
      </c>
      <c r="L8" s="16">
        <f t="shared" si="10"/>
        <v>264000000</v>
      </c>
      <c r="M8" s="16">
        <f t="shared" si="10"/>
        <v>495000000</v>
      </c>
      <c r="N8" s="16">
        <f t="shared" si="10"/>
        <v>990000000</v>
      </c>
    </row>
    <row r="9" spans="1:17" x14ac:dyDescent="0.4">
      <c r="A9" s="1">
        <f>ROW(A8)</f>
        <v>8</v>
      </c>
      <c r="B9" s="1" t="s">
        <v>261</v>
      </c>
      <c r="D9" s="21">
        <f>D2/C2</f>
        <v>1.6</v>
      </c>
      <c r="E9" s="21">
        <f t="shared" ref="E9:N9" si="11">E2/D2</f>
        <v>1.1499999999999999</v>
      </c>
      <c r="F9" s="21">
        <f t="shared" si="11"/>
        <v>1.1956521739130435</v>
      </c>
      <c r="G9" s="21">
        <f t="shared" si="11"/>
        <v>1.2272727272727273</v>
      </c>
      <c r="H9" s="21">
        <f t="shared" si="11"/>
        <v>1.2592592592592593</v>
      </c>
      <c r="I9" s="21">
        <f t="shared" si="11"/>
        <v>1.2941176470588236</v>
      </c>
      <c r="J9" s="21">
        <f t="shared" si="11"/>
        <v>1.3636363636363635</v>
      </c>
      <c r="K9" s="21">
        <f t="shared" si="11"/>
        <v>1.5</v>
      </c>
      <c r="L9" s="21">
        <f t="shared" si="11"/>
        <v>1.7777777777777777</v>
      </c>
      <c r="M9" s="21">
        <f t="shared" si="11"/>
        <v>1.875</v>
      </c>
      <c r="N9" s="21">
        <f t="shared" si="11"/>
        <v>2</v>
      </c>
    </row>
    <row r="10" spans="1:17" x14ac:dyDescent="0.4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2" spans="1:17" x14ac:dyDescent="0.4">
      <c r="F12" s="5"/>
      <c r="G12" s="5"/>
      <c r="H12" s="5"/>
      <c r="I12" s="5"/>
      <c r="J12" s="5"/>
      <c r="K12" s="5"/>
      <c r="L12" s="5"/>
      <c r="M12" s="5"/>
      <c r="N12" s="5"/>
    </row>
    <row r="15" spans="1:17" x14ac:dyDescent="0.4">
      <c r="A15" s="1" t="s">
        <v>35</v>
      </c>
      <c r="B15" s="1" t="s">
        <v>255</v>
      </c>
      <c r="C15" s="1" t="s">
        <v>126</v>
      </c>
      <c r="D15" s="1" t="s">
        <v>259</v>
      </c>
    </row>
    <row r="16" spans="1:17" x14ac:dyDescent="0.4">
      <c r="B16" s="1" t="s">
        <v>256</v>
      </c>
      <c r="C16" s="4">
        <v>920</v>
      </c>
      <c r="G16" s="1">
        <v>1400</v>
      </c>
      <c r="H16" s="1">
        <v>1401</v>
      </c>
      <c r="I16" s="1">
        <v>1402</v>
      </c>
    </row>
    <row r="17" spans="2:10" x14ac:dyDescent="0.4">
      <c r="B17" s="1" t="s">
        <v>228</v>
      </c>
      <c r="C17" s="4">
        <f t="shared" ref="C17:C43" si="12">ROUND(C16*(1+CAGR), 0)</f>
        <v>1051</v>
      </c>
      <c r="G17" s="5">
        <f>F2</f>
        <v>1100</v>
      </c>
      <c r="H17" s="5">
        <f>J2</f>
        <v>3000</v>
      </c>
      <c r="I17" s="5">
        <f>N2</f>
        <v>30000</v>
      </c>
    </row>
    <row r="18" spans="2:10" x14ac:dyDescent="0.4">
      <c r="B18" s="1" t="s">
        <v>229</v>
      </c>
      <c r="C18" s="4">
        <f t="shared" si="12"/>
        <v>1200</v>
      </c>
      <c r="G18" s="12">
        <f>SUM(C8:F8)</f>
        <v>109560000</v>
      </c>
      <c r="H18" s="12">
        <f>SUM(G8:J8)</f>
        <v>272250000</v>
      </c>
      <c r="I18" s="12">
        <f>SUM(K8:N8)</f>
        <v>1897500000</v>
      </c>
    </row>
    <row r="19" spans="2:10" x14ac:dyDescent="0.4">
      <c r="B19" s="1" t="s">
        <v>230</v>
      </c>
      <c r="C19" s="4">
        <f t="shared" si="12"/>
        <v>1370</v>
      </c>
      <c r="F19" s="1" t="s">
        <v>70</v>
      </c>
      <c r="G19" s="12">
        <f>G18/12</f>
        <v>9130000</v>
      </c>
      <c r="H19" s="12">
        <f t="shared" ref="H19:I19" si="13">H18/12</f>
        <v>22687500</v>
      </c>
      <c r="I19" s="12">
        <f t="shared" si="13"/>
        <v>158125000</v>
      </c>
    </row>
    <row r="20" spans="2:10" x14ac:dyDescent="0.4">
      <c r="B20" s="1" t="s">
        <v>231</v>
      </c>
      <c r="C20" s="4">
        <f t="shared" si="12"/>
        <v>1565</v>
      </c>
      <c r="F20" s="1" t="s">
        <v>262</v>
      </c>
      <c r="G20" s="51">
        <f>G18/365</f>
        <v>300164.38356164383</v>
      </c>
      <c r="H20" s="51">
        <f t="shared" ref="H20:I20" si="14">H18/365</f>
        <v>745890.41095890407</v>
      </c>
      <c r="I20" s="51">
        <f t="shared" si="14"/>
        <v>5198630.1369863013</v>
      </c>
    </row>
    <row r="21" spans="2:10" x14ac:dyDescent="0.4">
      <c r="B21" s="1" t="s">
        <v>232</v>
      </c>
      <c r="C21" s="4">
        <f t="shared" si="12"/>
        <v>1787</v>
      </c>
    </row>
    <row r="22" spans="2:10" x14ac:dyDescent="0.4">
      <c r="B22" s="1" t="s">
        <v>233</v>
      </c>
      <c r="C22" s="4">
        <f t="shared" si="12"/>
        <v>2041</v>
      </c>
    </row>
    <row r="23" spans="2:10" x14ac:dyDescent="0.4">
      <c r="B23" s="1" t="s">
        <v>234</v>
      </c>
      <c r="C23" s="4">
        <f t="shared" si="12"/>
        <v>2331</v>
      </c>
    </row>
    <row r="24" spans="2:10" x14ac:dyDescent="0.4">
      <c r="B24" s="1" t="s">
        <v>235</v>
      </c>
      <c r="C24" s="4">
        <f t="shared" si="12"/>
        <v>2662</v>
      </c>
      <c r="G24" s="1">
        <f>H24*1.5</f>
        <v>0</v>
      </c>
      <c r="H24" s="18"/>
      <c r="I24" s="1">
        <f>(11+6+1+1+1) *1.2</f>
        <v>24</v>
      </c>
    </row>
    <row r="25" spans="2:10" x14ac:dyDescent="0.4">
      <c r="B25" s="1" t="s">
        <v>236</v>
      </c>
      <c r="C25" s="4">
        <f t="shared" si="12"/>
        <v>3040</v>
      </c>
      <c r="H25" s="1">
        <f>I25*3</f>
        <v>90</v>
      </c>
      <c r="I25" s="1">
        <v>30</v>
      </c>
    </row>
    <row r="26" spans="2:10" x14ac:dyDescent="0.4">
      <c r="B26" s="1" t="s">
        <v>237</v>
      </c>
      <c r="C26" s="4">
        <f t="shared" si="12"/>
        <v>3472</v>
      </c>
      <c r="H26" s="1">
        <f>I26*12</f>
        <v>600</v>
      </c>
      <c r="I26" s="1">
        <v>50</v>
      </c>
      <c r="J26" s="1">
        <f>I24*1.5</f>
        <v>36</v>
      </c>
    </row>
    <row r="27" spans="2:10" x14ac:dyDescent="0.4">
      <c r="B27" s="1" t="s">
        <v>238</v>
      </c>
      <c r="C27" s="4">
        <f t="shared" si="12"/>
        <v>3965</v>
      </c>
      <c r="H27" s="1">
        <f>I27*12</f>
        <v>1800</v>
      </c>
      <c r="I27" s="1">
        <v>150</v>
      </c>
      <c r="J27" s="1">
        <f>J26*1.5</f>
        <v>54</v>
      </c>
    </row>
    <row r="28" spans="2:10" x14ac:dyDescent="0.4">
      <c r="B28" s="1" t="s">
        <v>239</v>
      </c>
      <c r="C28" s="4">
        <f t="shared" si="12"/>
        <v>4528</v>
      </c>
      <c r="H28" s="1">
        <f>H27+H26+H25</f>
        <v>2490</v>
      </c>
    </row>
    <row r="29" spans="2:10" x14ac:dyDescent="0.4">
      <c r="B29" s="1" t="s">
        <v>240</v>
      </c>
      <c r="C29" s="4">
        <f t="shared" si="12"/>
        <v>5171</v>
      </c>
      <c r="J29" s="1">
        <f>J26*12</f>
        <v>432</v>
      </c>
    </row>
    <row r="30" spans="2:10" x14ac:dyDescent="0.4">
      <c r="B30" s="1" t="s">
        <v>241</v>
      </c>
      <c r="C30" s="4">
        <f t="shared" si="12"/>
        <v>5905</v>
      </c>
      <c r="J30" s="1">
        <f>J27*12</f>
        <v>648</v>
      </c>
    </row>
    <row r="31" spans="2:10" x14ac:dyDescent="0.4">
      <c r="B31" s="1" t="s">
        <v>242</v>
      </c>
      <c r="C31" s="4">
        <f t="shared" si="12"/>
        <v>6744</v>
      </c>
      <c r="D31" s="1" t="s">
        <v>258</v>
      </c>
      <c r="J31" s="1">
        <f>J30+J29</f>
        <v>1080</v>
      </c>
    </row>
    <row r="32" spans="2:10" x14ac:dyDescent="0.4">
      <c r="B32" s="1" t="s">
        <v>243</v>
      </c>
      <c r="C32" s="4">
        <f t="shared" si="12"/>
        <v>7702</v>
      </c>
    </row>
    <row r="33" spans="2:4" x14ac:dyDescent="0.4">
      <c r="B33" s="1" t="s">
        <v>244</v>
      </c>
      <c r="C33" s="4">
        <f t="shared" si="12"/>
        <v>8796</v>
      </c>
    </row>
    <row r="34" spans="2:4" x14ac:dyDescent="0.4">
      <c r="B34" s="1" t="s">
        <v>245</v>
      </c>
      <c r="C34" s="4">
        <f t="shared" si="12"/>
        <v>10045</v>
      </c>
      <c r="D34" s="1" t="s">
        <v>258</v>
      </c>
    </row>
    <row r="35" spans="2:4" x14ac:dyDescent="0.4">
      <c r="B35" s="1" t="s">
        <v>246</v>
      </c>
      <c r="C35" s="4">
        <f t="shared" si="12"/>
        <v>11471</v>
      </c>
    </row>
    <row r="36" spans="2:4" x14ac:dyDescent="0.4">
      <c r="B36" s="1" t="s">
        <v>247</v>
      </c>
      <c r="C36" s="4">
        <f t="shared" si="12"/>
        <v>13100</v>
      </c>
    </row>
    <row r="37" spans="2:4" x14ac:dyDescent="0.4">
      <c r="B37" s="1" t="s">
        <v>248</v>
      </c>
      <c r="C37" s="4">
        <f t="shared" si="12"/>
        <v>14960</v>
      </c>
      <c r="D37" s="1" t="s">
        <v>258</v>
      </c>
    </row>
    <row r="38" spans="2:4" x14ac:dyDescent="0.4">
      <c r="B38" s="1" t="s">
        <v>249</v>
      </c>
      <c r="C38" s="4">
        <f t="shared" si="12"/>
        <v>17084</v>
      </c>
    </row>
    <row r="39" spans="2:4" x14ac:dyDescent="0.4">
      <c r="B39" s="1" t="s">
        <v>250</v>
      </c>
      <c r="C39" s="4">
        <f t="shared" si="12"/>
        <v>19510</v>
      </c>
    </row>
    <row r="40" spans="2:4" x14ac:dyDescent="0.4">
      <c r="B40" s="1" t="s">
        <v>251</v>
      </c>
      <c r="C40" s="4">
        <f t="shared" si="12"/>
        <v>22280</v>
      </c>
      <c r="D40" s="1" t="s">
        <v>258</v>
      </c>
    </row>
    <row r="41" spans="2:4" x14ac:dyDescent="0.4">
      <c r="B41" s="1" t="s">
        <v>252</v>
      </c>
      <c r="C41" s="4">
        <f t="shared" si="12"/>
        <v>25444</v>
      </c>
    </row>
    <row r="42" spans="2:4" x14ac:dyDescent="0.4">
      <c r="B42" s="1" t="s">
        <v>253</v>
      </c>
      <c r="C42" s="4">
        <f t="shared" si="12"/>
        <v>29057</v>
      </c>
    </row>
    <row r="43" spans="2:4" x14ac:dyDescent="0.4">
      <c r="B43" s="1" t="s">
        <v>254</v>
      </c>
      <c r="C43" s="4">
        <f t="shared" si="12"/>
        <v>33183</v>
      </c>
      <c r="D43" s="1" t="s">
        <v>258</v>
      </c>
    </row>
  </sheetData>
  <phoneticPr fontId="5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C13" sqref="C13"/>
    </sheetView>
  </sheetViews>
  <sheetFormatPr defaultColWidth="0" defaultRowHeight="17.25" zeroHeight="1" x14ac:dyDescent="0.25"/>
  <cols>
    <col min="1" max="1" width="9.140625" style="53" customWidth="1"/>
    <col min="2" max="2" width="41.7109375" style="53" bestFit="1" customWidth="1"/>
    <col min="3" max="3" width="33.140625" style="53" bestFit="1" customWidth="1"/>
    <col min="4" max="9" width="25.7109375" style="53" customWidth="1"/>
    <col min="10" max="10" width="27.5703125" style="53" customWidth="1"/>
    <col min="11" max="12" width="9.140625" style="53" customWidth="1"/>
    <col min="13" max="19" width="9.140625" style="53" hidden="1" customWidth="1"/>
    <col min="20" max="16384" width="0" style="53" hidden="1"/>
  </cols>
  <sheetData>
    <row r="1" spans="1:10" x14ac:dyDescent="0.25">
      <c r="A1" s="53" t="s">
        <v>0</v>
      </c>
      <c r="B1" s="53" t="s">
        <v>46</v>
      </c>
      <c r="C1" s="54" t="s">
        <v>136</v>
      </c>
      <c r="D1" s="54" t="s">
        <v>14</v>
      </c>
      <c r="E1" s="54" t="s">
        <v>15</v>
      </c>
      <c r="F1" s="54" t="s">
        <v>115</v>
      </c>
      <c r="G1" s="54" t="s">
        <v>116</v>
      </c>
      <c r="H1" s="54" t="s">
        <v>117</v>
      </c>
      <c r="I1" s="54" t="s">
        <v>123</v>
      </c>
      <c r="J1" s="53" t="s">
        <v>21</v>
      </c>
    </row>
    <row r="2" spans="1:10" x14ac:dyDescent="0.25">
      <c r="A2" s="53">
        <f>ROW(A1)</f>
        <v>1</v>
      </c>
      <c r="B2" s="53" t="s">
        <v>175</v>
      </c>
      <c r="C2" s="73" t="s">
        <v>176</v>
      </c>
      <c r="D2" s="55">
        <v>1</v>
      </c>
      <c r="E2" s="55">
        <v>2</v>
      </c>
      <c r="F2" s="55">
        <v>3</v>
      </c>
      <c r="G2" s="55">
        <v>4</v>
      </c>
      <c r="H2" s="55">
        <v>5</v>
      </c>
      <c r="I2" s="55">
        <v>6</v>
      </c>
      <c r="J2" s="56"/>
    </row>
    <row r="3" spans="1:10" x14ac:dyDescent="0.25">
      <c r="A3" s="53">
        <f>ROW(A1)</f>
        <v>1</v>
      </c>
      <c r="B3" s="53" t="s">
        <v>126</v>
      </c>
      <c r="C3" s="53" t="s">
        <v>127</v>
      </c>
      <c r="D3" s="55">
        <f>'پیش‌بینی درآمد'!F2</f>
        <v>1100</v>
      </c>
      <c r="E3" s="55">
        <f>'پیش‌بینی درآمد'!J2</f>
        <v>3000</v>
      </c>
      <c r="F3" s="55">
        <f>tbl_revenue_summary[[#This Row],[1401]]*(1+s_cagr)</f>
        <v>6750</v>
      </c>
      <c r="G3" s="55">
        <f>tbl_revenue_summary[[#This Row],[1402]]*(1+s_cagr)</f>
        <v>15187.5</v>
      </c>
      <c r="H3" s="55">
        <f>tbl_revenue_summary[[#This Row],[1403]]*(1+s_cagr)</f>
        <v>34171.875</v>
      </c>
      <c r="I3" s="55">
        <f>tbl_revenue_summary[[#This Row],[1404]]*(1+s_cagr)</f>
        <v>76886.71875</v>
      </c>
      <c r="J3" s="56"/>
    </row>
    <row r="4" spans="1:10" x14ac:dyDescent="0.25">
      <c r="A4" s="53">
        <f>ROW(A1)</f>
        <v>1</v>
      </c>
      <c r="B4" s="53" t="s">
        <v>98</v>
      </c>
      <c r="C4" s="53" t="s">
        <v>128</v>
      </c>
      <c r="D4" s="59">
        <f>SUM('پیش‌بینی درآمد'!C8:F8)</f>
        <v>109560000</v>
      </c>
      <c r="E4" s="59">
        <f>SUM('پیش‌بینی درآمد'!$G$8:$J$8)</f>
        <v>272250000</v>
      </c>
      <c r="F4" s="59">
        <f>tbl_revenue_summary[[#This Row],[1401]]*(1+s_cagr) *(1+s_costsGrowthYOY)</f>
        <v>857587500</v>
      </c>
      <c r="G4" s="59">
        <f>tbl_revenue_summary[[#This Row],[1402]]*(1+s_cagr)*(1+s_costsGrowthYOY)</f>
        <v>2701400625</v>
      </c>
      <c r="H4" s="59">
        <f>tbl_revenue_summary[[#This Row],[1403]]*(1+s_cagr)*(1+s_costsGrowthYOY)</f>
        <v>8509411968.749999</v>
      </c>
      <c r="I4" s="59">
        <f>tbl_revenue_summary[[#This Row],[1404]]*(1+s_cagr)*(1+s_costsGrowthYOY)</f>
        <v>26804647701.562492</v>
      </c>
      <c r="J4" s="56">
        <f>SUM(tbl_revenue_summary[[#This Row],[1400]:[1405]])</f>
        <v>39254857795.312492</v>
      </c>
    </row>
    <row r="5" spans="1:10" x14ac:dyDescent="0.25">
      <c r="A5" s="53">
        <f>ROW(A4)</f>
        <v>4</v>
      </c>
      <c r="B5" s="53" t="s">
        <v>188</v>
      </c>
      <c r="D5" s="74">
        <f t="shared" ref="D5:I5" si="0">D4/d_toman2dollar</f>
        <v>3534.1935483870966</v>
      </c>
      <c r="E5" s="74">
        <f t="shared" si="0"/>
        <v>8782.2580645161288</v>
      </c>
      <c r="F5" s="74">
        <f t="shared" si="0"/>
        <v>27664.112903225807</v>
      </c>
      <c r="G5" s="74">
        <f t="shared" si="0"/>
        <v>87141.955645161288</v>
      </c>
      <c r="H5" s="74">
        <f t="shared" si="0"/>
        <v>274497.16028225806</v>
      </c>
      <c r="I5" s="74">
        <f t="shared" si="0"/>
        <v>864666.05488911271</v>
      </c>
      <c r="J5" s="56">
        <f>SUM(tbl_revenue_summary[[#This Row],[1400]:[1405]])</f>
        <v>1266285.7353326611</v>
      </c>
    </row>
    <row r="6" spans="1:10" x14ac:dyDescent="0.25">
      <c r="A6" s="53">
        <f>ROW(A5)</f>
        <v>5</v>
      </c>
      <c r="B6" s="53" t="s">
        <v>191</v>
      </c>
      <c r="D6" s="75"/>
      <c r="E6" s="57">
        <f>E5/D5</f>
        <v>2.4849397590361448</v>
      </c>
      <c r="F6" s="57">
        <f t="shared" ref="F6:I6" si="1">F5/E5</f>
        <v>3.15</v>
      </c>
      <c r="G6" s="57">
        <f t="shared" si="1"/>
        <v>3.15</v>
      </c>
      <c r="H6" s="57">
        <f t="shared" si="1"/>
        <v>3.15</v>
      </c>
      <c r="I6" s="57">
        <f t="shared" si="1"/>
        <v>3.1499999999999995</v>
      </c>
      <c r="J6" s="56"/>
    </row>
    <row r="7" spans="1:10" x14ac:dyDescent="0.25">
      <c r="A7" s="53">
        <f>ROW(A4)</f>
        <v>4</v>
      </c>
      <c r="B7" s="53" t="s">
        <v>57</v>
      </c>
      <c r="C7" s="53" t="s">
        <v>130</v>
      </c>
      <c r="D7" s="59">
        <f>SUMIFS(tbl_sumary[1400],tbl_sumary[نوع],tbl_revenue_summary[[#This Row],[نوع]])</f>
        <v>3549600000</v>
      </c>
      <c r="E7" s="59">
        <f>SUMIFS(tbl_sumary[1401],tbl_sumary[نوع],tbl_revenue_summary[[#This Row],[نوع]])</f>
        <v>2164800000</v>
      </c>
      <c r="F7" s="59">
        <f>tbl_revenue_summary[[#This Row],[1401]]*(1+s_costsGrowthCapexYOY)</f>
        <v>2597760000</v>
      </c>
      <c r="G7" s="59">
        <f>tbl_revenue_summary[[#This Row],[1402]]*(1+s_costsGrowthCapexYOY)</f>
        <v>3117312000</v>
      </c>
      <c r="H7" s="59">
        <f>tbl_revenue_summary[[#This Row],[1403]]*(1+s_costsGrowthCapexYOY)</f>
        <v>3740774400</v>
      </c>
      <c r="I7" s="59">
        <f>tbl_revenue_summary[[#This Row],[1404]]*(1+s_costsGrowthCapexYOY)</f>
        <v>4488929280</v>
      </c>
      <c r="J7" s="59">
        <f>SUM(tbl_revenue_summary[[#This Row],[1400]:[1405]])</f>
        <v>19659175680</v>
      </c>
    </row>
    <row r="8" spans="1:10" x14ac:dyDescent="0.25">
      <c r="A8" s="53">
        <f t="shared" ref="A8:A11" si="2">ROW(A7)</f>
        <v>7</v>
      </c>
      <c r="B8" s="53" t="s">
        <v>45</v>
      </c>
      <c r="C8" s="53" t="s">
        <v>129</v>
      </c>
      <c r="D8" s="59">
        <f>SUMIFS(tbl_sumary[1400],tbl_sumary[نوع],tbl_revenue_summary[[#This Row],[نوع]])</f>
        <v>2258334000</v>
      </c>
      <c r="E8" s="59">
        <f>SUMIFS(tbl_sumary[1401],tbl_sumary[نوع],tbl_revenue_summary[[#This Row],[نوع]])</f>
        <v>9808700000</v>
      </c>
      <c r="F8" s="59">
        <f>tbl_revenue_summary[[#This Row],[1401]]*(1+s_costsGrowthYOY)</f>
        <v>13732180000</v>
      </c>
      <c r="G8" s="59">
        <f>tbl_revenue_summary[[#This Row],[1402]]*(1+s_costsGrowthYOY)</f>
        <v>19225052000</v>
      </c>
      <c r="H8" s="59">
        <f>tbl_revenue_summary[[#This Row],[1403]]*(1+s_costsGrowthYOY)</f>
        <v>26915072800</v>
      </c>
      <c r="I8" s="59">
        <f>tbl_revenue_summary[[#This Row],[1404]]*(1+s_costsGrowthYOY)</f>
        <v>37681101920</v>
      </c>
      <c r="J8" s="59">
        <f>SUM(tbl_revenue_summary[[#This Row],[1400]:[1405]])</f>
        <v>109620440720</v>
      </c>
    </row>
    <row r="9" spans="1:10" x14ac:dyDescent="0.25">
      <c r="A9" s="53">
        <f>ROW(A8)</f>
        <v>8</v>
      </c>
      <c r="B9" s="53" t="s">
        <v>131</v>
      </c>
      <c r="C9" s="53" t="s">
        <v>120</v>
      </c>
      <c r="D9" s="59">
        <f t="shared" ref="D9:I9" si="3">D4-D8</f>
        <v>-2148774000</v>
      </c>
      <c r="E9" s="59">
        <f t="shared" si="3"/>
        <v>-9536450000</v>
      </c>
      <c r="F9" s="59">
        <f t="shared" si="3"/>
        <v>-12874592500</v>
      </c>
      <c r="G9" s="59">
        <f t="shared" si="3"/>
        <v>-16523651375</v>
      </c>
      <c r="H9" s="59">
        <f t="shared" si="3"/>
        <v>-18405660831.25</v>
      </c>
      <c r="I9" s="59">
        <f t="shared" si="3"/>
        <v>-10876454218.437508</v>
      </c>
      <c r="J9" s="56"/>
    </row>
    <row r="10" spans="1:10" x14ac:dyDescent="0.25">
      <c r="A10" s="53">
        <f t="shared" si="2"/>
        <v>9</v>
      </c>
      <c r="B10" s="53" t="s">
        <v>132</v>
      </c>
      <c r="C10" s="53" t="s">
        <v>121</v>
      </c>
      <c r="D10" s="57">
        <f t="shared" ref="D10:I10" si="4">D9/D4</f>
        <v>-19.612760131434829</v>
      </c>
      <c r="E10" s="57">
        <f t="shared" si="4"/>
        <v>-35.028282828282826</v>
      </c>
      <c r="F10" s="57">
        <f t="shared" si="4"/>
        <v>-15.01257014590348</v>
      </c>
      <c r="G10" s="57">
        <f t="shared" si="4"/>
        <v>-6.1166978426237684</v>
      </c>
      <c r="H10" s="57">
        <f t="shared" si="4"/>
        <v>-2.1629768189438976</v>
      </c>
      <c r="I10" s="57">
        <f t="shared" si="4"/>
        <v>-0.40576747508617689</v>
      </c>
      <c r="J10" s="56"/>
    </row>
    <row r="11" spans="1:10" x14ac:dyDescent="0.25">
      <c r="A11" s="53">
        <f t="shared" si="2"/>
        <v>10</v>
      </c>
      <c r="B11" s="53" t="s">
        <v>192</v>
      </c>
      <c r="C11" s="53" t="s">
        <v>122</v>
      </c>
      <c r="D11" s="59">
        <f t="shared" ref="D11:I11" si="5">D9-D7</f>
        <v>-5698374000</v>
      </c>
      <c r="E11" s="59">
        <f t="shared" si="5"/>
        <v>-11701250000</v>
      </c>
      <c r="F11" s="59">
        <f t="shared" si="5"/>
        <v>-15472352500</v>
      </c>
      <c r="G11" s="59">
        <f t="shared" si="5"/>
        <v>-19640963375</v>
      </c>
      <c r="H11" s="59">
        <f t="shared" si="5"/>
        <v>-22146435231.25</v>
      </c>
      <c r="I11" s="59">
        <f t="shared" si="5"/>
        <v>-15365383498.437508</v>
      </c>
      <c r="J11" s="59">
        <f>SUM(tbl_revenue_summary[[#This Row],[1400]:[1405]])</f>
        <v>-90024758604.6875</v>
      </c>
    </row>
    <row r="12" spans="1:10" x14ac:dyDescent="0.25">
      <c r="A12" s="53">
        <f>ROW(A11)</f>
        <v>11</v>
      </c>
      <c r="B12" s="53" t="s">
        <v>193</v>
      </c>
      <c r="D12" s="59">
        <f>SUM($D$11:D11)</f>
        <v>-5698374000</v>
      </c>
      <c r="E12" s="59">
        <f>SUM($D$11:E11)</f>
        <v>-17399624000</v>
      </c>
      <c r="F12" s="59">
        <f>SUM($D$11:F11)</f>
        <v>-32871976500</v>
      </c>
      <c r="G12" s="59">
        <f>SUM($D$11:G11)</f>
        <v>-52512939875</v>
      </c>
      <c r="H12" s="59">
        <f>SUM($D$11:H11)</f>
        <v>-74659375106.25</v>
      </c>
      <c r="I12" s="59">
        <f>SUM($D$11:I11)</f>
        <v>-90024758604.6875</v>
      </c>
      <c r="J12" s="59"/>
    </row>
    <row r="13" spans="1:10" x14ac:dyDescent="0.25">
      <c r="A13" s="53">
        <f>ROW(A12)</f>
        <v>12</v>
      </c>
      <c r="B13" s="53" t="s">
        <v>196</v>
      </c>
      <c r="C13" s="53" t="s">
        <v>195</v>
      </c>
      <c r="D13" s="57">
        <f t="shared" ref="D13:I13" si="6">D12/v_totalFund</f>
        <v>-0.28491870000000002</v>
      </c>
      <c r="E13" s="57">
        <f t="shared" si="6"/>
        <v>-0.86998120000000001</v>
      </c>
      <c r="F13" s="57">
        <f t="shared" si="6"/>
        <v>-1.643598825</v>
      </c>
      <c r="G13" s="57">
        <f t="shared" si="6"/>
        <v>-2.6256469937500002</v>
      </c>
      <c r="H13" s="57">
        <f t="shared" si="6"/>
        <v>-3.7329687553125002</v>
      </c>
      <c r="I13" s="57">
        <f t="shared" si="6"/>
        <v>-4.5012379302343746</v>
      </c>
      <c r="J13" s="57"/>
    </row>
    <row r="14" spans="1:10" x14ac:dyDescent="0.25">
      <c r="D14" s="57"/>
      <c r="E14" s="57"/>
      <c r="F14" s="57"/>
      <c r="G14" s="57"/>
      <c r="H14" s="57"/>
      <c r="I14" s="57"/>
      <c r="J14" s="57"/>
    </row>
    <row r="15" spans="1:10" x14ac:dyDescent="0.25">
      <c r="D15" s="59"/>
      <c r="E15" s="59"/>
      <c r="F15" s="59"/>
      <c r="G15" s="59"/>
      <c r="H15" s="59"/>
      <c r="I15" s="59"/>
    </row>
    <row r="16" spans="1:10" x14ac:dyDescent="0.25">
      <c r="B16" s="53" t="s">
        <v>190</v>
      </c>
      <c r="C16" s="59">
        <v>20000000000</v>
      </c>
      <c r="D16" s="59"/>
      <c r="E16" s="59"/>
      <c r="F16" s="59"/>
      <c r="G16" s="59"/>
      <c r="H16" s="59"/>
      <c r="I16" s="59"/>
    </row>
    <row r="17" spans="2:9" x14ac:dyDescent="0.25">
      <c r="C17" s="59"/>
      <c r="D17" s="59"/>
      <c r="E17" s="59"/>
      <c r="F17" s="59"/>
      <c r="G17" s="59"/>
      <c r="H17" s="59"/>
      <c r="I17" s="59"/>
    </row>
    <row r="18" spans="2:9" x14ac:dyDescent="0.25">
      <c r="C18" s="59"/>
      <c r="D18" s="59"/>
      <c r="E18" s="59"/>
      <c r="F18" s="59"/>
      <c r="G18" s="59"/>
      <c r="H18" s="59"/>
      <c r="I18" s="59"/>
    </row>
    <row r="19" spans="2:9" x14ac:dyDescent="0.25">
      <c r="C19" s="59"/>
      <c r="D19" s="59"/>
      <c r="E19" s="59"/>
      <c r="F19" s="59"/>
      <c r="G19" s="59"/>
      <c r="H19" s="59"/>
      <c r="I19" s="59"/>
    </row>
    <row r="20" spans="2:9" x14ac:dyDescent="0.25"/>
    <row r="21" spans="2:9" x14ac:dyDescent="0.25">
      <c r="B21" s="83" t="s">
        <v>177</v>
      </c>
      <c r="C21" s="83"/>
      <c r="D21" s="83"/>
      <c r="E21" s="83"/>
      <c r="F21" s="83"/>
      <c r="G21" s="83"/>
      <c r="H21" s="83"/>
      <c r="I21" s="83"/>
    </row>
    <row r="22" spans="2:9" x14ac:dyDescent="0.25">
      <c r="B22" s="53" t="s">
        <v>141</v>
      </c>
      <c r="C22" s="53" t="s">
        <v>133</v>
      </c>
      <c r="D22" s="58">
        <v>0.3</v>
      </c>
    </row>
    <row r="23" spans="2:9" x14ac:dyDescent="0.25">
      <c r="B23" s="53" t="s">
        <v>183</v>
      </c>
      <c r="C23" s="53" t="s">
        <v>134</v>
      </c>
      <c r="D23" s="53">
        <v>2</v>
      </c>
    </row>
    <row r="24" spans="2:9" x14ac:dyDescent="0.25">
      <c r="B24" s="53" t="s">
        <v>182</v>
      </c>
      <c r="C24" s="53" t="s">
        <v>135</v>
      </c>
      <c r="D24" s="59">
        <f t="shared" ref="D24:I24" si="7">D11/(1+v_DiscountRate)^D2</f>
        <v>-4383364615.3846149</v>
      </c>
      <c r="E24" s="59">
        <f t="shared" si="7"/>
        <v>-6923816568.0473366</v>
      </c>
      <c r="F24" s="59">
        <f t="shared" si="7"/>
        <v>-7042490896.6772852</v>
      </c>
      <c r="G24" s="59">
        <f t="shared" si="7"/>
        <v>-6876847230.4891272</v>
      </c>
      <c r="H24" s="59">
        <f t="shared" si="7"/>
        <v>-5964678900.8276463</v>
      </c>
      <c r="I24" s="59">
        <f t="shared" si="7"/>
        <v>-3183341934.2753158</v>
      </c>
    </row>
    <row r="25" spans="2:9" x14ac:dyDescent="0.25">
      <c r="B25" s="53" t="s">
        <v>180</v>
      </c>
      <c r="C25" s="53" t="s">
        <v>179</v>
      </c>
      <c r="D25" s="59">
        <f t="shared" ref="D25:I25" si="8">D4*v_ExitRevenueMultiple/(1+v_DiscountRate)^D2</f>
        <v>168553846.15384614</v>
      </c>
      <c r="E25" s="59">
        <f t="shared" si="8"/>
        <v>322189349.11242598</v>
      </c>
      <c r="F25" s="59">
        <f t="shared" si="8"/>
        <v>780689576.6954937</v>
      </c>
      <c r="G25" s="59">
        <f t="shared" si="8"/>
        <v>1891670897.3775425</v>
      </c>
      <c r="H25" s="59">
        <f t="shared" si="8"/>
        <v>4583664097.4917364</v>
      </c>
      <c r="I25" s="59">
        <f t="shared" si="8"/>
        <v>11106570697.768436</v>
      </c>
    </row>
    <row r="26" spans="2:9" x14ac:dyDescent="0.25">
      <c r="B26" s="53" t="s">
        <v>181</v>
      </c>
      <c r="C26" s="53" t="s">
        <v>174</v>
      </c>
      <c r="D26" s="59" t="str">
        <f>IF(SUM($D$24:D24) + D25 &gt; 0, SUM($D$24:D24) + D25, "-")</f>
        <v>-</v>
      </c>
      <c r="E26" s="59" t="str">
        <f>IF(SUM($D$24:E24) + E25 &gt; 0, SUM($D$24:E24) + E25, "-")</f>
        <v>-</v>
      </c>
      <c r="F26" s="59" t="str">
        <f>IF(SUM($D$24:F24) + F25 &gt; 0, SUM($D$24:F24) + F25, "-")</f>
        <v>-</v>
      </c>
      <c r="G26" s="59" t="str">
        <f>IF(SUM($D$24:G24) + G25 &gt; 0, SUM($D$24:G24) + G25, "-")</f>
        <v>-</v>
      </c>
      <c r="H26" s="59" t="str">
        <f>IF(SUM($D$24:H24) + H25 &gt; 0, SUM($D$24:H24) + H25, "-")</f>
        <v>-</v>
      </c>
      <c r="I26" s="59" t="str">
        <f>IF(SUM($D$24:I24) + I25 &gt; 0, SUM($D$24:I24) + I25, "-")</f>
        <v>-</v>
      </c>
    </row>
    <row r="27" spans="2:9" x14ac:dyDescent="0.25">
      <c r="B27" s="53" t="s">
        <v>189</v>
      </c>
      <c r="D27" s="74" t="str">
        <f t="shared" ref="D27:I27" si="9">IFERROR(D26/d_toman2dollar, "-")</f>
        <v>-</v>
      </c>
      <c r="E27" s="74" t="str">
        <f t="shared" si="9"/>
        <v>-</v>
      </c>
      <c r="F27" s="74" t="str">
        <f t="shared" si="9"/>
        <v>-</v>
      </c>
      <c r="G27" s="74" t="str">
        <f t="shared" si="9"/>
        <v>-</v>
      </c>
      <c r="H27" s="74" t="str">
        <f t="shared" si="9"/>
        <v>-</v>
      </c>
      <c r="I27" s="74" t="str">
        <f t="shared" si="9"/>
        <v>-</v>
      </c>
    </row>
    <row r="28" spans="2:9" x14ac:dyDescent="0.25">
      <c r="D28" s="74"/>
      <c r="E28" s="74"/>
      <c r="F28" s="74"/>
      <c r="G28" s="74"/>
      <c r="H28" s="74"/>
      <c r="I28" s="74"/>
    </row>
    <row r="29" spans="2:9" x14ac:dyDescent="0.25">
      <c r="D29" s="59"/>
      <c r="E29" s="59"/>
      <c r="F29" s="59"/>
      <c r="G29" s="59"/>
      <c r="H29" s="59"/>
      <c r="I29" s="59"/>
    </row>
    <row r="30" spans="2:9" x14ac:dyDescent="0.25">
      <c r="B30" s="83" t="s">
        <v>178</v>
      </c>
      <c r="C30" s="83"/>
      <c r="D30" s="83"/>
      <c r="E30" s="83"/>
      <c r="F30" s="83"/>
      <c r="G30" s="83"/>
      <c r="H30" s="83"/>
      <c r="I30" s="83"/>
    </row>
    <row r="31" spans="2:9" x14ac:dyDescent="0.25">
      <c r="B31" s="53" t="s">
        <v>194</v>
      </c>
      <c r="C31" s="53" t="s">
        <v>138</v>
      </c>
      <c r="D31" s="57" t="str">
        <f>IFERROR(IRR($D$9:D9), "-")</f>
        <v>-</v>
      </c>
      <c r="E31" s="57" t="str">
        <f>IFERROR(IRR($D$9:E9), "-")</f>
        <v>-</v>
      </c>
      <c r="F31" s="57" t="str">
        <f>IFERROR(IRR($D$9:F9), "-")</f>
        <v>-</v>
      </c>
      <c r="G31" s="57" t="str">
        <f>IFERROR(IRR($D$9:G9), "-")</f>
        <v>-</v>
      </c>
      <c r="H31" s="57" t="str">
        <f>IFERROR(IRR($D$9:H9), "-")</f>
        <v>-</v>
      </c>
      <c r="I31" s="57" t="str">
        <f>IFERROR(IRR($D$9:I9), "-")</f>
        <v>-</v>
      </c>
    </row>
    <row r="32" spans="2:9" x14ac:dyDescent="0.25">
      <c r="B32" s="53" t="s">
        <v>187</v>
      </c>
      <c r="C32" s="53" t="s">
        <v>139</v>
      </c>
      <c r="D32" s="57" t="str">
        <f>IFERROR(IRR($D$11:D11), "-")</f>
        <v>-</v>
      </c>
      <c r="E32" s="57" t="str">
        <f>IFERROR(IRR($D$11:E11), "-")</f>
        <v>-</v>
      </c>
      <c r="F32" s="57" t="str">
        <f>IFERROR(IRR($D$11:F11), "-")</f>
        <v>-</v>
      </c>
      <c r="G32" s="57" t="str">
        <f>IFERROR(IRR($D$11:G11), "-")</f>
        <v>-</v>
      </c>
      <c r="H32" s="57" t="str">
        <f>IFERROR(IRR($D$11:H11), "-")</f>
        <v>-</v>
      </c>
      <c r="I32" s="57" t="str">
        <f>IFERROR(IRR($D$11:I11), "-")</f>
        <v>-</v>
      </c>
    </row>
    <row r="33" spans="2:9" x14ac:dyDescent="0.25">
      <c r="B33" s="53" t="s">
        <v>184</v>
      </c>
      <c r="C33" s="53" t="s">
        <v>140</v>
      </c>
      <c r="D33" s="59">
        <f>NPV(v_DiscountRate,D11)</f>
        <v>-4383364615.3846149</v>
      </c>
      <c r="E33" s="59">
        <f>NPV(v_DiscountRate,D11,E11)</f>
        <v>-11307181183.431952</v>
      </c>
      <c r="F33" s="59">
        <f>NPV(v_DiscountRate,D11,E11,F11)</f>
        <v>-18349672080.109241</v>
      </c>
      <c r="G33" s="59">
        <v>3</v>
      </c>
      <c r="H33" s="59">
        <f>NPV(v_DiscountRate,D11,E11,F11,G11,H11)</f>
        <v>-31191198211.426014</v>
      </c>
      <c r="I33" s="59">
        <f>NPV(v_DiscountRate,D11,E11,F11,G11,H11,I11)</f>
        <v>-34374540145.701324</v>
      </c>
    </row>
    <row r="34" spans="2:9" x14ac:dyDescent="0.25">
      <c r="D34" s="74"/>
      <c r="E34" s="74"/>
      <c r="F34" s="74"/>
      <c r="G34" s="74"/>
      <c r="H34" s="74"/>
      <c r="I34" s="74"/>
    </row>
    <row r="35" spans="2:9" x14ac:dyDescent="0.25">
      <c r="E35" s="72"/>
    </row>
    <row r="36" spans="2:9" x14ac:dyDescent="0.25">
      <c r="B36" s="83"/>
      <c r="C36" s="83"/>
      <c r="D36" s="83"/>
      <c r="E36" s="83"/>
      <c r="F36" s="83"/>
      <c r="G36" s="83"/>
      <c r="H36" s="83"/>
      <c r="I36" s="83"/>
    </row>
    <row r="37" spans="2:9" x14ac:dyDescent="0.25">
      <c r="D37" s="59"/>
      <c r="E37" s="59"/>
      <c r="F37" s="59"/>
      <c r="G37" s="59"/>
      <c r="H37" s="59"/>
      <c r="I37" s="59"/>
    </row>
    <row r="38" spans="2:9" x14ac:dyDescent="0.25">
      <c r="D38" s="59"/>
      <c r="E38" s="59"/>
      <c r="F38" s="59"/>
      <c r="G38" s="59"/>
      <c r="H38" s="59"/>
      <c r="I38" s="59"/>
    </row>
    <row r="39" spans="2:9" x14ac:dyDescent="0.25">
      <c r="D39" s="59"/>
      <c r="E39" s="59"/>
      <c r="F39" s="59"/>
      <c r="G39" s="59"/>
      <c r="H39" s="59"/>
      <c r="I39" s="59"/>
    </row>
    <row r="40" spans="2:9" x14ac:dyDescent="0.25">
      <c r="D40" s="59"/>
      <c r="E40" s="59"/>
      <c r="F40" s="59"/>
      <c r="G40" s="59"/>
      <c r="H40" s="59"/>
      <c r="I40" s="59"/>
    </row>
    <row r="41" spans="2:9" x14ac:dyDescent="0.25">
      <c r="D41" s="57"/>
      <c r="E41" s="57"/>
      <c r="F41" s="57"/>
      <c r="G41" s="57"/>
      <c r="H41" s="57"/>
      <c r="I41" s="57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2"/>
  <sheetViews>
    <sheetView rightToLeft="1" workbookViewId="0">
      <selection activeCell="K19" sqref="K19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8" si="0">ROW(A1)</f>
        <v>1</v>
      </c>
      <c r="B2" s="1" t="s">
        <v>220</v>
      </c>
      <c r="C2" s="77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/>
      <c r="J2" s="1">
        <v>1400</v>
      </c>
      <c r="K2" s="78">
        <f>SUMIFS(tbl_jibres_revenue[مبلغ درآمد کسب شده],tbl_jibres_revenue[سال],tbl_jibres_revenue_year[[#This Row],[به تفکیک سال]])</f>
        <v>191614020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78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77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شده]]/C2, "-")</f>
        <v>44.018801410105759</v>
      </c>
      <c r="J3" s="1">
        <v>1399</v>
      </c>
      <c r="K3" s="78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78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77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شده]]/C3, "-")</f>
        <v>0.68098838761345437</v>
      </c>
      <c r="J4" s="1" t="s">
        <v>1</v>
      </c>
      <c r="K4" s="78">
        <f>SUBTOTAL(109,tbl_jibres_revenue_year[جمع درآمد])</f>
        <v>486674585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78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77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شده]]/C4, "-")</f>
        <v>2.3579150386174739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78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0.72160687787632405</v>
      </c>
    </row>
    <row r="6" spans="1:18" x14ac:dyDescent="0.4">
      <c r="A6" s="1">
        <f t="shared" si="0"/>
        <v>5</v>
      </c>
      <c r="B6" s="1" t="s">
        <v>208</v>
      </c>
      <c r="C6" s="77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شده]]/C5, "-")</f>
        <v>1.6211138819617623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78">
        <f>SUMIFS(tbl_jibres_revenue[مبلغ درآمد کسب شده],tbl_jibres_revenue[سال],Table18[[#This Row],[سال]],tbl_jibres_revenue[فصل],Table18[[#This Row],[فصل]])</f>
        <v>140387520</v>
      </c>
      <c r="R6" s="38" t="str">
        <f>IFERROR(Table18[[#This Row],[جمع درآمد]]/#REF!, "-")</f>
        <v>-</v>
      </c>
    </row>
    <row r="7" spans="1:18" x14ac:dyDescent="0.4">
      <c r="A7" s="1">
        <f t="shared" si="0"/>
        <v>6</v>
      </c>
      <c r="B7" s="1" t="s">
        <v>207</v>
      </c>
      <c r="C7" s="77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شده]]/C6, "-")</f>
        <v>0.73146343964721572</v>
      </c>
      <c r="N7" s="1" t="s">
        <v>1</v>
      </c>
      <c r="Q7" s="78"/>
      <c r="R7" s="21">
        <f>SUBTOTAL(101,Table18[درصد رشد نسبت به فصل قبل])</f>
        <v>0.7008347818566687</v>
      </c>
    </row>
    <row r="8" spans="1:18" x14ac:dyDescent="0.4">
      <c r="A8" s="1">
        <f t="shared" si="0"/>
        <v>7</v>
      </c>
      <c r="B8" s="1" t="s">
        <v>206</v>
      </c>
      <c r="C8" s="77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شده]]/C7, "-")</f>
        <v>1.1976165439887838</v>
      </c>
    </row>
    <row r="9" spans="1:18" x14ac:dyDescent="0.4">
      <c r="A9" s="1">
        <f t="shared" si="0"/>
        <v>8</v>
      </c>
      <c r="B9" s="1" t="s">
        <v>205</v>
      </c>
      <c r="C9" s="77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شده]]/C8, "-")</f>
        <v>2.0847576679934443</v>
      </c>
    </row>
    <row r="10" spans="1:18" x14ac:dyDescent="0.4">
      <c r="A10" s="1">
        <f t="shared" si="0"/>
        <v>9</v>
      </c>
      <c r="B10" s="1" t="s">
        <v>216</v>
      </c>
      <c r="C10" s="77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شده]]/C9, "-")</f>
        <v>0.9971080413297394</v>
      </c>
    </row>
    <row r="11" spans="1:18" x14ac:dyDescent="0.4">
      <c r="A11" s="1">
        <f t="shared" si="0"/>
        <v>10</v>
      </c>
      <c r="B11" s="1" t="s">
        <v>204</v>
      </c>
      <c r="C11" s="77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شده]]/C10, "-")</f>
        <v>1.327739137780531</v>
      </c>
    </row>
    <row r="12" spans="1:18" x14ac:dyDescent="0.4">
      <c r="A12" s="1">
        <f t="shared" si="0"/>
        <v>11</v>
      </c>
      <c r="B12" s="1" t="s">
        <v>203</v>
      </c>
      <c r="C12" s="77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شده]]/C11, "-")</f>
        <v>0.46288598574821854</v>
      </c>
    </row>
    <row r="13" spans="1:18" x14ac:dyDescent="0.4">
      <c r="A13" s="1">
        <f t="shared" si="0"/>
        <v>12</v>
      </c>
      <c r="B13" s="1" t="s">
        <v>202</v>
      </c>
      <c r="C13" s="77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شده]]/C12, "-")</f>
        <v>2.0033904517547878</v>
      </c>
    </row>
    <row r="14" spans="1:18" x14ac:dyDescent="0.4">
      <c r="A14" s="1">
        <f t="shared" si="0"/>
        <v>13</v>
      </c>
      <c r="B14" s="1" t="s">
        <v>201</v>
      </c>
      <c r="C14" s="77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شده]]/C13, "-")</f>
        <v>0.81765082559575541</v>
      </c>
      <c r="J14" s="21"/>
    </row>
    <row r="15" spans="1:18" x14ac:dyDescent="0.4">
      <c r="A15" s="1">
        <f t="shared" si="0"/>
        <v>14</v>
      </c>
      <c r="B15" s="1" t="s">
        <v>200</v>
      </c>
      <c r="C15" s="77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شده]]/C14, "-")</f>
        <v>1.5596711847529969</v>
      </c>
    </row>
    <row r="16" spans="1:18" x14ac:dyDescent="0.4">
      <c r="A16" s="1">
        <f t="shared" si="0"/>
        <v>15</v>
      </c>
      <c r="B16" s="1" t="s">
        <v>199</v>
      </c>
      <c r="C16" s="77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>
        <f>IFERROR(tbl_jibres_revenue[[#This Row],[مبلغ درآمد کسب شده]]/C15, "-")</f>
        <v>1.1865941684614874</v>
      </c>
    </row>
    <row r="17" spans="1:7" x14ac:dyDescent="0.4">
      <c r="A17" s="1">
        <f t="shared" si="0"/>
        <v>16</v>
      </c>
      <c r="B17" s="1" t="s">
        <v>221</v>
      </c>
      <c r="C17" s="77">
        <v>18458000</v>
      </c>
      <c r="D17" s="18">
        <f>_xlfn.NUMBERVALUE(LEFT(tbl_jibres_revenue[[#This Row],[سال و ماه]],4))</f>
        <v>1400</v>
      </c>
      <c r="E17" s="18">
        <f>_xlfn.NUMBERVALUE(RIGHT(tbl_jibres_revenue[[#This Row],[سال و ماه]],2))</f>
        <v>3</v>
      </c>
      <c r="F17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7" s="38">
        <f>IFERROR(tbl_jibres_revenue[[#This Row],[مبلغ درآمد کسب شده]]/C16, "-")</f>
        <v>0.27895988376117359</v>
      </c>
    </row>
    <row r="18" spans="1:7" x14ac:dyDescent="0.4">
      <c r="A18" s="1">
        <f t="shared" si="0"/>
        <v>17</v>
      </c>
      <c r="B18" s="1" t="s">
        <v>222</v>
      </c>
      <c r="C18" s="77">
        <v>51226500</v>
      </c>
      <c r="D18" s="18">
        <f>_xlfn.NUMBERVALUE(LEFT(tbl_jibres_revenue[[#This Row],[سال و ماه]],4))</f>
        <v>1400</v>
      </c>
      <c r="E18" s="18">
        <f>_xlfn.NUMBERVALUE(RIGHT(tbl_jibres_revenue[[#This Row],[سال و ماه]],2))</f>
        <v>4</v>
      </c>
      <c r="F18" s="18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18" s="38">
        <f>IFERROR(tbl_jibres_revenue[[#This Row],[مبلغ درآمد کسب شده]]/C17, "-")</f>
        <v>2.7753006826308377</v>
      </c>
    </row>
    <row r="19" spans="1:7" x14ac:dyDescent="0.4">
      <c r="B19" s="76"/>
    </row>
    <row r="20" spans="1:7" x14ac:dyDescent="0.4">
      <c r="B20" s="76"/>
    </row>
    <row r="21" spans="1:7" x14ac:dyDescent="0.4">
      <c r="B21" s="76"/>
    </row>
    <row r="22" spans="1:7" x14ac:dyDescent="0.4">
      <c r="B22" s="76"/>
    </row>
    <row r="23" spans="1:7" x14ac:dyDescent="0.4">
      <c r="B23" s="76"/>
    </row>
    <row r="24" spans="1:7" x14ac:dyDescent="0.4">
      <c r="B24" s="76"/>
    </row>
    <row r="25" spans="1:7" x14ac:dyDescent="0.4">
      <c r="B25" s="76"/>
    </row>
    <row r="26" spans="1:7" x14ac:dyDescent="0.4">
      <c r="B26" s="76"/>
    </row>
    <row r="27" spans="1:7" x14ac:dyDescent="0.4">
      <c r="B27" s="76"/>
    </row>
    <row r="28" spans="1:7" x14ac:dyDescent="0.4">
      <c r="B28" s="76"/>
    </row>
    <row r="29" spans="1:7" x14ac:dyDescent="0.4">
      <c r="B29" s="76"/>
    </row>
    <row r="30" spans="1:7" x14ac:dyDescent="0.4">
      <c r="B30" s="76"/>
    </row>
    <row r="31" spans="1:7" x14ac:dyDescent="0.4">
      <c r="B31" s="76"/>
    </row>
    <row r="32" spans="1:7" x14ac:dyDescent="0.4">
      <c r="B32" s="76"/>
    </row>
  </sheetData>
  <phoneticPr fontId="5" type="noConversion"/>
  <conditionalFormatting sqref="G2:G1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F16" sqref="C16:F16"/>
    </sheetView>
  </sheetViews>
  <sheetFormatPr defaultColWidth="0" defaultRowHeight="17.25" zeroHeight="1" x14ac:dyDescent="0.25"/>
  <cols>
    <col min="1" max="1" width="21" style="54" bestFit="1" customWidth="1"/>
    <col min="2" max="2" width="21" style="54" customWidth="1"/>
    <col min="3" max="4" width="25.7109375" style="54" customWidth="1"/>
    <col min="5" max="5" width="26.7109375" style="54" bestFit="1" customWidth="1"/>
    <col min="6" max="13" width="25.7109375" style="54" customWidth="1"/>
    <col min="14" max="18" width="9.140625" style="54" customWidth="1"/>
    <col min="19" max="16384" width="9.140625" style="54" hidden="1"/>
  </cols>
  <sheetData>
    <row r="1" spans="1:13" x14ac:dyDescent="0.25">
      <c r="A1" s="63" t="s">
        <v>149</v>
      </c>
      <c r="B1" s="63" t="s">
        <v>161</v>
      </c>
      <c r="C1" s="63" t="s">
        <v>164</v>
      </c>
      <c r="D1" s="63" t="s">
        <v>167</v>
      </c>
      <c r="E1" s="63" t="s">
        <v>166</v>
      </c>
      <c r="F1" s="63" t="s">
        <v>168</v>
      </c>
      <c r="G1" s="63" t="s">
        <v>163</v>
      </c>
      <c r="H1" s="63" t="s">
        <v>142</v>
      </c>
      <c r="I1" s="63" t="s">
        <v>143</v>
      </c>
      <c r="J1" s="63" t="s">
        <v>144</v>
      </c>
      <c r="K1" s="63" t="s">
        <v>171</v>
      </c>
      <c r="L1" s="63" t="s">
        <v>145</v>
      </c>
      <c r="M1" s="63" t="s">
        <v>146</v>
      </c>
    </row>
    <row r="2" spans="1:13" x14ac:dyDescent="0.25">
      <c r="A2" s="54" t="s">
        <v>155</v>
      </c>
      <c r="B2" s="54" t="s">
        <v>162</v>
      </c>
      <c r="C2" s="60"/>
      <c r="D2" s="60">
        <v>0.55000000000000004</v>
      </c>
      <c r="E2" s="61">
        <v>6.0100000000000001E-2</v>
      </c>
      <c r="F2" s="61">
        <v>8.6E-3</v>
      </c>
      <c r="G2" s="61">
        <v>2.0000000000000001E-4</v>
      </c>
      <c r="H2" s="65">
        <f>IFERROR(tbl_fundraisingSteps[[#This Row],[1399]]*(1-H$13-v_seriA), "-")</f>
        <v>1.3999999999999999E-4</v>
      </c>
      <c r="I2" s="65">
        <f>IFERROR(tbl_fundraisingSteps[[#This Row],[Series A]]*(1-v_seriB), "-")</f>
        <v>1.12E-4</v>
      </c>
      <c r="J2" s="65">
        <f>IFERROR(tbl_fundraisingSteps[[#This Row],[Series B]]*(1-v_seriC), "-")</f>
        <v>9.5199999999999997E-5</v>
      </c>
      <c r="K2" s="65">
        <f>IFERROR(tbl_fundraisingSteps[[#This Row],[Series C]]*(1-v_seriD), "-")</f>
        <v>8.0919999999999991E-5</v>
      </c>
      <c r="L2" s="65">
        <f>IFERROR(tbl_fundraisingSteps[[#This Row],[Series D]]*(1-v_seriE), "-")</f>
        <v>7.2827999999999988E-5</v>
      </c>
      <c r="M2" s="65">
        <f>IFERROR(tbl_fundraisingSteps[[#This Row],[Series E]]*(1-v_seriF), "-")</f>
        <v>6.5545199999999997E-5</v>
      </c>
    </row>
    <row r="3" spans="1:13" x14ac:dyDescent="0.25">
      <c r="A3" s="54" t="s">
        <v>155</v>
      </c>
      <c r="B3" s="54" t="s">
        <v>156</v>
      </c>
      <c r="C3" s="60" t="s">
        <v>154</v>
      </c>
      <c r="D3" s="60" t="s">
        <v>154</v>
      </c>
      <c r="E3" s="60" t="s">
        <v>154</v>
      </c>
      <c r="F3" s="60" t="s">
        <v>154</v>
      </c>
      <c r="G3" s="60" t="s">
        <v>154</v>
      </c>
      <c r="H3" s="66">
        <v>0.2</v>
      </c>
      <c r="I3" s="61">
        <f>IFERROR(tbl_fundraisingSteps[[#This Row],[Series A]]*(1-v_seriB), "-")</f>
        <v>0.16000000000000003</v>
      </c>
      <c r="J3" s="61">
        <f>IFERROR(tbl_fundraisingSteps[[#This Row],[Series B]]*(1-v_seriC), "-")</f>
        <v>0.13600000000000001</v>
      </c>
      <c r="K3" s="61">
        <f>IFERROR(tbl_fundraisingSteps[[#This Row],[Series C]]*(1-v_seriD), "-")</f>
        <v>0.11560000000000001</v>
      </c>
      <c r="L3" s="61">
        <f>IFERROR(tbl_fundraisingSteps[[#This Row],[Series D]]*(1-v_seriE), "-")</f>
        <v>0.10404000000000001</v>
      </c>
      <c r="M3" s="61">
        <f>IFERROR(tbl_fundraisingSteps[[#This Row],[Series E]]*(1-v_seriF), "-")</f>
        <v>9.3636000000000011E-2</v>
      </c>
    </row>
    <row r="4" spans="1:13" x14ac:dyDescent="0.25">
      <c r="A4" s="54" t="s">
        <v>155</v>
      </c>
      <c r="B4" s="54" t="s">
        <v>157</v>
      </c>
      <c r="C4" s="60" t="s">
        <v>154</v>
      </c>
      <c r="D4" s="60" t="s">
        <v>154</v>
      </c>
      <c r="E4" s="60" t="s">
        <v>154</v>
      </c>
      <c r="F4" s="60" t="s">
        <v>154</v>
      </c>
      <c r="G4" s="60" t="s">
        <v>154</v>
      </c>
      <c r="H4" s="61" t="str">
        <f>IFERROR(tbl_fundraisingSteps[[#This Row],[1399]]*(1-H$13-v_seriA), "-")</f>
        <v>-</v>
      </c>
      <c r="I4" s="66">
        <v>0.2</v>
      </c>
      <c r="J4" s="61">
        <f>IFERROR(tbl_fundraisingSteps[[#This Row],[Series B]]*(1-v_seriC), "-")</f>
        <v>0.17</v>
      </c>
      <c r="K4" s="61">
        <f>IFERROR(tbl_fundraisingSteps[[#This Row],[Series C]]*(1-v_seriD), "-")</f>
        <v>0.14450000000000002</v>
      </c>
      <c r="L4" s="61">
        <f>IFERROR(tbl_fundraisingSteps[[#This Row],[Series D]]*(1-v_seriE), "-")</f>
        <v>0.13005000000000003</v>
      </c>
      <c r="M4" s="61">
        <f>IFERROR(tbl_fundraisingSteps[[#This Row],[Series E]]*(1-v_seriF), "-")</f>
        <v>0.11704500000000002</v>
      </c>
    </row>
    <row r="5" spans="1:13" x14ac:dyDescent="0.25">
      <c r="A5" s="54" t="s">
        <v>155</v>
      </c>
      <c r="B5" s="54" t="s">
        <v>158</v>
      </c>
      <c r="C5" s="60" t="s">
        <v>154</v>
      </c>
      <c r="D5" s="60" t="s">
        <v>154</v>
      </c>
      <c r="E5" s="60" t="s">
        <v>154</v>
      </c>
      <c r="F5" s="60" t="s">
        <v>154</v>
      </c>
      <c r="G5" s="60" t="s">
        <v>154</v>
      </c>
      <c r="H5" s="61" t="str">
        <f>IFERROR(tbl_fundraisingSteps[[#This Row],[1399]]*(1-H$13-v_seriA), "-")</f>
        <v>-</v>
      </c>
      <c r="I5" s="61" t="str">
        <f>IFERROR(tbl_fundraisingSteps[[#This Row],[Series A]]*(1-v_seriB), "-")</f>
        <v>-</v>
      </c>
      <c r="J5" s="66">
        <v>0.15</v>
      </c>
      <c r="K5" s="61">
        <f>IFERROR(tbl_fundraisingSteps[[#This Row],[Series C]]*(1-v_seriD), "-")</f>
        <v>0.1275</v>
      </c>
      <c r="L5" s="61">
        <f>IFERROR(tbl_fundraisingSteps[[#This Row],[Series D]]*(1-v_seriE), "-")</f>
        <v>0.11475</v>
      </c>
      <c r="M5" s="61">
        <f>IFERROR(tbl_fundraisingSteps[[#This Row],[Series E]]*(1-v_seriF), "-")</f>
        <v>0.10327500000000001</v>
      </c>
    </row>
    <row r="6" spans="1:13" x14ac:dyDescent="0.25">
      <c r="A6" s="54" t="s">
        <v>155</v>
      </c>
      <c r="B6" s="54" t="s">
        <v>159</v>
      </c>
      <c r="C6" s="60" t="s">
        <v>154</v>
      </c>
      <c r="D6" s="60" t="s">
        <v>154</v>
      </c>
      <c r="E6" s="60" t="s">
        <v>154</v>
      </c>
      <c r="F6" s="60" t="s">
        <v>154</v>
      </c>
      <c r="G6" s="60" t="s">
        <v>154</v>
      </c>
      <c r="H6" s="61" t="str">
        <f>IFERROR(tbl_fundraisingSteps[[#This Row],[1399]]*(1-H$13-v_seriA), "-")</f>
        <v>-</v>
      </c>
      <c r="I6" s="61" t="str">
        <f>IFERROR(tbl_fundraisingSteps[[#This Row],[Series A]]*(1-v_seriB), "-")</f>
        <v>-</v>
      </c>
      <c r="J6" s="61" t="str">
        <f>IFERROR(tbl_fundraisingSteps[[#This Row],[Series B]]*(1-v_seriC), "-")</f>
        <v>-</v>
      </c>
      <c r="K6" s="66">
        <v>0.15</v>
      </c>
      <c r="L6" s="61">
        <f>IFERROR(tbl_fundraisingSteps[[#This Row],[Series D]]*(1-v_seriE), "-")</f>
        <v>0.13500000000000001</v>
      </c>
      <c r="M6" s="61">
        <f>IFERROR(tbl_fundraisingSteps[[#This Row],[Series E]]*(1-v_seriF), "-")</f>
        <v>0.12150000000000001</v>
      </c>
    </row>
    <row r="7" spans="1:13" x14ac:dyDescent="0.25">
      <c r="A7" s="54" t="s">
        <v>155</v>
      </c>
      <c r="B7" s="54" t="s">
        <v>169</v>
      </c>
      <c r="C7" s="60" t="s">
        <v>154</v>
      </c>
      <c r="D7" s="60" t="s">
        <v>154</v>
      </c>
      <c r="E7" s="61" t="s">
        <v>154</v>
      </c>
      <c r="F7" s="60" t="s">
        <v>154</v>
      </c>
      <c r="G7" s="60" t="s">
        <v>154</v>
      </c>
      <c r="H7" s="61" t="str">
        <f>IFERROR(tbl_fundraisingSteps[[#This Row],[1399]]*(1-H$13-v_seriA), "-")</f>
        <v>-</v>
      </c>
      <c r="I7" s="61" t="str">
        <f>IFERROR(tbl_fundraisingSteps[[#This Row],[Series A]]*(1-v_seriB), "-")</f>
        <v>-</v>
      </c>
      <c r="J7" s="61" t="str">
        <f>IFERROR(tbl_fundraisingSteps[[#This Row],[Series B]]*(1-v_seriC), "-")</f>
        <v>-</v>
      </c>
      <c r="K7" s="61" t="str">
        <f>IFERROR(tbl_fundraisingSteps[[#This Row],[Series C]]*(1-v_seriD), "-")</f>
        <v>-</v>
      </c>
      <c r="L7" s="66">
        <v>0.1</v>
      </c>
      <c r="M7" s="61">
        <f>IFERROR(tbl_fundraisingSteps[[#This Row],[Series E]]*(1-v_seriF), "-")</f>
        <v>9.0000000000000011E-2</v>
      </c>
    </row>
    <row r="8" spans="1:13" ht="18" thickBot="1" x14ac:dyDescent="0.3">
      <c r="A8" s="54" t="s">
        <v>155</v>
      </c>
      <c r="B8" s="54" t="s">
        <v>172</v>
      </c>
      <c r="C8" s="60" t="s">
        <v>154</v>
      </c>
      <c r="D8" s="60" t="s">
        <v>154</v>
      </c>
      <c r="E8" s="61" t="s">
        <v>154</v>
      </c>
      <c r="F8" s="60" t="s">
        <v>154</v>
      </c>
      <c r="G8" s="60" t="s">
        <v>154</v>
      </c>
      <c r="H8" s="61" t="str">
        <f>IFERROR(tbl_fundraisingSteps[[#This Row],[1399]]*(1-H$13-v_seriA), "-")</f>
        <v>-</v>
      </c>
      <c r="I8" s="61" t="s">
        <v>154</v>
      </c>
      <c r="J8" s="61" t="str">
        <f>IFERROR(tbl_fundraisingSteps[[#This Row],[Series B]]*(1-v_seriC), "-")</f>
        <v>-</v>
      </c>
      <c r="K8" s="61" t="str">
        <f>IFERROR(tbl_fundraisingSteps[[#This Row],[Series C]]*(1-v_seriD), "-")</f>
        <v>-</v>
      </c>
      <c r="L8" s="61" t="str">
        <f>IFERROR(tbl_fundraisingSteps[[#This Row],[Series D]]*(1-v_seriE), "-")</f>
        <v>-</v>
      </c>
      <c r="M8" s="66">
        <v>0.1</v>
      </c>
    </row>
    <row r="9" spans="1:13" x14ac:dyDescent="0.25">
      <c r="A9" s="69" t="s">
        <v>147</v>
      </c>
      <c r="B9" s="69" t="s">
        <v>150</v>
      </c>
      <c r="C9" s="70">
        <v>0.9</v>
      </c>
      <c r="D9" s="70">
        <v>0.3</v>
      </c>
      <c r="E9" s="71">
        <v>0.86</v>
      </c>
      <c r="F9" s="71">
        <v>0.75139999999999996</v>
      </c>
      <c r="G9" s="71">
        <v>0.6593</v>
      </c>
      <c r="H9" s="71">
        <f>IFERROR(tbl_fundraisingSteps[[#This Row],[1399]]*(1-H$13-v_seriA), "-")</f>
        <v>0.46150999999999998</v>
      </c>
      <c r="I9" s="71">
        <f>IFERROR(tbl_fundraisingSteps[[#This Row],[Series A]]*(1-v_seriB), "-")</f>
        <v>0.36920799999999998</v>
      </c>
      <c r="J9" s="71">
        <f>IFERROR(tbl_fundraisingSteps[[#This Row],[Series B]]*(1-v_seriC), "-")</f>
        <v>0.31382679999999996</v>
      </c>
      <c r="K9" s="71">
        <f>IFERROR(tbl_fundraisingSteps[[#This Row],[Series C]]*(1-v_seriD), "-")</f>
        <v>0.26675277999999997</v>
      </c>
      <c r="L9" s="71">
        <f>IFERROR(tbl_fundraisingSteps[[#This Row],[Series D]]*(1-v_seriE), "-")</f>
        <v>0.24007750199999997</v>
      </c>
      <c r="M9" s="71">
        <f>IFERROR(tbl_fundraisingSteps[[#This Row],[Series E]]*(1-v_seriF), "-")</f>
        <v>0.21606975179999999</v>
      </c>
    </row>
    <row r="10" spans="1:13" x14ac:dyDescent="0.25">
      <c r="A10" s="54" t="s">
        <v>147</v>
      </c>
      <c r="B10" s="54" t="s">
        <v>151</v>
      </c>
      <c r="C10" s="60" t="s">
        <v>154</v>
      </c>
      <c r="D10" s="60" t="s">
        <v>154</v>
      </c>
      <c r="E10" s="60" t="s">
        <v>154</v>
      </c>
      <c r="F10" s="60">
        <v>0.19</v>
      </c>
      <c r="G10" s="60">
        <v>0.3</v>
      </c>
      <c r="H10" s="61">
        <f>IFERROR(tbl_fundraisingSteps[[#This Row],[1399]]*(1-H$13-v_seriA), "-")</f>
        <v>0.21</v>
      </c>
      <c r="I10" s="61">
        <f>IFERROR(tbl_fundraisingSteps[[#This Row],[Series A]]*(1-v_seriB), "-")</f>
        <v>0.16800000000000001</v>
      </c>
      <c r="J10" s="61">
        <f>IFERROR(tbl_fundraisingSteps[[#This Row],[Series B]]*(1-v_seriC), "-")</f>
        <v>0.14280000000000001</v>
      </c>
      <c r="K10" s="61">
        <f>IFERROR(tbl_fundraisingSteps[[#This Row],[Series C]]*(1-v_seriD), "-")</f>
        <v>0.12138</v>
      </c>
      <c r="L10" s="61">
        <f>IFERROR(tbl_fundraisingSteps[[#This Row],[Series D]]*(1-v_seriE), "-")</f>
        <v>0.10924200000000001</v>
      </c>
      <c r="M10" s="61">
        <f>IFERROR(tbl_fundraisingSteps[[#This Row],[Series E]]*(1-v_seriF), "-")</f>
        <v>9.8317800000000011E-2</v>
      </c>
    </row>
    <row r="11" spans="1:13" x14ac:dyDescent="0.25">
      <c r="A11" s="54" t="s">
        <v>147</v>
      </c>
      <c r="B11" s="54" t="s">
        <v>152</v>
      </c>
      <c r="C11" s="60">
        <v>0.1</v>
      </c>
      <c r="D11" s="60" t="s">
        <v>154</v>
      </c>
      <c r="E11" s="61" t="s">
        <v>154</v>
      </c>
      <c r="F11" s="61">
        <v>2.86E-2</v>
      </c>
      <c r="G11" s="60">
        <v>0.04</v>
      </c>
      <c r="H11" s="61">
        <f>IFERROR(tbl_fundraisingSteps[[#This Row],[1399]]*(1-H$13-v_seriA), "-")</f>
        <v>2.7999999999999997E-2</v>
      </c>
      <c r="I11" s="61">
        <f>IFERROR(tbl_fundraisingSteps[[#This Row],[Series A]]*(1-v_seriB), "-")</f>
        <v>2.24E-2</v>
      </c>
      <c r="J11" s="61">
        <f>IFERROR(tbl_fundraisingSteps[[#This Row],[Series B]]*(1-v_seriC), "-")</f>
        <v>1.9039999999999998E-2</v>
      </c>
      <c r="K11" s="61">
        <f>IFERROR(tbl_fundraisingSteps[[#This Row],[Series C]]*(1-v_seriD), "-")</f>
        <v>1.6183999999999997E-2</v>
      </c>
      <c r="L11" s="61">
        <f>IFERROR(tbl_fundraisingSteps[[#This Row],[Series D]]*(1-v_seriE), "-")</f>
        <v>1.4565599999999998E-2</v>
      </c>
      <c r="M11" s="61">
        <f>IFERROR(tbl_fundraisingSteps[[#This Row],[Series E]]*(1-v_seriF), "-")</f>
        <v>1.3109039999999999E-2</v>
      </c>
    </row>
    <row r="12" spans="1:13" x14ac:dyDescent="0.25">
      <c r="A12" s="54" t="s">
        <v>147</v>
      </c>
      <c r="B12" s="54" t="s">
        <v>153</v>
      </c>
      <c r="C12" s="60" t="s">
        <v>154</v>
      </c>
      <c r="D12" s="60">
        <v>0.15</v>
      </c>
      <c r="E12" s="61">
        <v>7.9899999999999999E-2</v>
      </c>
      <c r="F12" s="61">
        <v>2.1399999999999999E-2</v>
      </c>
      <c r="G12" s="61">
        <v>5.0000000000000001E-4</v>
      </c>
      <c r="H12" s="61">
        <f>IFERROR(tbl_fundraisingSteps[[#This Row],[1399]]*(1-H$13-v_seriA), "-")</f>
        <v>3.5E-4</v>
      </c>
      <c r="I12" s="61">
        <f>IFERROR(tbl_fundraisingSteps[[#This Row],[Series A]]*(1-v_seriB), "-")</f>
        <v>2.8000000000000003E-4</v>
      </c>
      <c r="J12" s="61">
        <f>IFERROR(tbl_fundraisingSteps[[#This Row],[Series B]]*(1-v_seriC), "-")</f>
        <v>2.3800000000000001E-4</v>
      </c>
      <c r="K12" s="61">
        <f>IFERROR(tbl_fundraisingSteps[[#This Row],[Series C]]*(1-v_seriD), "-")</f>
        <v>2.0230000000000001E-4</v>
      </c>
      <c r="L12" s="61">
        <f>IFERROR(tbl_fundraisingSteps[[#This Row],[Series D]]*(1-v_seriE), "-")</f>
        <v>1.8207000000000002E-4</v>
      </c>
      <c r="M12" s="61">
        <f>IFERROR(tbl_fundraisingSteps[[#This Row],[Series E]]*(1-v_seriF), "-")</f>
        <v>1.6386300000000001E-4</v>
      </c>
    </row>
    <row r="13" spans="1:13" x14ac:dyDescent="0.25">
      <c r="A13" s="54" t="s">
        <v>148</v>
      </c>
      <c r="B13" s="54" t="s">
        <v>160</v>
      </c>
      <c r="C13" s="60" t="s">
        <v>154</v>
      </c>
      <c r="D13" s="60" t="s">
        <v>154</v>
      </c>
      <c r="E13" s="60" t="s">
        <v>154</v>
      </c>
      <c r="F13" s="60" t="s">
        <v>154</v>
      </c>
      <c r="G13" s="60" t="s">
        <v>154</v>
      </c>
      <c r="H13" s="67">
        <v>0.1</v>
      </c>
      <c r="I13" s="61">
        <f>IFERROR(tbl_fundraisingSteps[[#This Row],[Series A]]*(1-v_seriB), "-")</f>
        <v>8.0000000000000016E-2</v>
      </c>
      <c r="J13" s="61">
        <f>IFERROR(tbl_fundraisingSteps[[#This Row],[Series B]]*(1-v_seriC), "-")</f>
        <v>6.8000000000000005E-2</v>
      </c>
      <c r="K13" s="61">
        <f>IFERROR(tbl_fundraisingSteps[[#This Row],[Series C]]*(1-v_seriD), "-")</f>
        <v>5.7800000000000004E-2</v>
      </c>
      <c r="L13" s="61">
        <f>IFERROR(tbl_fundraisingSteps[[#This Row],[Series D]]*(1-v_seriE), "-")</f>
        <v>5.2020000000000004E-2</v>
      </c>
      <c r="M13" s="61">
        <f>IFERROR(tbl_fundraisingSteps[[#This Row],[Series E]]*(1-v_seriF), "-")</f>
        <v>4.6818000000000005E-2</v>
      </c>
    </row>
    <row r="14" spans="1:13" x14ac:dyDescent="0.25">
      <c r="A14" s="54" t="s">
        <v>1</v>
      </c>
      <c r="C14" s="62">
        <f>SUBTOTAL(109,tbl_fundraisingSteps[Start 1394])</f>
        <v>1</v>
      </c>
      <c r="D14" s="62">
        <f>SUBTOTAL(109,tbl_fundraisingSteps[Seed Angel 1395])</f>
        <v>1</v>
      </c>
      <c r="E14" s="62">
        <f>SUBTOTAL(109,tbl_fundraisingSteps[Angel Out 1397/2/22])</f>
        <v>1</v>
      </c>
      <c r="F14" s="62">
        <f>SUBTOTAL(109,tbl_fundraisingSteps[1397/5/1])</f>
        <v>0.99999999999999989</v>
      </c>
      <c r="G14" s="62">
        <f>SUBTOTAL(109,tbl_fundraisingSteps[1399])</f>
        <v>1</v>
      </c>
      <c r="H14" s="62">
        <f>SUBTOTAL(109,tbl_fundraisingSteps[Series A])</f>
        <v>0.99999999999999989</v>
      </c>
      <c r="I14" s="62">
        <f>SUBTOTAL(109,tbl_fundraisingSteps[Series B])</f>
        <v>1</v>
      </c>
      <c r="J14" s="62">
        <f>SUBTOTAL(109,tbl_fundraisingSteps[Series C])</f>
        <v>1</v>
      </c>
      <c r="K14" s="62">
        <f>SUBTOTAL(109,tbl_fundraisingSteps[Series D])</f>
        <v>0.99999999999999989</v>
      </c>
      <c r="L14" s="62">
        <f>SUBTOTAL(109,tbl_fundraisingSteps[Series E])</f>
        <v>1</v>
      </c>
      <c r="M14" s="68">
        <f>SUBTOTAL(109,tbl_fundraisingSteps[Series F])</f>
        <v>1</v>
      </c>
    </row>
    <row r="15" spans="1:13" x14ac:dyDescent="0.25"/>
    <row r="16" spans="1:13" x14ac:dyDescent="0.25">
      <c r="A16" s="54" t="s">
        <v>165</v>
      </c>
      <c r="C16" s="64">
        <v>10000000</v>
      </c>
      <c r="D16" s="64">
        <v>10000000</v>
      </c>
      <c r="E16" s="64">
        <v>1000000</v>
      </c>
      <c r="F16" s="64">
        <v>7000000</v>
      </c>
      <c r="G16" s="64">
        <v>300000000</v>
      </c>
      <c r="H16" s="64"/>
      <c r="I16" s="64"/>
      <c r="J16" s="64"/>
      <c r="K16" s="64"/>
      <c r="L16" s="64"/>
    </row>
    <row r="17" spans="1:13" x14ac:dyDescent="0.25">
      <c r="C17" s="64"/>
      <c r="D17" s="64"/>
      <c r="E17" s="64"/>
      <c r="F17" s="64"/>
      <c r="G17" s="64"/>
      <c r="H17" s="64"/>
      <c r="I17" s="64"/>
      <c r="J17" s="64"/>
      <c r="K17" s="64"/>
      <c r="L17" s="64"/>
    </row>
    <row r="18" spans="1:13" x14ac:dyDescent="0.25"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spans="1:13" x14ac:dyDescent="0.25"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spans="1:13" x14ac:dyDescent="0.25">
      <c r="C20" s="64"/>
      <c r="D20" s="64"/>
      <c r="E20" s="64"/>
      <c r="F20" s="64"/>
      <c r="G20" s="64"/>
      <c r="H20" s="64"/>
      <c r="I20" s="64"/>
      <c r="J20" s="64"/>
      <c r="K20" s="64"/>
      <c r="L20" s="64"/>
    </row>
    <row r="21" spans="1:13" x14ac:dyDescent="0.25"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3" x14ac:dyDescent="0.25"/>
    <row r="23" spans="1:13" x14ac:dyDescent="0.25">
      <c r="A23" s="54" t="s">
        <v>149</v>
      </c>
      <c r="B23" s="54" t="s">
        <v>170</v>
      </c>
      <c r="C23" s="54" t="s">
        <v>164</v>
      </c>
      <c r="D23" s="54" t="s">
        <v>167</v>
      </c>
      <c r="E23" s="54" t="s">
        <v>166</v>
      </c>
      <c r="F23" s="54" t="s">
        <v>168</v>
      </c>
      <c r="G23" s="54" t="s">
        <v>163</v>
      </c>
      <c r="H23" s="54" t="s">
        <v>142</v>
      </c>
      <c r="I23" s="54" t="s">
        <v>143</v>
      </c>
      <c r="J23" s="54" t="s">
        <v>144</v>
      </c>
      <c r="K23" s="54" t="s">
        <v>171</v>
      </c>
      <c r="L23" s="54" t="s">
        <v>145</v>
      </c>
      <c r="M23" s="54" t="s">
        <v>146</v>
      </c>
    </row>
    <row r="24" spans="1:13" x14ac:dyDescent="0.25">
      <c r="A24" s="54" t="s">
        <v>155</v>
      </c>
      <c r="C24" s="61">
        <f>SUMIFS(tbl_fundraisingSteps[Start 1394],tbl_fundraisingSteps[نوع سهام‌دار],Table13[[#This Row],[نوع سهام‌دار]])</f>
        <v>0</v>
      </c>
      <c r="D24" s="61">
        <f>SUMIFS(tbl_fundraisingSteps[Seed Angel 1395],tbl_fundraisingSteps[نوع سهام‌دار],Table13[[#This Row],[نوع سهام‌دار]])</f>
        <v>0.55000000000000004</v>
      </c>
      <c r="E24" s="61">
        <f>SUMIFS(tbl_fundraisingSteps[Angel Out 1397/2/22],tbl_fundraisingSteps[نوع سهام‌دار],Table13[[#This Row],[نوع سهام‌دار]])</f>
        <v>6.0100000000000001E-2</v>
      </c>
      <c r="F24" s="61">
        <f>SUMIFS(tbl_fundraisingSteps[1397/5/1],tbl_fundraisingSteps[نوع سهام‌دار],Table13[[#This Row],[نوع سهام‌دار]])</f>
        <v>8.6E-3</v>
      </c>
      <c r="G24" s="61">
        <f>SUMIFS(tbl_fundraisingSteps[1399],tbl_fundraisingSteps[نوع سهام‌دار],Table13[[#This Row],[نوع سهام‌دار]])</f>
        <v>2.0000000000000001E-4</v>
      </c>
      <c r="H24" s="61">
        <f>SUMIFS(tbl_fundraisingSteps[Series A],tbl_fundraisingSteps[نوع سهام‌دار],Table13[[#This Row],[نوع سهام‌دار]])</f>
        <v>0.20014000000000001</v>
      </c>
      <c r="I24" s="61">
        <f>SUMIFS(tbl_fundraisingSteps[Series B],tbl_fundraisingSteps[نوع سهام‌دار],Table13[[#This Row],[نوع سهام‌دار]])</f>
        <v>0.36011200000000004</v>
      </c>
      <c r="J24" s="61">
        <f>SUMIFS(tbl_fundraisingSteps[Series C],tbl_fundraisingSteps[نوع سهام‌دار],Table13[[#This Row],[نوع سهام‌دار]])</f>
        <v>0.45609520000000003</v>
      </c>
      <c r="K24" s="61">
        <f>SUMIFS(tbl_fundraisingSteps[Series D],tbl_fundraisingSteps[نوع سهام‌دار],Table13[[#This Row],[نوع سهام‌دار]])</f>
        <v>0.53768092000000001</v>
      </c>
      <c r="L24" s="61">
        <f>SUMIFS(tbl_fundraisingSteps[Series E],tbl_fundraisingSteps[نوع سهام‌دار],Table13[[#This Row],[نوع سهام‌دار]])</f>
        <v>0.58391282800000011</v>
      </c>
      <c r="M24" s="61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4" t="s">
        <v>147</v>
      </c>
      <c r="C25" s="61">
        <f>SUMIFS(tbl_fundraisingSteps[Start 1394],tbl_fundraisingSteps[نوع سهام‌دار],Table13[[#This Row],[نوع سهام‌دار]])</f>
        <v>1</v>
      </c>
      <c r="D25" s="61">
        <f>SUMIFS(tbl_fundraisingSteps[Seed Angel 1395],tbl_fundraisingSteps[نوع سهام‌دار],Table13[[#This Row],[نوع سهام‌دار]])</f>
        <v>0.44999999999999996</v>
      </c>
      <c r="E25" s="61">
        <f>SUMIFS(tbl_fundraisingSteps[Angel Out 1397/2/22],tbl_fundraisingSteps[نوع سهام‌دار],Table13[[#This Row],[نوع سهام‌دار]])</f>
        <v>0.93989999999999996</v>
      </c>
      <c r="F25" s="61">
        <f>SUMIFS(tbl_fundraisingSteps[1397/5/1],tbl_fundraisingSteps[نوع سهام‌دار],Table13[[#This Row],[نوع سهام‌دار]])</f>
        <v>0.99139999999999995</v>
      </c>
      <c r="G25" s="61">
        <f>SUMIFS(tbl_fundraisingSteps[1399],tbl_fundraisingSteps[نوع سهام‌دار],Table13[[#This Row],[نوع سهام‌دار]])</f>
        <v>0.99980000000000002</v>
      </c>
      <c r="H25" s="61">
        <f>SUMIFS(tbl_fundraisingSteps[Series A],tbl_fundraisingSteps[نوع سهام‌دار],Table13[[#This Row],[نوع سهام‌دار]])</f>
        <v>0.69985999999999993</v>
      </c>
      <c r="I25" s="61">
        <f>SUMIFS(tbl_fundraisingSteps[Series B],tbl_fundraisingSteps[نوع سهام‌دار],Table13[[#This Row],[نوع سهام‌دار]])</f>
        <v>0.55988799999999994</v>
      </c>
      <c r="J25" s="61">
        <f>SUMIFS(tbl_fundraisingSteps[Series C],tbl_fundraisingSteps[نوع سهام‌دار],Table13[[#This Row],[نوع سهام‌دار]])</f>
        <v>0.47590480000000002</v>
      </c>
      <c r="K25" s="61">
        <f>SUMIFS(tbl_fundraisingSteps[Series D],tbl_fundraisingSteps[نوع سهام‌دار],Table13[[#This Row],[نوع سهام‌دار]])</f>
        <v>0.40451907999999992</v>
      </c>
      <c r="L25" s="61">
        <f>SUMIFS(tbl_fundraisingSteps[Series E],tbl_fundraisingSteps[نوع سهام‌دار],Table13[[#This Row],[نوع سهام‌دار]])</f>
        <v>0.36406717199999994</v>
      </c>
      <c r="M25" s="61">
        <f>SUMIFS(tbl_fundraisingSteps[Series F],tbl_fundraisingSteps[نوع سهام‌دار],Table13[[#This Row],[نوع سهام‌دار]])</f>
        <v>0.3276604548</v>
      </c>
    </row>
    <row r="26" spans="1:13" x14ac:dyDescent="0.25">
      <c r="A26" s="54" t="s">
        <v>148</v>
      </c>
      <c r="C26" s="61">
        <f>SUMIFS(tbl_fundraisingSteps[Start 1394],tbl_fundraisingSteps[نوع سهام‌دار],Table13[[#This Row],[نوع سهام‌دار]])</f>
        <v>0</v>
      </c>
      <c r="D26" s="61">
        <f>SUMIFS(tbl_fundraisingSteps[Seed Angel 1395],tbl_fundraisingSteps[نوع سهام‌دار],Table13[[#This Row],[نوع سهام‌دار]])</f>
        <v>0</v>
      </c>
      <c r="E26" s="61">
        <f>SUMIFS(tbl_fundraisingSteps[Angel Out 1397/2/22],tbl_fundraisingSteps[نوع سهام‌دار],Table13[[#This Row],[نوع سهام‌دار]])</f>
        <v>0</v>
      </c>
      <c r="F26" s="61">
        <f>SUMIFS(tbl_fundraisingSteps[1397/5/1],tbl_fundraisingSteps[نوع سهام‌دار],Table13[[#This Row],[نوع سهام‌دار]])</f>
        <v>0</v>
      </c>
      <c r="G26" s="61">
        <f>SUMIFS(tbl_fundraisingSteps[1399],tbl_fundraisingSteps[نوع سهام‌دار],Table13[[#This Row],[نوع سهام‌دار]])</f>
        <v>0</v>
      </c>
      <c r="H26" s="61">
        <f>SUMIFS(tbl_fundraisingSteps[Series A],tbl_fundraisingSteps[نوع سهام‌دار],Table13[[#This Row],[نوع سهام‌دار]])</f>
        <v>0.1</v>
      </c>
      <c r="I26" s="61">
        <f>SUMIFS(tbl_fundraisingSteps[Series B],tbl_fundraisingSteps[نوع سهام‌دار],Table13[[#This Row],[نوع سهام‌دار]])</f>
        <v>8.0000000000000016E-2</v>
      </c>
      <c r="J26" s="61">
        <f>SUMIFS(tbl_fundraisingSteps[Series C],tbl_fundraisingSteps[نوع سهام‌دار],Table13[[#This Row],[نوع سهام‌دار]])</f>
        <v>6.8000000000000005E-2</v>
      </c>
      <c r="K26" s="61">
        <f>SUMIFS(tbl_fundraisingSteps[Series D],tbl_fundraisingSteps[نوع سهام‌دار],Table13[[#This Row],[نوع سهام‌دار]])</f>
        <v>5.7800000000000004E-2</v>
      </c>
      <c r="L26" s="61">
        <f>SUMIFS(tbl_fundraisingSteps[Series E],tbl_fundraisingSteps[نوع سهام‌دار],Table13[[#This Row],[نوع سهام‌دار]])</f>
        <v>5.2020000000000004E-2</v>
      </c>
      <c r="M26" s="61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4" t="s">
        <v>1</v>
      </c>
      <c r="C27" s="68">
        <f>SUBTOTAL(109,Table13[Start 1394])</f>
        <v>1</v>
      </c>
      <c r="D27" s="68">
        <f>SUBTOTAL(109,Table13[Seed Angel 1395])</f>
        <v>1</v>
      </c>
      <c r="E27" s="68">
        <f>SUBTOTAL(109,Table13[Angel Out 1397/2/22])</f>
        <v>1</v>
      </c>
      <c r="F27" s="68">
        <f>SUBTOTAL(109,Table13[1397/5/1])</f>
        <v>1</v>
      </c>
      <c r="G27" s="68">
        <f>SUBTOTAL(109,Table13[1399])</f>
        <v>1</v>
      </c>
      <c r="H27" s="68">
        <f>SUBTOTAL(109,Table13[Series A])</f>
        <v>0.99999999999999989</v>
      </c>
      <c r="I27" s="68">
        <f>SUBTOTAL(109,Table13[Series B])</f>
        <v>1</v>
      </c>
      <c r="J27" s="68">
        <f>SUBTOTAL(109,Table13[Series C])</f>
        <v>1</v>
      </c>
      <c r="K27" s="68">
        <f>SUBTOTAL(109,Table13[Series D])</f>
        <v>0.99999999999999989</v>
      </c>
      <c r="L27" s="68">
        <f>SUBTOTAL(109,Table13[Series E])</f>
        <v>1</v>
      </c>
      <c r="M27" s="68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H27" sqref="H27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4" sqref="B24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9">
        <v>31000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372000000</v>
      </c>
    </row>
    <row r="14" spans="1:2" x14ac:dyDescent="0.4">
      <c r="A14" s="1" t="s">
        <v>54</v>
      </c>
      <c r="B14" s="12">
        <f>d_ssdDollarCost*d_toman2dollar * 24</f>
        <v>446400000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A22" s="1" t="s">
        <v>223</v>
      </c>
      <c r="B22" s="18">
        <v>2</v>
      </c>
    </row>
    <row r="23" spans="1:2" x14ac:dyDescent="0.4">
      <c r="A23" s="1" t="s">
        <v>257</v>
      </c>
      <c r="B23" s="80">
        <v>0.14199999999999999</v>
      </c>
    </row>
    <row r="24" spans="1:2" x14ac:dyDescent="0.4">
      <c r="A24" s="1" t="s">
        <v>260</v>
      </c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1488000000</v>
      </c>
      <c r="D2" s="12">
        <f>(tbl_serverCount[1401] - tbl_serverCount[1400])*d_serverCost</f>
        <v>744000000</v>
      </c>
      <c r="E2" s="12">
        <f>SUM(tbl_servers[[#This Row],[1400]:[1401]])</f>
        <v>2232000000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1785600000</v>
      </c>
      <c r="D3" s="12">
        <f>(tbl_serverCount[1401] - tbl_serverCount[1400])*d_ssdCost</f>
        <v>892800000</v>
      </c>
      <c r="E3" s="12">
        <f>SUM(tbl_servers[[#This Row],[1400]:[1401]])</f>
        <v>2678400000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3369600000</v>
      </c>
      <c r="D5" s="12">
        <f>SUBTOTAL(109,tbl_servers[1401])</f>
        <v>1924800000</v>
      </c>
      <c r="E5" s="12">
        <f>SUBTOTAL(109,tbl_servers[جمع])</f>
        <v>5294400000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1500000000</v>
      </c>
      <c r="E4" s="19">
        <f>SUM(tbl_marketing[[#This Row],[1400]:[1401]])</f>
        <v>1700000000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400000000</v>
      </c>
      <c r="E5" s="19">
        <f>SUM(tbl_marketing[[#This Row],[1400]:[1401]])</f>
        <v>480000000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2550000000</v>
      </c>
      <c r="E11" s="12">
        <f>SUBTOTAL(109,tbl_marketing[جمع])</f>
        <v>3090000000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L3" sqref="L3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82" t="s">
        <v>86</v>
      </c>
      <c r="L1" s="82" t="s">
        <v>87</v>
      </c>
      <c r="M1" s="82" t="s">
        <v>88</v>
      </c>
      <c r="N1" s="82" t="s">
        <v>89</v>
      </c>
      <c r="O1" s="82" t="s">
        <v>90</v>
      </c>
      <c r="P1" s="82" t="s">
        <v>91</v>
      </c>
      <c r="Q1" s="82" t="s">
        <v>92</v>
      </c>
      <c r="R1" s="82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42">
        <v>8.0000000000000002E-3</v>
      </c>
      <c r="H2" s="44">
        <f>tbl_pricing[[#This Row],[درصد خرید]]*tbl_pricing[[#This Row],[سود]]</f>
        <v>272</v>
      </c>
      <c r="I2" s="43">
        <f>tbl_pricing[[#This Row],[کل بیزینس‌ها]]/ SUM(tbl_pricing[کل بیزینس‌ها])</f>
        <v>5.0004596010662747E-2</v>
      </c>
      <c r="J2" s="48">
        <f>tbl_pricing[[#Headers],[500]]*tbl_pricing[[#This Row],[درصد خرید]]*tbl_pricing[[#This Row],[سود به ازای هر بیزینس]]</f>
        <v>1088</v>
      </c>
      <c r="K2" s="46">
        <f>tbl_pricing[[#Headers],[500]]*tbl_pricing[[#This Row],[درصد خرید]]</f>
        <v>4</v>
      </c>
      <c r="L2" s="46">
        <f>tbl_pricing[[#Headers],[1000]]*tbl_pricing[[#This Row],[درصد خرید]]</f>
        <v>8</v>
      </c>
      <c r="M2" s="46">
        <f>tbl_pricing[[#Headers],[2000]]*tbl_pricing[[#This Row],[درصد خرید]]</f>
        <v>16</v>
      </c>
      <c r="N2" s="46">
        <f>tbl_pricing[[#Headers],[5000]]*tbl_pricing[[#This Row],[درصد خرید]]</f>
        <v>40</v>
      </c>
      <c r="O2" s="46">
        <f>tbl_pricing[[#Headers],[10000]]*tbl_pricing[[#This Row],[درصد خرید]]</f>
        <v>80</v>
      </c>
      <c r="P2" s="46">
        <f>tbl_pricing[[#Headers],[20000]]*tbl_pricing[[#This Row],[درصد خرید]]</f>
        <v>160</v>
      </c>
      <c r="Q2" s="46">
        <f>tbl_pricing[[#Headers],[50000]]*tbl_pricing[[#This Row],[درصد خرید]]</f>
        <v>400</v>
      </c>
      <c r="R2" s="46">
        <f>tbl_pricing[[#Headers],[100000]]*tbl_pricing[[#This Row],[درصد خرید]]</f>
        <v>800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42">
        <v>0.01</v>
      </c>
      <c r="H3" s="44">
        <f>tbl_pricing[[#This Row],[درصد خرید]]*tbl_pricing[[#This Row],[سود]]</f>
        <v>1000</v>
      </c>
      <c r="I3" s="43">
        <f>tbl_pricing[[#This Row],[کل بیزینس‌ها]]/ SUM(tbl_pricing[کل بیزینس‌ها])</f>
        <v>0.22980053313723689</v>
      </c>
      <c r="J3" s="48">
        <f>tbl_pricing[[#Headers],[500]]*tbl_pricing[[#This Row],[درصد خرید]]*tbl_pricing[[#This Row],[سود به ازای هر بیزینس]]</f>
        <v>5000</v>
      </c>
      <c r="K3" s="46">
        <f>tbl_pricing[[#Headers],[500]]*tbl_pricing[[#This Row],[درصد خرید]]</f>
        <v>5</v>
      </c>
      <c r="L3" s="46">
        <f>tbl_pricing[[#Headers],[1000]]*tbl_pricing[[#This Row],[درصد خرید]]</f>
        <v>10</v>
      </c>
      <c r="M3" s="46">
        <f>tbl_pricing[[#Headers],[2000]]*tbl_pricing[[#This Row],[درصد خرید]]</f>
        <v>20</v>
      </c>
      <c r="N3" s="46">
        <f>tbl_pricing[[#Headers],[5000]]*tbl_pricing[[#This Row],[درصد خرید]]</f>
        <v>50</v>
      </c>
      <c r="O3" s="46">
        <f>tbl_pricing[[#Headers],[10000]]*tbl_pricing[[#This Row],[درصد خرید]]</f>
        <v>100</v>
      </c>
      <c r="P3" s="46">
        <f>tbl_pricing[[#Headers],[20000]]*tbl_pricing[[#This Row],[درصد خرید]]</f>
        <v>200</v>
      </c>
      <c r="Q3" s="46">
        <f>tbl_pricing[[#Headers],[50000]]*tbl_pricing[[#This Row],[درصد خرید]]</f>
        <v>500</v>
      </c>
      <c r="R3" s="46">
        <f>tbl_pricing[[#Headers],[100000]]*tbl_pricing[[#This Row],[درصد خرید]]</f>
        <v>1000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42">
        <v>1.2E-2</v>
      </c>
      <c r="H4" s="44">
        <f>tbl_pricing[[#This Row],[درصد خرید]]*tbl_pricing[[#This Row],[سود]]</f>
        <v>960</v>
      </c>
      <c r="I4" s="43">
        <f>tbl_pricing[[#This Row],[کل بیزینس‌ها]]/ SUM(tbl_pricing[کل بیزینس‌ها])</f>
        <v>0.26473021417409687</v>
      </c>
      <c r="J4" s="48">
        <f>tbl_pricing[[#Headers],[500]]*tbl_pricing[[#This Row],[درصد خرید]]*tbl_pricing[[#This Row],[سود به ازای هر بیزینس]]</f>
        <v>5760</v>
      </c>
      <c r="K4" s="46">
        <f>tbl_pricing[[#Headers],[500]]*tbl_pricing[[#This Row],[درصد خرید]]</f>
        <v>6</v>
      </c>
      <c r="L4" s="46">
        <f>tbl_pricing[[#Headers],[1000]]*tbl_pricing[[#This Row],[درصد خرید]]</f>
        <v>12</v>
      </c>
      <c r="M4" s="46">
        <f>tbl_pricing[[#Headers],[2000]]*tbl_pricing[[#This Row],[درصد خرید]]</f>
        <v>24</v>
      </c>
      <c r="N4" s="46">
        <f>tbl_pricing[[#Headers],[5000]]*tbl_pricing[[#This Row],[درصد خرید]]</f>
        <v>60</v>
      </c>
      <c r="O4" s="46">
        <f>tbl_pricing[[#Headers],[10000]]*tbl_pricing[[#This Row],[درصد خرید]]</f>
        <v>120</v>
      </c>
      <c r="P4" s="46">
        <f>tbl_pricing[[#Headers],[20000]]*tbl_pricing[[#This Row],[درصد خرید]]</f>
        <v>240</v>
      </c>
      <c r="Q4" s="46">
        <f>tbl_pricing[[#Headers],[50000]]*tbl_pricing[[#This Row],[درصد خرید]]</f>
        <v>600</v>
      </c>
      <c r="R4" s="46">
        <f>tbl_pricing[[#Headers],[100000]]*tbl_pricing[[#This Row],[درصد خرید]]</f>
        <v>1200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42">
        <v>1E-3</v>
      </c>
      <c r="H5" s="44">
        <f>tbl_pricing[[#This Row],[درصد خرید]]*tbl_pricing[[#This Row],[سود]]</f>
        <v>3000</v>
      </c>
      <c r="I5" s="43">
        <f>tbl_pricing[[#This Row],[کل بیزینس‌ها]]/ SUM(tbl_pricing[کل بیزینس‌ها])</f>
        <v>6.8940159941171059E-2</v>
      </c>
      <c r="J5" s="48">
        <f>tbl_pricing[[#Headers],[500]]*tbl_pricing[[#This Row],[درصد خرید]]*tbl_pricing[[#This Row],[سود به ازای هر بیزینس]]</f>
        <v>1500</v>
      </c>
      <c r="K5" s="46">
        <f>tbl_pricing[[#Headers],[500]]*tbl_pricing[[#This Row],[درصد خرید]]</f>
        <v>0.5</v>
      </c>
      <c r="L5" s="46">
        <f>tbl_pricing[[#Headers],[1000]]*tbl_pricing[[#This Row],[درصد خرید]]</f>
        <v>1</v>
      </c>
      <c r="M5" s="46">
        <f>tbl_pricing[[#Headers],[2000]]*tbl_pricing[[#This Row],[درصد خرید]]</f>
        <v>2</v>
      </c>
      <c r="N5" s="46">
        <f>tbl_pricing[[#Headers],[5000]]*tbl_pricing[[#This Row],[درصد خرید]]</f>
        <v>5</v>
      </c>
      <c r="O5" s="46">
        <f>tbl_pricing[[#Headers],[10000]]*tbl_pricing[[#This Row],[درصد خرید]]</f>
        <v>10</v>
      </c>
      <c r="P5" s="46">
        <f>tbl_pricing[[#Headers],[20000]]*tbl_pricing[[#This Row],[درصد خرید]]</f>
        <v>20</v>
      </c>
      <c r="Q5" s="46">
        <f>tbl_pricing[[#Headers],[50000]]*tbl_pricing[[#This Row],[درصد خرید]]</f>
        <v>50</v>
      </c>
      <c r="R5" s="46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2">
        <v>5.0000000000000001E-4</v>
      </c>
      <c r="H6" s="44">
        <f>tbl_pricing[[#This Row],[درصد خرید]]*tbl_pricing[[#This Row],[سود]]</f>
        <v>2500</v>
      </c>
      <c r="I6" s="43">
        <f>tbl_pricing[[#This Row],[کل بیزینس‌ها]]/ SUM(tbl_pricing[کل بیزینس‌ها])</f>
        <v>2.8725066642154611E-2</v>
      </c>
      <c r="J6" s="48">
        <f>tbl_pricing[[#Headers],[500]]*tbl_pricing[[#This Row],[درصد خرید]]*tbl_pricing[[#This Row],[سود به ازای هر بیزینس]]</f>
        <v>625</v>
      </c>
      <c r="K6" s="46">
        <f>tbl_pricing[[#Headers],[500]]*tbl_pricing[[#This Row],[درصد خرید]]</f>
        <v>0.25</v>
      </c>
      <c r="L6" s="46">
        <f>tbl_pricing[[#Headers],[1000]]*tbl_pricing[[#This Row],[درصد خرید]]</f>
        <v>0.5</v>
      </c>
      <c r="M6" s="46">
        <f>tbl_pricing[[#Headers],[2000]]*tbl_pricing[[#This Row],[درصد خرید]]</f>
        <v>1</v>
      </c>
      <c r="N6" s="46">
        <f>tbl_pricing[[#Headers],[5000]]*tbl_pricing[[#This Row],[درصد خرید]]</f>
        <v>2.5</v>
      </c>
      <c r="O6" s="46">
        <f>tbl_pricing[[#Headers],[10000]]*tbl_pricing[[#This Row],[درصد خرید]]</f>
        <v>5</v>
      </c>
      <c r="P6" s="46">
        <f>tbl_pricing[[#Headers],[20000]]*tbl_pricing[[#This Row],[درصد خرید]]</f>
        <v>10</v>
      </c>
      <c r="Q6" s="46">
        <f>tbl_pricing[[#Headers],[50000]]*tbl_pricing[[#This Row],[درصد خرید]]</f>
        <v>25</v>
      </c>
      <c r="R6" s="46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42">
        <v>2E-3</v>
      </c>
      <c r="H7" s="44">
        <f>tbl_pricing[[#This Row],[درصد خرید]]*tbl_pricing[[#This Row],[سود]]</f>
        <v>200</v>
      </c>
      <c r="I7" s="43">
        <f>tbl_pricing[[#This Row],[کل بیزینس‌ها]]/ SUM(tbl_pricing[کل بیزینس‌ها])</f>
        <v>9.1920213254894755E-3</v>
      </c>
      <c r="J7" s="48">
        <f>tbl_pricing[[#Headers],[500]]*tbl_pricing[[#This Row],[درصد خرید]]*tbl_pricing[[#This Row],[سود به ازای هر بیزینس]]</f>
        <v>200</v>
      </c>
      <c r="K7" s="46">
        <f>tbl_pricing[[#Headers],[500]]*tbl_pricing[[#This Row],[درصد خرید]]</f>
        <v>1</v>
      </c>
      <c r="L7" s="46">
        <f>tbl_pricing[[#Headers],[1000]]*tbl_pricing[[#This Row],[درصد خرید]]</f>
        <v>2</v>
      </c>
      <c r="M7" s="46">
        <f>tbl_pricing[[#Headers],[2000]]*tbl_pricing[[#This Row],[درصد خرید]]</f>
        <v>4</v>
      </c>
      <c r="N7" s="46">
        <f>tbl_pricing[[#Headers],[5000]]*tbl_pricing[[#This Row],[درصد خرید]]</f>
        <v>10</v>
      </c>
      <c r="O7" s="46">
        <f>tbl_pricing[[#Headers],[10000]]*tbl_pricing[[#This Row],[درصد خرید]]</f>
        <v>20</v>
      </c>
      <c r="P7" s="46">
        <f>tbl_pricing[[#Headers],[20000]]*tbl_pricing[[#This Row],[درصد خرید]]</f>
        <v>40</v>
      </c>
      <c r="Q7" s="46">
        <f>tbl_pricing[[#Headers],[50000]]*tbl_pricing[[#This Row],[درصد خرید]]</f>
        <v>100</v>
      </c>
      <c r="R7" s="46">
        <f>tbl_pricing[[#Headers],[100000]]*tbl_pricing[[#This Row],[درصد خرید]]</f>
        <v>200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42">
        <v>0.02</v>
      </c>
      <c r="H8" s="44">
        <f>tbl_pricing[[#This Row],[درصد خرید]]*tbl_pricing[[#This Row],[سود]]</f>
        <v>200</v>
      </c>
      <c r="I8" s="43">
        <f>tbl_pricing[[#This Row],[کل بیزینس‌ها]]/ SUM(tbl_pricing[کل بیزینس‌ها])</f>
        <v>9.1920213254894745E-2</v>
      </c>
      <c r="J8" s="48">
        <f>tbl_pricing[[#Headers],[500]]*tbl_pricing[[#This Row],[درصد خرید]]*tbl_pricing[[#This Row],[سود به ازای هر بیزینس]]</f>
        <v>2000</v>
      </c>
      <c r="K8" s="46">
        <f>tbl_pricing[[#Headers],[500]]*tbl_pricing[[#This Row],[درصد خرید]]</f>
        <v>10</v>
      </c>
      <c r="L8" s="46">
        <f>tbl_pricing[[#Headers],[1000]]*tbl_pricing[[#This Row],[درصد خرید]]</f>
        <v>20</v>
      </c>
      <c r="M8" s="46">
        <f>tbl_pricing[[#Headers],[2000]]*tbl_pricing[[#This Row],[درصد خرید]]</f>
        <v>40</v>
      </c>
      <c r="N8" s="46">
        <f>tbl_pricing[[#Headers],[5000]]*tbl_pricing[[#This Row],[درصد خرید]]</f>
        <v>100</v>
      </c>
      <c r="O8" s="46">
        <f>tbl_pricing[[#Headers],[10000]]*tbl_pricing[[#This Row],[درصد خرید]]</f>
        <v>200</v>
      </c>
      <c r="P8" s="46">
        <f>tbl_pricing[[#Headers],[20000]]*tbl_pricing[[#This Row],[درصد خرید]]</f>
        <v>400</v>
      </c>
      <c r="Q8" s="46">
        <f>tbl_pricing[[#Headers],[50000]]*tbl_pricing[[#This Row],[درصد خرید]]</f>
        <v>1000</v>
      </c>
      <c r="R8" s="46">
        <f>tbl_pricing[[#Headers],[100000]]*tbl_pricing[[#This Row],[درصد خرید]]</f>
        <v>2000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42">
        <v>0.01</v>
      </c>
      <c r="H9" s="44">
        <f>tbl_pricing[[#This Row],[درصد خرید]]*tbl_pricing[[#This Row],[سود]]</f>
        <v>500</v>
      </c>
      <c r="I9" s="43">
        <f>tbl_pricing[[#This Row],[کل بیزینس‌ها]]/ SUM(tbl_pricing[کل بیزینس‌ها])</f>
        <v>0.11490026656861844</v>
      </c>
      <c r="J9" s="48">
        <f>tbl_pricing[[#Headers],[500]]*tbl_pricing[[#This Row],[درصد خرید]]*tbl_pricing[[#This Row],[سود به ازای هر بیزینس]]</f>
        <v>2500</v>
      </c>
      <c r="K9" s="46">
        <f>tbl_pricing[[#Headers],[500]]*tbl_pricing[[#This Row],[درصد خرید]]</f>
        <v>5</v>
      </c>
      <c r="L9" s="46">
        <f>tbl_pricing[[#Headers],[1000]]*tbl_pricing[[#This Row],[درصد خرید]]</f>
        <v>10</v>
      </c>
      <c r="M9" s="46">
        <f>tbl_pricing[[#Headers],[2000]]*tbl_pricing[[#This Row],[درصد خرید]]</f>
        <v>20</v>
      </c>
      <c r="N9" s="46">
        <f>tbl_pricing[[#Headers],[5000]]*tbl_pricing[[#This Row],[درصد خرید]]</f>
        <v>50</v>
      </c>
      <c r="O9" s="46">
        <f>tbl_pricing[[#Headers],[10000]]*tbl_pricing[[#This Row],[درصد خرید]]</f>
        <v>100</v>
      </c>
      <c r="P9" s="46">
        <f>tbl_pricing[[#Headers],[20000]]*tbl_pricing[[#This Row],[درصد خرید]]</f>
        <v>200</v>
      </c>
      <c r="Q9" s="46">
        <f>tbl_pricing[[#Headers],[50000]]*tbl_pricing[[#This Row],[درصد خرید]]</f>
        <v>500</v>
      </c>
      <c r="R9" s="46">
        <f>tbl_pricing[[#Headers],[100000]]*tbl_pricing[[#This Row],[درصد خرید]]</f>
        <v>1000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42">
        <v>5.0000000000000001E-3</v>
      </c>
      <c r="H10" s="44">
        <f>tbl_pricing[[#This Row],[درصد خرید]]*tbl_pricing[[#This Row],[سود]]</f>
        <v>1000</v>
      </c>
      <c r="I10" s="43">
        <f>tbl_pricing[[#This Row],[کل بیزینس‌ها]]/ SUM(tbl_pricing[کل بیزینس‌ها])</f>
        <v>0.11490026656861844</v>
      </c>
      <c r="J10" s="48">
        <f>tbl_pricing[[#Headers],[500]]*tbl_pricing[[#This Row],[درصد خرید]]*tbl_pricing[[#This Row],[سود به ازای هر بیزینس]]</f>
        <v>2500</v>
      </c>
      <c r="K10" s="46">
        <f>tbl_pricing[[#Headers],[500]]*tbl_pricing[[#This Row],[درصد خرید]]</f>
        <v>2.5</v>
      </c>
      <c r="L10" s="46">
        <f>tbl_pricing[[#Headers],[1000]]*tbl_pricing[[#This Row],[درصد خرید]]</f>
        <v>5</v>
      </c>
      <c r="M10" s="46">
        <f>tbl_pricing[[#Headers],[2000]]*tbl_pricing[[#This Row],[درصد خرید]]</f>
        <v>10</v>
      </c>
      <c r="N10" s="46">
        <f>tbl_pricing[[#Headers],[5000]]*tbl_pricing[[#This Row],[درصد خرید]]</f>
        <v>25</v>
      </c>
      <c r="O10" s="46">
        <f>tbl_pricing[[#Headers],[10000]]*tbl_pricing[[#This Row],[درصد خرید]]</f>
        <v>50</v>
      </c>
      <c r="P10" s="46">
        <f>tbl_pricing[[#Headers],[20000]]*tbl_pricing[[#This Row],[درصد خرید]]</f>
        <v>100</v>
      </c>
      <c r="Q10" s="46">
        <f>tbl_pricing[[#Headers],[50000]]*tbl_pricing[[#This Row],[درصد خرید]]</f>
        <v>250</v>
      </c>
      <c r="R10" s="46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42">
        <v>0</v>
      </c>
      <c r="H11" s="44">
        <f>tbl_pricing[[#This Row],[درصد خرید]]*tbl_pricing[[#This Row],[سود]]</f>
        <v>0</v>
      </c>
      <c r="I11" s="43">
        <f>tbl_pricing[[#This Row],[کل بیزینس‌ها]]/ SUM(tbl_pricing[کل بیزینس‌ها])</f>
        <v>0</v>
      </c>
      <c r="J11" s="48">
        <f>tbl_pricing[[#Headers],[500]]*tbl_pricing[[#This Row],[درصد خرید]]*tbl_pricing[[#This Row],[سود به ازای هر بیزینس]]</f>
        <v>0</v>
      </c>
      <c r="K11" s="46">
        <f>tbl_pricing[[#Headers],[500]]*tbl_pricing[[#This Row],[درصد خرید]]</f>
        <v>0</v>
      </c>
      <c r="L11" s="46">
        <f>tbl_pricing[[#Headers],[1000]]*tbl_pricing[[#This Row],[درصد خرید]]</f>
        <v>0</v>
      </c>
      <c r="M11" s="46">
        <f>tbl_pricing[[#Headers],[2000]]*tbl_pricing[[#This Row],[درصد خرید]]</f>
        <v>0</v>
      </c>
      <c r="N11" s="46">
        <f>tbl_pricing[[#Headers],[5000]]*tbl_pricing[[#This Row],[درصد خرید]]</f>
        <v>0</v>
      </c>
      <c r="O11" s="46">
        <f>tbl_pricing[[#Headers],[10000]]*tbl_pricing[[#This Row],[درصد خرید]]</f>
        <v>0</v>
      </c>
      <c r="P11" s="46">
        <f>tbl_pricing[[#Headers],[20000]]*tbl_pricing[[#This Row],[درصد خرید]]</f>
        <v>0</v>
      </c>
      <c r="Q11" s="46">
        <f>tbl_pricing[[#Headers],[50000]]*tbl_pricing[[#This Row],[درصد خرید]]</f>
        <v>0</v>
      </c>
      <c r="R11" s="46">
        <f>tbl_pricing[[#Headers],[100000]]*tbl_pricing[[#This Row],[درصد خرید]]</f>
        <v>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42">
        <v>3.0000000000000001E-3</v>
      </c>
      <c r="H12" s="44">
        <f>tbl_pricing[[#This Row],[درصد خرید]]*tbl_pricing[[#This Row],[سود]]</f>
        <v>300</v>
      </c>
      <c r="I12" s="43">
        <f>tbl_pricing[[#This Row],[کل بیزینس‌ها]]/ SUM(tbl_pricing[کل بیزینس‌ها])</f>
        <v>2.068204798235132E-2</v>
      </c>
      <c r="J12" s="48">
        <f>tbl_pricing[[#Headers],[500]]*tbl_pricing[[#This Row],[درصد خرید]]*tbl_pricing[[#This Row],[سود به ازای هر بیزینس]]</f>
        <v>450</v>
      </c>
      <c r="K12" s="46">
        <f>tbl_pricing[[#Headers],[500]]*tbl_pricing[[#This Row],[درصد خرید]]</f>
        <v>1.5</v>
      </c>
      <c r="L12" s="46">
        <f>tbl_pricing[[#Headers],[1000]]*tbl_pricing[[#This Row],[درصد خرید]]</f>
        <v>3</v>
      </c>
      <c r="M12" s="46">
        <f>tbl_pricing[[#Headers],[2000]]*tbl_pricing[[#This Row],[درصد خرید]]</f>
        <v>6</v>
      </c>
      <c r="N12" s="46">
        <f>tbl_pricing[[#Headers],[5000]]*tbl_pricing[[#This Row],[درصد خرید]]</f>
        <v>15</v>
      </c>
      <c r="O12" s="46">
        <f>tbl_pricing[[#Headers],[10000]]*tbl_pricing[[#This Row],[درصد خرید]]</f>
        <v>30</v>
      </c>
      <c r="P12" s="46">
        <f>tbl_pricing[[#Headers],[20000]]*tbl_pricing[[#This Row],[درصد خرید]]</f>
        <v>60</v>
      </c>
      <c r="Q12" s="46">
        <f>tbl_pricing[[#Headers],[50000]]*tbl_pricing[[#This Row],[درصد خرید]]</f>
        <v>150</v>
      </c>
      <c r="R12" s="46">
        <f>tbl_pricing[[#Headers],[100000]]*tbl_pricing[[#This Row],[درصد خرید]]</f>
        <v>300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42">
        <v>2.9999999999999997E-4</v>
      </c>
      <c r="H13" s="44">
        <f>tbl_pricing[[#This Row],[درصد خرید]]*tbl_pricing[[#This Row],[سود]]</f>
        <v>899.99999999999989</v>
      </c>
      <c r="I13" s="43">
        <f>tbl_pricing[[#This Row],[کل بیزینس‌ها]]/ SUM(tbl_pricing[کل بیزینس‌ها])</f>
        <v>6.204614394705394E-3</v>
      </c>
      <c r="J13" s="48">
        <f>tbl_pricing[[#Headers],[500]]*tbl_pricing[[#This Row],[درصد خرید]]*tbl_pricing[[#This Row],[سود به ازای هر بیزینس]]</f>
        <v>134.99999999999997</v>
      </c>
      <c r="K13" s="46">
        <f>tbl_pricing[[#Headers],[500]]*tbl_pricing[[#This Row],[درصد خرید]]</f>
        <v>0.15</v>
      </c>
      <c r="L13" s="46">
        <f>tbl_pricing[[#Headers],[1000]]*tbl_pricing[[#This Row],[درصد خرید]]</f>
        <v>0.3</v>
      </c>
      <c r="M13" s="46">
        <f>tbl_pricing[[#Headers],[2000]]*tbl_pricing[[#This Row],[درصد خرید]]</f>
        <v>0.6</v>
      </c>
      <c r="N13" s="46">
        <f>tbl_pricing[[#Headers],[5000]]*tbl_pricing[[#This Row],[درصد خرید]]</f>
        <v>1.4999999999999998</v>
      </c>
      <c r="O13" s="46">
        <f>tbl_pricing[[#Headers],[10000]]*tbl_pricing[[#This Row],[درصد خرید]]</f>
        <v>2.9999999999999996</v>
      </c>
      <c r="P13" s="46">
        <f>tbl_pricing[[#Headers],[20000]]*tbl_pricing[[#This Row],[درصد خرید]]</f>
        <v>5.9999999999999991</v>
      </c>
      <c r="Q13" s="46">
        <f>tbl_pricing[[#Headers],[50000]]*tbl_pricing[[#This Row],[درصد خرید]]</f>
        <v>14.999999999999998</v>
      </c>
      <c r="R13" s="46">
        <f>tbl_pricing[[#Headers],[100000]]*tbl_pricing[[#This Row],[درصد خرید]]</f>
        <v>29.999999999999996</v>
      </c>
    </row>
    <row r="14" spans="1:18" x14ac:dyDescent="0.4">
      <c r="A14" s="1" t="s">
        <v>1</v>
      </c>
      <c r="D14" s="12"/>
      <c r="F14" s="12"/>
      <c r="G14" s="41">
        <f>SUBTOTAL(101,tbl_pricing[درصد خرید])</f>
        <v>5.9833333333333336E-3</v>
      </c>
      <c r="H14" s="44">
        <f>SUBTOTAL(109,tbl_pricing[سود به ازای هر بیزینس])</f>
        <v>10832</v>
      </c>
      <c r="I14" s="41"/>
      <c r="J14" s="1"/>
      <c r="K14" s="3"/>
      <c r="L14" s="3"/>
      <c r="M14" s="3"/>
      <c r="N14" s="3"/>
      <c r="O14" s="3"/>
      <c r="P14" s="3"/>
      <c r="Q14" s="47"/>
      <c r="R14" s="3"/>
    </row>
    <row r="17" spans="1:17" x14ac:dyDescent="0.4">
      <c r="A17" s="6" t="s">
        <v>35</v>
      </c>
      <c r="B17" s="7" t="s">
        <v>2</v>
      </c>
      <c r="C17" s="49" t="s">
        <v>3</v>
      </c>
    </row>
    <row r="18" spans="1:17" x14ac:dyDescent="0.4">
      <c r="A18" s="26">
        <v>1</v>
      </c>
      <c r="B18" s="27" t="s">
        <v>101</v>
      </c>
      <c r="C18" s="81">
        <f>AVERAGE(tbl_pricing[درصد خرید])</f>
        <v>5.9833333333333336E-3</v>
      </c>
    </row>
    <row r="19" spans="1:17" x14ac:dyDescent="0.4">
      <c r="A19" s="13">
        <v>2</v>
      </c>
      <c r="B19" s="28" t="s">
        <v>100</v>
      </c>
      <c r="C19" s="50">
        <f>ROUND(SUM(tbl_pricing[سود به ازای هر بیزینس]), -3)</f>
        <v>11000</v>
      </c>
    </row>
    <row r="20" spans="1:17" x14ac:dyDescent="0.4">
      <c r="C20" s="50"/>
      <c r="E20" s="51"/>
    </row>
    <row r="23" spans="1:17" x14ac:dyDescent="0.4">
      <c r="A23" s="45" t="s">
        <v>97</v>
      </c>
      <c r="B23" s="45" t="s">
        <v>99</v>
      </c>
      <c r="C23" s="45" t="s">
        <v>82</v>
      </c>
      <c r="D23" s="45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2.9916666666666667</v>
      </c>
      <c r="C24" s="12">
        <f>d_customerAvgRevenue*tbl_pricing_predict[[#This Row],[تعداد بیزینس]]</f>
        <v>5500000</v>
      </c>
      <c r="D24" s="12">
        <f>tbl_pricing_predict[[#This Row],[درآمد ماهیانه]]*12</f>
        <v>66000000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5.9833333333333334</v>
      </c>
      <c r="C25" s="12">
        <f>d_customerAvgRevenue*tbl_pricing_predict[[#This Row],[تعداد بیزینس]]</f>
        <v>11000000</v>
      </c>
      <c r="D25" s="12">
        <f>tbl_pricing_predict[[#This Row],[درآمد ماهیانه]]*12</f>
        <v>132000000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11.966666666666667</v>
      </c>
      <c r="C26" s="12">
        <f>d_customerAvgRevenue*tbl_pricing_predict[[#This Row],[تعداد بیزینس]]</f>
        <v>22000000</v>
      </c>
      <c r="D26" s="12">
        <f>tbl_pricing_predict[[#This Row],[درآمد ماهیانه]]*12</f>
        <v>264000000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29.916666666666668</v>
      </c>
      <c r="C27" s="12">
        <f>d_customerAvgRevenue*tbl_pricing_predict[[#This Row],[تعداد بیزینس]]</f>
        <v>55000000</v>
      </c>
      <c r="D27" s="12">
        <f>tbl_pricing_predict[[#This Row],[درآمد ماهیانه]]*12</f>
        <v>660000000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59.833333333333336</v>
      </c>
      <c r="C28" s="12">
        <f>d_customerAvgRevenue*tbl_pricing_predict[[#This Row],[تعداد بیزینس]]</f>
        <v>110000000</v>
      </c>
      <c r="D28" s="12">
        <f>tbl_pricing_predict[[#This Row],[درآمد ماهیانه]]*12</f>
        <v>1320000000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119.66666666666667</v>
      </c>
      <c r="C29" s="12">
        <f>d_customerAvgRevenue*tbl_pricing_predict[[#This Row],[تعداد بیزینس]]</f>
        <v>220000000</v>
      </c>
      <c r="D29" s="12">
        <f>tbl_pricing_predict[[#This Row],[درآمد ماهیانه]]*12</f>
        <v>2640000000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299.16666666666669</v>
      </c>
      <c r="C30" s="12">
        <f>d_customerAvgRevenue*tbl_pricing_predict[[#This Row],[تعداد بیزینس]]</f>
        <v>550000000</v>
      </c>
      <c r="D30" s="12">
        <f>tbl_pricing_predict[[#This Row],[درآمد ماهیانه]]*12</f>
        <v>6600000000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598.33333333333337</v>
      </c>
      <c r="C31" s="12">
        <f>d_customerAvgRevenue*tbl_pricing_predict[[#This Row],[تعداد بیزینس]]</f>
        <v>1100000000</v>
      </c>
      <c r="D31" s="12">
        <f>tbl_pricing_predict[[#This Row],[درآمد ماهیانه]]*12</f>
        <v>13200000000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1196.6666666666667</v>
      </c>
      <c r="C32" s="12">
        <f>d_customerAvgRevenue*tbl_pricing_predict[[#This Row],[تعداد بیزینس]]</f>
        <v>2200000000</v>
      </c>
      <c r="D32" s="12">
        <f>tbl_pricing_predict[[#This Row],[درآمد ماهیانه]]*12</f>
        <v>26400000000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2991.666666666667</v>
      </c>
      <c r="C33" s="12">
        <f>d_customerAvgRevenue*tbl_pricing_predict[[#This Row],[تعداد بیزینس]]</f>
        <v>5500000000</v>
      </c>
      <c r="D33" s="12">
        <f>tbl_pricing_predict[[#This Row],[درآمد ماهیانه]]*12</f>
        <v>66000000000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5983.3333333333339</v>
      </c>
      <c r="C34" s="12">
        <f>d_customerAvgRevenue*tbl_pricing_predict[[#This Row],[تعداد بیزینس]]</f>
        <v>11000000000</v>
      </c>
      <c r="D34" s="12">
        <f>tbl_pricing_predict[[#This Row],[درآمد ماهیانه]]*12</f>
        <v>132000000000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33</vt:i4>
      </vt:variant>
    </vt:vector>
  </HeadingPairs>
  <TitlesOfParts>
    <vt:vector size="46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CAGR</vt:lpstr>
      <vt:lpstr>CAGR_Jibres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Adib</cp:lastModifiedBy>
  <cp:lastPrinted>2021-05-15T13:21:20Z</cp:lastPrinted>
  <dcterms:created xsi:type="dcterms:W3CDTF">2021-05-14T11:36:15Z</dcterms:created>
  <dcterms:modified xsi:type="dcterms:W3CDTF">2021-12-12T16:09:35Z</dcterms:modified>
</cp:coreProperties>
</file>