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0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eb\projects\talambar_cdn\business\financial\"/>
    </mc:Choice>
  </mc:AlternateContent>
  <xr:revisionPtr revIDLastSave="0" documentId="13_ncr:1_{0DA1F34C-6321-4B25-B7E3-392B24D34EF3}" xr6:coauthVersionLast="47" xr6:coauthVersionMax="47" xr10:uidLastSave="{00000000-0000-0000-0000-000000000000}"/>
  <bookViews>
    <workbookView xWindow="-120" yWindow="-120" windowWidth="38640" windowHeight="15840" tabRatio="865" activeTab="9" xr2:uid="{6B758C63-8066-4742-BFF0-F2DCF7A6BA0C}"/>
  </bookViews>
  <sheets>
    <sheet name="خلاصه هزینه‌ها" sheetId="1" r:id="rId1"/>
    <sheet name="نمودار هزینه‌ها" sheetId="11" r:id="rId2"/>
    <sheet name="فرضیات" sheetId="3" r:id="rId3"/>
    <sheet name="سرور" sheetId="6" r:id="rId4"/>
    <sheet name="تجهیزات اداری" sheetId="8" r:id="rId5"/>
    <sheet name="حقوق و دستمزد" sheetId="2" r:id="rId6"/>
    <sheet name="بازاریابی و فروش" sheetId="4" r:id="rId7"/>
    <sheet name="هزینه‌های عمومی و اداری" sheetId="5" r:id="rId8"/>
    <sheet name="جزئیات منابع درآمد" sheetId="12" r:id="rId9"/>
    <sheet name="پیش‌بینی درآمد" sheetId="13" r:id="rId10"/>
    <sheet name="خلاصه و ارزیابی" sheetId="14" r:id="rId11"/>
    <sheet name="درآمد جیبرس به تفکیک ماه" sheetId="16" r:id="rId12"/>
    <sheet name="مراحل سرمایه‌گذاری" sheetId="15" r:id="rId13"/>
  </sheets>
  <definedNames>
    <definedName name="d_AnnualSalary">فرضیات!$B$3</definedName>
    <definedName name="d_coloCost">فرضیات!$B$15</definedName>
    <definedName name="d_customerAvgRevenue">'جزئیات منابع درآمد'!$C$19</definedName>
    <definedName name="d_customerConvertRate">'جزئیات منابع درآمد'!$C$18</definedName>
    <definedName name="d_salaryYOY">فرضیات!$B$2</definedName>
    <definedName name="d_serverCost">فرضیات!$B$13</definedName>
    <definedName name="d_serverDollarCost">فرضیات!$B$11</definedName>
    <definedName name="d_spacePricePerStaff">فرضیات!$B$6</definedName>
    <definedName name="d_ssdCost">فرضیات!$B$14</definedName>
    <definedName name="d_ssdDollarCost">فرضیات!$B$12</definedName>
    <definedName name="d_staff1400">'حقوق و دستمزد'!$C$12</definedName>
    <definedName name="d_staff1401">'حقوق و دستمزد'!$D$12</definedName>
    <definedName name="d_staffTotal">'حقوق و دستمزد'!$E$12</definedName>
    <definedName name="d_systemPerPerson">فرضیات!$B$8</definedName>
    <definedName name="d_toman2dollar">فرضیات!$B$7</definedName>
    <definedName name="d_unpredictedPercent">فرضیات!$B$16</definedName>
    <definedName name="d_usagePerPersonPerMonth">فرضیات!$B$9</definedName>
    <definedName name="d_year1400Remain">فرضیات!$B$10</definedName>
    <definedName name="s_activeUser">فرضیات!$B$18</definedName>
    <definedName name="s_cagr">فرضیات!$B$19</definedName>
    <definedName name="s_costsGrowthCapexYOY">فرضیات!$B$21</definedName>
    <definedName name="s_costsGrowthYOY">فرضیات!$B$20</definedName>
    <definedName name="v_DiscountRate">'خلاصه و ارزیابی'!$D$22</definedName>
    <definedName name="v_ExitRevenueMultiple">'خلاصه و ارزیابی'!$D$23</definedName>
    <definedName name="v_seriA">'مراحل سرمایه‌گذاری'!$H$3</definedName>
    <definedName name="v_seriB">'مراحل سرمایه‌گذاری'!$I$4</definedName>
    <definedName name="v_seriC">'مراحل سرمایه‌گذاری'!$J$5</definedName>
    <definedName name="v_seriD">'مراحل سرمایه‌گذاری'!$K$6</definedName>
    <definedName name="v_seriE">'مراحل سرمایه‌گذاری'!$L$7</definedName>
    <definedName name="v_seriF">'مراحل سرمایه‌گذاری'!$M$8</definedName>
    <definedName name="v_totalFund">'خلاصه و ارزیابی'!$C$16</definedName>
  </definedNames>
  <calcPr calcId="181029"/>
  <webPublishing allowPng="1" targetScreenSize="1800x1440" codePage="6500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6" l="1"/>
  <c r="G5" i="16"/>
  <c r="G6" i="16"/>
  <c r="G7" i="16"/>
  <c r="G8" i="16"/>
  <c r="G9" i="16"/>
  <c r="G10" i="16"/>
  <c r="G11" i="16"/>
  <c r="G12" i="16"/>
  <c r="G13" i="16"/>
  <c r="G14" i="16"/>
  <c r="G15" i="16"/>
  <c r="G16" i="16"/>
  <c r="G17" i="16"/>
  <c r="G18" i="16"/>
  <c r="G3" i="16"/>
  <c r="D18" i="16" l="1"/>
  <c r="E18" i="16"/>
  <c r="F18" i="16" s="1"/>
  <c r="A18" i="16"/>
  <c r="A17" i="16"/>
  <c r="D17" i="16"/>
  <c r="E17" i="16"/>
  <c r="F17" i="16" s="1"/>
  <c r="A3" i="16"/>
  <c r="A2" i="16"/>
  <c r="D3" i="16"/>
  <c r="D2" i="16"/>
  <c r="E3" i="16"/>
  <c r="F3" i="16" s="1"/>
  <c r="E2" i="16"/>
  <c r="F2" i="16" s="1"/>
  <c r="P6" i="16"/>
  <c r="P2" i="16"/>
  <c r="P3" i="16"/>
  <c r="P4" i="16"/>
  <c r="P5" i="16"/>
  <c r="D4" i="16"/>
  <c r="D16" i="16"/>
  <c r="D15" i="16"/>
  <c r="D14" i="16"/>
  <c r="D13" i="16"/>
  <c r="D12" i="16"/>
  <c r="D11" i="16"/>
  <c r="D10" i="16"/>
  <c r="D9" i="16"/>
  <c r="D8" i="16"/>
  <c r="D7" i="16"/>
  <c r="D6" i="16"/>
  <c r="D5" i="16"/>
  <c r="E4" i="16"/>
  <c r="F4" i="16" s="1"/>
  <c r="E16" i="16"/>
  <c r="F16" i="16" s="1"/>
  <c r="E15" i="16"/>
  <c r="F15" i="16" s="1"/>
  <c r="E14" i="16"/>
  <c r="F14" i="16" s="1"/>
  <c r="E13" i="16"/>
  <c r="F13" i="16" s="1"/>
  <c r="E12" i="16"/>
  <c r="F12" i="16" s="1"/>
  <c r="E11" i="16"/>
  <c r="F11" i="16" s="1"/>
  <c r="E10" i="16"/>
  <c r="F10" i="16" s="1"/>
  <c r="E9" i="16"/>
  <c r="F9" i="16" s="1"/>
  <c r="E8" i="16"/>
  <c r="F8" i="16" s="1"/>
  <c r="E7" i="16"/>
  <c r="F7" i="16" s="1"/>
  <c r="E6" i="16"/>
  <c r="F6" i="16" s="1"/>
  <c r="E5" i="16"/>
  <c r="F5" i="16" s="1"/>
  <c r="A15" i="16"/>
  <c r="A14" i="16"/>
  <c r="A13" i="16"/>
  <c r="A12" i="16"/>
  <c r="A11" i="16"/>
  <c r="A10" i="16"/>
  <c r="A9" i="16"/>
  <c r="A8" i="16"/>
  <c r="A7" i="16"/>
  <c r="A6" i="16"/>
  <c r="A5" i="16"/>
  <c r="A16" i="16"/>
  <c r="A4" i="16"/>
  <c r="A13" i="14"/>
  <c r="A12" i="14"/>
  <c r="A6" i="14"/>
  <c r="B32" i="12"/>
  <c r="B33" i="12"/>
  <c r="Q6" i="16" l="1"/>
  <c r="Q5" i="16"/>
  <c r="Q4" i="16"/>
  <c r="Q3" i="16"/>
  <c r="Q2" i="16"/>
  <c r="K2" i="16"/>
  <c r="K3" i="16"/>
  <c r="A5" i="2"/>
  <c r="B14" i="3"/>
  <c r="R6" i="16" l="1"/>
  <c r="R2" i="16"/>
  <c r="R4" i="16"/>
  <c r="R5" i="16"/>
  <c r="R3" i="16"/>
  <c r="K4" i="16"/>
  <c r="A5" i="14"/>
  <c r="A8" i="12"/>
  <c r="F8" i="12"/>
  <c r="H8" i="12" s="1"/>
  <c r="J8" i="12" s="1"/>
  <c r="K8" i="12"/>
  <c r="L8" i="12"/>
  <c r="M8" i="12"/>
  <c r="N8" i="12"/>
  <c r="O8" i="12"/>
  <c r="P8" i="12"/>
  <c r="Q8" i="12"/>
  <c r="R8" i="12"/>
  <c r="J8" i="15"/>
  <c r="K8" i="15" s="1"/>
  <c r="L8" i="15" s="1"/>
  <c r="H8" i="15"/>
  <c r="L6" i="15"/>
  <c r="K5" i="15"/>
  <c r="L5" i="15" s="1"/>
  <c r="J4" i="15"/>
  <c r="K4" i="15" s="1"/>
  <c r="L4" i="15" s="1"/>
  <c r="I13" i="15"/>
  <c r="J13" i="15" s="1"/>
  <c r="I3" i="15"/>
  <c r="J3" i="15" s="1"/>
  <c r="K3" i="15" s="1"/>
  <c r="L3" i="15" s="1"/>
  <c r="H5" i="15"/>
  <c r="I5" i="15" s="1"/>
  <c r="H6" i="15"/>
  <c r="I6" i="15" s="1"/>
  <c r="J6" i="15" s="1"/>
  <c r="H7" i="15"/>
  <c r="I7" i="15" s="1"/>
  <c r="J7" i="15" s="1"/>
  <c r="K7" i="15" s="1"/>
  <c r="H9" i="15"/>
  <c r="I9" i="15" s="1"/>
  <c r="J9" i="15" s="1"/>
  <c r="H10" i="15"/>
  <c r="I10" i="15" s="1"/>
  <c r="H11" i="15"/>
  <c r="I11" i="15" s="1"/>
  <c r="J11" i="15" s="1"/>
  <c r="H12" i="15"/>
  <c r="I12" i="15" s="1"/>
  <c r="J12" i="15" s="1"/>
  <c r="K12" i="15" s="1"/>
  <c r="H4" i="15"/>
  <c r="H2" i="15"/>
  <c r="I2" i="15" s="1"/>
  <c r="H26" i="15"/>
  <c r="G24" i="15"/>
  <c r="G25" i="15"/>
  <c r="G26" i="15"/>
  <c r="F24" i="15"/>
  <c r="F25" i="15"/>
  <c r="F26" i="15"/>
  <c r="E24" i="15"/>
  <c r="E25" i="15"/>
  <c r="E26" i="15"/>
  <c r="D24" i="15"/>
  <c r="D25" i="15"/>
  <c r="D26" i="15"/>
  <c r="C24" i="15"/>
  <c r="C25" i="15"/>
  <c r="C26" i="15"/>
  <c r="E14" i="15"/>
  <c r="F14" i="15"/>
  <c r="G14" i="15"/>
  <c r="D14" i="15"/>
  <c r="C14" i="15"/>
  <c r="E3" i="14"/>
  <c r="F3" i="14" s="1"/>
  <c r="G3" i="14" s="1"/>
  <c r="H3" i="14" s="1"/>
  <c r="I3" i="14" s="1"/>
  <c r="D3" i="14"/>
  <c r="A2" i="14"/>
  <c r="A3" i="14"/>
  <c r="R7" i="16" l="1"/>
  <c r="F27" i="15"/>
  <c r="E27" i="15"/>
  <c r="I26" i="15"/>
  <c r="C27" i="15"/>
  <c r="G27" i="15"/>
  <c r="D27" i="15"/>
  <c r="H25" i="15"/>
  <c r="J26" i="15"/>
  <c r="K13" i="15"/>
  <c r="K9" i="15"/>
  <c r="L9" i="15" s="1"/>
  <c r="L12" i="15"/>
  <c r="K11" i="15"/>
  <c r="L11" i="15" s="1"/>
  <c r="I24" i="15"/>
  <c r="J2" i="15"/>
  <c r="I14" i="15"/>
  <c r="J10" i="15"/>
  <c r="K10" i="15" s="1"/>
  <c r="L10" i="15" s="1"/>
  <c r="I25" i="15"/>
  <c r="H24" i="15"/>
  <c r="H27" i="15" l="1"/>
  <c r="I27" i="15"/>
  <c r="L13" i="15"/>
  <c r="K26" i="15"/>
  <c r="K25" i="15"/>
  <c r="K2" i="15"/>
  <c r="J24" i="15"/>
  <c r="J25" i="15"/>
  <c r="J14" i="15"/>
  <c r="L25" i="15"/>
  <c r="J27" i="15" l="1"/>
  <c r="L26" i="15"/>
  <c r="L2" i="15"/>
  <c r="K14" i="15"/>
  <c r="K24" i="15"/>
  <c r="K27" i="15" s="1"/>
  <c r="L14" i="15" l="1"/>
  <c r="L24" i="15"/>
  <c r="L27" i="15" s="1"/>
  <c r="A7" i="14" l="1"/>
  <c r="A8" i="14"/>
  <c r="A9" i="14"/>
  <c r="A10" i="14"/>
  <c r="A11" i="14"/>
  <c r="A4" i="14"/>
  <c r="A3" i="13"/>
  <c r="A4" i="13"/>
  <c r="A5" i="13"/>
  <c r="A6" i="13"/>
  <c r="A7" i="13"/>
  <c r="A8" i="13"/>
  <c r="C18" i="12"/>
  <c r="C3" i="13" s="1"/>
  <c r="A2" i="13"/>
  <c r="B34" i="12"/>
  <c r="K2" i="12"/>
  <c r="R2" i="12"/>
  <c r="R3" i="12"/>
  <c r="R4" i="12"/>
  <c r="R5" i="12"/>
  <c r="R6" i="12"/>
  <c r="R7" i="12"/>
  <c r="R9" i="12"/>
  <c r="R10" i="12"/>
  <c r="R11" i="12"/>
  <c r="R12" i="12"/>
  <c r="R13" i="12"/>
  <c r="Q2" i="12"/>
  <c r="Q3" i="12"/>
  <c r="Q4" i="12"/>
  <c r="Q5" i="12"/>
  <c r="Q6" i="12"/>
  <c r="Q7" i="12"/>
  <c r="Q9" i="12"/>
  <c r="Q10" i="12"/>
  <c r="Q11" i="12"/>
  <c r="Q12" i="12"/>
  <c r="Q13" i="12"/>
  <c r="P2" i="12"/>
  <c r="P3" i="12"/>
  <c r="P4" i="12"/>
  <c r="P5" i="12"/>
  <c r="P6" i="12"/>
  <c r="P7" i="12"/>
  <c r="P9" i="12"/>
  <c r="P10" i="12"/>
  <c r="P11" i="12"/>
  <c r="P12" i="12"/>
  <c r="P13" i="12"/>
  <c r="O2" i="12"/>
  <c r="O3" i="12"/>
  <c r="O4" i="12"/>
  <c r="O5" i="12"/>
  <c r="O6" i="12"/>
  <c r="O7" i="12"/>
  <c r="O9" i="12"/>
  <c r="O10" i="12"/>
  <c r="O11" i="12"/>
  <c r="O12" i="12"/>
  <c r="O13" i="12"/>
  <c r="N2" i="12"/>
  <c r="N3" i="12"/>
  <c r="N4" i="12"/>
  <c r="N5" i="12"/>
  <c r="N6" i="12"/>
  <c r="N7" i="12"/>
  <c r="N9" i="12"/>
  <c r="N10" i="12"/>
  <c r="N11" i="12"/>
  <c r="N12" i="12"/>
  <c r="N13" i="12"/>
  <c r="M2" i="12"/>
  <c r="M3" i="12"/>
  <c r="M4" i="12"/>
  <c r="M5" i="12"/>
  <c r="M6" i="12"/>
  <c r="M7" i="12"/>
  <c r="M9" i="12"/>
  <c r="M10" i="12"/>
  <c r="M11" i="12"/>
  <c r="M12" i="12"/>
  <c r="M13" i="12"/>
  <c r="L2" i="12"/>
  <c r="L3" i="12"/>
  <c r="L4" i="12"/>
  <c r="L5" i="12"/>
  <c r="L6" i="12"/>
  <c r="L7" i="12"/>
  <c r="L9" i="12"/>
  <c r="L10" i="12"/>
  <c r="L11" i="12"/>
  <c r="L12" i="12"/>
  <c r="L13" i="12"/>
  <c r="K3" i="12"/>
  <c r="K4" i="12"/>
  <c r="K5" i="12"/>
  <c r="K6" i="12"/>
  <c r="K7" i="12"/>
  <c r="K9" i="12"/>
  <c r="K10" i="12"/>
  <c r="K11" i="12"/>
  <c r="K12" i="12"/>
  <c r="K13" i="12"/>
  <c r="B24" i="12"/>
  <c r="B25" i="12"/>
  <c r="B26" i="12"/>
  <c r="B27" i="12"/>
  <c r="B28" i="12"/>
  <c r="B29" i="12"/>
  <c r="B30" i="12"/>
  <c r="B31" i="12"/>
  <c r="G14" i="12"/>
  <c r="A3" i="12"/>
  <c r="A4" i="12"/>
  <c r="A5" i="12"/>
  <c r="A6" i="12"/>
  <c r="A7" i="12"/>
  <c r="A9" i="12"/>
  <c r="A10" i="12"/>
  <c r="A11" i="12"/>
  <c r="A12" i="12"/>
  <c r="A13" i="12"/>
  <c r="F7" i="12"/>
  <c r="F13" i="12"/>
  <c r="F2" i="12"/>
  <c r="F3" i="12"/>
  <c r="F4" i="12"/>
  <c r="F5" i="12"/>
  <c r="F6" i="12"/>
  <c r="F9" i="12"/>
  <c r="F10" i="12"/>
  <c r="F11" i="12"/>
  <c r="F12" i="12"/>
  <c r="C4" i="13" l="1"/>
  <c r="D3" i="13"/>
  <c r="H3" i="13"/>
  <c r="D4" i="13"/>
  <c r="H4" i="13"/>
  <c r="E3" i="13"/>
  <c r="I3" i="13"/>
  <c r="E4" i="13"/>
  <c r="I4" i="13"/>
  <c r="F3" i="13"/>
  <c r="J3" i="13"/>
  <c r="F4" i="13"/>
  <c r="J4" i="13"/>
  <c r="G3" i="13"/>
  <c r="G4" i="13"/>
  <c r="H12" i="12"/>
  <c r="J12" i="12" s="1"/>
  <c r="H11" i="12"/>
  <c r="J11" i="12" s="1"/>
  <c r="H6" i="12"/>
  <c r="J6" i="12" s="1"/>
  <c r="H10" i="12"/>
  <c r="J10" i="12" s="1"/>
  <c r="H5" i="12"/>
  <c r="J5" i="12" s="1"/>
  <c r="H13" i="12"/>
  <c r="J13" i="12" s="1"/>
  <c r="H9" i="12"/>
  <c r="J9" i="12" s="1"/>
  <c r="H4" i="12"/>
  <c r="J4" i="12" s="1"/>
  <c r="H7" i="12"/>
  <c r="J7" i="12" s="1"/>
  <c r="H3" i="12"/>
  <c r="J3" i="12" s="1"/>
  <c r="H2" i="12"/>
  <c r="C19" i="12" l="1"/>
  <c r="J2" i="12"/>
  <c r="I8" i="12" s="1"/>
  <c r="H14" i="12"/>
  <c r="C33" i="12" l="1"/>
  <c r="D33" i="12" s="1"/>
  <c r="C32" i="12"/>
  <c r="D32" i="12" s="1"/>
  <c r="D5" i="13"/>
  <c r="D6" i="13" s="1"/>
  <c r="H5" i="13"/>
  <c r="H6" i="13" s="1"/>
  <c r="E5" i="13"/>
  <c r="E6" i="13" s="1"/>
  <c r="I5" i="13"/>
  <c r="I6" i="13" s="1"/>
  <c r="F5" i="13"/>
  <c r="F6" i="13" s="1"/>
  <c r="G5" i="13"/>
  <c r="G6" i="13" s="1"/>
  <c r="C5" i="13"/>
  <c r="C6" i="13" s="1"/>
  <c r="J5" i="13"/>
  <c r="J6" i="13" s="1"/>
  <c r="C7" i="13"/>
  <c r="C8" i="13" s="1"/>
  <c r="D7" i="13"/>
  <c r="D8" i="13" s="1"/>
  <c r="H7" i="13"/>
  <c r="H8" i="13" s="1"/>
  <c r="E7" i="13"/>
  <c r="E8" i="13" s="1"/>
  <c r="I7" i="13"/>
  <c r="I8" i="13" s="1"/>
  <c r="F7" i="13"/>
  <c r="F8" i="13" s="1"/>
  <c r="J7" i="13"/>
  <c r="J8" i="13" s="1"/>
  <c r="G7" i="13"/>
  <c r="G8" i="13" s="1"/>
  <c r="I4" i="12"/>
  <c r="C34" i="12"/>
  <c r="D34" i="12" s="1"/>
  <c r="C24" i="12"/>
  <c r="D24" i="12" s="1"/>
  <c r="C28" i="12"/>
  <c r="D28" i="12" s="1"/>
  <c r="C25" i="12"/>
  <c r="D25" i="12" s="1"/>
  <c r="C29" i="12"/>
  <c r="D29" i="12" s="1"/>
  <c r="C26" i="12"/>
  <c r="D26" i="12" s="1"/>
  <c r="C30" i="12"/>
  <c r="D30" i="12" s="1"/>
  <c r="C27" i="12"/>
  <c r="D27" i="12" s="1"/>
  <c r="C31" i="12"/>
  <c r="D31" i="12" s="1"/>
  <c r="I2" i="12"/>
  <c r="I9" i="12"/>
  <c r="I12" i="12"/>
  <c r="I5" i="12"/>
  <c r="I3" i="12"/>
  <c r="I7" i="12"/>
  <c r="I13" i="12"/>
  <c r="I10" i="12"/>
  <c r="I11" i="12"/>
  <c r="I6" i="12"/>
  <c r="D4" i="14" l="1"/>
  <c r="E4" i="14"/>
  <c r="E5" i="14" s="1"/>
  <c r="D25" i="14" l="1"/>
  <c r="D5" i="14"/>
  <c r="E6" i="14" s="1"/>
  <c r="F4" i="14"/>
  <c r="E25" i="14"/>
  <c r="A2" i="12"/>
  <c r="F5" i="14" l="1"/>
  <c r="F6" i="14" s="1"/>
  <c r="G4" i="14"/>
  <c r="F25" i="14"/>
  <c r="A3" i="2"/>
  <c r="A4" i="2"/>
  <c r="H4" i="14" l="1"/>
  <c r="G5" i="14"/>
  <c r="G6" i="14" s="1"/>
  <c r="G25" i="14"/>
  <c r="A3" i="5"/>
  <c r="A4" i="5"/>
  <c r="A5" i="5"/>
  <c r="A6" i="5"/>
  <c r="A7" i="5"/>
  <c r="A8" i="5"/>
  <c r="A9" i="5"/>
  <c r="E3" i="5"/>
  <c r="A2" i="5"/>
  <c r="D2" i="5"/>
  <c r="C2" i="5"/>
  <c r="E4" i="5"/>
  <c r="E7" i="5"/>
  <c r="E8" i="5"/>
  <c r="A2" i="8"/>
  <c r="A8" i="1"/>
  <c r="A7" i="1"/>
  <c r="D3" i="6"/>
  <c r="B13" i="3"/>
  <c r="C2" i="6" s="1"/>
  <c r="D4" i="6"/>
  <c r="C4" i="6"/>
  <c r="A10" i="6"/>
  <c r="A4" i="6"/>
  <c r="A3" i="6"/>
  <c r="A2" i="6"/>
  <c r="C12" i="2"/>
  <c r="D12" i="2" s="1"/>
  <c r="E12" i="2" s="1"/>
  <c r="D6" i="5" s="1"/>
  <c r="D9" i="5" s="1"/>
  <c r="B6" i="3"/>
  <c r="D6" i="1" s="1"/>
  <c r="A6" i="1"/>
  <c r="A3" i="4"/>
  <c r="A4" i="4"/>
  <c r="A5" i="4"/>
  <c r="A6" i="4"/>
  <c r="A7" i="4"/>
  <c r="A8" i="4"/>
  <c r="A9" i="4"/>
  <c r="A10" i="4"/>
  <c r="E23" i="2"/>
  <c r="E24" i="2"/>
  <c r="E25" i="2"/>
  <c r="E26" i="2"/>
  <c r="E3" i="4"/>
  <c r="E4" i="4"/>
  <c r="A2" i="4"/>
  <c r="E2" i="4"/>
  <c r="I4" i="14" l="1"/>
  <c r="H5" i="14"/>
  <c r="H6" i="14" s="1"/>
  <c r="H25" i="14"/>
  <c r="C6" i="5"/>
  <c r="E6" i="1"/>
  <c r="C2" i="8"/>
  <c r="D3" i="1" s="1"/>
  <c r="D2" i="8"/>
  <c r="E4" i="6"/>
  <c r="E2" i="5"/>
  <c r="C3" i="6"/>
  <c r="D2" i="6"/>
  <c r="I5" i="14" l="1"/>
  <c r="J4" i="14"/>
  <c r="I25" i="14"/>
  <c r="E6" i="5"/>
  <c r="C9" i="5"/>
  <c r="C10" i="5" s="1"/>
  <c r="E3" i="1"/>
  <c r="E2" i="8"/>
  <c r="E5" i="5"/>
  <c r="E7" i="1"/>
  <c r="E2" i="6"/>
  <c r="D10" i="5"/>
  <c r="F6" i="1"/>
  <c r="C5" i="6"/>
  <c r="E3" i="6"/>
  <c r="D5" i="6"/>
  <c r="E2" i="1"/>
  <c r="D2" i="1"/>
  <c r="J5" i="14" l="1"/>
  <c r="I6" i="14"/>
  <c r="E7" i="14"/>
  <c r="F7" i="14" s="1"/>
  <c r="G7" i="14" s="1"/>
  <c r="H7" i="14" s="1"/>
  <c r="I7" i="14" s="1"/>
  <c r="D7" i="14"/>
  <c r="D13" i="1"/>
  <c r="E13" i="1"/>
  <c r="E9" i="5"/>
  <c r="E10" i="5" s="1"/>
  <c r="D7" i="1"/>
  <c r="E5" i="6"/>
  <c r="C13" i="2"/>
  <c r="C15" i="2" s="1"/>
  <c r="D23" i="2"/>
  <c r="F23" i="2" s="1"/>
  <c r="D24" i="2"/>
  <c r="F24" i="2" s="1"/>
  <c r="D25" i="2"/>
  <c r="F25" i="2" s="1"/>
  <c r="D26" i="2"/>
  <c r="F26" i="2" s="1"/>
  <c r="B15" i="2"/>
  <c r="J7" i="14" l="1"/>
  <c r="F13" i="1"/>
  <c r="F7" i="1"/>
  <c r="C14" i="2"/>
  <c r="D13" i="2"/>
  <c r="E13" i="2" s="1"/>
  <c r="D5" i="1"/>
  <c r="E5" i="1"/>
  <c r="A5" i="1"/>
  <c r="D11" i="4"/>
  <c r="E5" i="4"/>
  <c r="E6" i="4"/>
  <c r="E7" i="4"/>
  <c r="E8" i="4"/>
  <c r="E9" i="4"/>
  <c r="E10" i="4"/>
  <c r="C11" i="4"/>
  <c r="F2" i="1"/>
  <c r="A3" i="1"/>
  <c r="A4" i="1"/>
  <c r="A2" i="1"/>
  <c r="D6" i="2"/>
  <c r="C6" i="2"/>
  <c r="A2" i="2"/>
  <c r="F5" i="1" l="1"/>
  <c r="E11" i="4"/>
  <c r="D14" i="2"/>
  <c r="D4" i="1" l="1"/>
  <c r="E14" i="2"/>
  <c r="D15" i="2"/>
  <c r="D8" i="1" l="1"/>
  <c r="E4" i="1"/>
  <c r="E15" i="2"/>
  <c r="D8" i="14" l="1"/>
  <c r="D14" i="1"/>
  <c r="E8" i="1"/>
  <c r="E8" i="14" s="1"/>
  <c r="F8" i="14" s="1"/>
  <c r="F3" i="1"/>
  <c r="F4" i="1"/>
  <c r="D9" i="1"/>
  <c r="D9" i="14" l="1"/>
  <c r="D31" i="14" s="1"/>
  <c r="G8" i="14"/>
  <c r="H8" i="14" s="1"/>
  <c r="I8" i="14" s="1"/>
  <c r="E9" i="14"/>
  <c r="E9" i="1"/>
  <c r="E14" i="1"/>
  <c r="F14" i="1" s="1"/>
  <c r="F8" i="1"/>
  <c r="G3" i="1" s="1"/>
  <c r="D10" i="14" l="1"/>
  <c r="D11" i="14"/>
  <c r="D24" i="14" s="1"/>
  <c r="D26" i="14" s="1"/>
  <c r="D27" i="14" s="1"/>
  <c r="J8" i="14"/>
  <c r="D33" i="14"/>
  <c r="E11" i="14"/>
  <c r="E31" i="14"/>
  <c r="E10" i="14"/>
  <c r="F9" i="14"/>
  <c r="F31" i="14" s="1"/>
  <c r="F9" i="1"/>
  <c r="G4" i="1"/>
  <c r="G5" i="1"/>
  <c r="G2" i="1"/>
  <c r="G8" i="1"/>
  <c r="G7" i="1"/>
  <c r="G6" i="1"/>
  <c r="D32" i="14" l="1"/>
  <c r="E12" i="14"/>
  <c r="E13" i="14" s="1"/>
  <c r="D12" i="14"/>
  <c r="D13" i="14" s="1"/>
  <c r="E24" i="14"/>
  <c r="E33" i="14"/>
  <c r="E32" i="14"/>
  <c r="F11" i="14"/>
  <c r="F10" i="14"/>
  <c r="G9" i="14"/>
  <c r="G11" i="14" s="1"/>
  <c r="G9" i="1"/>
  <c r="G33" i="14" l="1"/>
  <c r="F24" i="14"/>
  <c r="F26" i="14" s="1"/>
  <c r="F27" i="14" s="1"/>
  <c r="F12" i="14"/>
  <c r="F13" i="14" s="1"/>
  <c r="G12" i="14"/>
  <c r="G13" i="14" s="1"/>
  <c r="E26" i="14"/>
  <c r="E27" i="14" s="1"/>
  <c r="G31" i="14"/>
  <c r="F32" i="14"/>
  <c r="G32" i="14"/>
  <c r="F33" i="14"/>
  <c r="H9" i="14"/>
  <c r="H31" i="14" s="1"/>
  <c r="I9" i="14"/>
  <c r="I11" i="14" s="1"/>
  <c r="G24" i="14"/>
  <c r="G10" i="14"/>
  <c r="G26" i="14" l="1"/>
  <c r="G27" i="14" s="1"/>
  <c r="H10" i="14"/>
  <c r="H11" i="14"/>
  <c r="J11" i="14" s="1"/>
  <c r="I31" i="14"/>
  <c r="I10" i="14"/>
  <c r="I24" i="14"/>
  <c r="H24" i="14" l="1"/>
  <c r="H26" i="14" s="1"/>
  <c r="H27" i="14" s="1"/>
  <c r="H12" i="14"/>
  <c r="H13" i="14" s="1"/>
  <c r="I12" i="14"/>
  <c r="I13" i="14" s="1"/>
  <c r="I33" i="14"/>
  <c r="I32" i="14"/>
  <c r="H33" i="14"/>
  <c r="H32" i="14"/>
  <c r="I26" i="14" l="1"/>
  <c r="I27" i="14" s="1"/>
  <c r="H14" i="15"/>
  <c r="M12" i="15"/>
  <c r="M4" i="15"/>
  <c r="M5" i="15"/>
  <c r="M10" i="15"/>
  <c r="M6" i="15"/>
  <c r="M11" i="15"/>
  <c r="M9" i="15"/>
  <c r="M3" i="15"/>
  <c r="M2" i="15"/>
  <c r="M13" i="15"/>
  <c r="M26" i="15" s="1"/>
  <c r="M7" i="15"/>
  <c r="M25" i="15" l="1"/>
  <c r="M14" i="15"/>
  <c r="M24" i="15"/>
  <c r="M27" i="15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Javad Evazzadeh</author>
  </authors>
  <commentList>
    <comment ref="C9" authorId="0" shapeId="0" xr:uid="{C4FC50AC-CFBA-4AC7-AB21-28DB7D6BCBB3}">
      <text>
        <r>
          <rPr>
            <sz val="9"/>
            <color indexed="81"/>
            <rFont val="Tahoma"/>
            <family val="2"/>
          </rPr>
          <t>Earnings before interest, tax, depreciation and amortization</t>
        </r>
      </text>
    </comment>
    <comment ref="B26" authorId="0" shapeId="0" xr:uid="{68FD4E4E-6D9E-4BED-9405-F6FD701F704A}">
      <text>
        <r>
          <rPr>
            <sz val="9"/>
            <color indexed="81"/>
            <rFont val="Tahoma"/>
            <family val="2"/>
          </rPr>
          <t>Post-money valuation</t>
        </r>
      </text>
    </comment>
    <comment ref="B27" authorId="0" shapeId="0" xr:uid="{225D4D8D-7B54-479E-8CEC-45A0AC103571}">
      <text>
        <r>
          <rPr>
            <sz val="9"/>
            <color indexed="81"/>
            <rFont val="Tahoma"/>
            <family val="2"/>
          </rPr>
          <t>Post-money valuation</t>
        </r>
      </text>
    </comment>
    <comment ref="C31" authorId="0" shapeId="0" xr:uid="{17C37891-F9D3-447A-B8FE-A7C8660AE20C}">
      <text>
        <r>
          <rPr>
            <b/>
            <sz val="9"/>
            <color indexed="81"/>
            <rFont val="Tahoma"/>
            <family val="2"/>
          </rPr>
          <t>Internal rate of return</t>
        </r>
      </text>
    </comment>
  </commentList>
</comments>
</file>

<file path=xl/sharedStrings.xml><?xml version="1.0" encoding="utf-8"?>
<sst xmlns="http://schemas.openxmlformats.org/spreadsheetml/2006/main" count="374" uniqueCount="224">
  <si>
    <t>#</t>
  </si>
  <si>
    <t>Total</t>
  </si>
  <si>
    <t>عنوان</t>
  </si>
  <si>
    <t>مقدار</t>
  </si>
  <si>
    <t>افزایش سالیانه حقوق</t>
  </si>
  <si>
    <t>هزینه کارمند در یک‌سال</t>
  </si>
  <si>
    <t>فضای استاندارد برای هر کارمند</t>
  </si>
  <si>
    <t>هزینه‌ی یک متر مربع فضا</t>
  </si>
  <si>
    <t>نرخ تبدیل ریال به دلار</t>
  </si>
  <si>
    <t>عنوان شغلی</t>
  </si>
  <si>
    <t>نیروی فنی</t>
  </si>
  <si>
    <t>ارتباط با مشتریان</t>
  </si>
  <si>
    <t>بازاریابی و فروش و برندینگ</t>
  </si>
  <si>
    <t>مالی و اداری</t>
  </si>
  <si>
    <t>1400</t>
  </si>
  <si>
    <t>1401</t>
  </si>
  <si>
    <t>پرداختی ماهیانه</t>
  </si>
  <si>
    <t>پرداختی سالیانه</t>
  </si>
  <si>
    <t>مجموع</t>
  </si>
  <si>
    <t>میانگین پرداختی ۱۴۰۰</t>
  </si>
  <si>
    <t>میانگین پرداختی ۱۴۰۱</t>
  </si>
  <si>
    <t>جمع</t>
  </si>
  <si>
    <t>تبلیغات چاپی</t>
  </si>
  <si>
    <t>ویدیو مارکتینگ</t>
  </si>
  <si>
    <t>رویدادها</t>
  </si>
  <si>
    <t>هدایا</t>
  </si>
  <si>
    <t>تخفیف‌ها</t>
  </si>
  <si>
    <t>جلسات و سفرهای کاری</t>
  </si>
  <si>
    <t>هزینه یک‌سال ۱۴۰۰</t>
  </si>
  <si>
    <t>هزینه یک‌سال ۱۴۰۱</t>
  </si>
  <si>
    <t>نمایشگاه‌ها</t>
  </si>
  <si>
    <t>تبلیغات در موتورهای جستجو</t>
  </si>
  <si>
    <t>سرور</t>
  </si>
  <si>
    <t>فضای کاری</t>
  </si>
  <si>
    <t>هزینه فضای موردنیاز هر کارمند در ماه</t>
  </si>
  <si>
    <t>ردیف</t>
  </si>
  <si>
    <t>هزینه‌های ثبت</t>
  </si>
  <si>
    <t>تجهیزات اداری</t>
  </si>
  <si>
    <t>هزینه مصرفی هر نفر در ماه</t>
  </si>
  <si>
    <t>هزینه تجهیزات اداری هر نفر یک‌بار</t>
  </si>
  <si>
    <t>تعداد ماه‌های مانده در ۱۴۰۰</t>
  </si>
  <si>
    <t>تعداد پرسنل جدید</t>
  </si>
  <si>
    <t>هزینه مصرفی هر نفر</t>
  </si>
  <si>
    <t>بیمه</t>
  </si>
  <si>
    <t>حسابرسی</t>
  </si>
  <si>
    <t>سرمایه در گردش</t>
  </si>
  <si>
    <t>نوع</t>
  </si>
  <si>
    <t>خرید سرور</t>
  </si>
  <si>
    <t>9</t>
  </si>
  <si>
    <t>هزینه هر سرور</t>
  </si>
  <si>
    <t>هزینه کالوکیشن هر سرور در ماه</t>
  </si>
  <si>
    <t>کولوکیشن</t>
  </si>
  <si>
    <t>هزینه دلاری هر سرور</t>
  </si>
  <si>
    <t>هزینه دلاری هر هارد ۱ ترابایت SSD</t>
  </si>
  <si>
    <t>هزینه هارد هر سرور</t>
  </si>
  <si>
    <t>هارد سرور</t>
  </si>
  <si>
    <t>درصد</t>
  </si>
  <si>
    <t>سرمایه ثابت</t>
  </si>
  <si>
    <t>حقوق و دستمزد</t>
  </si>
  <si>
    <t>پیش‌بینی نشده</t>
  </si>
  <si>
    <t>درصد هزینه‌های پیش‌بینی نشده</t>
  </si>
  <si>
    <t>اجاره سروهای بکاپ</t>
  </si>
  <si>
    <t>دیجیتال مارکتینگ</t>
  </si>
  <si>
    <t>پک پیامک</t>
  </si>
  <si>
    <t>فرضیات بخش درآمد</t>
  </si>
  <si>
    <t>درصد کاربران فعال نسبت به کل</t>
  </si>
  <si>
    <t>درصد خرید</t>
  </si>
  <si>
    <t>حذف برندینگ جیبرس</t>
  </si>
  <si>
    <t>مدل پرداخت</t>
  </si>
  <si>
    <t>یک‌بار</t>
  </si>
  <si>
    <t>ماهیانه</t>
  </si>
  <si>
    <t>دیزاین سفارشی</t>
  </si>
  <si>
    <t>مشتری سازمانی</t>
  </si>
  <si>
    <t>مدیریت ارتباط با مشتریان حرفه‌ای</t>
  </si>
  <si>
    <t>گزارشات فروش پیشرفته</t>
  </si>
  <si>
    <t>دستیار فروش اینستاگرام</t>
  </si>
  <si>
    <t>ربات سفارش‌گیر تلگرام</t>
  </si>
  <si>
    <t>سود</t>
  </si>
  <si>
    <t>مبلغ پرداختی</t>
  </si>
  <si>
    <t>بهای تمام شده</t>
  </si>
  <si>
    <t>طراحی دیزاین اختصاصی</t>
  </si>
  <si>
    <t>پنل پیامک</t>
  </si>
  <si>
    <t>درآمد ماهیانه</t>
  </si>
  <si>
    <t>درآمد سالیانه</t>
  </si>
  <si>
    <t>مصرفی</t>
  </si>
  <si>
    <t>کل بیزینس‌ها</t>
  </si>
  <si>
    <t>500</t>
  </si>
  <si>
    <t>1000</t>
  </si>
  <si>
    <t>2000</t>
  </si>
  <si>
    <t>5000</t>
  </si>
  <si>
    <t>10000</t>
  </si>
  <si>
    <t>20000</t>
  </si>
  <si>
    <t>50000</t>
  </si>
  <si>
    <t>100000</t>
  </si>
  <si>
    <t>پنل ادمین روی دامنه اختصاصی</t>
  </si>
  <si>
    <t>درصد از کل درآمد</t>
  </si>
  <si>
    <t>سود به ازای هر بیزینس</t>
  </si>
  <si>
    <t>تعداد بیزینس</t>
  </si>
  <si>
    <t>درآمد</t>
  </si>
  <si>
    <t>تعداد بیزینس‌هایی که پرداخت دارند</t>
  </si>
  <si>
    <t>میانگین درآمد از هر مشتری</t>
  </si>
  <si>
    <t>نرخ تبدیل مشتریان رایگان به پولی</t>
  </si>
  <si>
    <t>1400-Q1</t>
  </si>
  <si>
    <t>1400-Q2</t>
  </si>
  <si>
    <t>1400-Q3</t>
  </si>
  <si>
    <t>1400-Q4</t>
  </si>
  <si>
    <t>1401-Q1</t>
  </si>
  <si>
    <t>1401-Q2</t>
  </si>
  <si>
    <t>1401-Q3</t>
  </si>
  <si>
    <t>1401-Q4</t>
  </si>
  <si>
    <t>تعداد کل بیزینس‌ها</t>
  </si>
  <si>
    <t>بیزینس‌هایی که پرداخت می‌کنند</t>
  </si>
  <si>
    <t>میانگین درآمد از هر مشتری در ماه</t>
  </si>
  <si>
    <t>میانگین درآمد از هر مشتری در سه‌ماهه</t>
  </si>
  <si>
    <t>درآمد سه‌ماهه</t>
  </si>
  <si>
    <t>1402</t>
  </si>
  <si>
    <t>1403</t>
  </si>
  <si>
    <t>1404</t>
  </si>
  <si>
    <t>رشد سالیانه فروش CAGR</t>
  </si>
  <si>
    <t>رشد سالیانه هزینه‌ها</t>
  </si>
  <si>
    <t>EBITDA</t>
  </si>
  <si>
    <t>EBITDA Margin</t>
  </si>
  <si>
    <t>FCF</t>
  </si>
  <si>
    <t>1405</t>
  </si>
  <si>
    <t>هزینه‌های عمومی و اداری</t>
  </si>
  <si>
    <t>بازاریابی و فروش</t>
  </si>
  <si>
    <t>تعداد بیزینس‌ها</t>
  </si>
  <si>
    <t>Merchants</t>
  </si>
  <si>
    <t>Revnue</t>
  </si>
  <si>
    <t>Opex</t>
  </si>
  <si>
    <t>Capex</t>
  </si>
  <si>
    <t>درآمد قبل از بهره، مالیات و استهلاک</t>
  </si>
  <si>
    <t>درصد EBITDA</t>
  </si>
  <si>
    <t>Discount Rate</t>
  </si>
  <si>
    <t>Exit Revenue Multiple</t>
  </si>
  <si>
    <t>Present FCF</t>
  </si>
  <si>
    <t>Title</t>
  </si>
  <si>
    <t>رشد سالیانه هزینه سرمایه ثابت</t>
  </si>
  <si>
    <t>IRR</t>
  </si>
  <si>
    <t>IRR + CAPEX</t>
  </si>
  <si>
    <t>NVP</t>
  </si>
  <si>
    <t>نرخ تنزیل</t>
  </si>
  <si>
    <t>Series A</t>
  </si>
  <si>
    <t>Series B</t>
  </si>
  <si>
    <t>Series C</t>
  </si>
  <si>
    <t>Series E</t>
  </si>
  <si>
    <t>Series F</t>
  </si>
  <si>
    <t>موسسان</t>
  </si>
  <si>
    <t>سهام کارکنان</t>
  </si>
  <si>
    <t>نوع سهام‌دار</t>
  </si>
  <si>
    <t>جواد ادیب</t>
  </si>
  <si>
    <t>رضا محیطی</t>
  </si>
  <si>
    <t>سارا ترکمنی</t>
  </si>
  <si>
    <t>حسن صالحی</t>
  </si>
  <si>
    <t>-</t>
  </si>
  <si>
    <t>سرمایه‌گذاران</t>
  </si>
  <si>
    <t>دوم</t>
  </si>
  <si>
    <t>سوم</t>
  </si>
  <si>
    <t>چهارم</t>
  </si>
  <si>
    <t>پنجم</t>
  </si>
  <si>
    <t>اشتراک بین کارکنان</t>
  </si>
  <si>
    <t>نام به تفکیک</t>
  </si>
  <si>
    <t>اول (حسینی)</t>
  </si>
  <si>
    <t>1399</t>
  </si>
  <si>
    <t>Start 1394</t>
  </si>
  <si>
    <t>سرمایه ثبتی شرکت</t>
  </si>
  <si>
    <t>Angel Out 1397/2/22</t>
  </si>
  <si>
    <t>Seed Angel 1395</t>
  </si>
  <si>
    <t>1397/5/1</t>
  </si>
  <si>
    <t>ششم</t>
  </si>
  <si>
    <t>جمع سهام</t>
  </si>
  <si>
    <t>Series D</t>
  </si>
  <si>
    <t>هفتم</t>
  </si>
  <si>
    <t>مرکز فروش دامنه</t>
  </si>
  <si>
    <t>Exit Value</t>
  </si>
  <si>
    <t>شماره سال</t>
  </si>
  <si>
    <t>T</t>
  </si>
  <si>
    <t>روش تنزیل جریانات نقد آزاد شرکت از روش ارزش خروج برای تعیین ارزش پایانی</t>
  </si>
  <si>
    <t>روش تنزیل جریانات نقد آزاد شرکت از روش استمرار رشد بنیادی</t>
  </si>
  <si>
    <t>Present Value of Terminal Value</t>
  </si>
  <si>
    <t>ارزش فعلی ارزش پایانی</t>
  </si>
  <si>
    <t>ارزش پیش از تزریق سرمایه</t>
  </si>
  <si>
    <t>ارزش فعلی جریانات نقد آزاد</t>
  </si>
  <si>
    <t>نسبت ارزش به درآمد</t>
  </si>
  <si>
    <t>ارزش خالص فعلی کل سرمایه‌گذاری</t>
  </si>
  <si>
    <t>سایز هزینه‌ها ۱۰٪</t>
  </si>
  <si>
    <t>پشتیبانی ویژه و SLA</t>
  </si>
  <si>
    <t>میزان بازده داخلی + سرمایه ثابت</t>
  </si>
  <si>
    <t>درآمد دلاری</t>
  </si>
  <si>
    <t>ارزش پیش از تزریق سرمایه به دلار</t>
  </si>
  <si>
    <t>مبلغ موردنیاز برای سرمایه‌گذاری</t>
  </si>
  <si>
    <t>رشد درآمد نسبت به سال گذشته</t>
  </si>
  <si>
    <t>جریان نقدی آزاد (سود و زیان)</t>
  </si>
  <si>
    <t>سود و زیان تجمیعی</t>
  </si>
  <si>
    <t>میزان بازده داخلی (نرخ داخلی بازگشت سرمایه)</t>
  </si>
  <si>
    <t>ROI</t>
  </si>
  <si>
    <t>نرخ بازگشت سرمایه</t>
  </si>
  <si>
    <t>سال</t>
  </si>
  <si>
    <t>ماه</t>
  </si>
  <si>
    <t>1400-02</t>
  </si>
  <si>
    <t>1400-01</t>
  </si>
  <si>
    <t>1399-12</t>
  </si>
  <si>
    <t>1399-11</t>
  </si>
  <si>
    <t>1399-10</t>
  </si>
  <si>
    <t>1399-09</t>
  </si>
  <si>
    <t>1399-07</t>
  </si>
  <si>
    <t>1399-06</t>
  </si>
  <si>
    <t>1399-05</t>
  </si>
  <si>
    <t>1399-04</t>
  </si>
  <si>
    <t>1399-03</t>
  </si>
  <si>
    <t>1399-02</t>
  </si>
  <si>
    <t>سال و ماه</t>
  </si>
  <si>
    <t>مبلغ درآمد کسب شده</t>
  </si>
  <si>
    <t>به تفکیک سال</t>
  </si>
  <si>
    <t>جمع درآمد</t>
  </si>
  <si>
    <t>فصل</t>
  </si>
  <si>
    <t>1399-08</t>
  </si>
  <si>
    <t>درصد رشد نسبت به فصل قبل</t>
  </si>
  <si>
    <t>رشد نسبت به ماه قبل</t>
  </si>
  <si>
    <t>1399-01</t>
  </si>
  <si>
    <t>1398-12</t>
  </si>
  <si>
    <t>1400-03</t>
  </si>
  <si>
    <t>1400-04</t>
  </si>
  <si>
    <t>نسخه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</si>
</sst>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  <numFmt numFmtId="166" formatCode="_(\I\R\T\ * #,##0_)"/>
    <numFmt numFmtId="167" formatCode="[$-3000401]0"/>
    <numFmt numFmtId="168" formatCode="0.0%"/>
    <numFmt numFmtId="169" formatCode="_(* #,##0.0_);_(* \(#,##0.0\);_(* &quot;-&quot;??_);_(@_)"/>
    <numFmt numFmtId="170" formatCode="_(\I\R\T\ * #,##0_);[Red]_(\I\R\T\ * &quot;-&quot;#,##0_)"/>
    <numFmt numFmtId="171" formatCode="0.000%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IRANSansX"/>
      <charset val="178"/>
    </font>
    <font>
      <b/>
      <sz val="11"/>
      <color theme="0"/>
      <name val="IRANSansX"/>
      <charset val="178"/>
    </font>
    <font>
      <b/>
      <sz val="11"/>
      <color theme="1"/>
      <name val="IRANSansX"/>
      <charset val="178"/>
    </font>
    <font>
      <sz val="8"/>
      <name val="Calibri"/>
      <family val="2"/>
      <scheme val="minor"/>
    </font>
    <font>
      <sz val="10"/>
      <color theme="1"/>
      <name val="IRANSansX"/>
      <charset val="178"/>
    </font>
    <font>
      <sz val="11"/>
      <color theme="1" tint="0.249977111117893"/>
      <name val="IRANSansX"/>
      <charset val="178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/>
      <name val="IRANSansX"/>
      <charset val="178"/>
    </font>
  </fonts>
  <fills count="9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</fills>
  <borders count="8">
    <border>
      <left/>
      <right/>
      <top/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/>
      <top style="slantDashDot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3">
    <xf numFmtId="0" fontId="0" fillId="0" borderId="0" xfId="0"/>
    <xf numFmtId="0" fontId="2" fillId="0" borderId="0" xfId="0" applyFont="1"/>
    <xf numFmtId="0" fontId="2" fillId="0" borderId="0" xfId="0" applyFont="1" applyAlignment="1">
      <alignment horizontal="right"/>
    </xf>
    <xf numFmtId="1" fontId="2" fillId="0" borderId="0" xfId="0" applyNumberFormat="1" applyFont="1"/>
    <xf numFmtId="164" fontId="2" fillId="0" borderId="0" xfId="1" applyNumberFormat="1" applyFont="1"/>
    <xf numFmtId="164" fontId="2" fillId="0" borderId="0" xfId="0" applyNumberFormat="1" applyFont="1"/>
    <xf numFmtId="0" fontId="3" fillId="2" borderId="3" xfId="0" applyFont="1" applyFill="1" applyBorder="1"/>
    <xf numFmtId="0" fontId="3" fillId="2" borderId="4" xfId="0" applyFont="1" applyFill="1" applyBorder="1"/>
    <xf numFmtId="0" fontId="3" fillId="2" borderId="0" xfId="0" applyFont="1" applyFill="1" applyBorder="1"/>
    <xf numFmtId="0" fontId="2" fillId="0" borderId="3" xfId="0" applyFont="1" applyBorder="1"/>
    <xf numFmtId="0" fontId="2" fillId="0" borderId="4" xfId="0" applyFont="1" applyBorder="1"/>
    <xf numFmtId="166" fontId="2" fillId="0" borderId="4" xfId="2" applyNumberFormat="1" applyFont="1" applyBorder="1"/>
    <xf numFmtId="166" fontId="2" fillId="0" borderId="0" xfId="0" applyNumberFormat="1" applyFont="1"/>
    <xf numFmtId="0" fontId="2" fillId="0" borderId="1" xfId="0" applyFont="1" applyBorder="1"/>
    <xf numFmtId="0" fontId="4" fillId="0" borderId="2" xfId="0" applyFont="1" applyBorder="1"/>
    <xf numFmtId="166" fontId="4" fillId="0" borderId="2" xfId="2" applyNumberFormat="1" applyFont="1" applyBorder="1"/>
    <xf numFmtId="166" fontId="4" fillId="0" borderId="0" xfId="0" applyNumberFormat="1" applyFont="1"/>
    <xf numFmtId="165" fontId="2" fillId="0" borderId="0" xfId="0" applyNumberFormat="1" applyFont="1"/>
    <xf numFmtId="0" fontId="2" fillId="0" borderId="0" xfId="0" applyNumberFormat="1" applyFont="1"/>
    <xf numFmtId="166" fontId="2" fillId="0" borderId="0" xfId="2" applyNumberFormat="1" applyFont="1"/>
    <xf numFmtId="165" fontId="2" fillId="0" borderId="0" xfId="2" applyNumberFormat="1" applyFont="1"/>
    <xf numFmtId="9" fontId="2" fillId="0" borderId="0" xfId="0" applyNumberFormat="1" applyFont="1"/>
    <xf numFmtId="166" fontId="2" fillId="0" borderId="0" xfId="1" applyNumberFormat="1" applyFont="1"/>
    <xf numFmtId="0" fontId="2" fillId="0" borderId="0" xfId="0" applyFont="1" applyAlignment="1">
      <alignment horizontal="center"/>
    </xf>
    <xf numFmtId="164" fontId="2" fillId="0" borderId="4" xfId="1" applyNumberFormat="1" applyFont="1" applyBorder="1"/>
    <xf numFmtId="9" fontId="2" fillId="0" borderId="0" xfId="3" applyNumberFormat="1" applyFont="1"/>
    <xf numFmtId="0" fontId="2" fillId="3" borderId="3" xfId="0" applyFont="1" applyFill="1" applyBorder="1"/>
    <xf numFmtId="0" fontId="2" fillId="3" borderId="4" xfId="0" applyFont="1" applyFill="1" applyBorder="1"/>
    <xf numFmtId="0" fontId="2" fillId="0" borderId="2" xfId="0" applyFont="1" applyBorder="1"/>
    <xf numFmtId="0" fontId="3" fillId="2" borderId="4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166" fontId="2" fillId="3" borderId="4" xfId="1" applyNumberFormat="1" applyFont="1" applyFill="1" applyBorder="1"/>
    <xf numFmtId="166" fontId="2" fillId="3" borderId="6" xfId="1" applyNumberFormat="1" applyFont="1" applyFill="1" applyBorder="1"/>
    <xf numFmtId="166" fontId="2" fillId="0" borderId="2" xfId="1" applyNumberFormat="1" applyFont="1" applyBorder="1"/>
    <xf numFmtId="166" fontId="2" fillId="0" borderId="5" xfId="1" applyNumberFormat="1" applyFont="1" applyBorder="1"/>
    <xf numFmtId="167" fontId="2" fillId="0" borderId="0" xfId="0" applyNumberFormat="1" applyFont="1"/>
    <xf numFmtId="167" fontId="2" fillId="4" borderId="0" xfId="0" applyNumberFormat="1" applyFont="1" applyFill="1"/>
    <xf numFmtId="9" fontId="2" fillId="4" borderId="0" xfId="0" applyNumberFormat="1" applyFont="1" applyFill="1"/>
    <xf numFmtId="9" fontId="2" fillId="0" borderId="0" xfId="3" applyFont="1"/>
    <xf numFmtId="168" fontId="2" fillId="0" borderId="0" xfId="3" applyNumberFormat="1" applyFont="1"/>
    <xf numFmtId="164" fontId="2" fillId="0" borderId="0" xfId="1" applyNumberFormat="1" applyFont="1" applyAlignment="1">
      <alignment horizontal="center"/>
    </xf>
    <xf numFmtId="43" fontId="2" fillId="0" borderId="0" xfId="1" applyFont="1" applyAlignment="1">
      <alignment horizontal="center"/>
    </xf>
    <xf numFmtId="10" fontId="2" fillId="0" borderId="0" xfId="0" applyNumberFormat="1" applyFont="1"/>
    <xf numFmtId="10" fontId="2" fillId="0" borderId="0" xfId="3" applyNumberFormat="1" applyFont="1"/>
    <xf numFmtId="168" fontId="4" fillId="0" borderId="0" xfId="3" applyNumberFormat="1" applyFont="1" applyAlignment="1">
      <alignment horizontal="center"/>
    </xf>
    <xf numFmtId="166" fontId="2" fillId="0" borderId="0" xfId="3" applyNumberFormat="1" applyFont="1"/>
    <xf numFmtId="0" fontId="6" fillId="0" borderId="0" xfId="0" applyFont="1"/>
    <xf numFmtId="1" fontId="2" fillId="0" borderId="0" xfId="0" applyNumberFormat="1" applyFont="1" applyAlignment="1">
      <alignment horizontal="center"/>
    </xf>
    <xf numFmtId="1" fontId="4" fillId="0" borderId="0" xfId="0" applyNumberFormat="1" applyFont="1"/>
    <xf numFmtId="166" fontId="7" fillId="5" borderId="0" xfId="0" applyNumberFormat="1" applyFont="1" applyFill="1"/>
    <xf numFmtId="0" fontId="3" fillId="2" borderId="6" xfId="0" applyFont="1" applyFill="1" applyBorder="1"/>
    <xf numFmtId="168" fontId="2" fillId="3" borderId="6" xfId="3" applyNumberFormat="1" applyFont="1" applyFill="1" applyBorder="1"/>
    <xf numFmtId="166" fontId="2" fillId="0" borderId="5" xfId="0" applyNumberFormat="1" applyFont="1" applyBorder="1"/>
    <xf numFmtId="43" fontId="2" fillId="0" borderId="0" xfId="0" applyNumberFormat="1" applyFont="1"/>
    <xf numFmtId="0" fontId="4" fillId="0" borderId="0" xfId="0" applyFont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164" fontId="2" fillId="0" borderId="0" xfId="1" applyNumberFormat="1" applyFont="1" applyAlignment="1">
      <alignment horizontal="center" vertical="center"/>
    </xf>
    <xf numFmtId="166" fontId="2" fillId="0" borderId="0" xfId="0" applyNumberFormat="1" applyFont="1" applyAlignment="1">
      <alignment vertical="center"/>
    </xf>
    <xf numFmtId="9" fontId="2" fillId="0" borderId="0" xfId="3" applyFont="1" applyAlignment="1">
      <alignment vertical="center"/>
    </xf>
    <xf numFmtId="9" fontId="2" fillId="0" borderId="0" xfId="0" applyNumberFormat="1" applyFont="1" applyAlignment="1">
      <alignment vertical="center"/>
    </xf>
    <xf numFmtId="170" fontId="2" fillId="0" borderId="0" xfId="0" applyNumberFormat="1" applyFont="1" applyAlignment="1">
      <alignment vertical="center"/>
    </xf>
    <xf numFmtId="9" fontId="2" fillId="0" borderId="0" xfId="3" applyFont="1" applyAlignment="1">
      <alignment horizontal="center" vertical="center"/>
    </xf>
    <xf numFmtId="10" fontId="2" fillId="0" borderId="0" xfId="3" applyNumberFormat="1" applyFont="1" applyAlignment="1">
      <alignment horizontal="center" vertical="center"/>
    </xf>
    <xf numFmtId="9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 shrinkToFit="1"/>
    </xf>
    <xf numFmtId="166" fontId="2" fillId="0" borderId="0" xfId="0" applyNumberFormat="1" applyFont="1" applyAlignment="1">
      <alignment horizontal="center" vertical="center"/>
    </xf>
    <xf numFmtId="171" fontId="2" fillId="0" borderId="0" xfId="3" applyNumberFormat="1" applyFont="1" applyAlignment="1">
      <alignment horizontal="center" vertical="center"/>
    </xf>
    <xf numFmtId="9" fontId="4" fillId="7" borderId="0" xfId="3" applyNumberFormat="1" applyFont="1" applyFill="1" applyAlignment="1">
      <alignment horizontal="center" vertical="center"/>
    </xf>
    <xf numFmtId="10" fontId="4" fillId="6" borderId="0" xfId="3" applyNumberFormat="1" applyFont="1" applyFill="1" applyAlignment="1">
      <alignment horizontal="center" vertical="center"/>
    </xf>
    <xf numFmtId="10" fontId="2" fillId="0" borderId="0" xfId="0" applyNumberFormat="1" applyFont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9" fontId="2" fillId="0" borderId="7" xfId="3" applyFont="1" applyBorder="1" applyAlignment="1">
      <alignment horizontal="center" vertical="center"/>
    </xf>
    <xf numFmtId="10" fontId="2" fillId="0" borderId="7" xfId="3" applyNumberFormat="1" applyFont="1" applyBorder="1" applyAlignment="1">
      <alignment horizontal="center" vertical="center"/>
    </xf>
    <xf numFmtId="169" fontId="2" fillId="0" borderId="0" xfId="1" applyNumberFormat="1" applyFont="1" applyAlignment="1">
      <alignment vertical="center"/>
    </xf>
    <xf numFmtId="0" fontId="2" fillId="0" borderId="0" xfId="0" applyFont="1" applyAlignment="1">
      <alignment horizontal="left" vertical="center"/>
    </xf>
    <xf numFmtId="165" fontId="2" fillId="0" borderId="0" xfId="2" applyNumberFormat="1" applyFont="1" applyAlignment="1">
      <alignment vertical="center"/>
    </xf>
    <xf numFmtId="166" fontId="2" fillId="0" borderId="0" xfId="2" applyNumberFormat="1" applyFont="1" applyAlignment="1">
      <alignment vertical="center"/>
    </xf>
    <xf numFmtId="3" fontId="2" fillId="0" borderId="0" xfId="0" applyNumberFormat="1" applyFont="1"/>
    <xf numFmtId="170" fontId="2" fillId="0" borderId="0" xfId="1" applyNumberFormat="1" applyFont="1"/>
    <xf numFmtId="170" fontId="2" fillId="0" borderId="0" xfId="0" applyNumberFormat="1" applyFont="1"/>
    <xf numFmtId="166" fontId="10" fillId="0" borderId="0" xfId="1" applyNumberFormat="1" applyFont="1"/>
    <xf numFmtId="0" fontId="2" fillId="8" borderId="0" xfId="0" applyFont="1" applyFill="1" applyAlignment="1">
      <alignment horizontal="right" vertic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23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3" formatCode="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3" formatCode="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3" formatCode="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3" formatCode="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3" formatCode="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3" formatCode="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3" formatCode="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3" formatCode="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3" formatCode="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3" formatCode="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alignment horizontal="center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70" formatCode="_(\I\R\T\ * #,##0_);[Red]_(\I\R\T\ * &quot;-&quot;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70" formatCode="_(\I\R\T\ * #,##0_);[Red]_(\I\R\T\ * &quot;-&quot;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70" formatCode="_(\I\R\T\ * #,##0_);[Red]_(\I\R\T\ * &quot;-&quot;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70" formatCode="_(\I\R\T\ * #,##0_);[Red]_(\I\R\T\ * &quot;-&quot;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70" formatCode="_(\I\R\T\ * #,##0_);[Red]_(\I\R\T\ * &quot;-&quot;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color rgb="FF9C0006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3" formatCode="0%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3" formatCode="0%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3" formatCode="0%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3" formatCode="0%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3" formatCode="0%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3" formatCode="0%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3" formatCode="0%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77111117893"/>
        <name val="IRANSansX"/>
        <charset val="178"/>
        <scheme val="none"/>
      </font>
      <numFmt numFmtId="166" formatCode="_(\I\R\T\ * #,##0_)"/>
      <fill>
        <patternFill patternType="solid">
          <fgColor indexed="64"/>
          <bgColor theme="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4" formatCode="0.0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8" formatCode="0.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name val="IRANSansX"/>
        <charset val="178"/>
        <scheme val="none"/>
      </font>
      <numFmt numFmtId="166" formatCode="_(\I\R\T\ * #,##0_)"/>
    </dxf>
    <dxf>
      <font>
        <strike val="0"/>
        <outline val="0"/>
        <shadow val="0"/>
        <u val="none"/>
        <vertAlign val="baseline"/>
        <sz val="11"/>
        <name val="IRANSansX"/>
        <charset val="178"/>
        <scheme val="none"/>
      </font>
      <numFmt numFmtId="166" formatCode="_(\I\R\T\ * #,##0_)"/>
    </dxf>
    <dxf>
      <font>
        <strike val="0"/>
        <outline val="0"/>
        <shadow val="0"/>
        <u val="none"/>
        <vertAlign val="baseline"/>
        <sz val="11"/>
        <name val="IRANSansX"/>
        <charset val="178"/>
        <scheme val="none"/>
      </font>
      <numFmt numFmtId="165" formatCode="_(&quot;$&quot;* #,##0_);_(&quot;$&quot;* \(#,##0\);_(&quot;$&quot;* &quot;-&quot;??_);_(@_)"/>
    </dxf>
    <dxf>
      <font>
        <strike val="0"/>
        <outline val="0"/>
        <shadow val="0"/>
        <u val="none"/>
        <vertAlign val="baseline"/>
        <sz val="1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11"/>
        <name val="IRANSansX"/>
        <charset val="178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11"/>
        <name val="IRANSansX"/>
        <charset val="178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rgb="FF000000"/>
        <name val="IRANSansX"/>
        <charset val="178"/>
        <scheme val="none"/>
      </font>
      <numFmt numFmtId="166" formatCode="_(\I\R\T\ * #,##0_)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rgb="FF000000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3" formatCode="0%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5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</dxfs>
  <tableStyles count="0" defaultTableStyle="TableStyleMedium2" defaultPivotStyle="PivotStyleLight16"/>
  <colors>
    <mruColors>
      <color rgb="FFC80A5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IRANSansX" pitchFamily="2" charset="-78"/>
                <a:ea typeface="+mn-ea"/>
                <a:cs typeface="IRANSansX" pitchFamily="2" charset="-78"/>
              </a:defRPr>
            </a:pPr>
            <a:r>
              <a:rPr lang="fa-IR"/>
              <a:t>نمودار</a:t>
            </a:r>
            <a:r>
              <a:rPr lang="fa-IR" baseline="0"/>
              <a:t> هزینه‌ها به تفکیک عنوان در دوسال آینده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IRANSansX" pitchFamily="2" charset="-78"/>
              <a:ea typeface="+mn-ea"/>
              <a:cs typeface="IRANSansX" pitchFamily="2" charset="-78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'خلاصه هزینه‌ها'!$D$1</c:f>
              <c:strCache>
                <c:ptCount val="1"/>
                <c:pt idx="0">
                  <c:v>1400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'خلاصه هزینه‌ها'!$C$2:$C$8</c:f>
              <c:strCache>
                <c:ptCount val="7"/>
                <c:pt idx="0">
                  <c:v>سرور</c:v>
                </c:pt>
                <c:pt idx="1">
                  <c:v>تجهیزات اداری</c:v>
                </c:pt>
                <c:pt idx="2">
                  <c:v>حقوق و دستمزد</c:v>
                </c:pt>
                <c:pt idx="3">
                  <c:v>بازاریابی و فروش</c:v>
                </c:pt>
                <c:pt idx="4">
                  <c:v>فضای کاری</c:v>
                </c:pt>
                <c:pt idx="5">
                  <c:v>هزینه‌های عمومی و اداری</c:v>
                </c:pt>
                <c:pt idx="6">
                  <c:v>پیش‌بینی نشده</c:v>
                </c:pt>
              </c:strCache>
            </c:strRef>
          </c:cat>
          <c:val>
            <c:numRef>
              <c:f>'خلاصه هزینه‌ها'!$D$2:$D$8</c:f>
              <c:numCache>
                <c:formatCode>_(\I\R\T\ * #,##0_)</c:formatCode>
                <c:ptCount val="7"/>
                <c:pt idx="0">
                  <c:v>2883840000</c:v>
                </c:pt>
                <c:pt idx="1">
                  <c:v>180000000</c:v>
                </c:pt>
                <c:pt idx="2">
                  <c:v>792100000</c:v>
                </c:pt>
                <c:pt idx="3">
                  <c:v>540000000</c:v>
                </c:pt>
                <c:pt idx="4">
                  <c:v>180000000</c:v>
                </c:pt>
                <c:pt idx="5">
                  <c:v>218240000</c:v>
                </c:pt>
                <c:pt idx="6">
                  <c:v>479418000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54-4308-8052-C5AD6D710E4D}"/>
            </c:ext>
          </c:extLst>
        </c:ser>
        <c:ser>
          <c:idx val="1"/>
          <c:order val="1"/>
          <c:tx>
            <c:strRef>
              <c:f>'خلاصه هزینه‌ها'!$E$1</c:f>
              <c:strCache>
                <c:ptCount val="1"/>
                <c:pt idx="0">
                  <c:v>1401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'خلاصه هزینه‌ها'!$C$2:$C$8</c:f>
              <c:strCache>
                <c:ptCount val="7"/>
                <c:pt idx="0">
                  <c:v>سرور</c:v>
                </c:pt>
                <c:pt idx="1">
                  <c:v>تجهیزات اداری</c:v>
                </c:pt>
                <c:pt idx="2">
                  <c:v>حقوق و دستمزد</c:v>
                </c:pt>
                <c:pt idx="3">
                  <c:v>بازاریابی و فروش</c:v>
                </c:pt>
                <c:pt idx="4">
                  <c:v>فضای کاری</c:v>
                </c:pt>
                <c:pt idx="5">
                  <c:v>هزینه‌های عمومی و اداری</c:v>
                </c:pt>
                <c:pt idx="6">
                  <c:v>پیش‌بینی نشده</c:v>
                </c:pt>
              </c:strCache>
            </c:strRef>
          </c:cat>
          <c:val>
            <c:numRef>
              <c:f>'خلاصه هزینه‌ها'!$E$2:$E$8</c:f>
              <c:numCache>
                <c:formatCode>_(\I\R\T\ * #,##0_)</c:formatCode>
                <c:ptCount val="7"/>
                <c:pt idx="0">
                  <c:v>1681920000</c:v>
                </c:pt>
                <c:pt idx="1">
                  <c:v>240000000</c:v>
                </c:pt>
                <c:pt idx="2">
                  <c:v>4959080000</c:v>
                </c:pt>
                <c:pt idx="3">
                  <c:v>2550000000</c:v>
                </c:pt>
                <c:pt idx="4">
                  <c:v>420000000</c:v>
                </c:pt>
                <c:pt idx="5">
                  <c:v>791120000</c:v>
                </c:pt>
                <c:pt idx="6">
                  <c:v>1064212000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54-4308-8052-C5AD6D710E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8187696"/>
        <c:axId val="818181872"/>
      </c:barChart>
      <c:catAx>
        <c:axId val="81818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IRANSansX" pitchFamily="2" charset="-78"/>
                <a:ea typeface="+mn-ea"/>
                <a:cs typeface="IRANSansX" pitchFamily="2" charset="-78"/>
              </a:defRPr>
            </a:pPr>
            <a:endParaRPr lang="en-US"/>
          </a:p>
        </c:txPr>
        <c:crossAx val="818181872"/>
        <c:crosses val="autoZero"/>
        <c:auto val="1"/>
        <c:lblAlgn val="ctr"/>
        <c:lblOffset val="100"/>
        <c:noMultiLvlLbl val="0"/>
      </c:catAx>
      <c:valAx>
        <c:axId val="81818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\I\R\T\ * #,##0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IRANSansX" pitchFamily="2" charset="-78"/>
                <a:ea typeface="+mn-ea"/>
                <a:cs typeface="IRANSansX" pitchFamily="2" charset="-78"/>
              </a:defRPr>
            </a:pPr>
            <a:endParaRPr lang="en-US"/>
          </a:p>
        </c:txPr>
        <c:crossAx val="818187696"/>
        <c:crosses val="autoZero"/>
        <c:crossBetween val="between"/>
        <c:dispUnits>
          <c:builtInUnit val="b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IRANSansX" pitchFamily="2" charset="-78"/>
                    <a:ea typeface="+mn-ea"/>
                    <a:cs typeface="IRANSansX" pitchFamily="2" charset="-78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IRANSansX" pitchFamily="2" charset="-78"/>
              <a:ea typeface="+mn-ea"/>
              <a:cs typeface="IRANSansX" pitchFamily="2" charset="-78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IRANSansX" pitchFamily="2" charset="-78"/>
          <a:cs typeface="IRANSansX" pitchFamily="2" charset="-78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5">
                  <a:tint val="4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348-45DE-81AD-19D093C6D179}"/>
              </c:ext>
            </c:extLst>
          </c:dPt>
          <c:dPt>
            <c:idx val="1"/>
            <c:bubble3D val="0"/>
            <c:spPr>
              <a:solidFill>
                <a:schemeClr val="accent5">
                  <a:tint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348-45DE-81AD-19D093C6D179}"/>
              </c:ext>
            </c:extLst>
          </c:dPt>
          <c:dPt>
            <c:idx val="2"/>
            <c:bubble3D val="0"/>
            <c:spPr>
              <a:solidFill>
                <a:schemeClr val="accent5">
                  <a:tint val="8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348-45DE-81AD-19D093C6D179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348-45DE-81AD-19D093C6D179}"/>
              </c:ext>
            </c:extLst>
          </c:dPt>
          <c:dPt>
            <c:idx val="4"/>
            <c:bubble3D val="0"/>
            <c:spPr>
              <a:solidFill>
                <a:schemeClr val="accent5">
                  <a:shade val="8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348-45DE-81AD-19D093C6D179}"/>
              </c:ext>
            </c:extLst>
          </c:dPt>
          <c:dPt>
            <c:idx val="5"/>
            <c:bubble3D val="0"/>
            <c:spPr>
              <a:solidFill>
                <a:schemeClr val="accent5">
                  <a:shade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348-45DE-81AD-19D093C6D179}"/>
              </c:ext>
            </c:extLst>
          </c:dPt>
          <c:dPt>
            <c:idx val="6"/>
            <c:bubble3D val="0"/>
            <c:spPr>
              <a:solidFill>
                <a:schemeClr val="accent5">
                  <a:shade val="4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3348-45DE-81AD-19D093C6D179}"/>
              </c:ext>
            </c:extLst>
          </c:dPt>
          <c:dLbls>
            <c:dLbl>
              <c:idx val="6"/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2749529190207157"/>
                      <c:h val="0.162237786059913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D-3348-45DE-81AD-19D093C6D17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IRANSansX" pitchFamily="2" charset="-78"/>
                    <a:ea typeface="+mn-ea"/>
                    <a:cs typeface="IRANSansX" pitchFamily="2" charset="-78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'خلاصه هزینه‌ها'!$C$2:$C$8</c:f>
              <c:strCache>
                <c:ptCount val="7"/>
                <c:pt idx="0">
                  <c:v>سرور</c:v>
                </c:pt>
                <c:pt idx="1">
                  <c:v>تجهیزات اداری</c:v>
                </c:pt>
                <c:pt idx="2">
                  <c:v>حقوق و دستمزد</c:v>
                </c:pt>
                <c:pt idx="3">
                  <c:v>بازاریابی و فروش</c:v>
                </c:pt>
                <c:pt idx="4">
                  <c:v>فضای کاری</c:v>
                </c:pt>
                <c:pt idx="5">
                  <c:v>هزینه‌های عمومی و اداری</c:v>
                </c:pt>
                <c:pt idx="6">
                  <c:v>پیش‌بینی نشده</c:v>
                </c:pt>
              </c:strCache>
            </c:strRef>
          </c:cat>
          <c:val>
            <c:numRef>
              <c:f>'خلاصه هزینه‌ها'!$F$2:$F$8</c:f>
              <c:numCache>
                <c:formatCode>_(\I\R\T\ * #,##0_)</c:formatCode>
                <c:ptCount val="7"/>
                <c:pt idx="0">
                  <c:v>4565760000</c:v>
                </c:pt>
                <c:pt idx="1">
                  <c:v>420000000</c:v>
                </c:pt>
                <c:pt idx="2">
                  <c:v>5751180000</c:v>
                </c:pt>
                <c:pt idx="3">
                  <c:v>3090000000</c:v>
                </c:pt>
                <c:pt idx="4">
                  <c:v>600000000</c:v>
                </c:pt>
                <c:pt idx="5">
                  <c:v>1009360000</c:v>
                </c:pt>
                <c:pt idx="6">
                  <c:v>1543630000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348-45DE-81AD-19D093C6D1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IRANSansX" pitchFamily="2" charset="-78"/>
          <a:cs typeface="IRANSansX" pitchFamily="2" charset="-78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IRANSansX" pitchFamily="2" charset="-78"/>
                <a:ea typeface="+mn-ea"/>
                <a:cs typeface="IRANSansX" pitchFamily="2" charset="-78"/>
              </a:defRPr>
            </a:pPr>
            <a:r>
              <a:rPr lang="fa-IR"/>
              <a:t>هزینه‌ها</a:t>
            </a:r>
            <a:r>
              <a:rPr lang="fa-IR" baseline="0"/>
              <a:t> در سال به تفکیک نوع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IRANSansX" pitchFamily="2" charset="-78"/>
              <a:ea typeface="+mn-ea"/>
              <a:cs typeface="IRANSansX" pitchFamily="2" charset="-78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'خلاصه هزینه‌ها'!$B$13</c:f>
              <c:strCache>
                <c:ptCount val="1"/>
                <c:pt idx="0">
                  <c:v>سرمایه ثابت</c:v>
                </c:pt>
              </c:strCache>
            </c:strRef>
          </c:tx>
          <c:spPr>
            <a:solidFill>
              <a:schemeClr val="accent5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IRANSansX" pitchFamily="2" charset="-78"/>
                    <a:ea typeface="+mn-ea"/>
                    <a:cs typeface="IRANSansX" pitchFamily="2" charset="-78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'خلاصه هزینه‌ها'!$D$12:$E$12</c:f>
              <c:strCache>
                <c:ptCount val="2"/>
                <c:pt idx="0">
                  <c:v>1400</c:v>
                </c:pt>
                <c:pt idx="1">
                  <c:v>1401</c:v>
                </c:pt>
              </c:strCache>
            </c:strRef>
          </c:cat>
          <c:val>
            <c:numRef>
              <c:f>'خلاصه هزینه‌ها'!$D$13:$E$13</c:f>
              <c:numCache>
                <c:formatCode>_(\I\R\T\ * #,##0_)</c:formatCode>
                <c:ptCount val="2"/>
                <c:pt idx="0">
                  <c:v>3063840000</c:v>
                </c:pt>
                <c:pt idx="1">
                  <c:v>1921920000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B3-45A4-A867-FB7DE27C7BA3}"/>
            </c:ext>
          </c:extLst>
        </c:ser>
        <c:ser>
          <c:idx val="1"/>
          <c:order val="1"/>
          <c:tx>
            <c:strRef>
              <c:f>'خلاصه هزینه‌ها'!$B$14</c:f>
              <c:strCache>
                <c:ptCount val="1"/>
                <c:pt idx="0">
                  <c:v>سرمایه در گردش</c:v>
                </c:pt>
              </c:strCache>
            </c:strRef>
          </c:tx>
          <c:spPr>
            <a:solidFill>
              <a:schemeClr val="accent5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IRANSansX" pitchFamily="2" charset="-78"/>
                    <a:ea typeface="+mn-ea"/>
                    <a:cs typeface="IRANSansX" pitchFamily="2" charset="-78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'خلاصه هزینه‌ها'!$D$12:$E$12</c:f>
              <c:strCache>
                <c:ptCount val="2"/>
                <c:pt idx="0">
                  <c:v>1400</c:v>
                </c:pt>
                <c:pt idx="1">
                  <c:v>1401</c:v>
                </c:pt>
              </c:strCache>
            </c:strRef>
          </c:cat>
          <c:val>
            <c:numRef>
              <c:f>'خلاصه هزینه‌ها'!$D$14:$E$14</c:f>
              <c:numCache>
                <c:formatCode>_(\I\R\T\ * #,##0_)</c:formatCode>
                <c:ptCount val="2"/>
                <c:pt idx="0">
                  <c:v>2209758000</c:v>
                </c:pt>
                <c:pt idx="1">
                  <c:v>9784412000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B3-45A4-A867-FB7DE27C7BA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34323552"/>
        <c:axId val="734329792"/>
      </c:barChart>
      <c:catAx>
        <c:axId val="734323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IRANSansX" pitchFamily="2" charset="-78"/>
                <a:ea typeface="+mn-ea"/>
                <a:cs typeface="IRANSansX" pitchFamily="2" charset="-78"/>
              </a:defRPr>
            </a:pPr>
            <a:endParaRPr lang="en-US"/>
          </a:p>
        </c:txPr>
        <c:crossAx val="734329792"/>
        <c:crosses val="autoZero"/>
        <c:auto val="1"/>
        <c:lblAlgn val="ctr"/>
        <c:lblOffset val="100"/>
        <c:noMultiLvlLbl val="0"/>
      </c:catAx>
      <c:valAx>
        <c:axId val="73432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_(\I\R\T\ * #,##0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IRANSansX" pitchFamily="2" charset="-78"/>
                <a:ea typeface="+mn-ea"/>
                <a:cs typeface="IRANSansX" pitchFamily="2" charset="-78"/>
              </a:defRPr>
            </a:pPr>
            <a:endParaRPr lang="en-US"/>
          </a:p>
        </c:txPr>
        <c:crossAx val="734323552"/>
        <c:crosses val="autoZero"/>
        <c:crossBetween val="between"/>
        <c:dispUnits>
          <c:builtInUnit val="b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IRANSansX" pitchFamily="2" charset="-78"/>
                    <a:ea typeface="+mn-ea"/>
                    <a:cs typeface="IRANSansX" pitchFamily="2" charset="-78"/>
                  </a:defRPr>
                </a:pPr>
                <a:endParaRPr lang="en-US"/>
              </a:p>
            </c:txPr>
          </c:dispUnitsLbl>
        </c:dispUnits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IRANSansX" pitchFamily="2" charset="-78"/>
                <a:ea typeface="+mn-ea"/>
                <a:cs typeface="IRANSansX" pitchFamily="2" charset="-78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IRANSansX" pitchFamily="2" charset="-78"/>
          <a:cs typeface="IRANSansX" pitchFamily="2" charset="-78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FDC-4318-91B2-C238F9451B24}"/>
              </c:ext>
            </c:extLst>
          </c:dPt>
          <c:dPt>
            <c:idx val="1"/>
            <c:bubble3D val="0"/>
            <c:spPr>
              <a:solidFill>
                <a:schemeClr val="accent1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FDC-4318-91B2-C238F9451B2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'خلاصه هزینه‌ها'!$D$1:$E$1</c:f>
              <c:strCache>
                <c:ptCount val="2"/>
                <c:pt idx="0">
                  <c:v>1400</c:v>
                </c:pt>
                <c:pt idx="1">
                  <c:v>1401</c:v>
                </c:pt>
              </c:strCache>
            </c:strRef>
          </c:cat>
          <c:val>
            <c:numRef>
              <c:f>'خلاصه هزینه‌ها'!$D$9:$E$9</c:f>
              <c:numCache>
                <c:formatCode>_(\I\R\T\ * #,##0_)</c:formatCode>
                <c:ptCount val="2"/>
                <c:pt idx="0">
                  <c:v>5273598000</c:v>
                </c:pt>
                <c:pt idx="1">
                  <c:v>11706332000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FDC-4318-91B2-C238F9451B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IRANSansX Black" pitchFamily="2" charset="-78"/>
                <a:ea typeface="+mn-ea"/>
                <a:cs typeface="IRANSansX Black" pitchFamily="2" charset="-78"/>
              </a:defRPr>
            </a:pPr>
            <a:r>
              <a:rPr lang="fa-IR" baseline="0">
                <a:latin typeface="IRANSansX Black" pitchFamily="2" charset="-78"/>
                <a:cs typeface="IRANSansX Black" pitchFamily="2" charset="-78"/>
              </a:rPr>
              <a:t>درآمد</a:t>
            </a:r>
            <a:r>
              <a:rPr lang="en-US" baseline="0">
                <a:latin typeface="IRANSansX Black" pitchFamily="2" charset="-78"/>
                <a:cs typeface="IRANSansX Black" pitchFamily="2" charset="-78"/>
              </a:rPr>
              <a:t> </a:t>
            </a:r>
            <a:r>
              <a:rPr lang="fa-IR" baseline="0">
                <a:latin typeface="IRANSansX Black" pitchFamily="2" charset="-78"/>
                <a:cs typeface="IRANSansX Black" pitchFamily="2" charset="-78"/>
              </a:rPr>
              <a:t>جیبرس به تفکیک فصل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IRANSansX Black" pitchFamily="2" charset="-78"/>
              <a:ea typeface="+mn-ea"/>
              <a:cs typeface="IRANSansX Black" pitchFamily="2" charset="-78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'درآمد جیبرس به تفکیک ماه'!$Q$1</c:f>
              <c:strCache>
                <c:ptCount val="1"/>
                <c:pt idx="0">
                  <c:v>جمع درآمد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IRANSansX" pitchFamily="2" charset="-78"/>
                    <a:ea typeface="+mn-ea"/>
                    <a:cs typeface="IRANSansX" pitchFamily="2" charset="-78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'درآمد جیبرس به تفکیک ماه'!$P$2:$P$6</c:f>
              <c:strCache>
                <c:ptCount val="5"/>
                <c:pt idx="0">
                  <c:v>1399-Q1</c:v>
                </c:pt>
                <c:pt idx="1">
                  <c:v>1399-Q2</c:v>
                </c:pt>
                <c:pt idx="2">
                  <c:v>1399-Q3</c:v>
                </c:pt>
                <c:pt idx="3">
                  <c:v>1399-Q4</c:v>
                </c:pt>
                <c:pt idx="4">
                  <c:v>1400-Q1</c:v>
                </c:pt>
              </c:strCache>
            </c:strRef>
          </c:cat>
          <c:val>
            <c:numRef>
              <c:f>'درآمد جیبرس به تفکیک ماه'!$Q$2:$Q$6</c:f>
              <c:numCache>
                <c:formatCode>_(\I\R\T\ * #,##0_);[Red]_(\I\R\T\ * "-"#,##0_)</c:formatCode>
                <c:ptCount val="5"/>
                <c:pt idx="0">
                  <c:v>24623965</c:v>
                </c:pt>
                <c:pt idx="1">
                  <c:v>50851000</c:v>
                </c:pt>
                <c:pt idx="2">
                  <c:v>118281000</c:v>
                </c:pt>
                <c:pt idx="3">
                  <c:v>101304600</c:v>
                </c:pt>
                <c:pt idx="4">
                  <c:v>140387520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47-49DD-83A8-6769041900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2061552"/>
        <c:axId val="1042064464"/>
      </c:barChart>
      <c:catAx>
        <c:axId val="1042061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IRANSansX" pitchFamily="2" charset="-78"/>
                <a:ea typeface="+mn-ea"/>
                <a:cs typeface="IRANSansX" pitchFamily="2" charset="-78"/>
              </a:defRPr>
            </a:pPr>
            <a:endParaRPr lang="en-US"/>
          </a:p>
        </c:txPr>
        <c:crossAx val="1042064464"/>
        <c:crosses val="autoZero"/>
        <c:auto val="1"/>
        <c:lblAlgn val="ctr"/>
        <c:lblOffset val="100"/>
        <c:noMultiLvlLbl val="0"/>
      </c:catAx>
      <c:valAx>
        <c:axId val="1042064464"/>
        <c:scaling>
          <c:orientation val="minMax"/>
        </c:scaling>
        <c:delete val="0"/>
        <c:axPos val="l"/>
        <c:numFmt formatCode="_(\I\R\T\ * #,##0_);[Red]_(\I\R\T\ * &quot;-&quot;#,##0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IRANSansX" pitchFamily="2" charset="-78"/>
                <a:ea typeface="+mn-ea"/>
                <a:cs typeface="IRANSansX" pitchFamily="2" charset="-78"/>
              </a:defRPr>
            </a:pPr>
            <a:endParaRPr lang="en-US"/>
          </a:p>
        </c:txPr>
        <c:crossAx val="1042061552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IRANSansX" pitchFamily="2" charset="-78"/>
                    <a:ea typeface="+mn-ea"/>
                    <a:cs typeface="IRANSansX" pitchFamily="2" charset="-78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rtl="1">
        <a:defRPr>
          <a:latin typeface="IRANSansX" pitchFamily="2" charset="-78"/>
          <a:cs typeface="IRANSansX" pitchFamily="2" charset="-78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IRANSansX Black" pitchFamily="2" charset="-78"/>
                <a:ea typeface="+mn-ea"/>
                <a:cs typeface="IRANSansX Black" pitchFamily="2" charset="-78"/>
              </a:defRPr>
            </a:pPr>
            <a:r>
              <a:rPr lang="fa-IR">
                <a:latin typeface="IRANSansX Black" pitchFamily="2" charset="-78"/>
                <a:cs typeface="IRANSansX Black" pitchFamily="2" charset="-78"/>
              </a:rPr>
              <a:t>مقایسه درآمد فصل اول ۱۳۹۹ با فصل اول ۱۴۰۰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IRANSansX Black" pitchFamily="2" charset="-78"/>
              <a:ea typeface="+mn-ea"/>
              <a:cs typeface="IRANSansX Black" pitchFamily="2" charset="-78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'درآمد جیبرس به تفکیک ماه'!$Q$1</c:f>
              <c:strCache>
                <c:ptCount val="1"/>
                <c:pt idx="0">
                  <c:v>جمع درآمد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IRANSansX" pitchFamily="2" charset="-78"/>
                    <a:ea typeface="+mn-ea"/>
                    <a:cs typeface="IRANSansX" pitchFamily="2" charset="-78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('درآمد جیبرس به تفکیک ماه'!$P$2,'درآمد جیبرس به تفکیک ماه'!$P$6)</c:f>
              <c:strCache>
                <c:ptCount val="2"/>
                <c:pt idx="0">
                  <c:v>1399-Q1</c:v>
                </c:pt>
                <c:pt idx="1">
                  <c:v>1400-Q1</c:v>
                </c:pt>
              </c:strCache>
            </c:strRef>
          </c:cat>
          <c:val>
            <c:numRef>
              <c:f>('درآمد جیبرس به تفکیک ماه'!$Q$2,'درآمد جیبرس به تفکیک ماه'!$Q$6)</c:f>
              <c:numCache>
                <c:formatCode>_(\I\R\T\ * #,##0_);[Red]_(\I\R\T\ * "-"#,##0_)</c:formatCode>
                <c:ptCount val="2"/>
                <c:pt idx="0">
                  <c:v>24623965</c:v>
                </c:pt>
                <c:pt idx="1">
                  <c:v>140387520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78-4601-8103-AC2654F1EF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286749520"/>
        <c:axId val="1286749104"/>
      </c:barChart>
      <c:catAx>
        <c:axId val="1286749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IRANSansX" pitchFamily="2" charset="-78"/>
                <a:ea typeface="+mn-ea"/>
                <a:cs typeface="IRANSansX" pitchFamily="2" charset="-78"/>
              </a:defRPr>
            </a:pPr>
            <a:endParaRPr lang="en-US"/>
          </a:p>
        </c:txPr>
        <c:crossAx val="1286749104"/>
        <c:crosses val="autoZero"/>
        <c:auto val="1"/>
        <c:lblAlgn val="ctr"/>
        <c:lblOffset val="100"/>
        <c:noMultiLvlLbl val="0"/>
      </c:catAx>
      <c:valAx>
        <c:axId val="1286749104"/>
        <c:scaling>
          <c:orientation val="minMax"/>
        </c:scaling>
        <c:delete val="0"/>
        <c:axPos val="l"/>
        <c:numFmt formatCode="_(\I\R\T\ * #,##0_);[Red]_(\I\R\T\ * &quot;-&quot;#,##0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IRANSansX" pitchFamily="2" charset="-78"/>
                <a:ea typeface="+mn-ea"/>
                <a:cs typeface="IRANSansX" pitchFamily="2" charset="-78"/>
              </a:defRPr>
            </a:pPr>
            <a:endParaRPr lang="en-US"/>
          </a:p>
        </c:txPr>
        <c:crossAx val="1286749520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IRANSansX" pitchFamily="2" charset="-78"/>
                    <a:ea typeface="+mn-ea"/>
                    <a:cs typeface="IRANSansX" pitchFamily="2" charset="-78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IRANSansX" pitchFamily="2" charset="-78"/>
          <a:cs typeface="IRANSansX" pitchFamily="2" charset="-78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IRANSansX Black" pitchFamily="2" charset="-78"/>
                <a:ea typeface="+mj-ea"/>
                <a:cs typeface="IRANSansX Black" pitchFamily="2" charset="-78"/>
              </a:defRPr>
            </a:pPr>
            <a:r>
              <a:rPr lang="fa-IR" spc="0" baseline="0">
                <a:latin typeface="IRANSansX Black" pitchFamily="2" charset="-78"/>
                <a:cs typeface="IRANSansX Black" pitchFamily="2" charset="-78"/>
              </a:rPr>
              <a:t>درآمد جیبرس به تفکیک ماه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IRANSansX Black" pitchFamily="2" charset="-78"/>
              <a:ea typeface="+mj-ea"/>
              <a:cs typeface="IRANSansX Black" pitchFamily="2" charset="-78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'درآمد جیبرس به تفکیک ماه'!$C$1</c:f>
              <c:strCache>
                <c:ptCount val="1"/>
                <c:pt idx="0">
                  <c:v>مبلغ درآمد کسب شده</c:v>
                </c:pt>
              </c:strCache>
            </c:strRef>
          </c:tx>
          <c:spPr>
            <a:solidFill>
              <a:schemeClr val="dk1">
                <a:tint val="88500"/>
                <a:alpha val="70000"/>
              </a:schemeClr>
            </a:solidFill>
            <a:ln>
              <a:noFill/>
            </a:ln>
            <a:effectLst/>
          </c:spPr>
          <c:invertIfNegative val="0"/>
          <c:trendline>
            <c:spPr>
              <a:ln w="12700" cap="rnd">
                <a:solidFill>
                  <a:srgbClr val="C80A5A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'درآمد جیبرس به تفکیک ماه'!$B$2:$B$18</c:f>
              <c:strCache>
                <c:ptCount val="17"/>
                <c:pt idx="0">
                  <c:v>1398-12</c:v>
                </c:pt>
                <c:pt idx="1">
                  <c:v>1399-01</c:v>
                </c:pt>
                <c:pt idx="2">
                  <c:v>1399-02</c:v>
                </c:pt>
                <c:pt idx="3">
                  <c:v>1399-03</c:v>
                </c:pt>
                <c:pt idx="4">
                  <c:v>1399-04</c:v>
                </c:pt>
                <c:pt idx="5">
                  <c:v>1399-05</c:v>
                </c:pt>
                <c:pt idx="6">
                  <c:v>1399-06</c:v>
                </c:pt>
                <c:pt idx="7">
                  <c:v>1399-07</c:v>
                </c:pt>
                <c:pt idx="8">
                  <c:v>1399-08</c:v>
                </c:pt>
                <c:pt idx="9">
                  <c:v>1399-09</c:v>
                </c:pt>
                <c:pt idx="10">
                  <c:v>1399-10</c:v>
                </c:pt>
                <c:pt idx="11">
                  <c:v>1399-11</c:v>
                </c:pt>
                <c:pt idx="12">
                  <c:v>1399-12</c:v>
                </c:pt>
                <c:pt idx="13">
                  <c:v>1400-01</c:v>
                </c:pt>
                <c:pt idx="14">
                  <c:v>1400-02</c:v>
                </c:pt>
                <c:pt idx="15">
                  <c:v>1400-03</c:v>
                </c:pt>
                <c:pt idx="16">
                  <c:v>1400-04</c:v>
                </c:pt>
              </c:strCache>
            </c:strRef>
          </c:cat>
          <c:val>
            <c:numRef>
              <c:f>'درآمد جیبرس به تفکیک ماه'!$C$2:$C$18</c:f>
              <c:numCache>
                <c:formatCode>_(\I\R\T\ * #,##0_);[Red]_(\I\R\T\ * "-"#,##0_)</c:formatCode>
                <c:ptCount val="17"/>
                <c:pt idx="0">
                  <c:v>170200</c:v>
                </c:pt>
                <c:pt idx="1">
                  <c:v>7492000</c:v>
                </c:pt>
                <c:pt idx="2">
                  <c:v>5101965</c:v>
                </c:pt>
                <c:pt idx="3">
                  <c:v>12030000</c:v>
                </c:pt>
                <c:pt idx="4">
                  <c:v>19502000</c:v>
                </c:pt>
                <c:pt idx="5">
                  <c:v>14265000</c:v>
                </c:pt>
                <c:pt idx="6">
                  <c:v>17084000</c:v>
                </c:pt>
                <c:pt idx="7">
                  <c:v>35616000</c:v>
                </c:pt>
                <c:pt idx="8">
                  <c:v>35513000</c:v>
                </c:pt>
                <c:pt idx="9">
                  <c:v>47152000</c:v>
                </c:pt>
                <c:pt idx="10">
                  <c:v>21826000</c:v>
                </c:pt>
                <c:pt idx="11">
                  <c:v>43726000</c:v>
                </c:pt>
                <c:pt idx="12">
                  <c:v>35752600</c:v>
                </c:pt>
                <c:pt idx="13">
                  <c:v>55762300</c:v>
                </c:pt>
                <c:pt idx="14">
                  <c:v>66167220</c:v>
                </c:pt>
                <c:pt idx="15">
                  <c:v>18458000</c:v>
                </c:pt>
                <c:pt idx="16">
                  <c:v>51226500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9C-412F-BBA1-C6943516BB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1215134176"/>
        <c:axId val="1215112128"/>
      </c:barChart>
      <c:catAx>
        <c:axId val="1215134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IRANSansX" pitchFamily="2" charset="-78"/>
                <a:ea typeface="+mn-ea"/>
                <a:cs typeface="IRANSansX" pitchFamily="2" charset="-78"/>
              </a:defRPr>
            </a:pPr>
            <a:endParaRPr lang="en-US"/>
          </a:p>
        </c:txPr>
        <c:crossAx val="1215112128"/>
        <c:crosses val="autoZero"/>
        <c:auto val="1"/>
        <c:lblAlgn val="ctr"/>
        <c:lblOffset val="100"/>
        <c:noMultiLvlLbl val="0"/>
      </c:catAx>
      <c:valAx>
        <c:axId val="1215112128"/>
        <c:scaling>
          <c:orientation val="minMax"/>
          <c:max val="1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IRANSansX" pitchFamily="2" charset="-78"/>
                <a:ea typeface="+mn-ea"/>
                <a:cs typeface="IRANSansX" pitchFamily="2" charset="-78"/>
              </a:defRPr>
            </a:pPr>
            <a:endParaRPr lang="en-US"/>
          </a:p>
        </c:txPr>
        <c:crossAx val="1215134176"/>
        <c:crosses val="autoZero"/>
        <c:crossBetween val="between"/>
        <c:dispUnits>
          <c:builtInUnit val="millions"/>
          <c:dispUnitsLbl>
            <c:tx>
              <c:rich>
                <a:bodyPr rot="-5400000" spcFirstLastPara="1" vertOverflow="ellipsis" vert="horz" wrap="square" anchor="ctr" anchorCtr="1"/>
                <a:lstStyle/>
                <a:p>
                  <a:pPr>
                    <a:defRPr sz="900" b="0" i="0" u="none" strike="noStrike" kern="1200" cap="all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IRANSansX" pitchFamily="2" charset="-78"/>
                      <a:ea typeface="+mn-ea"/>
                      <a:cs typeface="IRANSansX" pitchFamily="2" charset="-78"/>
                    </a:defRPr>
                  </a:pPr>
                  <a:r>
                    <a:rPr lang="en-US"/>
                    <a:t>IRT</a:t>
                  </a:r>
                  <a:r>
                    <a:rPr lang="en-US" baseline="0"/>
                    <a:t> </a:t>
                  </a:r>
                  <a:r>
                    <a:rPr lang="en-US"/>
                    <a:t>Millions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IRANSansX" pitchFamily="2" charset="-78"/>
                    <a:ea typeface="+mn-ea"/>
                    <a:cs typeface="IRANSansX" pitchFamily="2" charset="-78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IRANSansX" pitchFamily="2" charset="-78"/>
          <a:cs typeface="IRANSansX" pitchFamily="2" charset="-78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5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6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7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104774</xdr:colOff>
      <xdr:row>51</xdr:row>
      <xdr:rowOff>180975</xdr:rowOff>
    </xdr:from>
    <xdr:to>
      <xdr:col>17</xdr:col>
      <xdr:colOff>390524</xdr:colOff>
      <xdr:row>71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3A0DEE-D42F-4C34-A106-C4306B78BC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142875</xdr:colOff>
      <xdr:row>0</xdr:row>
      <xdr:rowOff>47625</xdr:rowOff>
    </xdr:from>
    <xdr:to>
      <xdr:col>8</xdr:col>
      <xdr:colOff>428625</xdr:colOff>
      <xdr:row>23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DDB63B-DAF4-4BBD-BC0E-1F0EF00E8F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66675</xdr:colOff>
      <xdr:row>26</xdr:row>
      <xdr:rowOff>190499</xdr:rowOff>
    </xdr:from>
    <xdr:to>
      <xdr:col>17</xdr:col>
      <xdr:colOff>361950</xdr:colOff>
      <xdr:row>48</xdr:row>
      <xdr:rowOff>161924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6EDDCC7-E880-46D9-B464-3E854B0834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200025</xdr:colOff>
      <xdr:row>0</xdr:row>
      <xdr:rowOff>66675</xdr:rowOff>
    </xdr:from>
    <xdr:to>
      <xdr:col>17</xdr:col>
      <xdr:colOff>352425</xdr:colOff>
      <xdr:row>23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5443569-2626-4AF0-8ED8-2FFB214AEA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600075</xdr:colOff>
      <xdr:row>8</xdr:row>
      <xdr:rowOff>166687</xdr:rowOff>
    </xdr:from>
    <xdr:to>
      <xdr:col>17</xdr:col>
      <xdr:colOff>1952625</xdr:colOff>
      <xdr:row>23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4A7F29-7B93-4EAF-80A1-EF94209389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604838</xdr:colOff>
      <xdr:row>23</xdr:row>
      <xdr:rowOff>138112</xdr:rowOff>
    </xdr:from>
    <xdr:to>
      <xdr:col>17</xdr:col>
      <xdr:colOff>1952625</xdr:colOff>
      <xdr:row>36</xdr:row>
      <xdr:rowOff>33337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8D34988-AFF6-4CF4-BD9F-C7A78D648F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61913</xdr:colOff>
      <xdr:row>19</xdr:row>
      <xdr:rowOff>100012</xdr:rowOff>
    </xdr:from>
    <xdr:to>
      <xdr:col>6</xdr:col>
      <xdr:colOff>1447800</xdr:colOff>
      <xdr:row>31</xdr:row>
      <xdr:rowOff>214312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6836738-F5A9-4020-B7FD-0963594D72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FE73915-D66B-426B-B6F5-EAC6A7CE2129}" name="tbl_sumary" displayName="tbl_sumary" ref="A1:G9" totalsRowCount="1" headerRowDxfId="238" dataDxfId="237" totalsRowDxfId="236">
  <autoFilter ref="A1:G8" xr:uid="{5810A676-66BF-4EA4-B586-C6E90025121D}"/>
  <tableColumns count="7">
    <tableColumn id="5" xr3:uid="{47369FE7-678F-4F87-AB99-EE1EDC617F1A}" name="#" totalsRowLabel="Total" dataDxfId="235" totalsRowDxfId="234">
      <calculatedColumnFormula>ROW(A1)</calculatedColumnFormula>
    </tableColumn>
    <tableColumn id="1" xr3:uid="{3037BF7E-6F17-4FD9-B0BA-2603DBE3AA73}" name="نوع" dataDxfId="233" totalsRowDxfId="232"/>
    <tableColumn id="2" xr3:uid="{5543AAC9-D97A-4AF1-B9C8-BCB750FF9446}" name="عنوان" dataDxfId="231" totalsRowDxfId="230"/>
    <tableColumn id="4" xr3:uid="{363204E2-D323-45E0-8740-F6AAC858616C}" name="1400" totalsRowFunction="sum" totalsRowDxfId="229" dataCellStyle="Currency"/>
    <tableColumn id="6" xr3:uid="{0C5EF792-05B7-4EDA-BEF7-3C660D2AFD4B}" name="1401" totalsRowFunction="sum" totalsRowDxfId="228" dataCellStyle="Currency"/>
    <tableColumn id="8" xr3:uid="{29FAD03A-69B3-4207-A748-8BD45D15D581}" name="مجموع" totalsRowFunction="sum" totalsRowDxfId="227" dataCellStyle="Currency">
      <calculatedColumnFormula>SUM(tbl_sumary[[#This Row],[1400]:[1401]])</calculatedColumnFormula>
    </tableColumn>
    <tableColumn id="3" xr3:uid="{CDA3691F-C5E7-4ED9-A080-98FD93E74B52}" name="درصد" totalsRowFunction="sum" dataDxfId="226" totalsRowDxfId="225" dataCellStyle="Percent">
      <calculatedColumnFormula>(F2*100/SUM(tbl_sumary[مجموع])) / 100</calculatedColumnFormula>
    </tableColumn>
  </tableColumns>
  <tableStyleInfo name="TableStyleLight6" showFirstColumn="0" showLastColumn="1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88D49CFF-1880-461E-BE7C-4123689347E0}" name="tbl_pricing" displayName="tbl_pricing" ref="A1:R14" totalsRowCount="1" headerRowDxfId="152" dataDxfId="151">
  <autoFilter ref="A1:R13" xr:uid="{11174E64-8CFF-4722-BD71-DA8D32366E61}"/>
  <tableColumns count="18">
    <tableColumn id="1" xr3:uid="{9A53D445-08A1-4BD8-A9B1-36B149B75784}" name="ردیف" totalsRowLabel="Total" dataDxfId="150" totalsRowDxfId="149">
      <calculatedColumnFormula>ROW(A1)</calculatedColumnFormula>
    </tableColumn>
    <tableColumn id="2" xr3:uid="{A097EA43-7198-43D4-A945-9788D7E650A6}" name="عنوان" dataDxfId="148" totalsRowDxfId="147"/>
    <tableColumn id="5" xr3:uid="{EEC712EC-61BA-44C7-A77F-FC5EE5CA47F3}" name="مدل پرداخت" dataDxfId="146" totalsRowDxfId="145"/>
    <tableColumn id="3" xr3:uid="{B9F7695D-2433-4D21-A6B5-58ABCCFB2FEF}" name="مبلغ پرداختی" dataDxfId="144" totalsRowDxfId="143"/>
    <tableColumn id="6" xr3:uid="{EC802C2A-E591-4D77-926A-410A0C0BDAA0}" name="بهای تمام شده" dataDxfId="142" totalsRowDxfId="141"/>
    <tableColumn id="7" xr3:uid="{A37BFF77-E27B-448B-B94A-F9B63A90085C}" name="سود" dataDxfId="140" totalsRowDxfId="139">
      <calculatedColumnFormula>tbl_pricing[[#This Row],[مبلغ پرداختی]]-tbl_pricing[[#This Row],[بهای تمام شده]]</calculatedColumnFormula>
    </tableColumn>
    <tableColumn id="4" xr3:uid="{8F29DDFD-9907-444A-822D-CF4F1DBF869F}" name="درصد خرید" totalsRowFunction="average" dataDxfId="138" totalsRowDxfId="137" dataCellStyle="Percent"/>
    <tableColumn id="21" xr3:uid="{30514F62-ED70-4E43-940C-9DBD8F3236F7}" name="سود به ازای هر بیزینس" totalsRowFunction="sum" dataDxfId="136" totalsRowDxfId="135" dataCellStyle="Percent" totalsRowCellStyle="Percent">
      <calculatedColumnFormula>tbl_pricing[[#This Row],[درصد خرید]]*tbl_pricing[[#This Row],[سود]]</calculatedColumnFormula>
    </tableColumn>
    <tableColumn id="20" xr3:uid="{0339167C-ECB3-48F5-900C-D07E6601173D}" name="درصد از کل درآمد" dataDxfId="134" totalsRowDxfId="133" dataCellStyle="Percent">
      <calculatedColumnFormula>tbl_pricing[[#This Row],[کل بیزینس‌ها]]/ SUM(tbl_pricing[کل بیزینس‌ها])</calculatedColumnFormula>
    </tableColumn>
    <tableColumn id="8" xr3:uid="{5C42269E-0294-4750-9609-FB82B91EA379}" name="کل بیزینس‌ها" dataDxfId="132" totalsRowDxfId="131">
      <calculatedColumnFormula>tbl_pricing[[#Headers],[500]]*tbl_pricing[[#This Row],[درصد خرید]]*tbl_pricing[[#This Row],[سود به ازای هر بیزینس]]</calculatedColumnFormula>
    </tableColumn>
    <tableColumn id="9" xr3:uid="{57700895-A636-4D69-BC9A-86010F006F9A}" name="500" dataDxfId="130" totalsRowDxfId="129">
      <calculatedColumnFormula>tbl_pricing[[#Headers],[500]]*tbl_pricing[[#This Row],[درصد خرید]]</calculatedColumnFormula>
    </tableColumn>
    <tableColumn id="10" xr3:uid="{9AB94E1B-34ED-4589-8806-1371AF0006CE}" name="1000" dataDxfId="128" totalsRowDxfId="127">
      <calculatedColumnFormula>tbl_pricing[[#Headers],[1000]]*tbl_pricing[[#This Row],[درصد خرید]]</calculatedColumnFormula>
    </tableColumn>
    <tableColumn id="11" xr3:uid="{73D11ABE-3FE2-4354-9B4D-6A48992B395A}" name="2000" dataDxfId="126" totalsRowDxfId="125">
      <calculatedColumnFormula>tbl_pricing[[#Headers],[2000]]*tbl_pricing[[#This Row],[درصد خرید]]</calculatedColumnFormula>
    </tableColumn>
    <tableColumn id="12" xr3:uid="{C88D635E-46CD-44BB-9844-EBB575A727B1}" name="5000" dataDxfId="124" totalsRowDxfId="123">
      <calculatedColumnFormula>tbl_pricing[[#Headers],[5000]]*tbl_pricing[[#This Row],[درصد خرید]]</calculatedColumnFormula>
    </tableColumn>
    <tableColumn id="13" xr3:uid="{159DCBCC-07DD-484D-8F87-B26CA28EFF29}" name="10000" dataDxfId="122" totalsRowDxfId="121">
      <calculatedColumnFormula>tbl_pricing[[#Headers],[10000]]*tbl_pricing[[#This Row],[درصد خرید]]</calculatedColumnFormula>
    </tableColumn>
    <tableColumn id="14" xr3:uid="{1A3D8FD2-70CB-4665-975C-2114464348DB}" name="20000" dataDxfId="120" totalsRowDxfId="119">
      <calculatedColumnFormula>tbl_pricing[[#Headers],[20000]]*tbl_pricing[[#This Row],[درصد خرید]]</calculatedColumnFormula>
    </tableColumn>
    <tableColumn id="15" xr3:uid="{8854EC08-9308-4944-BDA8-75596BFE727B}" name="50000" dataDxfId="118" totalsRowDxfId="117">
      <calculatedColumnFormula>tbl_pricing[[#Headers],[50000]]*tbl_pricing[[#This Row],[درصد خرید]]</calculatedColumnFormula>
    </tableColumn>
    <tableColumn id="16" xr3:uid="{AA928AC4-CF96-4BA2-8936-8A643A7DDAA6}" name="100000" dataDxfId="116" totalsRowDxfId="115">
      <calculatedColumnFormula>tbl_pricing[[#Headers],[100000]]*tbl_pricing[[#This Row],[درصد خرید]]</calculatedColumnFormula>
    </tableColumn>
  </tableColumns>
  <tableStyleInfo name="TableStyleLight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A0DC6D01-1908-424F-B4D3-0A113BEC83E9}" name="tbl_pricing_predict" displayName="tbl_pricing_predict" ref="A23:D34" totalsRowShown="0" headerRowDxfId="114" dataDxfId="113">
  <autoFilter ref="A23:D34" xr:uid="{652F814E-9275-4FA3-8E84-CADC4414840E}"/>
  <tableColumns count="4">
    <tableColumn id="1" xr3:uid="{1DE062CE-5BF5-4FEA-A98A-704F2735EAA7}" name="تعداد بیزینس" dataDxfId="112" dataCellStyle="Comma"/>
    <tableColumn id="2" xr3:uid="{9A3B5D26-797A-4D19-9504-750237C50E47}" name="تعداد بیزینس‌هایی که پرداخت دارند" dataDxfId="111">
      <calculatedColumnFormula>tbl_pricing_predict[[#This Row],[تعداد بیزینس]]*AVERAGE(tbl_pricing[درصد خرید])</calculatedColumnFormula>
    </tableColumn>
    <tableColumn id="3" xr3:uid="{5CCA6DBC-ECB1-4830-8ED4-23C63AE947E7}" name="درآمد ماهیانه" dataDxfId="110">
      <calculatedColumnFormula>d_customerAvgRevenue*tbl_pricing_predict[[#This Row],[تعداد بیزینس]]</calculatedColumnFormula>
    </tableColumn>
    <tableColumn id="4" xr3:uid="{16B0B2F6-77AB-4BCF-B967-97D476246151}" name="درآمد سالیانه" dataDxfId="109">
      <calculatedColumnFormula>tbl_pricing_predict[[#This Row],[درآمد ماهیانه]]*12</calculatedColumnFormula>
    </tableColumn>
  </tableColumns>
  <tableStyleInfo name="TableStyleLight6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2BCAB8CD-6080-4EBF-8358-2286D17022E3}" name="Table15" displayName="Table15" ref="A1:J8" totalsRowShown="0" headerRowDxfId="108" dataDxfId="107">
  <autoFilter ref="A1:J8" xr:uid="{4B45EF50-D07B-4462-B4EB-CF690CB4B7A8}"/>
  <tableColumns count="10">
    <tableColumn id="1" xr3:uid="{3233B9C7-9724-4673-B9F1-EAE50D2C9670}" name="ردیف" dataDxfId="106">
      <calculatedColumnFormula>ROW(A1)</calculatedColumnFormula>
    </tableColumn>
    <tableColumn id="10" xr3:uid="{60819422-87DD-4CFF-AB10-DB3E961E5555}" name="عنوان" dataDxfId="105"/>
    <tableColumn id="2" xr3:uid="{18B29F41-DC81-4467-BD19-639C5E40AC0E}" name="1400-Q1" dataDxfId="104"/>
    <tableColumn id="3" xr3:uid="{75B9AC7C-0C9A-4EBB-A21B-9103F31171A5}" name="1400-Q2" dataDxfId="103">
      <calculatedColumnFormula>AVERAGE(tbl_pricing[درصد خرید])</calculatedColumnFormula>
    </tableColumn>
    <tableColumn id="4" xr3:uid="{A6A37BC8-F105-4BC7-BBA5-7CD986675C7E}" name="1400-Q3" dataDxfId="102">
      <calculatedColumnFormula>AVERAGE(tbl_pricing[درصد خرید])</calculatedColumnFormula>
    </tableColumn>
    <tableColumn id="5" xr3:uid="{7CD9CE2A-0982-402E-90BB-A37955F9417B}" name="1400-Q4" dataDxfId="101">
      <calculatedColumnFormula>AVERAGE(tbl_pricing[درصد خرید])</calculatedColumnFormula>
    </tableColumn>
    <tableColumn id="6" xr3:uid="{F574DA15-52E0-46FF-8058-3626E90ADCD3}" name="1401-Q1" dataDxfId="100">
      <calculatedColumnFormula>AVERAGE(tbl_pricing[درصد خرید])</calculatedColumnFormula>
    </tableColumn>
    <tableColumn id="7" xr3:uid="{265E39CF-C0D3-42D3-BE97-6DA6F758CCBB}" name="1401-Q2" dataDxfId="99">
      <calculatedColumnFormula>AVERAGE(tbl_pricing[درصد خرید])</calculatedColumnFormula>
    </tableColumn>
    <tableColumn id="8" xr3:uid="{491DB0FE-9C40-4DCA-8643-B5E810C0361E}" name="1401-Q3" dataDxfId="98">
      <calculatedColumnFormula>AVERAGE(tbl_pricing[درصد خرید])</calculatedColumnFormula>
    </tableColumn>
    <tableColumn id="9" xr3:uid="{299BD95A-56DA-46C1-AD0F-CE6FCABD7593}" name="1401-Q4" dataDxfId="97">
      <calculatedColumnFormula>AVERAGE(tbl_pricing[درصد خرید])</calculatedColumnFormula>
    </tableColumn>
  </tableColumns>
  <tableStyleInfo name="TableStyleLight6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395D3563-07D8-4AEF-9B22-A8CF424C8F4C}" name="tbl_revenue_summary" displayName="tbl_revenue_summary" ref="A1:J13" totalsRowShown="0" headerRowDxfId="96" dataDxfId="95">
  <autoFilter ref="A1:J13" xr:uid="{0E994EE0-F0F0-4FBF-9544-F0DF02B7F5C3}"/>
  <tableColumns count="10">
    <tableColumn id="1" xr3:uid="{7CFD1D53-F749-4B43-9DD3-BE3F1C5EC98F}" name="#" dataDxfId="94">
      <calculatedColumnFormula>ROW(A1)</calculatedColumnFormula>
    </tableColumn>
    <tableColumn id="11" xr3:uid="{EDB8F8AF-AD21-41D4-84B7-19B49F8D2731}" name="نوع" dataDxfId="93"/>
    <tableColumn id="8" xr3:uid="{54E69985-F797-4A1D-810B-CD4B14DE4247}" name="Title" dataDxfId="92"/>
    <tableColumn id="3" xr3:uid="{4C28CA0D-B0C2-4EC6-9320-E20F2AA18D35}" name="1400" dataDxfId="91">
      <calculatedColumnFormula>'پیش‌بینی درآمد'!$C$8:$F$8</calculatedColumnFormula>
    </tableColumn>
    <tableColumn id="4" xr3:uid="{BE2DB32D-49B5-4174-91DB-055B8A546B01}" name="1401" dataDxfId="90">
      <calculatedColumnFormula>SUM('پیش‌بینی درآمد'!$G$8:$J$8)</calculatedColumnFormula>
    </tableColumn>
    <tableColumn id="5" xr3:uid="{200B4D8D-3290-4392-A148-F2EC03CDB0D3}" name="1402" dataDxfId="89">
      <calculatedColumnFormula>tbl_revenue_summary[[#This Row],[1401]]*(1+s_cagr)</calculatedColumnFormula>
    </tableColumn>
    <tableColumn id="6" xr3:uid="{A7A00C3C-C62A-4AFB-8F2F-961D9B70FA4E}" name="1403" dataDxfId="88"/>
    <tableColumn id="7" xr3:uid="{CD51A06F-0126-4363-82F1-83D419084E3E}" name="1404" dataDxfId="87"/>
    <tableColumn id="2" xr3:uid="{9FF3912E-8E29-4421-A4CB-E01182C34419}" name="1405" dataDxfId="86"/>
    <tableColumn id="9" xr3:uid="{A95B37EE-B672-4C1F-B96C-91C026F696D6}" name="جمع" dataDxfId="85"/>
  </tableColumns>
  <tableStyleInfo name="TableStyleLight6" showFirstColumn="0" showLastColumn="1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624DDB21-6F93-4459-A754-B68AB315EF55}" name="tbl_jibres_revenue" displayName="tbl_jibres_revenue" ref="A1:G18" totalsRowShown="0" headerRowDxfId="83" dataDxfId="82">
  <autoFilter ref="A1:G18" xr:uid="{EE4F9C7E-D73A-483B-AEAE-E5896E779AA1}"/>
  <sortState xmlns:xlrd2="http://schemas.microsoft.com/office/spreadsheetml/2017/richdata2" ref="A2:G16">
    <sortCondition ref="B1:B16"/>
  </sortState>
  <tableColumns count="7">
    <tableColumn id="1" xr3:uid="{DABB7D62-BF6E-41DD-95A2-6CFC3034A844}" name="ردیف" dataDxfId="81">
      <calculatedColumnFormula>ROW(A1)</calculatedColumnFormula>
    </tableColumn>
    <tableColumn id="2" xr3:uid="{168739EF-6C06-4113-BBDD-AAF168610AA5}" name="سال و ماه" dataDxfId="80"/>
    <tableColumn id="3" xr3:uid="{66F66387-A8B5-43AA-87B7-3D0CC9168F60}" name="مبلغ درآمد کسب شده" dataDxfId="79" dataCellStyle="Comma"/>
    <tableColumn id="4" xr3:uid="{52595ECE-74E2-4FC3-B5B6-FA33D7AC0B25}" name="سال" dataDxfId="78">
      <calculatedColumnFormula>_xlfn.NUMBERVALUE(LEFT(tbl_jibres_revenue[[#This Row],[سال و ماه]],4))</calculatedColumnFormula>
    </tableColumn>
    <tableColumn id="5" xr3:uid="{76A94C10-B40B-457E-B3BA-12ED3056AC3C}" name="ماه" dataDxfId="77">
      <calculatedColumnFormula>_xlfn.NUMBERVALUE(RIGHT(tbl_jibres_revenue[[#This Row],[سال و ماه]],2))</calculatedColumnFormula>
    </tableColumn>
    <tableColumn id="6" xr3:uid="{788D8E6A-2106-4F14-AE9E-6B9F33B3D9AA}" name="فصل" dataDxfId="76">
      <calculatedColumnFormula>IF(tbl_jibres_revenue[[#This Row],[ماه]]&lt;=3, 1, IF(tbl_jibres_revenue[[#This Row],[ماه]]&lt;=6, 2, IF(tbl_jibres_revenue[[#This Row],[ماه]]&lt;=9, 3, IF(tbl_jibres_revenue[[#This Row],[ماه]]&lt;=12, 4, "-"))))</calculatedColumnFormula>
    </tableColumn>
    <tableColumn id="7" xr3:uid="{2A89C0FC-8202-43C3-9C20-98C973C49A39}" name="رشد نسبت به ماه قبل" dataDxfId="75" dataCellStyle="Percent">
      <calculatedColumnFormula>IFERROR(tbl_jibres_revenue[[#This Row],[مبلغ درآمد کسب شده]]/C3, "-")</calculatedColumnFormula>
    </tableColumn>
  </tableColumns>
  <tableStyleInfo name="TableStyleLight6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8F7C5B66-3440-4B94-84F1-840A1C45E788}" name="tbl_jibres_revenue_year" displayName="tbl_jibres_revenue_year" ref="J1:K4" totalsRowCount="1" headerRowDxfId="74" dataDxfId="73">
  <autoFilter ref="J1:K3" xr:uid="{97006F0C-AD59-4C54-9C49-941C006952C3}"/>
  <sortState xmlns:xlrd2="http://schemas.microsoft.com/office/spreadsheetml/2017/richdata2" ref="J2:K3">
    <sortCondition descending="1" ref="J1:J3"/>
  </sortState>
  <tableColumns count="2">
    <tableColumn id="1" xr3:uid="{1A07868F-2787-433C-A121-F187E59299E3}" name="به تفکیک سال" totalsRowLabel="Total" dataDxfId="72" totalsRowDxfId="71"/>
    <tableColumn id="2" xr3:uid="{76BD64A1-CD1F-41A3-B845-76B7D5F43482}" name="جمع درآمد" totalsRowFunction="sum" dataDxfId="70" totalsRowDxfId="69">
      <calculatedColumnFormula>SUMIFS(tbl_jibres_revenue[مبلغ درآمد کسب شده],tbl_jibres_revenue[سال],tbl_jibres_revenue_year[[#This Row],[به تفکیک سال]])</calculatedColumnFormula>
    </tableColumn>
  </tableColumns>
  <tableStyleInfo name="TableStyleLight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9DD825A4-326D-43E1-B1E2-8DA584973940}" name="Table18" displayName="Table18" ref="N1:R7" totalsRowCount="1" headerRowDxfId="68" dataDxfId="67">
  <autoFilter ref="N1:R6" xr:uid="{ED95FAF6-F062-4349-8D2D-F4A023A88753}"/>
  <sortState xmlns:xlrd2="http://schemas.microsoft.com/office/spreadsheetml/2017/richdata2" ref="N2:R6">
    <sortCondition ref="N2:N6"/>
    <sortCondition ref="O2:O6"/>
  </sortState>
  <tableColumns count="5">
    <tableColumn id="1" xr3:uid="{C7E05CC4-3546-4718-9C4B-0391377B8E6F}" name="سال" totalsRowLabel="Total" dataDxfId="66" totalsRowDxfId="65"/>
    <tableColumn id="2" xr3:uid="{A46F4F4D-DEED-4FF6-AA41-10D2448BC299}" name="فصل" dataDxfId="64" totalsRowDxfId="63"/>
    <tableColumn id="4" xr3:uid="{FB4496C4-A8EE-4D44-8763-AB435C002C0F}" name="عنوان" dataDxfId="62" totalsRowDxfId="61">
      <calculatedColumnFormula>Table18[[#This Row],[سال]]&amp; "-Q"&amp;Table18[[#This Row],[فصل]]</calculatedColumnFormula>
    </tableColumn>
    <tableColumn id="3" xr3:uid="{EF262220-04D4-41A3-9C08-5E8E750EDD38}" name="جمع درآمد" dataDxfId="60" totalsRowDxfId="59">
      <calculatedColumnFormula>SUMIFS(tbl_jibres_revenue[مبلغ درآمد کسب شده],tbl_jibres_revenue[سال],Table18[[#This Row],[سال]],tbl_jibres_revenue[فصل],Table18[[#This Row],[فصل]])</calculatedColumnFormula>
    </tableColumn>
    <tableColumn id="5" xr3:uid="{E5D77664-930E-4958-A111-6FA4AEA13344}" name="درصد رشد نسبت به فصل قبل" totalsRowFunction="average" dataDxfId="58" totalsRowDxfId="57" dataCellStyle="Percent">
      <calculatedColumnFormula>IFERROR(Table18[[#This Row],[جمع درآمد]]/Q3, "-")</calculatedColumnFormula>
    </tableColumn>
  </tableColumns>
  <tableStyleInfo name="TableStyleLight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D1342561-B7A4-48E4-82DB-7091D7FE24C2}" name="tbl_fundraisingSteps" displayName="tbl_fundraisingSteps" ref="A1:M14" totalsRowCount="1" headerRowDxfId="56" dataDxfId="55" totalsRowDxfId="54">
  <autoFilter ref="A1:M13" xr:uid="{7E87C80A-E7EE-4352-81C0-E925498C3A9A}"/>
  <tableColumns count="13">
    <tableColumn id="1" xr3:uid="{12E2DB3F-C608-4C14-BC50-2BC1F2A76D86}" name="نوع سهام‌دار" totalsRowLabel="Total" dataDxfId="53" totalsRowDxfId="52"/>
    <tableColumn id="8" xr3:uid="{879A5D2D-8CD3-4CD8-9A10-ACEBF45244A1}" name="نام به تفکیک" dataDxfId="51" totalsRowDxfId="50"/>
    <tableColumn id="9" xr3:uid="{504C5ECB-7E69-4D58-88F2-F2EE7BF3AF63}" name="Start 1394" totalsRowFunction="sum" dataDxfId="49" totalsRowDxfId="48" dataCellStyle="Percent"/>
    <tableColumn id="10" xr3:uid="{489B3961-F0BB-4DBA-9569-4B6F9D2C8136}" name="Seed Angel 1395" totalsRowFunction="sum" dataDxfId="47" totalsRowDxfId="46" dataCellStyle="Percent"/>
    <tableColumn id="12" xr3:uid="{2F49346B-42D1-4A05-A022-49E685B8F677}" name="Angel Out 1397/2/22" totalsRowFunction="sum" dataDxfId="45" totalsRowDxfId="44" dataCellStyle="Percent"/>
    <tableColumn id="11" xr3:uid="{D7B34FBB-1249-4A52-BC71-F4F4C353E9FF}" name="1397/5/1" totalsRowFunction="sum" dataDxfId="43" totalsRowDxfId="42" dataCellStyle="Percent"/>
    <tableColumn id="7" xr3:uid="{D017C8F8-D15A-4768-9250-191C7C3FBCAD}" name="1399" totalsRowFunction="sum" dataDxfId="41" totalsRowDxfId="40" dataCellStyle="Percent"/>
    <tableColumn id="2" xr3:uid="{CC921348-160B-4F0D-9BE4-5DDA1AD69B16}" name="Series A" totalsRowFunction="sum" dataDxfId="39" totalsRowDxfId="38" dataCellStyle="Percent">
      <calculatedColumnFormula>tbl_fundraisingSteps[[#This Row],[1399]]*(1-H$13-#REF!)</calculatedColumnFormula>
    </tableColumn>
    <tableColumn id="3" xr3:uid="{DF9F62FE-3F49-4863-9EB8-9DA044FDA222}" name="Series B" totalsRowFunction="sum" dataDxfId="37" totalsRowDxfId="36" dataCellStyle="Percent"/>
    <tableColumn id="4" xr3:uid="{077EF452-6558-4AC1-8073-331A97F79010}" name="Series C" totalsRowFunction="sum" dataDxfId="35" totalsRowDxfId="34" dataCellStyle="Percent"/>
    <tableColumn id="5" xr3:uid="{4EBDA36A-837C-4D6F-8F61-A05A0A68122A}" name="Series D" totalsRowFunction="sum" dataDxfId="33" totalsRowDxfId="32" dataCellStyle="Percent"/>
    <tableColumn id="6" xr3:uid="{8993C8BA-E6C1-4341-9D63-25AE19DA5FDB}" name="Series E" totalsRowFunction="sum" dataDxfId="31" totalsRowDxfId="30" dataCellStyle="Percent"/>
    <tableColumn id="13" xr3:uid="{8B46D6B7-B794-4A24-8CAA-5733D667F553}" name="Series F" totalsRowFunction="sum" dataDxfId="29" totalsRowDxfId="28" dataCellStyle="Percent"/>
  </tableColumns>
  <tableStyleInfo name="TableStyleLight6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65A41E25-9D6F-4C20-A396-5400E9F4A5CF}" name="Table13" displayName="Table13" ref="A23:M27" totalsRowCount="1" headerRowDxfId="27" dataDxfId="26">
  <autoFilter ref="A23:M26" xr:uid="{65851948-34D5-432A-B8FB-4FA5D425C4F9}"/>
  <tableColumns count="13">
    <tableColumn id="1" xr3:uid="{34E46D92-A5C7-4723-8F0E-96589EB1AEC2}" name="نوع سهام‌دار" totalsRowLabel="Total" dataDxfId="25" totalsRowDxfId="24"/>
    <tableColumn id="2" xr3:uid="{A5B597FC-720C-447A-9F66-CBDB8836AFA2}" name="جمع سهام" dataDxfId="23" totalsRowDxfId="22"/>
    <tableColumn id="3" xr3:uid="{9D64E6C7-4D6D-46C0-921E-CD57FADBCEA8}" name="Start 1394" totalsRowFunction="sum" dataDxfId="21" totalsRowDxfId="20" dataCellStyle="Percent">
      <calculatedColumnFormula>SUMIFS(tbl_fundraisingSteps[Start 1394],tbl_fundraisingSteps[نوع سهام‌دار],Table13[[#This Row],[نوع سهام‌دار]])</calculatedColumnFormula>
    </tableColumn>
    <tableColumn id="4" xr3:uid="{18E1D5B0-D6EB-4E11-A1AF-756FF28BCF08}" name="Seed Angel 1395" totalsRowFunction="sum" dataDxfId="19" totalsRowDxfId="18" dataCellStyle="Percent">
      <calculatedColumnFormula>SUMIFS(tbl_fundraisingSteps[Seed Angel 1395],tbl_fundraisingSteps[نوع سهام‌دار],Table13[[#This Row],[نوع سهام‌دار]])</calculatedColumnFormula>
    </tableColumn>
    <tableColumn id="5" xr3:uid="{16E03538-9711-428F-96E4-F5A83D77388E}" name="Angel Out 1397/2/22" totalsRowFunction="sum" dataDxfId="17" totalsRowDxfId="16" dataCellStyle="Percent">
      <calculatedColumnFormula>SUMIFS(tbl_fundraisingSteps[Angel Out 1397/2/22],tbl_fundraisingSteps[نوع سهام‌دار],Table13[[#This Row],[نوع سهام‌دار]])</calculatedColumnFormula>
    </tableColumn>
    <tableColumn id="6" xr3:uid="{1005E7E3-6CDA-4436-991E-B3B379B55B0A}" name="1397/5/1" totalsRowFunction="sum" dataDxfId="15" totalsRowDxfId="14" dataCellStyle="Percent">
      <calculatedColumnFormula>SUMIFS(tbl_fundraisingSteps[1397/5/1],tbl_fundraisingSteps[نوع سهام‌دار],Table13[[#This Row],[نوع سهام‌دار]])</calculatedColumnFormula>
    </tableColumn>
    <tableColumn id="7" xr3:uid="{9A2B6988-1497-40EF-87D8-F8505FFD7BED}" name="1399" totalsRowFunction="sum" dataDxfId="13" totalsRowDxfId="12" dataCellStyle="Percent">
      <calculatedColumnFormula>SUMIFS(tbl_fundraisingSteps[1399],tbl_fundraisingSteps[نوع سهام‌دار],Table13[[#This Row],[نوع سهام‌دار]])</calculatedColumnFormula>
    </tableColumn>
    <tableColumn id="8" xr3:uid="{7EB61B1B-B071-44BA-9BDE-AB01D5A7A675}" name="Series A" totalsRowFunction="sum" dataDxfId="11" totalsRowDxfId="10" dataCellStyle="Percent">
      <calculatedColumnFormula>SUMIFS(tbl_fundraisingSteps[Series A],tbl_fundraisingSteps[نوع سهام‌دار],Table13[[#This Row],[نوع سهام‌دار]])</calculatedColumnFormula>
    </tableColumn>
    <tableColumn id="9" xr3:uid="{872DE947-28BB-47C2-B6BA-A18345AA109A}" name="Series B" totalsRowFunction="sum" dataDxfId="9" totalsRowDxfId="8" dataCellStyle="Percent">
      <calculatedColumnFormula>SUMIFS(tbl_fundraisingSteps[Series B],tbl_fundraisingSteps[نوع سهام‌دار],Table13[[#This Row],[نوع سهام‌دار]])</calculatedColumnFormula>
    </tableColumn>
    <tableColumn id="10" xr3:uid="{5A1BFC5B-E565-476F-B851-56F08693CE71}" name="Series C" totalsRowFunction="sum" dataDxfId="7" totalsRowDxfId="6" dataCellStyle="Percent">
      <calculatedColumnFormula>SUMIFS(tbl_fundraisingSteps[Series C],tbl_fundraisingSteps[نوع سهام‌دار],Table13[[#This Row],[نوع سهام‌دار]])</calculatedColumnFormula>
    </tableColumn>
    <tableColumn id="11" xr3:uid="{769D64D0-F4FE-464D-AA35-37608D10B674}" name="Series D" totalsRowFunction="sum" dataDxfId="5" totalsRowDxfId="4" dataCellStyle="Percent">
      <calculatedColumnFormula>SUMIFS(tbl_fundraisingSteps[Series D],tbl_fundraisingSteps[نوع سهام‌دار],Table13[[#This Row],[نوع سهام‌دار]])</calculatedColumnFormula>
    </tableColumn>
    <tableColumn id="12" xr3:uid="{9C33E128-ADB1-4C6A-AF02-8F7E47B4ED9A}" name="Series E" totalsRowFunction="sum" dataDxfId="3" totalsRowDxfId="2" dataCellStyle="Percent">
      <calculatedColumnFormula>SUMIFS(tbl_fundraisingSteps[Series E],tbl_fundraisingSteps[نوع سهام‌دار],Table13[[#This Row],[نوع سهام‌دار]])</calculatedColumnFormula>
    </tableColumn>
    <tableColumn id="13" xr3:uid="{9B8985F9-A88C-49C2-8098-57E3F68A1C4A}" name="Series F" totalsRowFunction="sum" dataDxfId="1" totalsRowDxfId="0" dataCellStyle="Percent">
      <calculatedColumnFormula>SUMIFS(tbl_fundraisingSteps[Series F],tbl_fundraisingSteps[نوع سهام‌دار],Table13[[#This Row],[نوع سهام‌دار]])</calculatedColumnFormula>
    </tableColumn>
  </tableColumns>
  <tableStyleInfo name="TableStyleMedium25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EA91A5F-D478-410F-A959-94B6375E723C}" name="tbl_Assumptions" displayName="tbl_Assumptions" ref="A1:B22" totalsRowShown="0" headerRowDxfId="224" dataDxfId="223">
  <autoFilter ref="A1:B22" xr:uid="{2B9E2DB8-FBB8-45B3-A4BF-A27446C1BBC1}"/>
  <tableColumns count="2">
    <tableColumn id="1" xr3:uid="{04846D46-98AF-4645-B227-FF19272102B1}" name="عنوان" dataDxfId="222"/>
    <tableColumn id="2" xr3:uid="{D4584107-29D2-4B18-94B1-795D1E01B117}" name="مقدار" dataDxfId="221"/>
  </tableColumns>
  <tableStyleInfo name="TableStyleLight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70965CE-6382-4581-92BE-B703990B6755}" name="tbl_servers" displayName="tbl_servers" ref="A1:E5" totalsRowCount="1" headerRowDxfId="220" dataDxfId="219">
  <autoFilter ref="A1:E4" xr:uid="{6BB248A9-012D-4836-9305-5141AF978271}"/>
  <tableColumns count="5">
    <tableColumn id="1" xr3:uid="{C1D9DC5C-1F85-426E-959C-3165A99CD6EC}" name="ردیف" totalsRowLabel="Total" dataDxfId="218" totalsRowDxfId="217">
      <calculatedColumnFormula>ROW(A1)</calculatedColumnFormula>
    </tableColumn>
    <tableColumn id="2" xr3:uid="{23A7CE2D-4EC2-4F59-9E8C-744F0E351954}" name="عنوان" dataDxfId="216" totalsRowDxfId="215"/>
    <tableColumn id="3" xr3:uid="{C5D9D589-B23B-4019-B4E1-A8A2308C3099}" name="1400" totalsRowFunction="sum" dataDxfId="214" totalsRowDxfId="213"/>
    <tableColumn id="4" xr3:uid="{A20DFB1D-E3C4-4F6A-9CE1-76537256DDA0}" name="1401" totalsRowFunction="sum" dataDxfId="212" totalsRowDxfId="211"/>
    <tableColumn id="5" xr3:uid="{7320D442-6698-4FA5-BB88-10D126434BE0}" name="جمع" totalsRowFunction="sum" dataDxfId="210">
      <calculatedColumnFormula>SUM(tbl_servers[[#This Row],[1400]:[1401]])</calculatedColumnFormula>
    </tableColumn>
  </tableColumns>
  <tableStyleInfo name="TableStyleLight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77B59AD-3F11-4279-8E03-C739A8BD263F}" name="tbl_serverCount" displayName="tbl_serverCount" ref="A9:D10" totalsRowShown="0" headerRowDxfId="209" dataDxfId="208">
  <autoFilter ref="A9:D10" xr:uid="{939160DD-2EDF-4878-9A71-0E47E271CD17}"/>
  <tableColumns count="4">
    <tableColumn id="1" xr3:uid="{7CFB71D1-2F91-4886-8D95-C562400CF4F7}" name="9" dataDxfId="207">
      <calculatedColumnFormula>ROW(A1)</calculatedColumnFormula>
    </tableColumn>
    <tableColumn id="2" xr3:uid="{EBEBDCFA-6F86-4BB9-A4E1-CFAC0B6394D2}" name="عنوان" dataDxfId="206"/>
    <tableColumn id="3" xr3:uid="{9FF7CA43-0705-4E77-85EC-B371DC78ACA4}" name="1400" dataDxfId="205"/>
    <tableColumn id="4" xr3:uid="{B14BB7F9-8746-4829-AA07-C639400E814F}" name="1401" dataDxfId="204"/>
  </tableColumns>
  <tableStyleInfo name="TableStyleLight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5B6976F6-E70B-4A2A-B40E-5918A439B18A}" name="tbl_office12" displayName="tbl_office12" ref="A1:E2" totalsRowShown="0" headerRowDxfId="203" dataDxfId="202">
  <autoFilter ref="A1:E2" xr:uid="{CA8A4239-364E-4650-9E13-6B35831DAABA}"/>
  <tableColumns count="5">
    <tableColumn id="1" xr3:uid="{276EA653-F6EB-43D8-A8E6-02705C4FC3C6}" name="ردیف" dataDxfId="201">
      <calculatedColumnFormula>ROW(A1)</calculatedColumnFormula>
    </tableColumn>
    <tableColumn id="2" xr3:uid="{C917D43E-3C18-4ECC-857D-F6E368E7D1DD}" name="عنوان" dataDxfId="200"/>
    <tableColumn id="3" xr3:uid="{936C2C7C-5EB9-4B64-BF32-AA11DA4CFE26}" name="1400" dataDxfId="199"/>
    <tableColumn id="4" xr3:uid="{81F72F41-D8FD-4195-ABBB-05037CE3698B}" name="1401" dataDxfId="198"/>
    <tableColumn id="5" xr3:uid="{C0453677-E159-4921-9E18-2A6C08C14999}" name="جمع" dataDxfId="197">
      <calculatedColumnFormula>SUM(tbl_office12[[#This Row],[1400]:[1401]])</calculatedColumnFormula>
    </tableColumn>
  </tableColumns>
  <tableStyleInfo name="TableStyleLight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915FF36-0265-4C54-BA19-626C4A5D416F}" name="tbl_salaryData" displayName="tbl_salaryData" ref="A1:D6" totalsRowCount="1" headerRowDxfId="196" dataDxfId="195" totalsRowDxfId="194">
  <autoFilter ref="A1:D5" xr:uid="{0FEAC4E8-3C92-4ECC-A20C-80059709130D}"/>
  <tableColumns count="4">
    <tableColumn id="1" xr3:uid="{DA73BFFA-A796-4432-914A-1F59F00537F5}" name="#" totalsRowLabel="جمع" dataDxfId="193" totalsRowDxfId="192">
      <calculatedColumnFormula>ROW(A1)</calculatedColumnFormula>
    </tableColumn>
    <tableColumn id="2" xr3:uid="{32ED334C-D261-4D20-8958-087C27AD9FBF}" name="عنوان شغلی" dataDxfId="191" totalsRowDxfId="190"/>
    <tableColumn id="4" xr3:uid="{0925C41E-9619-42E8-8F24-EDDF62C48C09}" name="1400" totalsRowFunction="sum" dataDxfId="189" totalsRowDxfId="188"/>
    <tableColumn id="5" xr3:uid="{0BE3F0C5-39C2-4F5C-A4BB-D96C51FFD2B1}" name="1401" totalsRowFunction="sum" dataDxfId="187" totalsRowDxfId="186"/>
  </tableColumns>
  <tableStyleInfo name="TableStyleLight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2F8771E-79C6-493F-AE65-0B40F291DB5B}" name="tbl_jobSalary" displayName="tbl_jobSalary" ref="A22:F26" totalsRowShown="0" headerRowDxfId="185" dataDxfId="184">
  <autoFilter ref="A22:F26" xr:uid="{C45356D1-9A71-4483-8364-A8B472AE846A}"/>
  <tableColumns count="6">
    <tableColumn id="3" xr3:uid="{EAA5B31A-763B-44E2-8C7F-741E10086C03}" name="#" dataDxfId="183"/>
    <tableColumn id="1" xr3:uid="{0C7B43BD-CDE0-4542-994E-07BECC378178}" name="عنوان شغلی" dataDxfId="182"/>
    <tableColumn id="2" xr3:uid="{23FA6089-E4D9-4C9C-9ADF-69E1A5FBE988}" name="میانگین پرداختی ۱۴۰۰" dataDxfId="181" dataCellStyle="Currency"/>
    <tableColumn id="4" xr3:uid="{FCAB3AB9-4281-4E61-A996-650242F1C298}" name="میانگین پرداختی ۱۴۰۱" dataDxfId="180">
      <calculatedColumnFormula>tbl_jobSalary[[#This Row],[میانگین پرداختی ۱۴۰۰]]*(d_salaryYOY + 1)</calculatedColumnFormula>
    </tableColumn>
    <tableColumn id="5" xr3:uid="{74DCC911-8D28-41F5-8E0B-1DFC05F1308A}" name="هزینه یک‌سال ۱۴۰۰" dataDxfId="179">
      <calculatedColumnFormula>tbl_jobSalary[[#This Row],[میانگین پرداختی ۱۴۰۰]]*d_AnnualSalary</calculatedColumnFormula>
    </tableColumn>
    <tableColumn id="6" xr3:uid="{CB766ED7-E144-4502-8587-DD171AC691BA}" name="هزینه یک‌سال ۱۴۰۱" dataDxfId="178">
      <calculatedColumnFormula>tbl_jobSalary[[#This Row],[میانگین پرداختی ۱۴۰۱]]*d_AnnualSalary</calculatedColumnFormula>
    </tableColumn>
  </tableColumns>
  <tableStyleInfo name="TableStyleLight4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BA840A0-13F7-4E3B-BF83-B0B57FC4C404}" name="tbl_marketing" displayName="tbl_marketing" ref="A1:E11" totalsRowCount="1" headerRowDxfId="177" dataDxfId="176" totalsRowDxfId="175">
  <autoFilter ref="A1:E10" xr:uid="{387B4E0D-6F55-44DA-9344-EB9622378522}"/>
  <tableColumns count="5">
    <tableColumn id="1" xr3:uid="{A7835E4F-01BA-4B39-9B47-77E68912210A}" name="#" totalsRowLabel="Total" dataDxfId="174" totalsRowDxfId="173">
      <calculatedColumnFormula>ROW(A1)</calculatedColumnFormula>
    </tableColumn>
    <tableColumn id="2" xr3:uid="{915237E7-1F0F-42A4-A7C8-041DBDA02143}" name="عنوان" dataDxfId="172" totalsRowDxfId="171"/>
    <tableColumn id="4" xr3:uid="{50081311-D116-4A8B-B3B1-362E4B876409}" name="1400" totalsRowFunction="sum" dataDxfId="170" totalsRowDxfId="169" dataCellStyle="Currency"/>
    <tableColumn id="5" xr3:uid="{4B242BB3-1333-418C-A07C-49DAE81876BA}" name="1401" totalsRowFunction="sum" dataDxfId="168" totalsRowDxfId="167" dataCellStyle="Currency"/>
    <tableColumn id="6" xr3:uid="{E1DE5B6C-E01B-4554-A846-06AB203F9C1A}" name="جمع" totalsRowFunction="sum" dataDxfId="166" totalsRowDxfId="165" dataCellStyle="Currency">
      <calculatedColumnFormula>SUM(tbl_marketing[[#This Row],[1400]:[1401]])</calculatedColumnFormula>
    </tableColumn>
  </tableColumns>
  <tableStyleInfo name="TableStyleLight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4D3B799-DFFA-4749-A173-92568AD77CB9}" name="tbl_office" displayName="tbl_office" ref="A1:E10" totalsRowCount="1" headerRowDxfId="164" dataDxfId="163">
  <autoFilter ref="A1:E9" xr:uid="{CA8A4239-364E-4650-9E13-6B35831DAABA}"/>
  <tableColumns count="5">
    <tableColumn id="1" xr3:uid="{54E6554F-B297-4533-AD8D-E06FC372FA4D}" name="ردیف" totalsRowLabel="Total" dataDxfId="162" totalsRowDxfId="161">
      <calculatedColumnFormula>ROW(A1)</calculatedColumnFormula>
    </tableColumn>
    <tableColumn id="2" xr3:uid="{C8AD3364-8867-4058-B64B-986B3858CF42}" name="عنوان" dataDxfId="160" totalsRowDxfId="159"/>
    <tableColumn id="3" xr3:uid="{7080C68D-A903-46EB-AC1E-5D0963B807EC}" name="1400" totalsRowFunction="sum" dataDxfId="158" totalsRowDxfId="157"/>
    <tableColumn id="4" xr3:uid="{B0566FF8-F510-4A8F-8E54-F68246E5F0A7}" name="1401" totalsRowFunction="sum" dataDxfId="156" totalsRowDxfId="155"/>
    <tableColumn id="5" xr3:uid="{192D38EC-CF7E-4D9A-99C8-24B0818C5DCC}" name="جمع" totalsRowFunction="sum" dataDxfId="154" totalsRowDxfId="153">
      <calculatedColumnFormula>SUM(tbl_office[[#This Row],[1400]:[1401]])</calculatedColumnFormula>
    </tableColumn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1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table" Target="../tables/table17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10618-EE7A-4354-B411-4E64E95D7CAF}">
  <sheetPr>
    <tabColor theme="5" tint="0.79998168889431442"/>
  </sheetPr>
  <dimension ref="A1:G29"/>
  <sheetViews>
    <sheetView rightToLeft="1" workbookViewId="0">
      <selection activeCell="C3" sqref="C3"/>
    </sheetView>
  </sheetViews>
  <sheetFormatPr defaultColWidth="9.140625" defaultRowHeight="17.25" zeroHeight="1" x14ac:dyDescent="0.4"/>
  <cols>
    <col min="1" max="1" width="11.7109375" style="1" customWidth="1"/>
    <col min="2" max="2" width="22.28515625" style="1" customWidth="1"/>
    <col min="3" max="3" width="26.28515625" style="1" customWidth="1"/>
    <col min="4" max="6" width="25.7109375" style="1" customWidth="1"/>
    <col min="7" max="7" width="23" style="1" bestFit="1" customWidth="1"/>
    <col min="8" max="12" width="9.140625" style="1" customWidth="1"/>
    <col min="13" max="16384" width="9.140625" style="1"/>
  </cols>
  <sheetData>
    <row r="1" spans="1:7" x14ac:dyDescent="0.4">
      <c r="A1" s="1" t="s">
        <v>0</v>
      </c>
      <c r="B1" s="1" t="s">
        <v>46</v>
      </c>
      <c r="C1" s="1" t="s">
        <v>2</v>
      </c>
      <c r="D1" s="23" t="s">
        <v>14</v>
      </c>
      <c r="E1" s="23" t="s">
        <v>15</v>
      </c>
      <c r="F1" s="1" t="s">
        <v>18</v>
      </c>
      <c r="G1" s="1" t="s">
        <v>56</v>
      </c>
    </row>
    <row r="2" spans="1:7" x14ac:dyDescent="0.4">
      <c r="A2" s="1">
        <f>ROW(A1)</f>
        <v>1</v>
      </c>
      <c r="B2" s="1" t="s">
        <v>57</v>
      </c>
      <c r="C2" s="1" t="s">
        <v>32</v>
      </c>
      <c r="D2" s="19">
        <f>SUM(tbl_servers[1400])</f>
        <v>2883840000</v>
      </c>
      <c r="E2" s="19">
        <f>SUM(tbl_servers[1401])</f>
        <v>1681920000</v>
      </c>
      <c r="F2" s="19">
        <f>SUM(tbl_sumary[[#This Row],[1400]:[1401]])</f>
        <v>4565760000</v>
      </c>
      <c r="G2" s="25">
        <f>(F2*100/SUM(tbl_sumary[مجموع])) / 100</f>
        <v>0.26889156786865437</v>
      </c>
    </row>
    <row r="3" spans="1:7" x14ac:dyDescent="0.4">
      <c r="A3" s="1">
        <f t="shared" ref="A3:A4" si="0">ROW(A2)</f>
        <v>2</v>
      </c>
      <c r="B3" s="1" t="s">
        <v>57</v>
      </c>
      <c r="C3" s="1" t="s">
        <v>37</v>
      </c>
      <c r="D3" s="19">
        <f>SUM(tbl_office12[1400])</f>
        <v>180000000</v>
      </c>
      <c r="E3" s="19">
        <f>SUM(tbl_office12[1401])</f>
        <v>240000000</v>
      </c>
      <c r="F3" s="19">
        <f>SUM(tbl_sumary[[#This Row],[1400]:[1401]])</f>
        <v>420000000</v>
      </c>
      <c r="G3" s="25">
        <f>(F3*100/SUM(tbl_sumary[مجموع])) / 100</f>
        <v>2.4735084302467677E-2</v>
      </c>
    </row>
    <row r="4" spans="1:7" x14ac:dyDescent="0.4">
      <c r="A4" s="1">
        <f t="shared" si="0"/>
        <v>3</v>
      </c>
      <c r="B4" s="1" t="s">
        <v>45</v>
      </c>
      <c r="C4" s="1" t="s">
        <v>58</v>
      </c>
      <c r="D4" s="19">
        <f>'حقوق و دستمزد'!C15</f>
        <v>792100000</v>
      </c>
      <c r="E4" s="19">
        <f>'حقوق و دستمزد'!D15</f>
        <v>4959080000</v>
      </c>
      <c r="F4" s="19">
        <f>SUM(tbl_sumary[[#This Row],[1400]:[1401]])</f>
        <v>5751180000</v>
      </c>
      <c r="G4" s="25">
        <f>(F4*100/SUM(tbl_sumary[مجموع])) / 100</f>
        <v>0.33870457652063352</v>
      </c>
    </row>
    <row r="5" spans="1:7" x14ac:dyDescent="0.4">
      <c r="A5" s="1">
        <f>ROW(A4)</f>
        <v>4</v>
      </c>
      <c r="B5" s="1" t="s">
        <v>45</v>
      </c>
      <c r="C5" s="1" t="s">
        <v>125</v>
      </c>
      <c r="D5" s="19">
        <f>SUM(tbl_marketing[1400])</f>
        <v>540000000</v>
      </c>
      <c r="E5" s="19">
        <f>SUM(tbl_marketing[1401])</f>
        <v>2550000000</v>
      </c>
      <c r="F5" s="19">
        <f>SUM(tbl_sumary[[#This Row],[1400]:[1401]])</f>
        <v>3090000000</v>
      </c>
      <c r="G5" s="25">
        <f>(F5*100/SUM(tbl_sumary[مجموع])) / 100</f>
        <v>0.18197954879672651</v>
      </c>
    </row>
    <row r="6" spans="1:7" x14ac:dyDescent="0.4">
      <c r="A6" s="1">
        <f>ROW(A5)</f>
        <v>5</v>
      </c>
      <c r="B6" s="1" t="s">
        <v>45</v>
      </c>
      <c r="C6" s="1" t="s">
        <v>33</v>
      </c>
      <c r="D6" s="19">
        <f>d_spacePricePerStaff*SUM(tbl_salaryData[1400])*12</f>
        <v>180000000</v>
      </c>
      <c r="E6" s="19">
        <f>d_spacePricePerStaff*SUM(tbl_salaryData[1401])*12</f>
        <v>420000000</v>
      </c>
      <c r="F6" s="19">
        <f>SUM(tbl_sumary[[#This Row],[1400]:[1401]])</f>
        <v>600000000</v>
      </c>
      <c r="G6" s="25">
        <f>(F6*100/SUM(tbl_sumary[مجموع])) / 100</f>
        <v>3.5335834717810967E-2</v>
      </c>
    </row>
    <row r="7" spans="1:7" x14ac:dyDescent="0.4">
      <c r="A7" s="1">
        <f>ROW(A6)</f>
        <v>6</v>
      </c>
      <c r="B7" s="1" t="s">
        <v>45</v>
      </c>
      <c r="C7" s="1" t="s">
        <v>124</v>
      </c>
      <c r="D7" s="19">
        <f>SUM(tbl_office[1400])</f>
        <v>218240000</v>
      </c>
      <c r="E7" s="19">
        <f>SUM(tbl_office[1401])</f>
        <v>791120000</v>
      </c>
      <c r="F7" s="19">
        <f>SUM(tbl_sumary[[#This Row],[1400]:[1401]])</f>
        <v>1009360000</v>
      </c>
      <c r="G7" s="25">
        <f>(F7*100/SUM(tbl_sumary[مجموع])) / 100</f>
        <v>5.9444296884616138E-2</v>
      </c>
    </row>
    <row r="8" spans="1:7" x14ac:dyDescent="0.4">
      <c r="A8" s="1">
        <f>ROW(A7)</f>
        <v>7</v>
      </c>
      <c r="B8" s="1" t="s">
        <v>45</v>
      </c>
      <c r="C8" s="1" t="s">
        <v>59</v>
      </c>
      <c r="D8" s="19">
        <f>SUM(D2:D7) * d_unpredictedPercent</f>
        <v>479418000</v>
      </c>
      <c r="E8" s="19">
        <f>SUM(E2:E7) * d_unpredictedPercent</f>
        <v>1064212000</v>
      </c>
      <c r="F8" s="19">
        <f>SUM(tbl_sumary[[#This Row],[1400]:[1401]])</f>
        <v>1543630000</v>
      </c>
      <c r="G8" s="25">
        <f>(F8*100/SUM(tbl_sumary[مجموع])) / 100</f>
        <v>9.0909090909090912E-2</v>
      </c>
    </row>
    <row r="9" spans="1:7" x14ac:dyDescent="0.4">
      <c r="A9" s="1" t="s">
        <v>1</v>
      </c>
      <c r="D9" s="12">
        <f>SUBTOTAL(109,tbl_sumary[1400])</f>
        <v>5273598000</v>
      </c>
      <c r="E9" s="12">
        <f>SUBTOTAL(109,tbl_sumary[1401])</f>
        <v>11706332000</v>
      </c>
      <c r="F9" s="17">
        <f>SUBTOTAL(109,tbl_sumary[مجموع])</f>
        <v>16979930000</v>
      </c>
      <c r="G9" s="21">
        <f>SUBTOTAL(109,tbl_sumary[درصد])</f>
        <v>1</v>
      </c>
    </row>
    <row r="10" spans="1:7" x14ac:dyDescent="0.4"/>
    <row r="11" spans="1:7" x14ac:dyDescent="0.4"/>
    <row r="12" spans="1:7" x14ac:dyDescent="0.4">
      <c r="A12" s="6"/>
      <c r="B12" s="7" t="s">
        <v>46</v>
      </c>
      <c r="C12" s="7"/>
      <c r="D12" s="29" t="s">
        <v>14</v>
      </c>
      <c r="E12" s="29" t="s">
        <v>15</v>
      </c>
      <c r="F12" s="30" t="s">
        <v>21</v>
      </c>
    </row>
    <row r="13" spans="1:7" x14ac:dyDescent="0.4">
      <c r="A13" s="26"/>
      <c r="B13" s="27" t="s">
        <v>57</v>
      </c>
      <c r="C13" s="27"/>
      <c r="D13" s="31">
        <f>SUMIFS(tbl_sumary[1400],tbl_sumary[نوع],B13)</f>
        <v>3063840000</v>
      </c>
      <c r="E13" s="31">
        <f>SUMIFS(tbl_sumary[1401],tbl_sumary[نوع],B13)</f>
        <v>1921920000</v>
      </c>
      <c r="F13" s="32">
        <f>SUM(D13:E13)</f>
        <v>4985760000</v>
      </c>
    </row>
    <row r="14" spans="1:7" x14ac:dyDescent="0.4">
      <c r="A14" s="13"/>
      <c r="B14" s="28" t="s">
        <v>45</v>
      </c>
      <c r="C14" s="28"/>
      <c r="D14" s="33">
        <f>SUMIFS(tbl_sumary[1400],tbl_sumary[نوع],B14)</f>
        <v>2209758000</v>
      </c>
      <c r="E14" s="33">
        <f>SUMIFS(tbl_sumary[1401],tbl_sumary[نوع],B14)</f>
        <v>9784412000</v>
      </c>
      <c r="F14" s="34">
        <f>SUM(D14:E14)</f>
        <v>11994170000</v>
      </c>
    </row>
    <row r="15" spans="1:7" x14ac:dyDescent="0.4">
      <c r="F15" s="5"/>
    </row>
    <row r="16" spans="1:7" x14ac:dyDescent="0.4"/>
    <row r="17" x14ac:dyDescent="0.4"/>
    <row r="18" x14ac:dyDescent="0.4"/>
    <row r="19" x14ac:dyDescent="0.4"/>
    <row r="20" x14ac:dyDescent="0.4"/>
    <row r="21" x14ac:dyDescent="0.4"/>
    <row r="22" x14ac:dyDescent="0.4"/>
    <row r="23" x14ac:dyDescent="0.4"/>
    <row r="24" x14ac:dyDescent="0.4"/>
    <row r="25" x14ac:dyDescent="0.4"/>
    <row r="26" x14ac:dyDescent="0.4"/>
    <row r="27" x14ac:dyDescent="0.4"/>
    <row r="28" x14ac:dyDescent="0.4"/>
    <row r="29" x14ac:dyDescent="0.4"/>
  </sheetData>
  <conditionalFormatting sqref="D2:D8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{186E6B78-3059-4976-B40D-3F43B72838CA}</x14:id>
        </ext>
      </extLst>
    </cfRule>
  </conditionalFormatting>
  <conditionalFormatting sqref="E2:E8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{A41741EC-04FA-4302-9DC1-B05F42D966EB}</x14:id>
        </ext>
      </extLst>
    </cfRule>
  </conditionalFormatting>
  <conditionalFormatting sqref="F2:F8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{34EFEE2B-6C06-4952-9F5A-4A980C6CC3EB}</x14:id>
        </ext>
      </extLst>
    </cfRule>
  </conditionalFormatting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86E6B78-3059-4976-B40D-3F43B72838C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D2:D8</xm:sqref>
        </x14:conditionalFormatting>
        <x14:conditionalFormatting xmlns:xm="http://schemas.microsoft.com/office/excel/2006/main">
          <x14:cfRule type="dataBar" id="{A41741EC-04FA-4302-9DC1-B05F42D966E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E2:E8</xm:sqref>
        </x14:conditionalFormatting>
        <x14:conditionalFormatting xmlns:xm="http://schemas.microsoft.com/office/excel/2006/main">
          <x14:cfRule type="dataBar" id="{34EFEE2B-6C06-4952-9F5A-4A980C6CC3E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F2:F8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4C132-3265-4B20-AEC4-A2AE2B54AA52}">
  <dimension ref="A1:J8"/>
  <sheetViews>
    <sheetView rightToLeft="1" tabSelected="1" workbookViewId="0">
      <selection activeCell="J2" sqref="J2"/>
    </sheetView>
  </sheetViews>
  <sheetFormatPr defaultRowHeight="17.25" x14ac:dyDescent="0.4"/>
  <cols>
    <col min="1" max="1" width="9.140625" style="1"/>
    <col min="2" max="2" width="39.85546875" style="1" customWidth="1"/>
    <col min="3" max="10" width="21.7109375" style="1" customWidth="1"/>
    <col min="11" max="16384" width="9.140625" style="1"/>
  </cols>
  <sheetData>
    <row r="1" spans="1:10" x14ac:dyDescent="0.4">
      <c r="A1" s="1" t="s">
        <v>35</v>
      </c>
      <c r="B1" s="1" t="s">
        <v>2</v>
      </c>
      <c r="C1" s="23" t="s">
        <v>102</v>
      </c>
      <c r="D1" s="23" t="s">
        <v>103</v>
      </c>
      <c r="E1" s="23" t="s">
        <v>104</v>
      </c>
      <c r="F1" s="23" t="s">
        <v>105</v>
      </c>
      <c r="G1" s="23" t="s">
        <v>106</v>
      </c>
      <c r="H1" s="23" t="s">
        <v>107</v>
      </c>
      <c r="I1" s="23" t="s">
        <v>108</v>
      </c>
      <c r="J1" s="23" t="s">
        <v>109</v>
      </c>
    </row>
    <row r="2" spans="1:10" x14ac:dyDescent="0.4">
      <c r="A2" s="1">
        <f>ROW(A1)</f>
        <v>1</v>
      </c>
      <c r="B2" s="1" t="s">
        <v>110</v>
      </c>
      <c r="C2" s="4">
        <v>500</v>
      </c>
      <c r="D2" s="4">
        <v>800</v>
      </c>
      <c r="E2" s="4">
        <v>1200</v>
      </c>
      <c r="F2" s="4">
        <v>2000</v>
      </c>
      <c r="G2" s="4">
        <v>4000</v>
      </c>
      <c r="H2" s="4">
        <v>7000</v>
      </c>
      <c r="I2" s="4">
        <v>12000</v>
      </c>
      <c r="J2" s="4">
        <v>20000</v>
      </c>
    </row>
    <row r="3" spans="1:10" x14ac:dyDescent="0.4">
      <c r="A3" s="1">
        <f t="shared" ref="A3:A8" si="0">ROW(A2)</f>
        <v>2</v>
      </c>
      <c r="B3" s="1" t="s">
        <v>101</v>
      </c>
      <c r="C3" s="39">
        <f t="shared" ref="C3:J3" si="1">d_customerConvertRate</f>
        <v>2.1125000000000001E-2</v>
      </c>
      <c r="D3" s="39">
        <f t="shared" si="1"/>
        <v>2.1125000000000001E-2</v>
      </c>
      <c r="E3" s="39">
        <f t="shared" si="1"/>
        <v>2.1125000000000001E-2</v>
      </c>
      <c r="F3" s="39">
        <f t="shared" si="1"/>
        <v>2.1125000000000001E-2</v>
      </c>
      <c r="G3" s="39">
        <f t="shared" si="1"/>
        <v>2.1125000000000001E-2</v>
      </c>
      <c r="H3" s="39">
        <f t="shared" si="1"/>
        <v>2.1125000000000001E-2</v>
      </c>
      <c r="I3" s="39">
        <f t="shared" si="1"/>
        <v>2.1125000000000001E-2</v>
      </c>
      <c r="J3" s="39">
        <f t="shared" si="1"/>
        <v>2.1125000000000001E-2</v>
      </c>
    </row>
    <row r="4" spans="1:10" x14ac:dyDescent="0.4">
      <c r="A4" s="1">
        <f t="shared" si="0"/>
        <v>3</v>
      </c>
      <c r="B4" s="1" t="s">
        <v>111</v>
      </c>
      <c r="C4" s="4">
        <f t="shared" ref="C4:J4" si="2">ROUND(C2*d_customerConvertRate, 0)</f>
        <v>11</v>
      </c>
      <c r="D4" s="4">
        <f t="shared" si="2"/>
        <v>17</v>
      </c>
      <c r="E4" s="4">
        <f t="shared" si="2"/>
        <v>25</v>
      </c>
      <c r="F4" s="4">
        <f t="shared" si="2"/>
        <v>42</v>
      </c>
      <c r="G4" s="4">
        <f t="shared" si="2"/>
        <v>85</v>
      </c>
      <c r="H4" s="4">
        <f t="shared" si="2"/>
        <v>148</v>
      </c>
      <c r="I4" s="4">
        <f t="shared" si="2"/>
        <v>254</v>
      </c>
      <c r="J4" s="4">
        <f t="shared" si="2"/>
        <v>423</v>
      </c>
    </row>
    <row r="5" spans="1:10" x14ac:dyDescent="0.4">
      <c r="A5" s="1">
        <f t="shared" si="0"/>
        <v>4</v>
      </c>
      <c r="B5" s="1" t="s">
        <v>112</v>
      </c>
      <c r="C5" s="22">
        <f t="shared" ref="C5:J5" si="3">d_customerAvgRevenue</f>
        <v>47000</v>
      </c>
      <c r="D5" s="22">
        <f t="shared" si="3"/>
        <v>47000</v>
      </c>
      <c r="E5" s="22">
        <f t="shared" si="3"/>
        <v>47000</v>
      </c>
      <c r="F5" s="22">
        <f t="shared" si="3"/>
        <v>47000</v>
      </c>
      <c r="G5" s="22">
        <f t="shared" si="3"/>
        <v>47000</v>
      </c>
      <c r="H5" s="22">
        <f t="shared" si="3"/>
        <v>47000</v>
      </c>
      <c r="I5" s="22">
        <f t="shared" si="3"/>
        <v>47000</v>
      </c>
      <c r="J5" s="22">
        <f t="shared" si="3"/>
        <v>47000</v>
      </c>
    </row>
    <row r="6" spans="1:10" x14ac:dyDescent="0.4">
      <c r="A6" s="1">
        <f t="shared" si="0"/>
        <v>5</v>
      </c>
      <c r="B6" s="1" t="s">
        <v>113</v>
      </c>
      <c r="C6" s="22">
        <f>C5*3</f>
        <v>141000</v>
      </c>
      <c r="D6" s="22">
        <f t="shared" ref="D6:J6" si="4">D5*3</f>
        <v>141000</v>
      </c>
      <c r="E6" s="22">
        <f t="shared" si="4"/>
        <v>141000</v>
      </c>
      <c r="F6" s="22">
        <f t="shared" si="4"/>
        <v>141000</v>
      </c>
      <c r="G6" s="22">
        <f t="shared" si="4"/>
        <v>141000</v>
      </c>
      <c r="H6" s="22">
        <f t="shared" si="4"/>
        <v>141000</v>
      </c>
      <c r="I6" s="22">
        <f t="shared" si="4"/>
        <v>141000</v>
      </c>
      <c r="J6" s="22">
        <f t="shared" si="4"/>
        <v>141000</v>
      </c>
    </row>
    <row r="7" spans="1:10" x14ac:dyDescent="0.4">
      <c r="A7" s="1">
        <f t="shared" si="0"/>
        <v>6</v>
      </c>
      <c r="B7" s="1" t="s">
        <v>82</v>
      </c>
      <c r="C7" s="12">
        <f t="shared" ref="C7:J7" si="5">C2*d_customerAvgRevenue</f>
        <v>23500000</v>
      </c>
      <c r="D7" s="12">
        <f t="shared" si="5"/>
        <v>37600000</v>
      </c>
      <c r="E7" s="12">
        <f t="shared" si="5"/>
        <v>56400000</v>
      </c>
      <c r="F7" s="12">
        <f t="shared" si="5"/>
        <v>94000000</v>
      </c>
      <c r="G7" s="12">
        <f t="shared" si="5"/>
        <v>188000000</v>
      </c>
      <c r="H7" s="12">
        <f t="shared" si="5"/>
        <v>329000000</v>
      </c>
      <c r="I7" s="12">
        <f t="shared" si="5"/>
        <v>564000000</v>
      </c>
      <c r="J7" s="12">
        <f t="shared" si="5"/>
        <v>940000000</v>
      </c>
    </row>
    <row r="8" spans="1:10" x14ac:dyDescent="0.4">
      <c r="A8" s="1">
        <f t="shared" si="0"/>
        <v>7</v>
      </c>
      <c r="B8" s="54" t="s">
        <v>114</v>
      </c>
      <c r="C8" s="16">
        <f>C7*3</f>
        <v>70500000</v>
      </c>
      <c r="D8" s="16">
        <f t="shared" ref="D8:J8" si="6">D7*3</f>
        <v>112800000</v>
      </c>
      <c r="E8" s="16">
        <f t="shared" si="6"/>
        <v>169200000</v>
      </c>
      <c r="F8" s="16">
        <f t="shared" si="6"/>
        <v>282000000</v>
      </c>
      <c r="G8" s="16">
        <f t="shared" si="6"/>
        <v>564000000</v>
      </c>
      <c r="H8" s="16">
        <f t="shared" si="6"/>
        <v>987000000</v>
      </c>
      <c r="I8" s="16">
        <f t="shared" si="6"/>
        <v>1692000000</v>
      </c>
      <c r="J8" s="16">
        <f t="shared" si="6"/>
        <v>2820000000</v>
      </c>
    </row>
  </sheetData>
  <phoneticPr fontId="5" type="noConversion"/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CC2BB-F168-40EC-967E-5425F5C717CD}">
  <sheetPr>
    <tabColor rgb="FFC80A5A"/>
  </sheetPr>
  <dimension ref="A1:S75"/>
  <sheetViews>
    <sheetView rightToLeft="1" workbookViewId="0"/>
  </sheetViews>
  <sheetFormatPr defaultColWidth="0" defaultRowHeight="17.25" zeroHeight="1" x14ac:dyDescent="0.25"/>
  <cols>
    <col min="1" max="1" width="9.140625" style="55" customWidth="1"/>
    <col min="2" max="2" width="41.7109375" style="55" bestFit="1" customWidth="1"/>
    <col min="3" max="3" width="33.140625" style="55" bestFit="1" customWidth="1"/>
    <col min="4" max="9" width="25.7109375" style="55" customWidth="1"/>
    <col min="10" max="10" width="27.5703125" style="55" customWidth="1"/>
    <col min="11" max="12" width="9.140625" style="55" customWidth="1"/>
    <col min="13" max="19" width="9.140625" style="55" hidden="1" customWidth="1"/>
    <col min="20" max="16384" width="0" style="55" hidden="1"/>
  </cols>
  <sheetData>
    <row r="1" spans="1:10" x14ac:dyDescent="0.25">
      <c r="A1" s="55" t="s">
        <v>0</v>
      </c>
      <c r="B1" s="55" t="s">
        <v>46</v>
      </c>
      <c r="C1" s="56" t="s">
        <v>136</v>
      </c>
      <c r="D1" s="56" t="s">
        <v>14</v>
      </c>
      <c r="E1" s="56" t="s">
        <v>15</v>
      </c>
      <c r="F1" s="56" t="s">
        <v>115</v>
      </c>
      <c r="G1" s="56" t="s">
        <v>116</v>
      </c>
      <c r="H1" s="56" t="s">
        <v>117</v>
      </c>
      <c r="I1" s="56" t="s">
        <v>123</v>
      </c>
      <c r="J1" s="55" t="s">
        <v>21</v>
      </c>
    </row>
    <row r="2" spans="1:10" x14ac:dyDescent="0.25">
      <c r="A2" s="55">
        <f>ROW(A1)</f>
        <v>1</v>
      </c>
      <c r="B2" s="55" t="s">
        <v>175</v>
      </c>
      <c r="C2" s="75" t="s">
        <v>176</v>
      </c>
      <c r="D2" s="57">
        <v>1</v>
      </c>
      <c r="E2" s="57">
        <v>2</v>
      </c>
      <c r="F2" s="57">
        <v>3</v>
      </c>
      <c r="G2" s="57">
        <v>4</v>
      </c>
      <c r="H2" s="57">
        <v>5</v>
      </c>
      <c r="I2" s="57">
        <v>6</v>
      </c>
      <c r="J2" s="58"/>
    </row>
    <row r="3" spans="1:10" x14ac:dyDescent="0.25">
      <c r="A3" s="55">
        <f>ROW(A1)</f>
        <v>1</v>
      </c>
      <c r="B3" s="55" t="s">
        <v>126</v>
      </c>
      <c r="C3" s="55" t="s">
        <v>127</v>
      </c>
      <c r="D3" s="57">
        <f>'پیش‌بینی درآمد'!F2</f>
        <v>2000</v>
      </c>
      <c r="E3" s="57">
        <f>'پیش‌بینی درآمد'!J2</f>
        <v>20000</v>
      </c>
      <c r="F3" s="57">
        <f>tbl_revenue_summary[[#This Row],[1401]]*(1+s_cagr)</f>
        <v>45000</v>
      </c>
      <c r="G3" s="57">
        <f>tbl_revenue_summary[[#This Row],[1402]]*(1+s_cagr)</f>
        <v>101250</v>
      </c>
      <c r="H3" s="57">
        <f>tbl_revenue_summary[[#This Row],[1403]]*(1+s_cagr)</f>
        <v>227812.5</v>
      </c>
      <c r="I3" s="57">
        <f>tbl_revenue_summary[[#This Row],[1404]]*(1+s_cagr)</f>
        <v>512578.125</v>
      </c>
      <c r="J3" s="58"/>
    </row>
    <row r="4" spans="1:10" x14ac:dyDescent="0.25">
      <c r="A4" s="55">
        <f>ROW(A1)</f>
        <v>1</v>
      </c>
      <c r="B4" s="55" t="s">
        <v>98</v>
      </c>
      <c r="C4" s="55" t="s">
        <v>128</v>
      </c>
      <c r="D4" s="61">
        <f>SUM('پیش‌بینی درآمد'!C8:F8)</f>
        <v>634500000</v>
      </c>
      <c r="E4" s="61">
        <f>SUM('پیش‌بینی درآمد'!$G$8:$J$8)</f>
        <v>6063000000</v>
      </c>
      <c r="F4" s="61">
        <f>tbl_revenue_summary[[#This Row],[1401]]*(1+s_cagr) *(1+s_costsGrowthYOY)</f>
        <v>19098450000</v>
      </c>
      <c r="G4" s="61">
        <f>tbl_revenue_summary[[#This Row],[1402]]*(1+s_cagr)*(1+s_costsGrowthYOY)</f>
        <v>60160117499.999992</v>
      </c>
      <c r="H4" s="61">
        <f>tbl_revenue_summary[[#This Row],[1403]]*(1+s_cagr)*(1+s_costsGrowthYOY)</f>
        <v>189504370124.99997</v>
      </c>
      <c r="I4" s="61">
        <f>tbl_revenue_summary[[#This Row],[1404]]*(1+s_cagr)*(1+s_costsGrowthYOY)</f>
        <v>596938765893.74988</v>
      </c>
      <c r="J4" s="58">
        <f>SUM(tbl_revenue_summary[[#This Row],[1400]:[1405]])</f>
        <v>872399203518.74988</v>
      </c>
    </row>
    <row r="5" spans="1:10" x14ac:dyDescent="0.25">
      <c r="A5" s="55">
        <f>ROW(A4)</f>
        <v>4</v>
      </c>
      <c r="B5" s="55" t="s">
        <v>188</v>
      </c>
      <c r="D5" s="76">
        <f t="shared" ref="D5:I5" si="0">D4/d_toman2dollar</f>
        <v>24034.090909090908</v>
      </c>
      <c r="E5" s="76">
        <f t="shared" si="0"/>
        <v>229659.09090909091</v>
      </c>
      <c r="F5" s="76">
        <f t="shared" si="0"/>
        <v>723426.13636363635</v>
      </c>
      <c r="G5" s="76">
        <f t="shared" si="0"/>
        <v>2278792.3295454541</v>
      </c>
      <c r="H5" s="76">
        <f t="shared" si="0"/>
        <v>7178195.8380681807</v>
      </c>
      <c r="I5" s="76">
        <f t="shared" si="0"/>
        <v>22611316.88991477</v>
      </c>
      <c r="J5" s="58">
        <f>SUM(tbl_revenue_summary[[#This Row],[1400]:[1405]])</f>
        <v>33045424.375710223</v>
      </c>
    </row>
    <row r="6" spans="1:10" x14ac:dyDescent="0.25">
      <c r="A6" s="55">
        <f>ROW(A5)</f>
        <v>5</v>
      </c>
      <c r="B6" s="55" t="s">
        <v>191</v>
      </c>
      <c r="D6" s="77"/>
      <c r="E6" s="59">
        <f>E5/D5</f>
        <v>9.5555555555555554</v>
      </c>
      <c r="F6" s="59">
        <f t="shared" ref="F6:I6" si="1">F5/E5</f>
        <v>3.15</v>
      </c>
      <c r="G6" s="59">
        <f t="shared" si="1"/>
        <v>3.1499999999999995</v>
      </c>
      <c r="H6" s="59">
        <f t="shared" si="1"/>
        <v>3.15</v>
      </c>
      <c r="I6" s="59">
        <f t="shared" si="1"/>
        <v>3.15</v>
      </c>
      <c r="J6" s="58"/>
    </row>
    <row r="7" spans="1:10" x14ac:dyDescent="0.25">
      <c r="A7" s="55">
        <f>ROW(A4)</f>
        <v>4</v>
      </c>
      <c r="B7" s="55" t="s">
        <v>57</v>
      </c>
      <c r="C7" s="55" t="s">
        <v>130</v>
      </c>
      <c r="D7" s="61">
        <f>SUMIFS(tbl_sumary[1400],tbl_sumary[نوع],tbl_revenue_summary[[#This Row],[نوع]])</f>
        <v>3063840000</v>
      </c>
      <c r="E7" s="61">
        <f>SUMIFS(tbl_sumary[1401],tbl_sumary[نوع],tbl_revenue_summary[[#This Row],[نوع]])</f>
        <v>1921920000</v>
      </c>
      <c r="F7" s="61">
        <f>tbl_revenue_summary[[#This Row],[1401]]*(1+s_costsGrowthCapexYOY)</f>
        <v>2306304000</v>
      </c>
      <c r="G7" s="61">
        <f>tbl_revenue_summary[[#This Row],[1402]]*(1+s_costsGrowthCapexYOY)</f>
        <v>2767564800</v>
      </c>
      <c r="H7" s="61">
        <f>tbl_revenue_summary[[#This Row],[1403]]*(1+s_costsGrowthCapexYOY)</f>
        <v>3321077760</v>
      </c>
      <c r="I7" s="61">
        <f>tbl_revenue_summary[[#This Row],[1404]]*(1+s_costsGrowthCapexYOY)</f>
        <v>3985293312</v>
      </c>
      <c r="J7" s="61">
        <f>SUM(tbl_revenue_summary[[#This Row],[1400]:[1405]])</f>
        <v>17365999872</v>
      </c>
    </row>
    <row r="8" spans="1:10" x14ac:dyDescent="0.25">
      <c r="A8" s="55">
        <f t="shared" ref="A8:A11" si="2">ROW(A7)</f>
        <v>7</v>
      </c>
      <c r="B8" s="55" t="s">
        <v>45</v>
      </c>
      <c r="C8" s="55" t="s">
        <v>129</v>
      </c>
      <c r="D8" s="61">
        <f>SUMIFS(tbl_sumary[1400],tbl_sumary[نوع],tbl_revenue_summary[[#This Row],[نوع]])</f>
        <v>2209758000</v>
      </c>
      <c r="E8" s="61">
        <f>SUMIFS(tbl_sumary[1401],tbl_sumary[نوع],tbl_revenue_summary[[#This Row],[نوع]])</f>
        <v>9784412000</v>
      </c>
      <c r="F8" s="61">
        <f>tbl_revenue_summary[[#This Row],[1401]]*(1+s_costsGrowthYOY)</f>
        <v>13698176800</v>
      </c>
      <c r="G8" s="61">
        <f>tbl_revenue_summary[[#This Row],[1402]]*(1+s_costsGrowthYOY)</f>
        <v>19177447520</v>
      </c>
      <c r="H8" s="61">
        <f>tbl_revenue_summary[[#This Row],[1403]]*(1+s_costsGrowthYOY)</f>
        <v>26848426528</v>
      </c>
      <c r="I8" s="61">
        <f>tbl_revenue_summary[[#This Row],[1404]]*(1+s_costsGrowthYOY)</f>
        <v>37587797139.199997</v>
      </c>
      <c r="J8" s="61">
        <f>SUM(tbl_revenue_summary[[#This Row],[1400]:[1405]])</f>
        <v>109306017987.2</v>
      </c>
    </row>
    <row r="9" spans="1:10" x14ac:dyDescent="0.25">
      <c r="A9" s="55">
        <f>ROW(A8)</f>
        <v>8</v>
      </c>
      <c r="B9" s="55" t="s">
        <v>131</v>
      </c>
      <c r="C9" s="55" t="s">
        <v>120</v>
      </c>
      <c r="D9" s="61">
        <f t="shared" ref="D9:I9" si="3">D4-D8</f>
        <v>-1575258000</v>
      </c>
      <c r="E9" s="61">
        <f t="shared" si="3"/>
        <v>-3721412000</v>
      </c>
      <c r="F9" s="61">
        <f t="shared" si="3"/>
        <v>5400273200</v>
      </c>
      <c r="G9" s="61">
        <f t="shared" si="3"/>
        <v>40982669979.999992</v>
      </c>
      <c r="H9" s="61">
        <f t="shared" si="3"/>
        <v>162655943596.99997</v>
      </c>
      <c r="I9" s="61">
        <f t="shared" si="3"/>
        <v>559350968754.54993</v>
      </c>
      <c r="J9" s="58"/>
    </row>
    <row r="10" spans="1:10" x14ac:dyDescent="0.25">
      <c r="A10" s="55">
        <f t="shared" si="2"/>
        <v>9</v>
      </c>
      <c r="B10" s="55" t="s">
        <v>132</v>
      </c>
      <c r="C10" s="55" t="s">
        <v>121</v>
      </c>
      <c r="D10" s="59">
        <f t="shared" ref="D10:I10" si="4">D9/D4</f>
        <v>-2.482676122931442</v>
      </c>
      <c r="E10" s="59">
        <f t="shared" si="4"/>
        <v>-0.61379053273956785</v>
      </c>
      <c r="F10" s="59">
        <f t="shared" si="4"/>
        <v>0.28275976322685875</v>
      </c>
      <c r="G10" s="59">
        <f t="shared" si="4"/>
        <v>0.68122656143415938</v>
      </c>
      <c r="H10" s="59">
        <f t="shared" si="4"/>
        <v>0.85832291619295975</v>
      </c>
      <c r="I10" s="59">
        <f t="shared" si="4"/>
        <v>0.93703240719687109</v>
      </c>
      <c r="J10" s="58"/>
    </row>
    <row r="11" spans="1:10" x14ac:dyDescent="0.25">
      <c r="A11" s="55">
        <f t="shared" si="2"/>
        <v>10</v>
      </c>
      <c r="B11" s="55" t="s">
        <v>192</v>
      </c>
      <c r="C11" s="55" t="s">
        <v>122</v>
      </c>
      <c r="D11" s="61">
        <f t="shared" ref="D11:I11" si="5">D9-D7</f>
        <v>-4639098000</v>
      </c>
      <c r="E11" s="61">
        <f t="shared" si="5"/>
        <v>-5643332000</v>
      </c>
      <c r="F11" s="61">
        <f t="shared" si="5"/>
        <v>3093969200</v>
      </c>
      <c r="G11" s="61">
        <f t="shared" si="5"/>
        <v>38215105179.999992</v>
      </c>
      <c r="H11" s="61">
        <f t="shared" si="5"/>
        <v>159334865836.99997</v>
      </c>
      <c r="I11" s="61">
        <f t="shared" si="5"/>
        <v>555365675442.54993</v>
      </c>
      <c r="J11" s="61">
        <f>SUM(tbl_revenue_summary[[#This Row],[1400]:[1405]])</f>
        <v>745727185659.54993</v>
      </c>
    </row>
    <row r="12" spans="1:10" x14ac:dyDescent="0.25">
      <c r="A12" s="55">
        <f>ROW(A11)</f>
        <v>11</v>
      </c>
      <c r="B12" s="55" t="s">
        <v>193</v>
      </c>
      <c r="D12" s="61">
        <f>SUM($D$11:D11)</f>
        <v>-4639098000</v>
      </c>
      <c r="E12" s="61">
        <f>SUM($D$11:E11)</f>
        <v>-10282430000</v>
      </c>
      <c r="F12" s="61">
        <f>SUM($D$11:F11)</f>
        <v>-7188460800</v>
      </c>
      <c r="G12" s="61">
        <f>SUM($D$11:G11)</f>
        <v>31026644379.999992</v>
      </c>
      <c r="H12" s="61">
        <f>SUM($D$11:H11)</f>
        <v>190361510216.99997</v>
      </c>
      <c r="I12" s="61">
        <f>SUM($D$11:I11)</f>
        <v>745727185659.54993</v>
      </c>
      <c r="J12" s="61"/>
    </row>
    <row r="13" spans="1:10" x14ac:dyDescent="0.25">
      <c r="A13" s="55">
        <f>ROW(A12)</f>
        <v>12</v>
      </c>
      <c r="B13" s="55" t="s">
        <v>196</v>
      </c>
      <c r="C13" s="55" t="s">
        <v>195</v>
      </c>
      <c r="D13" s="59">
        <f t="shared" ref="D13:I13" si="6">D12/v_totalFund</f>
        <v>-0.23195489999999999</v>
      </c>
      <c r="E13" s="59">
        <f t="shared" si="6"/>
        <v>-0.51412150000000001</v>
      </c>
      <c r="F13" s="59">
        <f t="shared" si="6"/>
        <v>-0.35942304000000003</v>
      </c>
      <c r="G13" s="59">
        <f t="shared" si="6"/>
        <v>1.5513322189999996</v>
      </c>
      <c r="H13" s="59">
        <f t="shared" si="6"/>
        <v>9.5180755108499984</v>
      </c>
      <c r="I13" s="59">
        <f t="shared" si="6"/>
        <v>37.286359282977493</v>
      </c>
      <c r="J13" s="59"/>
    </row>
    <row r="14" spans="1:10" x14ac:dyDescent="0.25">
      <c r="D14" s="59"/>
      <c r="E14" s="59"/>
      <c r="F14" s="59"/>
      <c r="G14" s="59"/>
      <c r="H14" s="59"/>
      <c r="I14" s="59"/>
      <c r="J14" s="59"/>
    </row>
    <row r="15" spans="1:10" x14ac:dyDescent="0.25">
      <c r="D15" s="61"/>
      <c r="E15" s="61"/>
      <c r="F15" s="61"/>
      <c r="G15" s="61"/>
      <c r="H15" s="61"/>
      <c r="I15" s="61"/>
    </row>
    <row r="16" spans="1:10" x14ac:dyDescent="0.25">
      <c r="B16" s="55" t="s">
        <v>190</v>
      </c>
      <c r="C16" s="61">
        <v>20000000000</v>
      </c>
      <c r="D16" s="61"/>
      <c r="E16" s="61"/>
      <c r="F16" s="61"/>
      <c r="G16" s="61"/>
      <c r="H16" s="61"/>
      <c r="I16" s="61"/>
    </row>
    <row r="17" spans="2:9" x14ac:dyDescent="0.25">
      <c r="C17" s="61"/>
      <c r="D17" s="61"/>
      <c r="E17" s="61"/>
      <c r="F17" s="61"/>
      <c r="G17" s="61"/>
      <c r="H17" s="61"/>
      <c r="I17" s="61"/>
    </row>
    <row r="18" spans="2:9" x14ac:dyDescent="0.25">
      <c r="C18" s="61"/>
      <c r="D18" s="61"/>
      <c r="E18" s="61"/>
      <c r="F18" s="61"/>
      <c r="G18" s="61"/>
      <c r="H18" s="61"/>
      <c r="I18" s="61"/>
    </row>
    <row r="19" spans="2:9" x14ac:dyDescent="0.25">
      <c r="C19" s="61"/>
      <c r="D19" s="61"/>
      <c r="E19" s="61"/>
      <c r="F19" s="61"/>
      <c r="G19" s="61"/>
      <c r="H19" s="61"/>
      <c r="I19" s="61"/>
    </row>
    <row r="20" spans="2:9" x14ac:dyDescent="0.25"/>
    <row r="21" spans="2:9" x14ac:dyDescent="0.25">
      <c r="B21" s="82" t="s">
        <v>177</v>
      </c>
      <c r="C21" s="82"/>
      <c r="D21" s="82"/>
      <c r="E21" s="82"/>
      <c r="F21" s="82"/>
      <c r="G21" s="82"/>
      <c r="H21" s="82"/>
      <c r="I21" s="82"/>
    </row>
    <row r="22" spans="2:9" x14ac:dyDescent="0.25">
      <c r="B22" s="55" t="s">
        <v>141</v>
      </c>
      <c r="C22" s="55" t="s">
        <v>133</v>
      </c>
      <c r="D22" s="60">
        <v>0.2</v>
      </c>
    </row>
    <row r="23" spans="2:9" x14ac:dyDescent="0.25">
      <c r="B23" s="55" t="s">
        <v>183</v>
      </c>
      <c r="C23" s="55" t="s">
        <v>134</v>
      </c>
      <c r="D23" s="55">
        <v>2</v>
      </c>
    </row>
    <row r="24" spans="2:9" x14ac:dyDescent="0.25">
      <c r="B24" s="55" t="s">
        <v>182</v>
      </c>
      <c r="C24" s="55" t="s">
        <v>135</v>
      </c>
      <c r="D24" s="61">
        <f t="shared" ref="D24:I24" si="7">D11/(1+v_DiscountRate)^D2</f>
        <v>-3865915000</v>
      </c>
      <c r="E24" s="61">
        <f t="shared" si="7"/>
        <v>-3918980555.5555558</v>
      </c>
      <c r="F24" s="61">
        <f t="shared" si="7"/>
        <v>1790491435.1851852</v>
      </c>
      <c r="G24" s="61">
        <f t="shared" si="7"/>
        <v>18429352420.910492</v>
      </c>
      <c r="H24" s="61">
        <f t="shared" si="7"/>
        <v>64033109020.142097</v>
      </c>
      <c r="I24" s="61">
        <f t="shared" si="7"/>
        <v>185990841023.44485</v>
      </c>
    </row>
    <row r="25" spans="2:9" x14ac:dyDescent="0.25">
      <c r="B25" s="55" t="s">
        <v>180</v>
      </c>
      <c r="C25" s="55" t="s">
        <v>179</v>
      </c>
      <c r="D25" s="61">
        <f t="shared" ref="D25:I25" si="8">D4*v_ExitRevenueMultiple/(1+v_DiscountRate)^D2</f>
        <v>1057500000</v>
      </c>
      <c r="E25" s="61">
        <f t="shared" si="8"/>
        <v>8420833333.333334</v>
      </c>
      <c r="F25" s="61">
        <f t="shared" si="8"/>
        <v>22104687500</v>
      </c>
      <c r="G25" s="61">
        <f t="shared" si="8"/>
        <v>58024804687.499992</v>
      </c>
      <c r="H25" s="61">
        <f t="shared" si="8"/>
        <v>152315112304.68747</v>
      </c>
      <c r="I25" s="61">
        <f t="shared" si="8"/>
        <v>399827169799.80463</v>
      </c>
    </row>
    <row r="26" spans="2:9" x14ac:dyDescent="0.25">
      <c r="B26" s="55" t="s">
        <v>181</v>
      </c>
      <c r="C26" s="55" t="s">
        <v>174</v>
      </c>
      <c r="D26" s="61" t="str">
        <f>IF(SUM($D$24:D24) + D25 &gt; 0, SUM($D$24:D24) + D25, "-")</f>
        <v>-</v>
      </c>
      <c r="E26" s="61">
        <f>IF(SUM($D$24:E24) + E25 &gt; 0, SUM($D$24:E24) + E25, "-")</f>
        <v>635937777.77777863</v>
      </c>
      <c r="F26" s="61">
        <f>IF(SUM($D$24:F24) + F25 &gt; 0, SUM($D$24:F24) + F25, "-")</f>
        <v>16110283379.629631</v>
      </c>
      <c r="G26" s="61">
        <f>IF(SUM($D$24:G24) + G25 &gt; 0, SUM($D$24:G24) + G25, "-")</f>
        <v>70459752988.040115</v>
      </c>
      <c r="H26" s="61">
        <f>IF(SUM($D$24:H24) + H25 &gt; 0, SUM($D$24:H24) + H25, "-")</f>
        <v>228783169625.36969</v>
      </c>
      <c r="I26" s="61">
        <f>IF(SUM($D$24:I24) + I25 &gt; 0, SUM($D$24:I24) + I25, "-")</f>
        <v>662286068143.93164</v>
      </c>
    </row>
    <row r="27" spans="2:9" x14ac:dyDescent="0.25">
      <c r="B27" s="55" t="s">
        <v>189</v>
      </c>
      <c r="D27" s="76" t="str">
        <f t="shared" ref="D27:I27" si="9">IFERROR(D26/d_toman2dollar, "-")</f>
        <v>-</v>
      </c>
      <c r="E27" s="76">
        <f t="shared" si="9"/>
        <v>24088.552188552221</v>
      </c>
      <c r="F27" s="76">
        <f t="shared" si="9"/>
        <v>610238.00680415274</v>
      </c>
      <c r="G27" s="76">
        <f t="shared" si="9"/>
        <v>2668930.037425762</v>
      </c>
      <c r="H27" s="76">
        <f t="shared" si="9"/>
        <v>8666029.1524761245</v>
      </c>
      <c r="I27" s="76">
        <f t="shared" si="9"/>
        <v>25086593.490300439</v>
      </c>
    </row>
    <row r="28" spans="2:9" x14ac:dyDescent="0.25">
      <c r="D28" s="76"/>
      <c r="E28" s="76"/>
      <c r="F28" s="76"/>
      <c r="G28" s="76"/>
      <c r="H28" s="76"/>
      <c r="I28" s="76"/>
    </row>
    <row r="29" spans="2:9" x14ac:dyDescent="0.25">
      <c r="D29" s="61"/>
      <c r="E29" s="61"/>
      <c r="F29" s="61"/>
      <c r="G29" s="61"/>
      <c r="H29" s="61"/>
      <c r="I29" s="61"/>
    </row>
    <row r="30" spans="2:9" x14ac:dyDescent="0.25">
      <c r="B30" s="82" t="s">
        <v>178</v>
      </c>
      <c r="C30" s="82"/>
      <c r="D30" s="82"/>
      <c r="E30" s="82"/>
      <c r="F30" s="82"/>
      <c r="G30" s="82"/>
      <c r="H30" s="82"/>
      <c r="I30" s="82"/>
    </row>
    <row r="31" spans="2:9" x14ac:dyDescent="0.25">
      <c r="B31" s="55" t="s">
        <v>194</v>
      </c>
      <c r="C31" s="55" t="s">
        <v>138</v>
      </c>
      <c r="D31" s="59" t="str">
        <f>IFERROR(IRR($D$9:D9), "-")</f>
        <v>-</v>
      </c>
      <c r="E31" s="59" t="str">
        <f>IFERROR(IRR($D$9:E9), "-")</f>
        <v>-</v>
      </c>
      <c r="F31" s="59">
        <f>IFERROR(IRR($D$9:F9), "-")</f>
        <v>1.5024547108170472E-2</v>
      </c>
      <c r="G31" s="59">
        <f>IFERROR(IRR($D$9:G9), "-")</f>
        <v>1.6467300305340165</v>
      </c>
      <c r="H31" s="59">
        <f>IFERROR(IRR($D$9:H9), "-")</f>
        <v>2.4252812980097564</v>
      </c>
      <c r="I31" s="59">
        <f>IFERROR(IRR($D$9:I9), "-")</f>
        <v>2.8233233193549272</v>
      </c>
    </row>
    <row r="32" spans="2:9" x14ac:dyDescent="0.25">
      <c r="B32" s="55" t="s">
        <v>187</v>
      </c>
      <c r="C32" s="55" t="s">
        <v>139</v>
      </c>
      <c r="D32" s="59" t="str">
        <f>IFERROR(IRR($D$11:D11), "-")</f>
        <v>-</v>
      </c>
      <c r="E32" s="59" t="str">
        <f>IFERROR(IRR($D$11:E11), "-")</f>
        <v>-</v>
      </c>
      <c r="F32" s="59">
        <f>IFERROR(IRR($D$11:F11), "-")</f>
        <v>-0.58996076175908274</v>
      </c>
      <c r="G32" s="59">
        <f>IFERROR(IRR($D$11:G11), "-")</f>
        <v>0.77472646203823636</v>
      </c>
      <c r="H32" s="59">
        <f>IFERROR(IRR($D$11:H11), "-")</f>
        <v>1.5139631747183135</v>
      </c>
      <c r="I32" s="59">
        <f>IFERROR(IRR($D$11:I11), "-")</f>
        <v>1.9357178361620533</v>
      </c>
    </row>
    <row r="33" spans="2:9" x14ac:dyDescent="0.25">
      <c r="B33" s="55" t="s">
        <v>184</v>
      </c>
      <c r="C33" s="55" t="s">
        <v>140</v>
      </c>
      <c r="D33" s="61">
        <f>NPV(v_DiscountRate,D11)</f>
        <v>-3865915000</v>
      </c>
      <c r="E33" s="61">
        <f>NPV(v_DiscountRate,D11,E11)</f>
        <v>-7784895555.5555573</v>
      </c>
      <c r="F33" s="61">
        <f>NPV(v_DiscountRate,D11,E11,F11)</f>
        <v>-5994404120.3703718</v>
      </c>
      <c r="G33" s="61">
        <f>NPV(v_DiscountRate,D11,E11,F11,G11)</f>
        <v>12434948300.540121</v>
      </c>
      <c r="H33" s="61">
        <f>NPV(v_DiscountRate,D11,E11,F11,G11,H11)</f>
        <v>76468057320.68222</v>
      </c>
      <c r="I33" s="61">
        <f>NPV(v_DiscountRate,D11,E11,F11,G11,H11,I11)</f>
        <v>262458898344.12711</v>
      </c>
    </row>
    <row r="34" spans="2:9" x14ac:dyDescent="0.25">
      <c r="D34" s="76"/>
      <c r="E34" s="76"/>
      <c r="F34" s="76"/>
      <c r="G34" s="76"/>
      <c r="H34" s="76"/>
      <c r="I34" s="76"/>
    </row>
    <row r="35" spans="2:9" x14ac:dyDescent="0.25">
      <c r="E35" s="74"/>
    </row>
    <row r="36" spans="2:9" x14ac:dyDescent="0.25">
      <c r="B36" s="82"/>
      <c r="C36" s="82"/>
      <c r="D36" s="82"/>
      <c r="E36" s="82"/>
      <c r="F36" s="82"/>
      <c r="G36" s="82"/>
      <c r="H36" s="82"/>
      <c r="I36" s="82"/>
    </row>
    <row r="37" spans="2:9" x14ac:dyDescent="0.25">
      <c r="D37" s="61"/>
      <c r="E37" s="61"/>
      <c r="F37" s="61"/>
      <c r="G37" s="61"/>
      <c r="H37" s="61"/>
      <c r="I37" s="61"/>
    </row>
    <row r="38" spans="2:9" x14ac:dyDescent="0.25">
      <c r="D38" s="61"/>
      <c r="E38" s="61"/>
      <c r="F38" s="61"/>
      <c r="G38" s="61"/>
      <c r="H38" s="61"/>
      <c r="I38" s="61"/>
    </row>
    <row r="39" spans="2:9" x14ac:dyDescent="0.25">
      <c r="D39" s="61"/>
      <c r="E39" s="61"/>
      <c r="F39" s="61"/>
      <c r="G39" s="61"/>
      <c r="H39" s="61"/>
      <c r="I39" s="61"/>
    </row>
    <row r="40" spans="2:9" x14ac:dyDescent="0.25">
      <c r="D40" s="61"/>
      <c r="E40" s="61"/>
      <c r="F40" s="61"/>
      <c r="G40" s="61"/>
      <c r="H40" s="61"/>
      <c r="I40" s="61"/>
    </row>
    <row r="41" spans="2:9" x14ac:dyDescent="0.25">
      <c r="D41" s="59"/>
      <c r="E41" s="59"/>
      <c r="F41" s="59"/>
      <c r="G41" s="59"/>
      <c r="H41" s="59"/>
      <c r="I41" s="59"/>
    </row>
    <row r="42" spans="2:9" x14ac:dyDescent="0.25"/>
    <row r="43" spans="2:9" x14ac:dyDescent="0.25"/>
    <row r="44" spans="2:9" x14ac:dyDescent="0.25"/>
    <row r="45" spans="2:9" x14ac:dyDescent="0.25"/>
    <row r="46" spans="2:9" x14ac:dyDescent="0.25"/>
    <row r="47" spans="2:9" x14ac:dyDescent="0.25"/>
    <row r="48" spans="2:9" x14ac:dyDescent="0.25"/>
    <row r="49" x14ac:dyDescent="0.25"/>
    <row r="50" x14ac:dyDescent="0.25"/>
    <row r="51" x14ac:dyDescent="0.25"/>
    <row r="52" x14ac:dyDescent="0.25"/>
    <row r="53" x14ac:dyDescent="0.25"/>
    <row r="54" x14ac:dyDescent="0.25"/>
    <row r="55" x14ac:dyDescent="0.25"/>
    <row r="56" x14ac:dyDescent="0.25"/>
    <row r="57" x14ac:dyDescent="0.25"/>
    <row r="58" x14ac:dyDescent="0.25"/>
    <row r="59" x14ac:dyDescent="0.25"/>
    <row r="60" x14ac:dyDescent="0.25"/>
    <row r="61" x14ac:dyDescent="0.25"/>
    <row r="62" x14ac:dyDescent="0.25"/>
    <row r="63" x14ac:dyDescent="0.25"/>
    <row r="64" x14ac:dyDescent="0.25"/>
    <row r="65" x14ac:dyDescent="0.25"/>
    <row r="66" x14ac:dyDescent="0.25"/>
    <row r="67" x14ac:dyDescent="0.25"/>
    <row r="68" x14ac:dyDescent="0.25"/>
    <row r="69" x14ac:dyDescent="0.25"/>
    <row r="70" x14ac:dyDescent="0.25"/>
    <row r="71" x14ac:dyDescent="0.25"/>
    <row r="72" x14ac:dyDescent="0.25"/>
    <row r="73" x14ac:dyDescent="0.25"/>
    <row r="74" x14ac:dyDescent="0.25"/>
    <row r="75" x14ac:dyDescent="0.25"/>
  </sheetData>
  <mergeCells count="3">
    <mergeCell ref="B21:I21"/>
    <mergeCell ref="B30:I30"/>
    <mergeCell ref="B36:I36"/>
  </mergeCells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B18F9-F9BE-4D2E-8E8A-5E7D56BD756A}">
  <dimension ref="A1:R32"/>
  <sheetViews>
    <sheetView rightToLeft="1" workbookViewId="0">
      <selection activeCell="P7" sqref="P7"/>
    </sheetView>
  </sheetViews>
  <sheetFormatPr defaultRowHeight="17.25" x14ac:dyDescent="0.4"/>
  <cols>
    <col min="1" max="1" width="8.42578125" style="1" bestFit="1" customWidth="1"/>
    <col min="2" max="2" width="11.7109375" style="1" bestFit="1" customWidth="1"/>
    <col min="3" max="3" width="22.140625" style="1" bestFit="1" customWidth="1"/>
    <col min="4" max="5" width="9.140625" style="1"/>
    <col min="6" max="6" width="10.5703125" style="1" bestFit="1" customWidth="1"/>
    <col min="7" max="7" width="22.140625" style="1" bestFit="1" customWidth="1"/>
    <col min="8" max="9" width="9.140625" style="1"/>
    <col min="10" max="10" width="15.85546875" style="1" bestFit="1" customWidth="1"/>
    <col min="11" max="11" width="21.85546875" style="1" customWidth="1"/>
    <col min="12" max="13" width="9.140625" style="1"/>
    <col min="14" max="14" width="7.140625" style="1" bestFit="1" customWidth="1"/>
    <col min="15" max="15" width="8" style="1" bestFit="1" customWidth="1"/>
    <col min="16" max="16" width="11" style="1" customWidth="1"/>
    <col min="17" max="17" width="22.7109375" style="1" customWidth="1"/>
    <col min="18" max="18" width="29.42578125" style="1" bestFit="1" customWidth="1"/>
    <col min="19" max="16384" width="9.140625" style="1"/>
  </cols>
  <sheetData>
    <row r="1" spans="1:18" x14ac:dyDescent="0.4">
      <c r="A1" s="1" t="s">
        <v>35</v>
      </c>
      <c r="B1" s="1" t="s">
        <v>211</v>
      </c>
      <c r="C1" s="1" t="s">
        <v>212</v>
      </c>
      <c r="D1" s="1" t="s">
        <v>197</v>
      </c>
      <c r="E1" s="1" t="s">
        <v>198</v>
      </c>
      <c r="F1" s="1" t="s">
        <v>215</v>
      </c>
      <c r="G1" s="1" t="s">
        <v>218</v>
      </c>
      <c r="J1" s="1" t="s">
        <v>213</v>
      </c>
      <c r="K1" s="1" t="s">
        <v>214</v>
      </c>
      <c r="N1" s="1" t="s">
        <v>197</v>
      </c>
      <c r="O1" s="1" t="s">
        <v>215</v>
      </c>
      <c r="P1" s="1" t="s">
        <v>2</v>
      </c>
      <c r="Q1" s="1" t="s">
        <v>214</v>
      </c>
      <c r="R1" s="1" t="s">
        <v>217</v>
      </c>
    </row>
    <row r="2" spans="1:18" x14ac:dyDescent="0.4">
      <c r="A2" s="1">
        <f t="shared" ref="A2:A18" si="0">ROW(A1)</f>
        <v>1</v>
      </c>
      <c r="B2" s="1" t="s">
        <v>220</v>
      </c>
      <c r="C2" s="79">
        <v>170200</v>
      </c>
      <c r="D2" s="18">
        <f>_xlfn.NUMBERVALUE(LEFT(tbl_jibres_revenue[[#This Row],[سال و ماه]],4))</f>
        <v>1398</v>
      </c>
      <c r="E2" s="18">
        <f>_xlfn.NUMBERVALUE(RIGHT(tbl_jibres_revenue[[#This Row],[سال و ماه]],2))</f>
        <v>12</v>
      </c>
      <c r="F2" s="18">
        <f>IF(tbl_jibres_revenue[[#This Row],[ماه]]&lt;=3, 1, IF(tbl_jibres_revenue[[#This Row],[ماه]]&lt;=6, 2, IF(tbl_jibres_revenue[[#This Row],[ماه]]&lt;=9, 3, IF(tbl_jibres_revenue[[#This Row],[ماه]]&lt;=12, 4, "-"))))</f>
        <v>4</v>
      </c>
      <c r="G2" s="38"/>
      <c r="J2" s="1">
        <v>1400</v>
      </c>
      <c r="K2" s="80">
        <f>SUMIFS(tbl_jibres_revenue[مبلغ درآمد کسب شده],tbl_jibres_revenue[سال],tbl_jibres_revenue_year[[#This Row],[به تفکیک سال]])</f>
        <v>191614020</v>
      </c>
      <c r="N2" s="1">
        <v>1399</v>
      </c>
      <c r="O2" s="1">
        <v>1</v>
      </c>
      <c r="P2" s="1" t="str">
        <f>Table18[[#This Row],[سال]]&amp; "-Q"&amp;Table18[[#This Row],[فصل]]</f>
        <v>1399-Q1</v>
      </c>
      <c r="Q2" s="80">
        <f>SUMIFS(tbl_jibres_revenue[مبلغ درآمد کسب شده],tbl_jibres_revenue[سال],Table18[[#This Row],[سال]],tbl_jibres_revenue[فصل],Table18[[#This Row],[فصل]])</f>
        <v>24623965</v>
      </c>
      <c r="R2" s="38">
        <f>IFERROR(Table18[[#This Row],[جمع درآمد]]/Q3, "-")</f>
        <v>0.48423757644884075</v>
      </c>
    </row>
    <row r="3" spans="1:18" x14ac:dyDescent="0.4">
      <c r="A3" s="1">
        <f t="shared" si="0"/>
        <v>2</v>
      </c>
      <c r="B3" s="1" t="s">
        <v>219</v>
      </c>
      <c r="C3" s="79">
        <v>7492000</v>
      </c>
      <c r="D3" s="18">
        <f>_xlfn.NUMBERVALUE(LEFT(tbl_jibres_revenue[[#This Row],[سال و ماه]],4))</f>
        <v>1399</v>
      </c>
      <c r="E3" s="18">
        <f>_xlfn.NUMBERVALUE(RIGHT(tbl_jibres_revenue[[#This Row],[سال و ماه]],2))</f>
        <v>1</v>
      </c>
      <c r="F3" s="18">
        <f>IF(tbl_jibres_revenue[[#This Row],[ماه]]&lt;=3, 1, IF(tbl_jibres_revenue[[#This Row],[ماه]]&lt;=6, 2, IF(tbl_jibres_revenue[[#This Row],[ماه]]&lt;=9, 3, IF(tbl_jibres_revenue[[#This Row],[ماه]]&lt;=12, 4, "-"))))</f>
        <v>1</v>
      </c>
      <c r="G3" s="38">
        <f>IFERROR(tbl_jibres_revenue[[#This Row],[مبلغ درآمد کسب شده]]/C2, "-")</f>
        <v>44.018801410105759</v>
      </c>
      <c r="J3" s="1">
        <v>1399</v>
      </c>
      <c r="K3" s="80">
        <f>SUMIFS(tbl_jibres_revenue[مبلغ درآمد کسب شده],tbl_jibres_revenue[سال],tbl_jibres_revenue_year[[#This Row],[به تفکیک سال]])</f>
        <v>295060565</v>
      </c>
      <c r="N3" s="1">
        <v>1399</v>
      </c>
      <c r="O3" s="1">
        <v>2</v>
      </c>
      <c r="P3" s="1" t="str">
        <f>Table18[[#This Row],[سال]]&amp; "-Q"&amp;Table18[[#This Row],[فصل]]</f>
        <v>1399-Q2</v>
      </c>
      <c r="Q3" s="80">
        <f>SUMIFS(tbl_jibres_revenue[مبلغ درآمد کسب شده],tbl_jibres_revenue[سال],Table18[[#This Row],[سال]],tbl_jibres_revenue[فصل],Table18[[#This Row],[فصل]])</f>
        <v>50851000</v>
      </c>
      <c r="R3" s="38">
        <f>IFERROR(Table18[[#This Row],[جمع درآمد]]/Q4, "-")</f>
        <v>0.42991689282302314</v>
      </c>
    </row>
    <row r="4" spans="1:18" x14ac:dyDescent="0.4">
      <c r="A4" s="1">
        <f t="shared" si="0"/>
        <v>3</v>
      </c>
      <c r="B4" s="1" t="s">
        <v>210</v>
      </c>
      <c r="C4" s="79">
        <v>5101965</v>
      </c>
      <c r="D4" s="1">
        <f>_xlfn.NUMBERVALUE(LEFT(tbl_jibres_revenue[[#This Row],[سال و ماه]],4))</f>
        <v>1399</v>
      </c>
      <c r="E4" s="1">
        <f>_xlfn.NUMBERVALUE(RIGHT(tbl_jibres_revenue[[#This Row],[سال و ماه]],2))</f>
        <v>2</v>
      </c>
      <c r="F4" s="1">
        <f>IF(tbl_jibres_revenue[[#This Row],[ماه]]&lt;=3, 1, IF(tbl_jibres_revenue[[#This Row],[ماه]]&lt;=6, 2, IF(tbl_jibres_revenue[[#This Row],[ماه]]&lt;=9, 3, IF(tbl_jibres_revenue[[#This Row],[ماه]]&lt;=12, 4, "-"))))</f>
        <v>1</v>
      </c>
      <c r="G4" s="38">
        <f>IFERROR(tbl_jibres_revenue[[#This Row],[مبلغ درآمد کسب شده]]/C3, "-")</f>
        <v>0.68098838761345437</v>
      </c>
      <c r="J4" s="1" t="s">
        <v>1</v>
      </c>
      <c r="K4" s="80">
        <f>SUBTOTAL(109,tbl_jibres_revenue_year[جمع درآمد])</f>
        <v>486674585</v>
      </c>
      <c r="N4" s="1">
        <v>1399</v>
      </c>
      <c r="O4" s="1">
        <v>3</v>
      </c>
      <c r="P4" s="1" t="str">
        <f>Table18[[#This Row],[سال]]&amp; "-Q"&amp;Table18[[#This Row],[فصل]]</f>
        <v>1399-Q3</v>
      </c>
      <c r="Q4" s="80">
        <f>SUMIFS(tbl_jibres_revenue[مبلغ درآمد کسب شده],tbl_jibres_revenue[سال],Table18[[#This Row],[سال]],tbl_jibres_revenue[فصل],Table18[[#This Row],[فصل]])</f>
        <v>118281000</v>
      </c>
      <c r="R4" s="38">
        <f>IFERROR(Table18[[#This Row],[جمع درآمد]]/Q5, "-")</f>
        <v>1.1675777802784868</v>
      </c>
    </row>
    <row r="5" spans="1:18" x14ac:dyDescent="0.4">
      <c r="A5" s="1">
        <f t="shared" si="0"/>
        <v>4</v>
      </c>
      <c r="B5" s="1" t="s">
        <v>209</v>
      </c>
      <c r="C5" s="79">
        <v>12030000</v>
      </c>
      <c r="D5" s="1">
        <f>_xlfn.NUMBERVALUE(LEFT(tbl_jibres_revenue[[#This Row],[سال و ماه]],4))</f>
        <v>1399</v>
      </c>
      <c r="E5" s="1">
        <f>_xlfn.NUMBERVALUE(RIGHT(tbl_jibres_revenue[[#This Row],[سال و ماه]],2))</f>
        <v>3</v>
      </c>
      <c r="F5" s="1">
        <f>IF(tbl_jibres_revenue[[#This Row],[ماه]]&lt;=3, 1, IF(tbl_jibres_revenue[[#This Row],[ماه]]&lt;=6, 2, IF(tbl_jibres_revenue[[#This Row],[ماه]]&lt;=9, 3, IF(tbl_jibres_revenue[[#This Row],[ماه]]&lt;=12, 4, "-"))))</f>
        <v>1</v>
      </c>
      <c r="G5" s="38">
        <f>IFERROR(tbl_jibres_revenue[[#This Row],[مبلغ درآمد کسب شده]]/C4, "-")</f>
        <v>2.3579150386174739</v>
      </c>
      <c r="N5" s="1">
        <v>1399</v>
      </c>
      <c r="O5" s="1">
        <v>4</v>
      </c>
      <c r="P5" s="1" t="str">
        <f>Table18[[#This Row],[سال]]&amp; "-Q"&amp;Table18[[#This Row],[فصل]]</f>
        <v>1399-Q4</v>
      </c>
      <c r="Q5" s="80">
        <f>SUMIFS(tbl_jibres_revenue[مبلغ درآمد کسب شده],tbl_jibres_revenue[سال],Table18[[#This Row],[سال]],tbl_jibres_revenue[فصل],Table18[[#This Row],[فصل]])</f>
        <v>101304600</v>
      </c>
      <c r="R5" s="38">
        <f>IFERROR(Table18[[#This Row],[جمع درآمد]]/Q6, "-")</f>
        <v>0.72160687787632405</v>
      </c>
    </row>
    <row r="6" spans="1:18" x14ac:dyDescent="0.4">
      <c r="A6" s="1">
        <f t="shared" si="0"/>
        <v>5</v>
      </c>
      <c r="B6" s="1" t="s">
        <v>208</v>
      </c>
      <c r="C6" s="79">
        <v>19502000</v>
      </c>
      <c r="D6" s="1">
        <f>_xlfn.NUMBERVALUE(LEFT(tbl_jibres_revenue[[#This Row],[سال و ماه]],4))</f>
        <v>1399</v>
      </c>
      <c r="E6" s="1">
        <f>_xlfn.NUMBERVALUE(RIGHT(tbl_jibres_revenue[[#This Row],[سال و ماه]],2))</f>
        <v>4</v>
      </c>
      <c r="F6" s="1">
        <f>IF(tbl_jibres_revenue[[#This Row],[ماه]]&lt;=3, 1, IF(tbl_jibres_revenue[[#This Row],[ماه]]&lt;=6, 2, IF(tbl_jibres_revenue[[#This Row],[ماه]]&lt;=9, 3, IF(tbl_jibres_revenue[[#This Row],[ماه]]&lt;=12, 4, "-"))))</f>
        <v>2</v>
      </c>
      <c r="G6" s="38">
        <f>IFERROR(tbl_jibres_revenue[[#This Row],[مبلغ درآمد کسب شده]]/C5, "-")</f>
        <v>1.6211138819617623</v>
      </c>
      <c r="N6" s="1">
        <v>1400</v>
      </c>
      <c r="O6" s="1">
        <v>1</v>
      </c>
      <c r="P6" s="1" t="str">
        <f>Table18[[#This Row],[سال]]&amp; "-Q"&amp;Table18[[#This Row],[فصل]]</f>
        <v>1400-Q1</v>
      </c>
      <c r="Q6" s="80">
        <f>SUMIFS(tbl_jibres_revenue[مبلغ درآمد کسب شده],tbl_jibres_revenue[سال],Table18[[#This Row],[سال]],tbl_jibres_revenue[فصل],Table18[[#This Row],[فصل]])</f>
        <v>140387520</v>
      </c>
      <c r="R6" s="38" t="str">
        <f>IFERROR(Table18[[#This Row],[جمع درآمد]]/#REF!, "-")</f>
        <v>-</v>
      </c>
    </row>
    <row r="7" spans="1:18" x14ac:dyDescent="0.4">
      <c r="A7" s="1">
        <f t="shared" si="0"/>
        <v>6</v>
      </c>
      <c r="B7" s="1" t="s">
        <v>207</v>
      </c>
      <c r="C7" s="79">
        <v>14265000</v>
      </c>
      <c r="D7" s="1">
        <f>_xlfn.NUMBERVALUE(LEFT(tbl_jibres_revenue[[#This Row],[سال و ماه]],4))</f>
        <v>1399</v>
      </c>
      <c r="E7" s="1">
        <f>_xlfn.NUMBERVALUE(RIGHT(tbl_jibres_revenue[[#This Row],[سال و ماه]],2))</f>
        <v>5</v>
      </c>
      <c r="F7" s="1">
        <f>IF(tbl_jibres_revenue[[#This Row],[ماه]]&lt;=3, 1, IF(tbl_jibres_revenue[[#This Row],[ماه]]&lt;=6, 2, IF(tbl_jibres_revenue[[#This Row],[ماه]]&lt;=9, 3, IF(tbl_jibres_revenue[[#This Row],[ماه]]&lt;=12, 4, "-"))))</f>
        <v>2</v>
      </c>
      <c r="G7" s="38">
        <f>IFERROR(tbl_jibres_revenue[[#This Row],[مبلغ درآمد کسب شده]]/C6, "-")</f>
        <v>0.73146343964721572</v>
      </c>
      <c r="N7" s="1" t="s">
        <v>1</v>
      </c>
      <c r="Q7" s="80"/>
      <c r="R7" s="21">
        <f>SUBTOTAL(101,Table18[درصد رشد نسبت به فصل قبل])</f>
        <v>0.7008347818566687</v>
      </c>
    </row>
    <row r="8" spans="1:18" x14ac:dyDescent="0.4">
      <c r="A8" s="1">
        <f t="shared" si="0"/>
        <v>7</v>
      </c>
      <c r="B8" s="1" t="s">
        <v>206</v>
      </c>
      <c r="C8" s="79">
        <v>17084000</v>
      </c>
      <c r="D8" s="1">
        <f>_xlfn.NUMBERVALUE(LEFT(tbl_jibres_revenue[[#This Row],[سال و ماه]],4))</f>
        <v>1399</v>
      </c>
      <c r="E8" s="1">
        <f>_xlfn.NUMBERVALUE(RIGHT(tbl_jibres_revenue[[#This Row],[سال و ماه]],2))</f>
        <v>6</v>
      </c>
      <c r="F8" s="1">
        <f>IF(tbl_jibres_revenue[[#This Row],[ماه]]&lt;=3, 1, IF(tbl_jibres_revenue[[#This Row],[ماه]]&lt;=6, 2, IF(tbl_jibres_revenue[[#This Row],[ماه]]&lt;=9, 3, IF(tbl_jibres_revenue[[#This Row],[ماه]]&lt;=12, 4, "-"))))</f>
        <v>2</v>
      </c>
      <c r="G8" s="38">
        <f>IFERROR(tbl_jibres_revenue[[#This Row],[مبلغ درآمد کسب شده]]/C7, "-")</f>
        <v>1.1976165439887838</v>
      </c>
    </row>
    <row r="9" spans="1:18" x14ac:dyDescent="0.4">
      <c r="A9" s="1">
        <f t="shared" si="0"/>
        <v>8</v>
      </c>
      <c r="B9" s="1" t="s">
        <v>205</v>
      </c>
      <c r="C9" s="79">
        <v>35616000</v>
      </c>
      <c r="D9" s="1">
        <f>_xlfn.NUMBERVALUE(LEFT(tbl_jibres_revenue[[#This Row],[سال و ماه]],4))</f>
        <v>1399</v>
      </c>
      <c r="E9" s="1">
        <f>_xlfn.NUMBERVALUE(RIGHT(tbl_jibres_revenue[[#This Row],[سال و ماه]],2))</f>
        <v>7</v>
      </c>
      <c r="F9" s="1">
        <f>IF(tbl_jibres_revenue[[#This Row],[ماه]]&lt;=3, 1, IF(tbl_jibres_revenue[[#This Row],[ماه]]&lt;=6, 2, IF(tbl_jibres_revenue[[#This Row],[ماه]]&lt;=9, 3, IF(tbl_jibres_revenue[[#This Row],[ماه]]&lt;=12, 4, "-"))))</f>
        <v>3</v>
      </c>
      <c r="G9" s="38">
        <f>IFERROR(tbl_jibres_revenue[[#This Row],[مبلغ درآمد کسب شده]]/C8, "-")</f>
        <v>2.0847576679934443</v>
      </c>
    </row>
    <row r="10" spans="1:18" x14ac:dyDescent="0.4">
      <c r="A10" s="1">
        <f t="shared" si="0"/>
        <v>9</v>
      </c>
      <c r="B10" s="1" t="s">
        <v>216</v>
      </c>
      <c r="C10" s="79">
        <v>35513000</v>
      </c>
      <c r="D10" s="1">
        <f>_xlfn.NUMBERVALUE(LEFT(tbl_jibres_revenue[[#This Row],[سال و ماه]],4))</f>
        <v>1399</v>
      </c>
      <c r="E10" s="1">
        <f>_xlfn.NUMBERVALUE(RIGHT(tbl_jibres_revenue[[#This Row],[سال و ماه]],2))</f>
        <v>8</v>
      </c>
      <c r="F10" s="1">
        <f>IF(tbl_jibres_revenue[[#This Row],[ماه]]&lt;=3, 1, IF(tbl_jibres_revenue[[#This Row],[ماه]]&lt;=6, 2, IF(tbl_jibres_revenue[[#This Row],[ماه]]&lt;=9, 3, IF(tbl_jibres_revenue[[#This Row],[ماه]]&lt;=12, 4, "-"))))</f>
        <v>3</v>
      </c>
      <c r="G10" s="38">
        <f>IFERROR(tbl_jibres_revenue[[#This Row],[مبلغ درآمد کسب شده]]/C9, "-")</f>
        <v>0.9971080413297394</v>
      </c>
    </row>
    <row r="11" spans="1:18" x14ac:dyDescent="0.4">
      <c r="A11" s="1">
        <f t="shared" si="0"/>
        <v>10</v>
      </c>
      <c r="B11" s="1" t="s">
        <v>204</v>
      </c>
      <c r="C11" s="79">
        <v>47152000</v>
      </c>
      <c r="D11" s="1">
        <f>_xlfn.NUMBERVALUE(LEFT(tbl_jibres_revenue[[#This Row],[سال و ماه]],4))</f>
        <v>1399</v>
      </c>
      <c r="E11" s="1">
        <f>_xlfn.NUMBERVALUE(RIGHT(tbl_jibres_revenue[[#This Row],[سال و ماه]],2))</f>
        <v>9</v>
      </c>
      <c r="F11" s="1">
        <f>IF(tbl_jibres_revenue[[#This Row],[ماه]]&lt;=3, 1, IF(tbl_jibres_revenue[[#This Row],[ماه]]&lt;=6, 2, IF(tbl_jibres_revenue[[#This Row],[ماه]]&lt;=9, 3, IF(tbl_jibres_revenue[[#This Row],[ماه]]&lt;=12, 4, "-"))))</f>
        <v>3</v>
      </c>
      <c r="G11" s="38">
        <f>IFERROR(tbl_jibres_revenue[[#This Row],[مبلغ درآمد کسب شده]]/C10, "-")</f>
        <v>1.327739137780531</v>
      </c>
    </row>
    <row r="12" spans="1:18" x14ac:dyDescent="0.4">
      <c r="A12" s="1">
        <f t="shared" si="0"/>
        <v>11</v>
      </c>
      <c r="B12" s="1" t="s">
        <v>203</v>
      </c>
      <c r="C12" s="79">
        <v>21826000</v>
      </c>
      <c r="D12" s="1">
        <f>_xlfn.NUMBERVALUE(LEFT(tbl_jibres_revenue[[#This Row],[سال و ماه]],4))</f>
        <v>1399</v>
      </c>
      <c r="E12" s="1">
        <f>_xlfn.NUMBERVALUE(RIGHT(tbl_jibres_revenue[[#This Row],[سال و ماه]],2))</f>
        <v>10</v>
      </c>
      <c r="F12" s="1">
        <f>IF(tbl_jibres_revenue[[#This Row],[ماه]]&lt;=3, 1, IF(tbl_jibres_revenue[[#This Row],[ماه]]&lt;=6, 2, IF(tbl_jibres_revenue[[#This Row],[ماه]]&lt;=9, 3, IF(tbl_jibres_revenue[[#This Row],[ماه]]&lt;=12, 4, "-"))))</f>
        <v>4</v>
      </c>
      <c r="G12" s="38">
        <f>IFERROR(tbl_jibres_revenue[[#This Row],[مبلغ درآمد کسب شده]]/C11, "-")</f>
        <v>0.46288598574821854</v>
      </c>
    </row>
    <row r="13" spans="1:18" x14ac:dyDescent="0.4">
      <c r="A13" s="1">
        <f t="shared" si="0"/>
        <v>12</v>
      </c>
      <c r="B13" s="1" t="s">
        <v>202</v>
      </c>
      <c r="C13" s="79">
        <v>43726000</v>
      </c>
      <c r="D13" s="1">
        <f>_xlfn.NUMBERVALUE(LEFT(tbl_jibres_revenue[[#This Row],[سال و ماه]],4))</f>
        <v>1399</v>
      </c>
      <c r="E13" s="1">
        <f>_xlfn.NUMBERVALUE(RIGHT(tbl_jibres_revenue[[#This Row],[سال و ماه]],2))</f>
        <v>11</v>
      </c>
      <c r="F13" s="1">
        <f>IF(tbl_jibres_revenue[[#This Row],[ماه]]&lt;=3, 1, IF(tbl_jibres_revenue[[#This Row],[ماه]]&lt;=6, 2, IF(tbl_jibres_revenue[[#This Row],[ماه]]&lt;=9, 3, IF(tbl_jibres_revenue[[#This Row],[ماه]]&lt;=12, 4, "-"))))</f>
        <v>4</v>
      </c>
      <c r="G13" s="38">
        <f>IFERROR(tbl_jibres_revenue[[#This Row],[مبلغ درآمد کسب شده]]/C12, "-")</f>
        <v>2.0033904517547878</v>
      </c>
    </row>
    <row r="14" spans="1:18" x14ac:dyDescent="0.4">
      <c r="A14" s="1">
        <f t="shared" si="0"/>
        <v>13</v>
      </c>
      <c r="B14" s="1" t="s">
        <v>201</v>
      </c>
      <c r="C14" s="79">
        <v>35752600</v>
      </c>
      <c r="D14" s="1">
        <f>_xlfn.NUMBERVALUE(LEFT(tbl_jibres_revenue[[#This Row],[سال و ماه]],4))</f>
        <v>1399</v>
      </c>
      <c r="E14" s="1">
        <f>_xlfn.NUMBERVALUE(RIGHT(tbl_jibres_revenue[[#This Row],[سال و ماه]],2))</f>
        <v>12</v>
      </c>
      <c r="F14" s="1">
        <f>IF(tbl_jibres_revenue[[#This Row],[ماه]]&lt;=3, 1, IF(tbl_jibres_revenue[[#This Row],[ماه]]&lt;=6, 2, IF(tbl_jibres_revenue[[#This Row],[ماه]]&lt;=9, 3, IF(tbl_jibres_revenue[[#This Row],[ماه]]&lt;=12, 4, "-"))))</f>
        <v>4</v>
      </c>
      <c r="G14" s="38">
        <f>IFERROR(tbl_jibres_revenue[[#This Row],[مبلغ درآمد کسب شده]]/C13, "-")</f>
        <v>0.81765082559575541</v>
      </c>
      <c r="J14" s="21"/>
    </row>
    <row r="15" spans="1:18" x14ac:dyDescent="0.4">
      <c r="A15" s="1">
        <f t="shared" si="0"/>
        <v>14</v>
      </c>
      <c r="B15" s="1" t="s">
        <v>200</v>
      </c>
      <c r="C15" s="79">
        <v>55762300</v>
      </c>
      <c r="D15" s="1">
        <f>_xlfn.NUMBERVALUE(LEFT(tbl_jibres_revenue[[#This Row],[سال و ماه]],4))</f>
        <v>1400</v>
      </c>
      <c r="E15" s="1">
        <f>_xlfn.NUMBERVALUE(RIGHT(tbl_jibres_revenue[[#This Row],[سال و ماه]],2))</f>
        <v>1</v>
      </c>
      <c r="F15" s="1">
        <f>IF(tbl_jibres_revenue[[#This Row],[ماه]]&lt;=3, 1, IF(tbl_jibres_revenue[[#This Row],[ماه]]&lt;=6, 2, IF(tbl_jibres_revenue[[#This Row],[ماه]]&lt;=9, 3, IF(tbl_jibres_revenue[[#This Row],[ماه]]&lt;=12, 4, "-"))))</f>
        <v>1</v>
      </c>
      <c r="G15" s="38">
        <f>IFERROR(tbl_jibres_revenue[[#This Row],[مبلغ درآمد کسب شده]]/C14, "-")</f>
        <v>1.5596711847529969</v>
      </c>
    </row>
    <row r="16" spans="1:18" x14ac:dyDescent="0.4">
      <c r="A16" s="1">
        <f t="shared" si="0"/>
        <v>15</v>
      </c>
      <c r="B16" s="1" t="s">
        <v>199</v>
      </c>
      <c r="C16" s="79">
        <v>66167220</v>
      </c>
      <c r="D16" s="1">
        <f>_xlfn.NUMBERVALUE(LEFT(tbl_jibres_revenue[[#This Row],[سال و ماه]],4))</f>
        <v>1400</v>
      </c>
      <c r="E16" s="1">
        <f>_xlfn.NUMBERVALUE(RIGHT(tbl_jibres_revenue[[#This Row],[سال و ماه]],2))</f>
        <v>2</v>
      </c>
      <c r="F16" s="1">
        <f>IF(tbl_jibres_revenue[[#This Row],[ماه]]&lt;=3, 1, IF(tbl_jibres_revenue[[#This Row],[ماه]]&lt;=6, 2, IF(tbl_jibres_revenue[[#This Row],[ماه]]&lt;=9, 3, IF(tbl_jibres_revenue[[#This Row],[ماه]]&lt;=12, 4, "-"))))</f>
        <v>1</v>
      </c>
      <c r="G16" s="38">
        <f>IFERROR(tbl_jibres_revenue[[#This Row],[مبلغ درآمد کسب شده]]/C15, "-")</f>
        <v>1.1865941684614874</v>
      </c>
    </row>
    <row r="17" spans="1:7" x14ac:dyDescent="0.4">
      <c r="A17" s="1">
        <f t="shared" si="0"/>
        <v>16</v>
      </c>
      <c r="B17" s="1" t="s">
        <v>221</v>
      </c>
      <c r="C17" s="79">
        <v>18458000</v>
      </c>
      <c r="D17" s="18">
        <f>_xlfn.NUMBERVALUE(LEFT(tbl_jibres_revenue[[#This Row],[سال و ماه]],4))</f>
        <v>1400</v>
      </c>
      <c r="E17" s="18">
        <f>_xlfn.NUMBERVALUE(RIGHT(tbl_jibres_revenue[[#This Row],[سال و ماه]],2))</f>
        <v>3</v>
      </c>
      <c r="F17" s="18">
        <f>IF(tbl_jibres_revenue[[#This Row],[ماه]]&lt;=3, 1, IF(tbl_jibres_revenue[[#This Row],[ماه]]&lt;=6, 2, IF(tbl_jibres_revenue[[#This Row],[ماه]]&lt;=9, 3, IF(tbl_jibres_revenue[[#This Row],[ماه]]&lt;=12, 4, "-"))))</f>
        <v>1</v>
      </c>
      <c r="G17" s="38">
        <f>IFERROR(tbl_jibres_revenue[[#This Row],[مبلغ درآمد کسب شده]]/C16, "-")</f>
        <v>0.27895988376117359</v>
      </c>
    </row>
    <row r="18" spans="1:7" x14ac:dyDescent="0.4">
      <c r="A18" s="1">
        <f t="shared" si="0"/>
        <v>17</v>
      </c>
      <c r="B18" s="1" t="s">
        <v>222</v>
      </c>
      <c r="C18" s="79">
        <v>51226500</v>
      </c>
      <c r="D18" s="18">
        <f>_xlfn.NUMBERVALUE(LEFT(tbl_jibres_revenue[[#This Row],[سال و ماه]],4))</f>
        <v>1400</v>
      </c>
      <c r="E18" s="18">
        <f>_xlfn.NUMBERVALUE(RIGHT(tbl_jibres_revenue[[#This Row],[سال و ماه]],2))</f>
        <v>4</v>
      </c>
      <c r="F18" s="18">
        <f>IF(tbl_jibres_revenue[[#This Row],[ماه]]&lt;=3, 1, IF(tbl_jibres_revenue[[#This Row],[ماه]]&lt;=6, 2, IF(tbl_jibres_revenue[[#This Row],[ماه]]&lt;=9, 3, IF(tbl_jibres_revenue[[#This Row],[ماه]]&lt;=12, 4, "-"))))</f>
        <v>2</v>
      </c>
      <c r="G18" s="38">
        <f>IFERROR(tbl_jibres_revenue[[#This Row],[مبلغ درآمد کسب شده]]/C17, "-")</f>
        <v>2.7753006826308377</v>
      </c>
    </row>
    <row r="19" spans="1:7" x14ac:dyDescent="0.4">
      <c r="B19" s="78"/>
    </row>
    <row r="20" spans="1:7" x14ac:dyDescent="0.4">
      <c r="B20" s="78"/>
    </row>
    <row r="21" spans="1:7" x14ac:dyDescent="0.4">
      <c r="B21" s="78"/>
    </row>
    <row r="22" spans="1:7" x14ac:dyDescent="0.4">
      <c r="B22" s="78"/>
    </row>
    <row r="23" spans="1:7" x14ac:dyDescent="0.4">
      <c r="B23" s="78"/>
    </row>
    <row r="24" spans="1:7" x14ac:dyDescent="0.4">
      <c r="B24" s="78"/>
    </row>
    <row r="25" spans="1:7" x14ac:dyDescent="0.4">
      <c r="B25" s="78"/>
    </row>
    <row r="26" spans="1:7" x14ac:dyDescent="0.4">
      <c r="B26" s="78"/>
    </row>
    <row r="27" spans="1:7" x14ac:dyDescent="0.4">
      <c r="B27" s="78"/>
    </row>
    <row r="28" spans="1:7" x14ac:dyDescent="0.4">
      <c r="B28" s="78"/>
    </row>
    <row r="29" spans="1:7" x14ac:dyDescent="0.4">
      <c r="B29" s="78"/>
    </row>
    <row r="30" spans="1:7" x14ac:dyDescent="0.4">
      <c r="B30" s="78"/>
    </row>
    <row r="31" spans="1:7" x14ac:dyDescent="0.4">
      <c r="B31" s="78"/>
    </row>
    <row r="32" spans="1:7" x14ac:dyDescent="0.4">
      <c r="B32" s="78"/>
    </row>
  </sheetData>
  <phoneticPr fontId="5" type="noConversion"/>
  <conditionalFormatting sqref="G2:G18">
    <cfRule type="cellIs" dxfId="84" priority="1" operator="lessThan">
      <formula>1</formula>
    </cfRule>
  </conditionalFormatting>
  <pageMargins left="0.7" right="0.7" top="0.75" bottom="0.75" header="0.3" footer="0.3"/>
  <pageSetup paperSize="9" orientation="portrait" r:id="rId1"/>
  <drawing r:id="rId2"/>
  <tableParts count="3">
    <tablePart r:id="rId3"/>
    <tablePart r:id="rId4"/>
    <tablePart r:id="rId5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C17DC-A059-427A-B1E3-F4E95301E578}">
  <dimension ref="A1:R39"/>
  <sheetViews>
    <sheetView rightToLeft="1" workbookViewId="0">
      <selection activeCell="A2" sqref="A2"/>
    </sheetView>
  </sheetViews>
  <sheetFormatPr defaultColWidth="0" defaultRowHeight="17.25" zeroHeight="1" x14ac:dyDescent="0.25"/>
  <cols>
    <col min="1" max="1" width="21" style="56" bestFit="1" customWidth="1"/>
    <col min="2" max="2" width="21" style="56" customWidth="1"/>
    <col min="3" max="4" width="25.7109375" style="56" customWidth="1"/>
    <col min="5" max="5" width="26.7109375" style="56" bestFit="1" customWidth="1"/>
    <col min="6" max="13" width="25.7109375" style="56" customWidth="1"/>
    <col min="14" max="18" width="9.140625" style="56" customWidth="1"/>
    <col min="19" max="16384" width="9.140625" style="56" hidden="1"/>
  </cols>
  <sheetData>
    <row r="1" spans="1:13" x14ac:dyDescent="0.25">
      <c r="A1" s="65" t="s">
        <v>149</v>
      </c>
      <c r="B1" s="65" t="s">
        <v>161</v>
      </c>
      <c r="C1" s="65" t="s">
        <v>164</v>
      </c>
      <c r="D1" s="65" t="s">
        <v>167</v>
      </c>
      <c r="E1" s="65" t="s">
        <v>166</v>
      </c>
      <c r="F1" s="65" t="s">
        <v>168</v>
      </c>
      <c r="G1" s="65" t="s">
        <v>163</v>
      </c>
      <c r="H1" s="65" t="s">
        <v>142</v>
      </c>
      <c r="I1" s="65" t="s">
        <v>143</v>
      </c>
      <c r="J1" s="65" t="s">
        <v>144</v>
      </c>
      <c r="K1" s="65" t="s">
        <v>171</v>
      </c>
      <c r="L1" s="65" t="s">
        <v>145</v>
      </c>
      <c r="M1" s="65" t="s">
        <v>146</v>
      </c>
    </row>
    <row r="2" spans="1:13" x14ac:dyDescent="0.25">
      <c r="A2" s="56" t="s">
        <v>155</v>
      </c>
      <c r="B2" s="56" t="s">
        <v>162</v>
      </c>
      <c r="C2" s="62"/>
      <c r="D2" s="62">
        <v>0.55000000000000004</v>
      </c>
      <c r="E2" s="63">
        <v>6.0100000000000001E-2</v>
      </c>
      <c r="F2" s="63">
        <v>8.6E-3</v>
      </c>
      <c r="G2" s="63">
        <v>2.0000000000000001E-4</v>
      </c>
      <c r="H2" s="67">
        <f>IFERROR(tbl_fundraisingSteps[[#This Row],[1399]]*(1-H$13-v_seriA), "-")</f>
        <v>1.3999999999999999E-4</v>
      </c>
      <c r="I2" s="67">
        <f>IFERROR(tbl_fundraisingSteps[[#This Row],[Series A]]*(1-v_seriB), "-")</f>
        <v>1.12E-4</v>
      </c>
      <c r="J2" s="67">
        <f>IFERROR(tbl_fundraisingSteps[[#This Row],[Series B]]*(1-v_seriC), "-")</f>
        <v>9.5199999999999997E-5</v>
      </c>
      <c r="K2" s="67">
        <f>IFERROR(tbl_fundraisingSteps[[#This Row],[Series C]]*(1-v_seriD), "-")</f>
        <v>8.0919999999999991E-5</v>
      </c>
      <c r="L2" s="67">
        <f>IFERROR(tbl_fundraisingSteps[[#This Row],[Series D]]*(1-v_seriE), "-")</f>
        <v>7.2827999999999988E-5</v>
      </c>
      <c r="M2" s="67">
        <f>IFERROR(tbl_fundraisingSteps[[#This Row],[Series E]]*(1-v_seriF), "-")</f>
        <v>6.5545199999999997E-5</v>
      </c>
    </row>
    <row r="3" spans="1:13" x14ac:dyDescent="0.25">
      <c r="A3" s="56" t="s">
        <v>155</v>
      </c>
      <c r="B3" s="56" t="s">
        <v>156</v>
      </c>
      <c r="C3" s="62" t="s">
        <v>154</v>
      </c>
      <c r="D3" s="62" t="s">
        <v>154</v>
      </c>
      <c r="E3" s="62" t="s">
        <v>154</v>
      </c>
      <c r="F3" s="62" t="s">
        <v>154</v>
      </c>
      <c r="G3" s="62" t="s">
        <v>154</v>
      </c>
      <c r="H3" s="68">
        <v>0.2</v>
      </c>
      <c r="I3" s="63">
        <f>IFERROR(tbl_fundraisingSteps[[#This Row],[Series A]]*(1-v_seriB), "-")</f>
        <v>0.16000000000000003</v>
      </c>
      <c r="J3" s="63">
        <f>IFERROR(tbl_fundraisingSteps[[#This Row],[Series B]]*(1-v_seriC), "-")</f>
        <v>0.13600000000000001</v>
      </c>
      <c r="K3" s="63">
        <f>IFERROR(tbl_fundraisingSteps[[#This Row],[Series C]]*(1-v_seriD), "-")</f>
        <v>0.11560000000000001</v>
      </c>
      <c r="L3" s="63">
        <f>IFERROR(tbl_fundraisingSteps[[#This Row],[Series D]]*(1-v_seriE), "-")</f>
        <v>0.10404000000000001</v>
      </c>
      <c r="M3" s="63">
        <f>IFERROR(tbl_fundraisingSteps[[#This Row],[Series E]]*(1-v_seriF), "-")</f>
        <v>9.3636000000000011E-2</v>
      </c>
    </row>
    <row r="4" spans="1:13" x14ac:dyDescent="0.25">
      <c r="A4" s="56" t="s">
        <v>155</v>
      </c>
      <c r="B4" s="56" t="s">
        <v>157</v>
      </c>
      <c r="C4" s="62" t="s">
        <v>154</v>
      </c>
      <c r="D4" s="62" t="s">
        <v>154</v>
      </c>
      <c r="E4" s="62" t="s">
        <v>154</v>
      </c>
      <c r="F4" s="62" t="s">
        <v>154</v>
      </c>
      <c r="G4" s="62" t="s">
        <v>154</v>
      </c>
      <c r="H4" s="63" t="str">
        <f>IFERROR(tbl_fundraisingSteps[[#This Row],[1399]]*(1-H$13-v_seriA), "-")</f>
        <v>-</v>
      </c>
      <c r="I4" s="68">
        <v>0.2</v>
      </c>
      <c r="J4" s="63">
        <f>IFERROR(tbl_fundraisingSteps[[#This Row],[Series B]]*(1-v_seriC), "-")</f>
        <v>0.17</v>
      </c>
      <c r="K4" s="63">
        <f>IFERROR(tbl_fundraisingSteps[[#This Row],[Series C]]*(1-v_seriD), "-")</f>
        <v>0.14450000000000002</v>
      </c>
      <c r="L4" s="63">
        <f>IFERROR(tbl_fundraisingSteps[[#This Row],[Series D]]*(1-v_seriE), "-")</f>
        <v>0.13005000000000003</v>
      </c>
      <c r="M4" s="63">
        <f>IFERROR(tbl_fundraisingSteps[[#This Row],[Series E]]*(1-v_seriF), "-")</f>
        <v>0.11704500000000002</v>
      </c>
    </row>
    <row r="5" spans="1:13" x14ac:dyDescent="0.25">
      <c r="A5" s="56" t="s">
        <v>155</v>
      </c>
      <c r="B5" s="56" t="s">
        <v>158</v>
      </c>
      <c r="C5" s="62" t="s">
        <v>154</v>
      </c>
      <c r="D5" s="62" t="s">
        <v>154</v>
      </c>
      <c r="E5" s="62" t="s">
        <v>154</v>
      </c>
      <c r="F5" s="62" t="s">
        <v>154</v>
      </c>
      <c r="G5" s="62" t="s">
        <v>154</v>
      </c>
      <c r="H5" s="63" t="str">
        <f>IFERROR(tbl_fundraisingSteps[[#This Row],[1399]]*(1-H$13-v_seriA), "-")</f>
        <v>-</v>
      </c>
      <c r="I5" s="63" t="str">
        <f>IFERROR(tbl_fundraisingSteps[[#This Row],[Series A]]*(1-v_seriB), "-")</f>
        <v>-</v>
      </c>
      <c r="J5" s="68">
        <v>0.15</v>
      </c>
      <c r="K5" s="63">
        <f>IFERROR(tbl_fundraisingSteps[[#This Row],[Series C]]*(1-v_seriD), "-")</f>
        <v>0.1275</v>
      </c>
      <c r="L5" s="63">
        <f>IFERROR(tbl_fundraisingSteps[[#This Row],[Series D]]*(1-v_seriE), "-")</f>
        <v>0.11475</v>
      </c>
      <c r="M5" s="63">
        <f>IFERROR(tbl_fundraisingSteps[[#This Row],[Series E]]*(1-v_seriF), "-")</f>
        <v>0.10327500000000001</v>
      </c>
    </row>
    <row r="6" spans="1:13" x14ac:dyDescent="0.25">
      <c r="A6" s="56" t="s">
        <v>155</v>
      </c>
      <c r="B6" s="56" t="s">
        <v>159</v>
      </c>
      <c r="C6" s="62" t="s">
        <v>154</v>
      </c>
      <c r="D6" s="62" t="s">
        <v>154</v>
      </c>
      <c r="E6" s="62" t="s">
        <v>154</v>
      </c>
      <c r="F6" s="62" t="s">
        <v>154</v>
      </c>
      <c r="G6" s="62" t="s">
        <v>154</v>
      </c>
      <c r="H6" s="63" t="str">
        <f>IFERROR(tbl_fundraisingSteps[[#This Row],[1399]]*(1-H$13-v_seriA), "-")</f>
        <v>-</v>
      </c>
      <c r="I6" s="63" t="str">
        <f>IFERROR(tbl_fundraisingSteps[[#This Row],[Series A]]*(1-v_seriB), "-")</f>
        <v>-</v>
      </c>
      <c r="J6" s="63" t="str">
        <f>IFERROR(tbl_fundraisingSteps[[#This Row],[Series B]]*(1-v_seriC), "-")</f>
        <v>-</v>
      </c>
      <c r="K6" s="68">
        <v>0.15</v>
      </c>
      <c r="L6" s="63">
        <f>IFERROR(tbl_fundraisingSteps[[#This Row],[Series D]]*(1-v_seriE), "-")</f>
        <v>0.13500000000000001</v>
      </c>
      <c r="M6" s="63">
        <f>IFERROR(tbl_fundraisingSteps[[#This Row],[Series E]]*(1-v_seriF), "-")</f>
        <v>0.12150000000000001</v>
      </c>
    </row>
    <row r="7" spans="1:13" x14ac:dyDescent="0.25">
      <c r="A7" s="56" t="s">
        <v>155</v>
      </c>
      <c r="B7" s="56" t="s">
        <v>169</v>
      </c>
      <c r="C7" s="62" t="s">
        <v>154</v>
      </c>
      <c r="D7" s="62" t="s">
        <v>154</v>
      </c>
      <c r="E7" s="63" t="s">
        <v>154</v>
      </c>
      <c r="F7" s="62" t="s">
        <v>154</v>
      </c>
      <c r="G7" s="62" t="s">
        <v>154</v>
      </c>
      <c r="H7" s="63" t="str">
        <f>IFERROR(tbl_fundraisingSteps[[#This Row],[1399]]*(1-H$13-v_seriA), "-")</f>
        <v>-</v>
      </c>
      <c r="I7" s="63" t="str">
        <f>IFERROR(tbl_fundraisingSteps[[#This Row],[Series A]]*(1-v_seriB), "-")</f>
        <v>-</v>
      </c>
      <c r="J7" s="63" t="str">
        <f>IFERROR(tbl_fundraisingSteps[[#This Row],[Series B]]*(1-v_seriC), "-")</f>
        <v>-</v>
      </c>
      <c r="K7" s="63" t="str">
        <f>IFERROR(tbl_fundraisingSteps[[#This Row],[Series C]]*(1-v_seriD), "-")</f>
        <v>-</v>
      </c>
      <c r="L7" s="68">
        <v>0.1</v>
      </c>
      <c r="M7" s="63">
        <f>IFERROR(tbl_fundraisingSteps[[#This Row],[Series E]]*(1-v_seriF), "-")</f>
        <v>9.0000000000000011E-2</v>
      </c>
    </row>
    <row r="8" spans="1:13" ht="18" thickBot="1" x14ac:dyDescent="0.3">
      <c r="A8" s="56" t="s">
        <v>155</v>
      </c>
      <c r="B8" s="56" t="s">
        <v>172</v>
      </c>
      <c r="C8" s="62" t="s">
        <v>154</v>
      </c>
      <c r="D8" s="62" t="s">
        <v>154</v>
      </c>
      <c r="E8" s="63" t="s">
        <v>154</v>
      </c>
      <c r="F8" s="62" t="s">
        <v>154</v>
      </c>
      <c r="G8" s="62" t="s">
        <v>154</v>
      </c>
      <c r="H8" s="63" t="str">
        <f>IFERROR(tbl_fundraisingSteps[[#This Row],[1399]]*(1-H$13-v_seriA), "-")</f>
        <v>-</v>
      </c>
      <c r="I8" s="63" t="s">
        <v>154</v>
      </c>
      <c r="J8" s="63" t="str">
        <f>IFERROR(tbl_fundraisingSteps[[#This Row],[Series B]]*(1-v_seriC), "-")</f>
        <v>-</v>
      </c>
      <c r="K8" s="63" t="str">
        <f>IFERROR(tbl_fundraisingSteps[[#This Row],[Series C]]*(1-v_seriD), "-")</f>
        <v>-</v>
      </c>
      <c r="L8" s="63" t="str">
        <f>IFERROR(tbl_fundraisingSteps[[#This Row],[Series D]]*(1-v_seriE), "-")</f>
        <v>-</v>
      </c>
      <c r="M8" s="68">
        <v>0.1</v>
      </c>
    </row>
    <row r="9" spans="1:13" x14ac:dyDescent="0.25">
      <c r="A9" s="71" t="s">
        <v>147</v>
      </c>
      <c r="B9" s="71" t="s">
        <v>150</v>
      </c>
      <c r="C9" s="72">
        <v>0.9</v>
      </c>
      <c r="D9" s="72">
        <v>0.3</v>
      </c>
      <c r="E9" s="73">
        <v>0.86</v>
      </c>
      <c r="F9" s="73">
        <v>0.75139999999999996</v>
      </c>
      <c r="G9" s="73">
        <v>0.6593</v>
      </c>
      <c r="H9" s="73">
        <f>IFERROR(tbl_fundraisingSteps[[#This Row],[1399]]*(1-H$13-v_seriA), "-")</f>
        <v>0.46150999999999998</v>
      </c>
      <c r="I9" s="73">
        <f>IFERROR(tbl_fundraisingSteps[[#This Row],[Series A]]*(1-v_seriB), "-")</f>
        <v>0.36920799999999998</v>
      </c>
      <c r="J9" s="73">
        <f>IFERROR(tbl_fundraisingSteps[[#This Row],[Series B]]*(1-v_seriC), "-")</f>
        <v>0.31382679999999996</v>
      </c>
      <c r="K9" s="73">
        <f>IFERROR(tbl_fundraisingSteps[[#This Row],[Series C]]*(1-v_seriD), "-")</f>
        <v>0.26675277999999997</v>
      </c>
      <c r="L9" s="73">
        <f>IFERROR(tbl_fundraisingSteps[[#This Row],[Series D]]*(1-v_seriE), "-")</f>
        <v>0.24007750199999997</v>
      </c>
      <c r="M9" s="73">
        <f>IFERROR(tbl_fundraisingSteps[[#This Row],[Series E]]*(1-v_seriF), "-")</f>
        <v>0.21606975179999999</v>
      </c>
    </row>
    <row r="10" spans="1:13" x14ac:dyDescent="0.25">
      <c r="A10" s="56" t="s">
        <v>147</v>
      </c>
      <c r="B10" s="56" t="s">
        <v>151</v>
      </c>
      <c r="C10" s="62" t="s">
        <v>154</v>
      </c>
      <c r="D10" s="62" t="s">
        <v>154</v>
      </c>
      <c r="E10" s="62" t="s">
        <v>154</v>
      </c>
      <c r="F10" s="62">
        <v>0.19</v>
      </c>
      <c r="G10" s="62">
        <v>0.3</v>
      </c>
      <c r="H10" s="63">
        <f>IFERROR(tbl_fundraisingSteps[[#This Row],[1399]]*(1-H$13-v_seriA), "-")</f>
        <v>0.21</v>
      </c>
      <c r="I10" s="63">
        <f>IFERROR(tbl_fundraisingSteps[[#This Row],[Series A]]*(1-v_seriB), "-")</f>
        <v>0.16800000000000001</v>
      </c>
      <c r="J10" s="63">
        <f>IFERROR(tbl_fundraisingSteps[[#This Row],[Series B]]*(1-v_seriC), "-")</f>
        <v>0.14280000000000001</v>
      </c>
      <c r="K10" s="63">
        <f>IFERROR(tbl_fundraisingSteps[[#This Row],[Series C]]*(1-v_seriD), "-")</f>
        <v>0.12138</v>
      </c>
      <c r="L10" s="63">
        <f>IFERROR(tbl_fundraisingSteps[[#This Row],[Series D]]*(1-v_seriE), "-")</f>
        <v>0.10924200000000001</v>
      </c>
      <c r="M10" s="63">
        <f>IFERROR(tbl_fundraisingSteps[[#This Row],[Series E]]*(1-v_seriF), "-")</f>
        <v>9.8317800000000011E-2</v>
      </c>
    </row>
    <row r="11" spans="1:13" x14ac:dyDescent="0.25">
      <c r="A11" s="56" t="s">
        <v>147</v>
      </c>
      <c r="B11" s="56" t="s">
        <v>152</v>
      </c>
      <c r="C11" s="62">
        <v>0.1</v>
      </c>
      <c r="D11" s="62" t="s">
        <v>154</v>
      </c>
      <c r="E11" s="63" t="s">
        <v>154</v>
      </c>
      <c r="F11" s="63">
        <v>2.86E-2</v>
      </c>
      <c r="G11" s="62">
        <v>0.04</v>
      </c>
      <c r="H11" s="63">
        <f>IFERROR(tbl_fundraisingSteps[[#This Row],[1399]]*(1-H$13-v_seriA), "-")</f>
        <v>2.7999999999999997E-2</v>
      </c>
      <c r="I11" s="63">
        <f>IFERROR(tbl_fundraisingSteps[[#This Row],[Series A]]*(1-v_seriB), "-")</f>
        <v>2.24E-2</v>
      </c>
      <c r="J11" s="63">
        <f>IFERROR(tbl_fundraisingSteps[[#This Row],[Series B]]*(1-v_seriC), "-")</f>
        <v>1.9039999999999998E-2</v>
      </c>
      <c r="K11" s="63">
        <f>IFERROR(tbl_fundraisingSteps[[#This Row],[Series C]]*(1-v_seriD), "-")</f>
        <v>1.6183999999999997E-2</v>
      </c>
      <c r="L11" s="63">
        <f>IFERROR(tbl_fundraisingSteps[[#This Row],[Series D]]*(1-v_seriE), "-")</f>
        <v>1.4565599999999998E-2</v>
      </c>
      <c r="M11" s="63">
        <f>IFERROR(tbl_fundraisingSteps[[#This Row],[Series E]]*(1-v_seriF), "-")</f>
        <v>1.3109039999999999E-2</v>
      </c>
    </row>
    <row r="12" spans="1:13" x14ac:dyDescent="0.25">
      <c r="A12" s="56" t="s">
        <v>147</v>
      </c>
      <c r="B12" s="56" t="s">
        <v>153</v>
      </c>
      <c r="C12" s="62" t="s">
        <v>154</v>
      </c>
      <c r="D12" s="62">
        <v>0.15</v>
      </c>
      <c r="E12" s="63">
        <v>7.9899999999999999E-2</v>
      </c>
      <c r="F12" s="63">
        <v>2.1399999999999999E-2</v>
      </c>
      <c r="G12" s="63">
        <v>5.0000000000000001E-4</v>
      </c>
      <c r="H12" s="63">
        <f>IFERROR(tbl_fundraisingSteps[[#This Row],[1399]]*(1-H$13-v_seriA), "-")</f>
        <v>3.5E-4</v>
      </c>
      <c r="I12" s="63">
        <f>IFERROR(tbl_fundraisingSteps[[#This Row],[Series A]]*(1-v_seriB), "-")</f>
        <v>2.8000000000000003E-4</v>
      </c>
      <c r="J12" s="63">
        <f>IFERROR(tbl_fundraisingSteps[[#This Row],[Series B]]*(1-v_seriC), "-")</f>
        <v>2.3800000000000001E-4</v>
      </c>
      <c r="K12" s="63">
        <f>IFERROR(tbl_fundraisingSteps[[#This Row],[Series C]]*(1-v_seriD), "-")</f>
        <v>2.0230000000000001E-4</v>
      </c>
      <c r="L12" s="63">
        <f>IFERROR(tbl_fundraisingSteps[[#This Row],[Series D]]*(1-v_seriE), "-")</f>
        <v>1.8207000000000002E-4</v>
      </c>
      <c r="M12" s="63">
        <f>IFERROR(tbl_fundraisingSteps[[#This Row],[Series E]]*(1-v_seriF), "-")</f>
        <v>1.6386300000000001E-4</v>
      </c>
    </row>
    <row r="13" spans="1:13" x14ac:dyDescent="0.25">
      <c r="A13" s="56" t="s">
        <v>148</v>
      </c>
      <c r="B13" s="56" t="s">
        <v>160</v>
      </c>
      <c r="C13" s="62" t="s">
        <v>154</v>
      </c>
      <c r="D13" s="62" t="s">
        <v>154</v>
      </c>
      <c r="E13" s="62" t="s">
        <v>154</v>
      </c>
      <c r="F13" s="62" t="s">
        <v>154</v>
      </c>
      <c r="G13" s="62" t="s">
        <v>154</v>
      </c>
      <c r="H13" s="69">
        <v>0.1</v>
      </c>
      <c r="I13" s="63">
        <f>IFERROR(tbl_fundraisingSteps[[#This Row],[Series A]]*(1-v_seriB), "-")</f>
        <v>8.0000000000000016E-2</v>
      </c>
      <c r="J13" s="63">
        <f>IFERROR(tbl_fundraisingSteps[[#This Row],[Series B]]*(1-v_seriC), "-")</f>
        <v>6.8000000000000005E-2</v>
      </c>
      <c r="K13" s="63">
        <f>IFERROR(tbl_fundraisingSteps[[#This Row],[Series C]]*(1-v_seriD), "-")</f>
        <v>5.7800000000000004E-2</v>
      </c>
      <c r="L13" s="63">
        <f>IFERROR(tbl_fundraisingSteps[[#This Row],[Series D]]*(1-v_seriE), "-")</f>
        <v>5.2020000000000004E-2</v>
      </c>
      <c r="M13" s="63">
        <f>IFERROR(tbl_fundraisingSteps[[#This Row],[Series E]]*(1-v_seriF), "-")</f>
        <v>4.6818000000000005E-2</v>
      </c>
    </row>
    <row r="14" spans="1:13" x14ac:dyDescent="0.25">
      <c r="A14" s="56" t="s">
        <v>1</v>
      </c>
      <c r="C14" s="64">
        <f>SUBTOTAL(109,tbl_fundraisingSteps[Start 1394])</f>
        <v>1</v>
      </c>
      <c r="D14" s="64">
        <f>SUBTOTAL(109,tbl_fundraisingSteps[Seed Angel 1395])</f>
        <v>1</v>
      </c>
      <c r="E14" s="64">
        <f>SUBTOTAL(109,tbl_fundraisingSteps[Angel Out 1397/2/22])</f>
        <v>1</v>
      </c>
      <c r="F14" s="64">
        <f>SUBTOTAL(109,tbl_fundraisingSteps[1397/5/1])</f>
        <v>0.99999999999999989</v>
      </c>
      <c r="G14" s="64">
        <f>SUBTOTAL(109,tbl_fundraisingSteps[1399])</f>
        <v>1</v>
      </c>
      <c r="H14" s="64">
        <f>SUBTOTAL(109,tbl_fundraisingSteps[Series A])</f>
        <v>0.99999999999999989</v>
      </c>
      <c r="I14" s="64">
        <f>SUBTOTAL(109,tbl_fundraisingSteps[Series B])</f>
        <v>1</v>
      </c>
      <c r="J14" s="64">
        <f>SUBTOTAL(109,tbl_fundraisingSteps[Series C])</f>
        <v>1</v>
      </c>
      <c r="K14" s="64">
        <f>SUBTOTAL(109,tbl_fundraisingSteps[Series D])</f>
        <v>0.99999999999999989</v>
      </c>
      <c r="L14" s="64">
        <f>SUBTOTAL(109,tbl_fundraisingSteps[Series E])</f>
        <v>1</v>
      </c>
      <c r="M14" s="70">
        <f>SUBTOTAL(109,tbl_fundraisingSteps[Series F])</f>
        <v>1</v>
      </c>
    </row>
    <row r="15" spans="1:13" x14ac:dyDescent="0.25"/>
    <row r="16" spans="1:13" x14ac:dyDescent="0.25">
      <c r="A16" s="56" t="s">
        <v>165</v>
      </c>
      <c r="C16" s="66">
        <v>10000000</v>
      </c>
      <c r="D16" s="66">
        <v>10000000</v>
      </c>
      <c r="E16" s="66">
        <v>1000000</v>
      </c>
      <c r="F16" s="66">
        <v>7000000</v>
      </c>
      <c r="G16" s="66">
        <v>300000000</v>
      </c>
      <c r="H16" s="66"/>
      <c r="I16" s="66"/>
      <c r="J16" s="66"/>
      <c r="K16" s="66"/>
      <c r="L16" s="66"/>
    </row>
    <row r="17" spans="1:13" x14ac:dyDescent="0.25">
      <c r="C17" s="66"/>
      <c r="D17" s="66"/>
      <c r="E17" s="66"/>
      <c r="F17" s="66"/>
      <c r="G17" s="66"/>
      <c r="H17" s="66"/>
      <c r="I17" s="66"/>
      <c r="J17" s="66"/>
      <c r="K17" s="66"/>
      <c r="L17" s="66"/>
    </row>
    <row r="18" spans="1:13" x14ac:dyDescent="0.25">
      <c r="C18" s="66"/>
      <c r="D18" s="66"/>
      <c r="E18" s="66"/>
      <c r="F18" s="66"/>
      <c r="G18" s="66"/>
      <c r="H18" s="66"/>
      <c r="I18" s="66"/>
      <c r="J18" s="66"/>
      <c r="K18" s="66"/>
      <c r="L18" s="66"/>
    </row>
    <row r="19" spans="1:13" x14ac:dyDescent="0.25">
      <c r="C19" s="66"/>
      <c r="D19" s="66"/>
      <c r="E19" s="66"/>
      <c r="F19" s="66"/>
      <c r="G19" s="66"/>
      <c r="H19" s="66"/>
      <c r="I19" s="66"/>
      <c r="J19" s="66"/>
      <c r="K19" s="66"/>
      <c r="L19" s="66"/>
    </row>
    <row r="20" spans="1:13" x14ac:dyDescent="0.25">
      <c r="C20" s="66"/>
      <c r="D20" s="66"/>
      <c r="E20" s="66"/>
      <c r="F20" s="66"/>
      <c r="G20" s="66"/>
      <c r="H20" s="66"/>
      <c r="I20" s="66"/>
      <c r="J20" s="66"/>
      <c r="K20" s="66"/>
      <c r="L20" s="66"/>
    </row>
    <row r="21" spans="1:13" x14ac:dyDescent="0.25">
      <c r="C21" s="66"/>
      <c r="D21" s="66"/>
      <c r="E21" s="66"/>
      <c r="F21" s="66"/>
      <c r="G21" s="66"/>
      <c r="H21" s="66"/>
      <c r="I21" s="66"/>
      <c r="J21" s="66"/>
      <c r="K21" s="66"/>
      <c r="L21" s="66"/>
    </row>
    <row r="22" spans="1:13" x14ac:dyDescent="0.25"/>
    <row r="23" spans="1:13" x14ac:dyDescent="0.25">
      <c r="A23" s="56" t="s">
        <v>149</v>
      </c>
      <c r="B23" s="56" t="s">
        <v>170</v>
      </c>
      <c r="C23" s="56" t="s">
        <v>164</v>
      </c>
      <c r="D23" s="56" t="s">
        <v>167</v>
      </c>
      <c r="E23" s="56" t="s">
        <v>166</v>
      </c>
      <c r="F23" s="56" t="s">
        <v>168</v>
      </c>
      <c r="G23" s="56" t="s">
        <v>163</v>
      </c>
      <c r="H23" s="56" t="s">
        <v>142</v>
      </c>
      <c r="I23" s="56" t="s">
        <v>143</v>
      </c>
      <c r="J23" s="56" t="s">
        <v>144</v>
      </c>
      <c r="K23" s="56" t="s">
        <v>171</v>
      </c>
      <c r="L23" s="56" t="s">
        <v>145</v>
      </c>
      <c r="M23" s="56" t="s">
        <v>146</v>
      </c>
    </row>
    <row r="24" spans="1:13" x14ac:dyDescent="0.25">
      <c r="A24" s="56" t="s">
        <v>155</v>
      </c>
      <c r="C24" s="63">
        <f>SUMIFS(tbl_fundraisingSteps[Start 1394],tbl_fundraisingSteps[نوع سهام‌دار],Table13[[#This Row],[نوع سهام‌دار]])</f>
        <v>0</v>
      </c>
      <c r="D24" s="63">
        <f>SUMIFS(tbl_fundraisingSteps[Seed Angel 1395],tbl_fundraisingSteps[نوع سهام‌دار],Table13[[#This Row],[نوع سهام‌دار]])</f>
        <v>0.55000000000000004</v>
      </c>
      <c r="E24" s="63">
        <f>SUMIFS(tbl_fundraisingSteps[Angel Out 1397/2/22],tbl_fundraisingSteps[نوع سهام‌دار],Table13[[#This Row],[نوع سهام‌دار]])</f>
        <v>6.0100000000000001E-2</v>
      </c>
      <c r="F24" s="63">
        <f>SUMIFS(tbl_fundraisingSteps[1397/5/1],tbl_fundraisingSteps[نوع سهام‌دار],Table13[[#This Row],[نوع سهام‌دار]])</f>
        <v>8.6E-3</v>
      </c>
      <c r="G24" s="63">
        <f>SUMIFS(tbl_fundraisingSteps[1399],tbl_fundraisingSteps[نوع سهام‌دار],Table13[[#This Row],[نوع سهام‌دار]])</f>
        <v>2.0000000000000001E-4</v>
      </c>
      <c r="H24" s="63">
        <f>SUMIFS(tbl_fundraisingSteps[Series A],tbl_fundraisingSteps[نوع سهام‌دار],Table13[[#This Row],[نوع سهام‌دار]])</f>
        <v>0.20014000000000001</v>
      </c>
      <c r="I24" s="63">
        <f>SUMIFS(tbl_fundraisingSteps[Series B],tbl_fundraisingSteps[نوع سهام‌دار],Table13[[#This Row],[نوع سهام‌دار]])</f>
        <v>0.36011200000000004</v>
      </c>
      <c r="J24" s="63">
        <f>SUMIFS(tbl_fundraisingSteps[Series C],tbl_fundraisingSteps[نوع سهام‌دار],Table13[[#This Row],[نوع سهام‌دار]])</f>
        <v>0.45609520000000003</v>
      </c>
      <c r="K24" s="63">
        <f>SUMIFS(tbl_fundraisingSteps[Series D],tbl_fundraisingSteps[نوع سهام‌دار],Table13[[#This Row],[نوع سهام‌دار]])</f>
        <v>0.53768092000000001</v>
      </c>
      <c r="L24" s="63">
        <f>SUMIFS(tbl_fundraisingSteps[Series E],tbl_fundraisingSteps[نوع سهام‌دار],Table13[[#This Row],[نوع سهام‌دار]])</f>
        <v>0.58391282800000011</v>
      </c>
      <c r="M24" s="63">
        <f>SUMIFS(tbl_fundraisingSteps[Series F],tbl_fundraisingSteps[نوع سهام‌دار],Table13[[#This Row],[نوع سهام‌دار]])</f>
        <v>0.62552154520000003</v>
      </c>
    </row>
    <row r="25" spans="1:13" x14ac:dyDescent="0.25">
      <c r="A25" s="56" t="s">
        <v>147</v>
      </c>
      <c r="C25" s="63">
        <f>SUMIFS(tbl_fundraisingSteps[Start 1394],tbl_fundraisingSteps[نوع سهام‌دار],Table13[[#This Row],[نوع سهام‌دار]])</f>
        <v>1</v>
      </c>
      <c r="D25" s="63">
        <f>SUMIFS(tbl_fundraisingSteps[Seed Angel 1395],tbl_fundraisingSteps[نوع سهام‌دار],Table13[[#This Row],[نوع سهام‌دار]])</f>
        <v>0.44999999999999996</v>
      </c>
      <c r="E25" s="63">
        <f>SUMIFS(tbl_fundraisingSteps[Angel Out 1397/2/22],tbl_fundraisingSteps[نوع سهام‌دار],Table13[[#This Row],[نوع سهام‌دار]])</f>
        <v>0.93989999999999996</v>
      </c>
      <c r="F25" s="63">
        <f>SUMIFS(tbl_fundraisingSteps[1397/5/1],tbl_fundraisingSteps[نوع سهام‌دار],Table13[[#This Row],[نوع سهام‌دار]])</f>
        <v>0.99139999999999995</v>
      </c>
      <c r="G25" s="63">
        <f>SUMIFS(tbl_fundraisingSteps[1399],tbl_fundraisingSteps[نوع سهام‌دار],Table13[[#This Row],[نوع سهام‌دار]])</f>
        <v>0.99980000000000002</v>
      </c>
      <c r="H25" s="63">
        <f>SUMIFS(tbl_fundraisingSteps[Series A],tbl_fundraisingSteps[نوع سهام‌دار],Table13[[#This Row],[نوع سهام‌دار]])</f>
        <v>0.69985999999999993</v>
      </c>
      <c r="I25" s="63">
        <f>SUMIFS(tbl_fundraisingSteps[Series B],tbl_fundraisingSteps[نوع سهام‌دار],Table13[[#This Row],[نوع سهام‌دار]])</f>
        <v>0.55988799999999994</v>
      </c>
      <c r="J25" s="63">
        <f>SUMIFS(tbl_fundraisingSteps[Series C],tbl_fundraisingSteps[نوع سهام‌دار],Table13[[#This Row],[نوع سهام‌دار]])</f>
        <v>0.47590480000000002</v>
      </c>
      <c r="K25" s="63">
        <f>SUMIFS(tbl_fundraisingSteps[Series D],tbl_fundraisingSteps[نوع سهام‌دار],Table13[[#This Row],[نوع سهام‌دار]])</f>
        <v>0.40451907999999992</v>
      </c>
      <c r="L25" s="63">
        <f>SUMIFS(tbl_fundraisingSteps[Series E],tbl_fundraisingSteps[نوع سهام‌دار],Table13[[#This Row],[نوع سهام‌دار]])</f>
        <v>0.36406717199999994</v>
      </c>
      <c r="M25" s="63">
        <f>SUMIFS(tbl_fundraisingSteps[Series F],tbl_fundraisingSteps[نوع سهام‌دار],Table13[[#This Row],[نوع سهام‌دار]])</f>
        <v>0.3276604548</v>
      </c>
    </row>
    <row r="26" spans="1:13" x14ac:dyDescent="0.25">
      <c r="A26" s="56" t="s">
        <v>148</v>
      </c>
      <c r="C26" s="63">
        <f>SUMIFS(tbl_fundraisingSteps[Start 1394],tbl_fundraisingSteps[نوع سهام‌دار],Table13[[#This Row],[نوع سهام‌دار]])</f>
        <v>0</v>
      </c>
      <c r="D26" s="63">
        <f>SUMIFS(tbl_fundraisingSteps[Seed Angel 1395],tbl_fundraisingSteps[نوع سهام‌دار],Table13[[#This Row],[نوع سهام‌دار]])</f>
        <v>0</v>
      </c>
      <c r="E26" s="63">
        <f>SUMIFS(tbl_fundraisingSteps[Angel Out 1397/2/22],tbl_fundraisingSteps[نوع سهام‌دار],Table13[[#This Row],[نوع سهام‌دار]])</f>
        <v>0</v>
      </c>
      <c r="F26" s="63">
        <f>SUMIFS(tbl_fundraisingSteps[1397/5/1],tbl_fundraisingSteps[نوع سهام‌دار],Table13[[#This Row],[نوع سهام‌دار]])</f>
        <v>0</v>
      </c>
      <c r="G26" s="63">
        <f>SUMIFS(tbl_fundraisingSteps[1399],tbl_fundraisingSteps[نوع سهام‌دار],Table13[[#This Row],[نوع سهام‌دار]])</f>
        <v>0</v>
      </c>
      <c r="H26" s="63">
        <f>SUMIFS(tbl_fundraisingSteps[Series A],tbl_fundraisingSteps[نوع سهام‌دار],Table13[[#This Row],[نوع سهام‌دار]])</f>
        <v>0.1</v>
      </c>
      <c r="I26" s="63">
        <f>SUMIFS(tbl_fundraisingSteps[Series B],tbl_fundraisingSteps[نوع سهام‌دار],Table13[[#This Row],[نوع سهام‌دار]])</f>
        <v>8.0000000000000016E-2</v>
      </c>
      <c r="J26" s="63">
        <f>SUMIFS(tbl_fundraisingSteps[Series C],tbl_fundraisingSteps[نوع سهام‌دار],Table13[[#This Row],[نوع سهام‌دار]])</f>
        <v>6.8000000000000005E-2</v>
      </c>
      <c r="K26" s="63">
        <f>SUMIFS(tbl_fundraisingSteps[Series D],tbl_fundraisingSteps[نوع سهام‌دار],Table13[[#This Row],[نوع سهام‌دار]])</f>
        <v>5.7800000000000004E-2</v>
      </c>
      <c r="L26" s="63">
        <f>SUMIFS(tbl_fundraisingSteps[Series E],tbl_fundraisingSteps[نوع سهام‌دار],Table13[[#This Row],[نوع سهام‌دار]])</f>
        <v>5.2020000000000004E-2</v>
      </c>
      <c r="M26" s="63">
        <f>SUMIFS(tbl_fundraisingSteps[Series F],tbl_fundraisingSteps[نوع سهام‌دار],Table13[[#This Row],[نوع سهام‌دار]])</f>
        <v>4.6818000000000005E-2</v>
      </c>
    </row>
    <row r="27" spans="1:13" x14ac:dyDescent="0.25">
      <c r="A27" s="56" t="s">
        <v>1</v>
      </c>
      <c r="C27" s="70">
        <f>SUBTOTAL(109,Table13[Start 1394])</f>
        <v>1</v>
      </c>
      <c r="D27" s="70">
        <f>SUBTOTAL(109,Table13[Seed Angel 1395])</f>
        <v>1</v>
      </c>
      <c r="E27" s="70">
        <f>SUBTOTAL(109,Table13[Angel Out 1397/2/22])</f>
        <v>1</v>
      </c>
      <c r="F27" s="70">
        <f>SUBTOTAL(109,Table13[1397/5/1])</f>
        <v>1</v>
      </c>
      <c r="G27" s="70">
        <f>SUBTOTAL(109,Table13[1399])</f>
        <v>1</v>
      </c>
      <c r="H27" s="70">
        <f>SUBTOTAL(109,Table13[Series A])</f>
        <v>0.99999999999999989</v>
      </c>
      <c r="I27" s="70">
        <f>SUBTOTAL(109,Table13[Series B])</f>
        <v>1</v>
      </c>
      <c r="J27" s="70">
        <f>SUBTOTAL(109,Table13[Series C])</f>
        <v>1</v>
      </c>
      <c r="K27" s="70">
        <f>SUBTOTAL(109,Table13[Series D])</f>
        <v>0.99999999999999989</v>
      </c>
      <c r="L27" s="70">
        <f>SUBTOTAL(109,Table13[Series E])</f>
        <v>1</v>
      </c>
      <c r="M27" s="70">
        <f>SUBTOTAL(109,Table13[Series F])</f>
        <v>1</v>
      </c>
    </row>
    <row r="28" spans="1:13" x14ac:dyDescent="0.25"/>
    <row r="29" spans="1:13" x14ac:dyDescent="0.25"/>
    <row r="30" spans="1:13" x14ac:dyDescent="0.25"/>
    <row r="31" spans="1:13" x14ac:dyDescent="0.25"/>
    <row r="32" spans="1:13" x14ac:dyDescent="0.25"/>
    <row r="33" x14ac:dyDescent="0.25"/>
    <row r="34" x14ac:dyDescent="0.25"/>
    <row r="35" x14ac:dyDescent="0.25"/>
    <row r="36" x14ac:dyDescent="0.25"/>
    <row r="37" x14ac:dyDescent="0.25"/>
    <row r="38" x14ac:dyDescent="0.25"/>
    <row r="39" x14ac:dyDescent="0.25"/>
  </sheetData>
  <phoneticPr fontId="5" type="noConversion"/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03962-EF5C-474D-9511-4229C995700E}">
  <dimension ref="A1:R100"/>
  <sheetViews>
    <sheetView rightToLeft="1" workbookViewId="0">
      <selection activeCell="H27" sqref="H27"/>
    </sheetView>
  </sheetViews>
  <sheetFormatPr defaultColWidth="0" defaultRowHeight="15" zeroHeight="1" x14ac:dyDescent="0.25"/>
  <cols>
    <col min="1" max="18" width="9.140625" customWidth="1"/>
    <col min="19" max="16384" width="9.140625" hidden="1"/>
  </cols>
  <sheetData>
    <row r="1" x14ac:dyDescent="0.25"/>
    <row r="2" x14ac:dyDescent="0.25"/>
    <row r="3" x14ac:dyDescent="0.25"/>
    <row r="4" x14ac:dyDescent="0.25"/>
    <row r="5" x14ac:dyDescent="0.25"/>
    <row r="6" x14ac:dyDescent="0.25"/>
    <row r="7" x14ac:dyDescent="0.25"/>
    <row r="8" x14ac:dyDescent="0.25"/>
    <row r="9" x14ac:dyDescent="0.25"/>
    <row r="10" x14ac:dyDescent="0.25"/>
    <row r="11" x14ac:dyDescent="0.25"/>
    <row r="12" x14ac:dyDescent="0.25"/>
    <row r="13" x14ac:dyDescent="0.25"/>
    <row r="14" x14ac:dyDescent="0.25"/>
    <row r="15" x14ac:dyDescent="0.25"/>
    <row r="16" x14ac:dyDescent="0.25"/>
    <row r="17" x14ac:dyDescent="0.25"/>
    <row r="18" x14ac:dyDescent="0.25"/>
    <row r="19" x14ac:dyDescent="0.25"/>
    <row r="20" x14ac:dyDescent="0.25"/>
    <row r="21" x14ac:dyDescent="0.25"/>
    <row r="22" x14ac:dyDescent="0.25"/>
    <row r="23" x14ac:dyDescent="0.25"/>
    <row r="24" x14ac:dyDescent="0.25"/>
    <row r="25" x14ac:dyDescent="0.25"/>
    <row r="26" x14ac:dyDescent="0.25"/>
    <row r="27" x14ac:dyDescent="0.25"/>
    <row r="28" x14ac:dyDescent="0.25"/>
    <row r="29" x14ac:dyDescent="0.25"/>
    <row r="30" x14ac:dyDescent="0.25"/>
    <row r="31" x14ac:dyDescent="0.25"/>
    <row r="32" x14ac:dyDescent="0.25"/>
    <row r="33" x14ac:dyDescent="0.25"/>
    <row r="34" x14ac:dyDescent="0.25"/>
    <row r="35" x14ac:dyDescent="0.25"/>
    <row r="36" x14ac:dyDescent="0.25"/>
    <row r="37" x14ac:dyDescent="0.25"/>
    <row r="38" x14ac:dyDescent="0.25"/>
    <row r="39" x14ac:dyDescent="0.25"/>
    <row r="40" x14ac:dyDescent="0.25"/>
    <row r="41" x14ac:dyDescent="0.25"/>
    <row r="42" x14ac:dyDescent="0.25"/>
    <row r="43" x14ac:dyDescent="0.25"/>
    <row r="44" x14ac:dyDescent="0.25"/>
    <row r="45" x14ac:dyDescent="0.25"/>
    <row r="46" x14ac:dyDescent="0.25"/>
    <row r="47" x14ac:dyDescent="0.25"/>
    <row r="48" x14ac:dyDescent="0.25"/>
    <row r="49" x14ac:dyDescent="0.25"/>
    <row r="50" x14ac:dyDescent="0.25"/>
    <row r="51" x14ac:dyDescent="0.25"/>
    <row r="52" x14ac:dyDescent="0.25"/>
    <row r="53" x14ac:dyDescent="0.25"/>
    <row r="54" x14ac:dyDescent="0.25"/>
    <row r="55" x14ac:dyDescent="0.25"/>
    <row r="56" x14ac:dyDescent="0.25"/>
    <row r="57" x14ac:dyDescent="0.25"/>
    <row r="58" x14ac:dyDescent="0.25"/>
    <row r="59" x14ac:dyDescent="0.25"/>
    <row r="60" x14ac:dyDescent="0.25"/>
    <row r="61" x14ac:dyDescent="0.25"/>
    <row r="62" x14ac:dyDescent="0.25"/>
    <row r="63" x14ac:dyDescent="0.25"/>
    <row r="64" x14ac:dyDescent="0.25"/>
    <row r="65" x14ac:dyDescent="0.25"/>
    <row r="66" x14ac:dyDescent="0.25"/>
    <row r="67" x14ac:dyDescent="0.25"/>
    <row r="68" x14ac:dyDescent="0.25"/>
    <row r="69" x14ac:dyDescent="0.25"/>
    <row r="70" x14ac:dyDescent="0.25"/>
    <row r="71" x14ac:dyDescent="0.25"/>
    <row r="72" x14ac:dyDescent="0.25"/>
    <row r="73" x14ac:dyDescent="0.25"/>
    <row r="74" x14ac:dyDescent="0.25"/>
    <row r="75" x14ac:dyDescent="0.25"/>
    <row r="76" x14ac:dyDescent="0.25"/>
    <row r="77" x14ac:dyDescent="0.25"/>
    <row r="78" x14ac:dyDescent="0.25"/>
    <row r="79" x14ac:dyDescent="0.25"/>
    <row r="80" x14ac:dyDescent="0.25"/>
    <row r="81" x14ac:dyDescent="0.25"/>
    <row r="82" x14ac:dyDescent="0.25"/>
    <row r="83" x14ac:dyDescent="0.25"/>
    <row r="84" x14ac:dyDescent="0.25"/>
    <row r="85" x14ac:dyDescent="0.25"/>
    <row r="86" x14ac:dyDescent="0.25"/>
    <row r="87" x14ac:dyDescent="0.25"/>
    <row r="88" x14ac:dyDescent="0.25"/>
    <row r="89" x14ac:dyDescent="0.25"/>
    <row r="90" x14ac:dyDescent="0.25"/>
    <row r="91" x14ac:dyDescent="0.25"/>
    <row r="92" x14ac:dyDescent="0.25"/>
    <row r="93" x14ac:dyDescent="0.25"/>
    <row r="94" x14ac:dyDescent="0.25"/>
    <row r="95" x14ac:dyDescent="0.25"/>
    <row r="96" x14ac:dyDescent="0.25"/>
    <row r="97" x14ac:dyDescent="0.25"/>
    <row r="98" x14ac:dyDescent="0.25"/>
    <row r="99" x14ac:dyDescent="0.25"/>
    <row r="100" x14ac:dyDescent="0.25"/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57EB13-C35B-48C0-80F5-7A9C0C4B5FB2}">
  <sheetPr>
    <tabColor theme="1"/>
  </sheetPr>
  <dimension ref="A1:C30"/>
  <sheetViews>
    <sheetView rightToLeft="1" zoomScale="145" zoomScaleNormal="145" workbookViewId="0">
      <selection activeCell="B7" sqref="B7"/>
    </sheetView>
  </sheetViews>
  <sheetFormatPr defaultColWidth="0" defaultRowHeight="17.25" zeroHeight="1" x14ac:dyDescent="0.4"/>
  <cols>
    <col min="1" max="1" width="39.7109375" style="1" customWidth="1"/>
    <col min="2" max="2" width="29.42578125" style="1" customWidth="1"/>
    <col min="3" max="3" width="9" style="1" hidden="1" customWidth="1"/>
    <col min="4" max="16384" width="9.140625" style="1" hidden="1"/>
  </cols>
  <sheetData>
    <row r="1" spans="1:2" x14ac:dyDescent="0.4">
      <c r="A1" s="1" t="s">
        <v>2</v>
      </c>
      <c r="B1" s="1" t="s">
        <v>3</v>
      </c>
    </row>
    <row r="2" spans="1:2" x14ac:dyDescent="0.4">
      <c r="A2" s="1" t="s">
        <v>4</v>
      </c>
      <c r="B2" s="21">
        <v>0.4</v>
      </c>
    </row>
    <row r="3" spans="1:2" x14ac:dyDescent="0.4">
      <c r="A3" s="1" t="s">
        <v>5</v>
      </c>
      <c r="B3" s="1">
        <v>17.8</v>
      </c>
    </row>
    <row r="4" spans="1:2" x14ac:dyDescent="0.4">
      <c r="A4" s="1" t="s">
        <v>6</v>
      </c>
      <c r="B4" s="1">
        <v>10</v>
      </c>
    </row>
    <row r="5" spans="1:2" x14ac:dyDescent="0.4">
      <c r="A5" s="1" t="s">
        <v>7</v>
      </c>
      <c r="B5" s="12">
        <v>250000</v>
      </c>
    </row>
    <row r="6" spans="1:2" x14ac:dyDescent="0.4">
      <c r="A6" s="1" t="s">
        <v>34</v>
      </c>
      <c r="B6" s="12">
        <f>B5*B4</f>
        <v>2500000</v>
      </c>
    </row>
    <row r="7" spans="1:2" x14ac:dyDescent="0.4">
      <c r="A7" s="1" t="s">
        <v>8</v>
      </c>
      <c r="B7" s="81">
        <v>26400</v>
      </c>
    </row>
    <row r="8" spans="1:2" x14ac:dyDescent="0.4">
      <c r="A8" s="1" t="s">
        <v>39</v>
      </c>
      <c r="B8" s="12">
        <v>30000000</v>
      </c>
    </row>
    <row r="9" spans="1:2" x14ac:dyDescent="0.4">
      <c r="A9" s="1" t="s">
        <v>38</v>
      </c>
      <c r="B9" s="12">
        <v>900000</v>
      </c>
    </row>
    <row r="10" spans="1:2" x14ac:dyDescent="0.4">
      <c r="A10" s="1" t="s">
        <v>40</v>
      </c>
      <c r="B10" s="1">
        <v>6</v>
      </c>
    </row>
    <row r="11" spans="1:2" x14ac:dyDescent="0.4">
      <c r="A11" s="1" t="s">
        <v>52</v>
      </c>
      <c r="B11" s="20">
        <v>12000</v>
      </c>
    </row>
    <row r="12" spans="1:2" x14ac:dyDescent="0.4">
      <c r="A12" s="1" t="s">
        <v>53</v>
      </c>
      <c r="B12" s="20">
        <v>600</v>
      </c>
    </row>
    <row r="13" spans="1:2" x14ac:dyDescent="0.4">
      <c r="A13" s="1" t="s">
        <v>49</v>
      </c>
      <c r="B13" s="12">
        <f>d_serverDollarCost*d_toman2dollar</f>
        <v>316800000</v>
      </c>
    </row>
    <row r="14" spans="1:2" x14ac:dyDescent="0.4">
      <c r="A14" s="1" t="s">
        <v>54</v>
      </c>
      <c r="B14" s="12">
        <f>d_ssdDollarCost*d_toman2dollar * 24</f>
        <v>380160000</v>
      </c>
    </row>
    <row r="15" spans="1:2" x14ac:dyDescent="0.4">
      <c r="A15" s="1" t="s">
        <v>50</v>
      </c>
      <c r="B15" s="12">
        <v>4000000</v>
      </c>
    </row>
    <row r="16" spans="1:2" x14ac:dyDescent="0.4">
      <c r="A16" s="1" t="s">
        <v>60</v>
      </c>
      <c r="B16" s="21">
        <v>0.1</v>
      </c>
    </row>
    <row r="17" spans="1:2" x14ac:dyDescent="0.4">
      <c r="A17" s="36" t="s">
        <v>64</v>
      </c>
      <c r="B17" s="37"/>
    </row>
    <row r="18" spans="1:2" x14ac:dyDescent="0.4">
      <c r="A18" s="35" t="s">
        <v>65</v>
      </c>
      <c r="B18" s="21">
        <v>0.4</v>
      </c>
    </row>
    <row r="19" spans="1:2" x14ac:dyDescent="0.4">
      <c r="A19" s="1" t="s">
        <v>118</v>
      </c>
      <c r="B19" s="21">
        <v>1.25</v>
      </c>
    </row>
    <row r="20" spans="1:2" x14ac:dyDescent="0.4">
      <c r="A20" s="1" t="s">
        <v>119</v>
      </c>
      <c r="B20" s="21">
        <v>0.4</v>
      </c>
    </row>
    <row r="21" spans="1:2" x14ac:dyDescent="0.4">
      <c r="A21" s="1" t="s">
        <v>137</v>
      </c>
      <c r="B21" s="21">
        <v>0.2</v>
      </c>
    </row>
    <row r="22" spans="1:2" x14ac:dyDescent="0.4">
      <c r="A22" s="1" t="s">
        <v>223</v>
      </c>
      <c r="B22" s="18">
        <v>2</v>
      </c>
    </row>
    <row r="23" spans="1:2" x14ac:dyDescent="0.4">
      <c r="B23" s="21"/>
    </row>
    <row r="24" spans="1:2" x14ac:dyDescent="0.4">
      <c r="B24" s="21"/>
    </row>
    <row r="25" spans="1:2" x14ac:dyDescent="0.4">
      <c r="B25" s="21"/>
    </row>
    <row r="26" spans="1:2" x14ac:dyDescent="0.4">
      <c r="B26" s="21"/>
    </row>
    <row r="27" spans="1:2" x14ac:dyDescent="0.4">
      <c r="B27" s="21"/>
    </row>
    <row r="28" spans="1:2" x14ac:dyDescent="0.4">
      <c r="B28" s="21"/>
    </row>
    <row r="29" spans="1:2" x14ac:dyDescent="0.4">
      <c r="B29" s="21"/>
    </row>
    <row r="30" spans="1:2" x14ac:dyDescent="0.4"/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D8994-2F22-4065-A86F-17DCD909CF75}">
  <sheetPr>
    <tabColor theme="8" tint="0.59999389629810485"/>
  </sheetPr>
  <dimension ref="A1:G20"/>
  <sheetViews>
    <sheetView rightToLeft="1" workbookViewId="0">
      <selection activeCell="D6" sqref="D6"/>
    </sheetView>
  </sheetViews>
  <sheetFormatPr defaultColWidth="0" defaultRowHeight="17.25" zeroHeight="1" x14ac:dyDescent="0.4"/>
  <cols>
    <col min="1" max="1" width="9.140625" style="1" customWidth="1"/>
    <col min="2" max="2" width="30.7109375" style="1" customWidth="1"/>
    <col min="3" max="4" width="25.7109375" style="1" customWidth="1"/>
    <col min="5" max="5" width="30" style="1" bestFit="1" customWidth="1"/>
    <col min="6" max="7" width="9.140625" style="1" customWidth="1"/>
    <col min="8" max="16384" width="9.140625" style="1" hidden="1"/>
  </cols>
  <sheetData>
    <row r="1" spans="1:5" x14ac:dyDescent="0.4">
      <c r="A1" s="1" t="s">
        <v>35</v>
      </c>
      <c r="B1" s="1" t="s">
        <v>2</v>
      </c>
      <c r="C1" s="23" t="s">
        <v>14</v>
      </c>
      <c r="D1" s="23" t="s">
        <v>15</v>
      </c>
      <c r="E1" s="1" t="s">
        <v>21</v>
      </c>
    </row>
    <row r="2" spans="1:5" x14ac:dyDescent="0.4">
      <c r="A2" s="1">
        <f>ROW(A1)</f>
        <v>1</v>
      </c>
      <c r="B2" s="1" t="s">
        <v>47</v>
      </c>
      <c r="C2" s="12">
        <f>tbl_serverCount[1400]*d_serverCost</f>
        <v>1267200000</v>
      </c>
      <c r="D2" s="12">
        <f>(tbl_serverCount[1401] - tbl_serverCount[1400])*d_serverCost</f>
        <v>633600000</v>
      </c>
      <c r="E2" s="12">
        <f>SUM(tbl_servers[[#This Row],[1400]:[1401]])</f>
        <v>1900800000</v>
      </c>
    </row>
    <row r="3" spans="1:5" x14ac:dyDescent="0.4">
      <c r="A3" s="1">
        <f>ROW(A2)</f>
        <v>2</v>
      </c>
      <c r="B3" s="1" t="s">
        <v>55</v>
      </c>
      <c r="C3" s="12">
        <f>tbl_serverCount[1400]*d_ssdCost</f>
        <v>1520640000</v>
      </c>
      <c r="D3" s="12">
        <f>(tbl_serverCount[1401] - tbl_serverCount[1400])*d_ssdCost</f>
        <v>760320000</v>
      </c>
      <c r="E3" s="12">
        <f>SUM(tbl_servers[[#This Row],[1400]:[1401]])</f>
        <v>2280960000</v>
      </c>
    </row>
    <row r="4" spans="1:5" x14ac:dyDescent="0.4">
      <c r="A4" s="1">
        <f>ROW(A3)</f>
        <v>3</v>
      </c>
      <c r="B4" s="1" t="s">
        <v>51</v>
      </c>
      <c r="C4" s="12">
        <f>tbl_serverCount[1400]*d_coloCost * d_year1400Remain</f>
        <v>96000000</v>
      </c>
      <c r="D4" s="12">
        <f>tbl_serverCount[1401]*d_coloCost * 12</f>
        <v>288000000</v>
      </c>
      <c r="E4" s="12">
        <f>SUM(tbl_servers[[#This Row],[1400]:[1401]])</f>
        <v>384000000</v>
      </c>
    </row>
    <row r="5" spans="1:5" x14ac:dyDescent="0.4">
      <c r="A5" s="1" t="s">
        <v>1</v>
      </c>
      <c r="C5" s="12">
        <f>SUBTOTAL(109,tbl_servers[1400])</f>
        <v>2883840000</v>
      </c>
      <c r="D5" s="12">
        <f>SUBTOTAL(109,tbl_servers[1401])</f>
        <v>1681920000</v>
      </c>
      <c r="E5" s="12">
        <f>SUBTOTAL(109,tbl_servers[جمع])</f>
        <v>4565760000</v>
      </c>
    </row>
    <row r="6" spans="1:5" x14ac:dyDescent="0.4"/>
    <row r="7" spans="1:5" x14ac:dyDescent="0.4"/>
    <row r="8" spans="1:5" x14ac:dyDescent="0.4"/>
    <row r="9" spans="1:5" x14ac:dyDescent="0.4">
      <c r="A9" s="1" t="s">
        <v>48</v>
      </c>
      <c r="B9" s="1" t="s">
        <v>2</v>
      </c>
      <c r="C9" s="23" t="s">
        <v>14</v>
      </c>
      <c r="D9" s="23" t="s">
        <v>15</v>
      </c>
    </row>
    <row r="10" spans="1:5" x14ac:dyDescent="0.4">
      <c r="A10" s="1">
        <f>ROW(A1)</f>
        <v>1</v>
      </c>
      <c r="B10" s="1" t="s">
        <v>32</v>
      </c>
      <c r="C10" s="3">
        <v>4</v>
      </c>
      <c r="D10" s="3">
        <v>6</v>
      </c>
    </row>
    <row r="11" spans="1:5" x14ac:dyDescent="0.4"/>
    <row r="12" spans="1:5" x14ac:dyDescent="0.4"/>
    <row r="13" spans="1:5" x14ac:dyDescent="0.4"/>
    <row r="14" spans="1:5" x14ac:dyDescent="0.4"/>
    <row r="15" spans="1:5" x14ac:dyDescent="0.4"/>
    <row r="16" spans="1:5" x14ac:dyDescent="0.4"/>
    <row r="17" x14ac:dyDescent="0.4"/>
    <row r="18" x14ac:dyDescent="0.4"/>
    <row r="19" x14ac:dyDescent="0.4"/>
    <row r="20" x14ac:dyDescent="0.4"/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55B3C6-E5B9-4E14-BB33-008413A11776}">
  <sheetPr>
    <tabColor theme="8" tint="0.59999389629810485"/>
  </sheetPr>
  <dimension ref="A1:G19"/>
  <sheetViews>
    <sheetView rightToLeft="1" workbookViewId="0">
      <selection activeCell="D2" sqref="D2"/>
    </sheetView>
  </sheetViews>
  <sheetFormatPr defaultColWidth="0" defaultRowHeight="17.25" customHeight="1" zeroHeight="1" x14ac:dyDescent="0.4"/>
  <cols>
    <col min="1" max="1" width="9.140625" style="1" customWidth="1"/>
    <col min="2" max="2" width="34.7109375" style="1" customWidth="1"/>
    <col min="3" max="5" width="21.7109375" style="1" customWidth="1"/>
    <col min="6" max="7" width="9.140625" style="1" customWidth="1"/>
    <col min="8" max="16384" width="9.140625" style="1" hidden="1"/>
  </cols>
  <sheetData>
    <row r="1" spans="1:5" x14ac:dyDescent="0.4">
      <c r="A1" s="1" t="s">
        <v>35</v>
      </c>
      <c r="B1" s="1" t="s">
        <v>2</v>
      </c>
      <c r="C1" s="23" t="s">
        <v>14</v>
      </c>
      <c r="D1" s="23" t="s">
        <v>15</v>
      </c>
      <c r="E1" s="1" t="s">
        <v>21</v>
      </c>
    </row>
    <row r="2" spans="1:5" x14ac:dyDescent="0.4">
      <c r="A2" s="1">
        <f>ROW(A1)</f>
        <v>1</v>
      </c>
      <c r="B2" s="1" t="s">
        <v>37</v>
      </c>
      <c r="C2" s="12">
        <f>d_staff1400*d_systemPerPerson</f>
        <v>180000000</v>
      </c>
      <c r="D2" s="12">
        <f>d_staff1401 * d_systemPerPerson</f>
        <v>240000000</v>
      </c>
      <c r="E2" s="12">
        <f>SUM(tbl_office12[[#This Row],[1400]:[1401]])</f>
        <v>420000000</v>
      </c>
    </row>
    <row r="3" spans="1:5" x14ac:dyDescent="0.4"/>
    <row r="4" spans="1:5" x14ac:dyDescent="0.4"/>
    <row r="5" spans="1:5" x14ac:dyDescent="0.4"/>
    <row r="6" spans="1:5" x14ac:dyDescent="0.4"/>
    <row r="7" spans="1:5" x14ac:dyDescent="0.4"/>
    <row r="8" spans="1:5" x14ac:dyDescent="0.4"/>
    <row r="9" spans="1:5" x14ac:dyDescent="0.4"/>
    <row r="10" spans="1:5" x14ac:dyDescent="0.4"/>
    <row r="11" spans="1:5" x14ac:dyDescent="0.4"/>
    <row r="12" spans="1:5" x14ac:dyDescent="0.4"/>
    <row r="13" spans="1:5" x14ac:dyDescent="0.4"/>
    <row r="14" spans="1:5" x14ac:dyDescent="0.4"/>
    <row r="15" spans="1:5" x14ac:dyDescent="0.4"/>
    <row r="16" spans="1:5" x14ac:dyDescent="0.4"/>
    <row r="17" x14ac:dyDescent="0.4"/>
    <row r="18" x14ac:dyDescent="0.4"/>
    <row r="19" x14ac:dyDescent="0.4"/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73546-818B-4745-A0F6-8DA8FD10C50D}">
  <sheetPr>
    <tabColor theme="8" tint="0.79998168889431442"/>
  </sheetPr>
  <dimension ref="A1:H30"/>
  <sheetViews>
    <sheetView rightToLeft="1" workbookViewId="0">
      <selection activeCell="C3" sqref="C3"/>
    </sheetView>
  </sheetViews>
  <sheetFormatPr defaultColWidth="0" defaultRowHeight="17.25" zeroHeight="1" x14ac:dyDescent="0.4"/>
  <cols>
    <col min="1" max="1" width="9.28515625" style="1" bestFit="1" customWidth="1"/>
    <col min="2" max="2" width="32.28515625" style="1" bestFit="1" customWidth="1"/>
    <col min="3" max="3" width="23.140625" style="1" customWidth="1"/>
    <col min="4" max="4" width="23.42578125" style="1" customWidth="1"/>
    <col min="5" max="5" width="25.85546875" style="1" customWidth="1"/>
    <col min="6" max="6" width="23.28515625" style="1" bestFit="1" customWidth="1"/>
    <col min="7" max="7" width="15.5703125" style="1" bestFit="1" customWidth="1"/>
    <col min="8" max="8" width="9.28515625" style="1" hidden="1" customWidth="1"/>
    <col min="9" max="16384" width="9.140625" style="1" hidden="1"/>
  </cols>
  <sheetData>
    <row r="1" spans="1:7" x14ac:dyDescent="0.4">
      <c r="A1" s="1" t="s">
        <v>0</v>
      </c>
      <c r="B1" s="1" t="s">
        <v>9</v>
      </c>
      <c r="C1" s="2" t="s">
        <v>14</v>
      </c>
      <c r="D1" s="2" t="s">
        <v>15</v>
      </c>
    </row>
    <row r="2" spans="1:7" x14ac:dyDescent="0.4">
      <c r="A2" s="1">
        <f>ROW(A1)</f>
        <v>1</v>
      </c>
      <c r="B2" s="1" t="s">
        <v>10</v>
      </c>
      <c r="C2" s="3">
        <v>3</v>
      </c>
      <c r="D2" s="3">
        <v>6</v>
      </c>
      <c r="F2" s="4"/>
      <c r="G2" s="5"/>
    </row>
    <row r="3" spans="1:7" x14ac:dyDescent="0.4">
      <c r="A3" s="1">
        <f t="shared" ref="A3:A5" si="0">ROW(A2)</f>
        <v>2</v>
      </c>
      <c r="B3" s="1" t="s">
        <v>11</v>
      </c>
      <c r="C3" s="3">
        <v>1</v>
      </c>
      <c r="D3" s="3">
        <v>3</v>
      </c>
    </row>
    <row r="4" spans="1:7" x14ac:dyDescent="0.4">
      <c r="A4" s="1">
        <f t="shared" si="0"/>
        <v>3</v>
      </c>
      <c r="B4" s="1" t="s">
        <v>12</v>
      </c>
      <c r="C4" s="3">
        <v>1</v>
      </c>
      <c r="D4" s="3">
        <v>3</v>
      </c>
    </row>
    <row r="5" spans="1:7" x14ac:dyDescent="0.4">
      <c r="A5" s="1">
        <f t="shared" si="0"/>
        <v>4</v>
      </c>
      <c r="B5" s="1" t="s">
        <v>13</v>
      </c>
      <c r="C5" s="3">
        <v>1</v>
      </c>
      <c r="D5" s="3">
        <v>2</v>
      </c>
    </row>
    <row r="6" spans="1:7" x14ac:dyDescent="0.4">
      <c r="A6" s="1" t="s">
        <v>21</v>
      </c>
      <c r="C6" s="3">
        <f>SUBTOTAL(109,tbl_salaryData[1400])</f>
        <v>6</v>
      </c>
      <c r="D6" s="3">
        <f>SUBTOTAL(109,tbl_salaryData[1401])</f>
        <v>14</v>
      </c>
    </row>
    <row r="7" spans="1:7" x14ac:dyDescent="0.4"/>
    <row r="8" spans="1:7" x14ac:dyDescent="0.4"/>
    <row r="9" spans="1:7" x14ac:dyDescent="0.4"/>
    <row r="10" spans="1:7" x14ac:dyDescent="0.4"/>
    <row r="11" spans="1:7" x14ac:dyDescent="0.4">
      <c r="A11" s="6"/>
      <c r="B11" s="7"/>
      <c r="C11" s="7">
        <v>1400</v>
      </c>
      <c r="D11" s="7">
        <v>1401</v>
      </c>
      <c r="E11" s="8" t="s">
        <v>21</v>
      </c>
    </row>
    <row r="12" spans="1:7" x14ac:dyDescent="0.4">
      <c r="A12" s="9"/>
      <c r="B12" s="10" t="s">
        <v>41</v>
      </c>
      <c r="C12" s="24">
        <f>SUM(tbl_salaryData[1400])</f>
        <v>6</v>
      </c>
      <c r="D12" s="24">
        <f>SUM(tbl_salaryData[1401])-C12</f>
        <v>8</v>
      </c>
      <c r="E12" s="11">
        <f>SUM(C12:D12)</f>
        <v>14</v>
      </c>
    </row>
    <row r="13" spans="1:7" x14ac:dyDescent="0.4">
      <c r="A13" s="9"/>
      <c r="B13" s="10" t="s">
        <v>16</v>
      </c>
      <c r="C13" s="11">
        <f>C2*C$23+C3*C$24+C4*C$25+C5*C$26</f>
        <v>89000000</v>
      </c>
      <c r="D13" s="11">
        <f>D2*D$23+D3*D$24+D4*D$25+D5*D$26</f>
        <v>278600000</v>
      </c>
      <c r="E13" s="11">
        <f>SUM(C13:D13)</f>
        <v>367600000</v>
      </c>
    </row>
    <row r="14" spans="1:7" x14ac:dyDescent="0.4">
      <c r="A14" s="9"/>
      <c r="B14" s="10" t="s">
        <v>17</v>
      </c>
      <c r="C14" s="11">
        <f>C13*d_year1400Remain</f>
        <v>534000000</v>
      </c>
      <c r="D14" s="11">
        <f t="shared" ref="D14" si="1">D13*12</f>
        <v>3343200000</v>
      </c>
      <c r="E14" s="12">
        <f t="shared" ref="E14:E15" si="2">SUM(C14:D14)</f>
        <v>3877200000</v>
      </c>
    </row>
    <row r="15" spans="1:7" x14ac:dyDescent="0.4">
      <c r="A15" s="13"/>
      <c r="B15" s="14" t="str">
        <f>"مجموع پرداختی در یک‌سال (" &amp; d_AnnualSalary &amp; ")"</f>
        <v>مجموع پرداختی در یک‌سال (17.8)</v>
      </c>
      <c r="C15" s="15">
        <f>ROUND(C13*d_AnnualSalary,0) / 12 * d_year1400Remain</f>
        <v>792100000</v>
      </c>
      <c r="D15" s="15">
        <f>ROUND(D13*d_AnnualSalary,0)</f>
        <v>4959080000</v>
      </c>
      <c r="E15" s="16">
        <f t="shared" si="2"/>
        <v>5751180000</v>
      </c>
    </row>
    <row r="16" spans="1:7" x14ac:dyDescent="0.4"/>
    <row r="17" spans="1:6" x14ac:dyDescent="0.4">
      <c r="C17" s="17"/>
    </row>
    <row r="18" spans="1:6" x14ac:dyDescent="0.4">
      <c r="C18" s="18"/>
    </row>
    <row r="19" spans="1:6" x14ac:dyDescent="0.4"/>
    <row r="20" spans="1:6" x14ac:dyDescent="0.4"/>
    <row r="21" spans="1:6" x14ac:dyDescent="0.4"/>
    <row r="22" spans="1:6" x14ac:dyDescent="0.4">
      <c r="A22" s="1" t="s">
        <v>0</v>
      </c>
      <c r="B22" s="1" t="s">
        <v>9</v>
      </c>
      <c r="C22" s="1" t="s">
        <v>19</v>
      </c>
      <c r="D22" s="1" t="s">
        <v>20</v>
      </c>
      <c r="E22" s="1" t="s">
        <v>28</v>
      </c>
      <c r="F22" s="1" t="s">
        <v>29</v>
      </c>
    </row>
    <row r="23" spans="1:6" x14ac:dyDescent="0.4">
      <c r="A23" s="1">
        <v>1</v>
      </c>
      <c r="B23" s="1" t="s">
        <v>10</v>
      </c>
      <c r="C23" s="19">
        <v>20000000</v>
      </c>
      <c r="D23" s="12">
        <f>tbl_jobSalary[[#This Row],[میانگین پرداختی ۱۴۰۰]]*(d_salaryYOY + 1)</f>
        <v>28000000</v>
      </c>
      <c r="E23" s="12">
        <f>tbl_jobSalary[[#This Row],[میانگین پرداختی ۱۴۰۰]]*d_AnnualSalary</f>
        <v>356000000</v>
      </c>
      <c r="F23" s="12">
        <f>tbl_jobSalary[[#This Row],[میانگین پرداختی ۱۴۰۱]]*d_AnnualSalary</f>
        <v>498400000</v>
      </c>
    </row>
    <row r="24" spans="1:6" x14ac:dyDescent="0.4">
      <c r="A24" s="1">
        <v>2</v>
      </c>
      <c r="B24" s="1" t="s">
        <v>11</v>
      </c>
      <c r="C24" s="19">
        <v>6000000</v>
      </c>
      <c r="D24" s="12">
        <f>tbl_jobSalary[[#This Row],[میانگین پرداختی ۱۴۰۰]]*(d_salaryYOY + 1)</f>
        <v>8400000</v>
      </c>
      <c r="E24" s="12">
        <f>tbl_jobSalary[[#This Row],[میانگین پرداختی ۱۴۰۰]]*d_AnnualSalary</f>
        <v>106800000</v>
      </c>
      <c r="F24" s="12">
        <f>tbl_jobSalary[[#This Row],[میانگین پرداختی ۱۴۰۱]]*d_AnnualSalary</f>
        <v>149520000</v>
      </c>
    </row>
    <row r="25" spans="1:6" x14ac:dyDescent="0.4">
      <c r="A25" s="1">
        <v>3</v>
      </c>
      <c r="B25" s="1" t="s">
        <v>12</v>
      </c>
      <c r="C25" s="19">
        <v>15000000</v>
      </c>
      <c r="D25" s="12">
        <f>tbl_jobSalary[[#This Row],[میانگین پرداختی ۱۴۰۰]]*(d_salaryYOY + 1)</f>
        <v>21000000</v>
      </c>
      <c r="E25" s="12">
        <f>tbl_jobSalary[[#This Row],[میانگین پرداختی ۱۴۰۰]]*d_AnnualSalary</f>
        <v>267000000</v>
      </c>
      <c r="F25" s="12">
        <f>tbl_jobSalary[[#This Row],[میانگین پرداختی ۱۴۰۱]]*d_AnnualSalary</f>
        <v>373800000</v>
      </c>
    </row>
    <row r="26" spans="1:6" x14ac:dyDescent="0.4">
      <c r="A26" s="1">
        <v>4</v>
      </c>
      <c r="B26" s="1" t="s">
        <v>13</v>
      </c>
      <c r="C26" s="19">
        <v>8000000</v>
      </c>
      <c r="D26" s="12">
        <f>tbl_jobSalary[[#This Row],[میانگین پرداختی ۱۴۰۰]]*(d_salaryYOY + 1)</f>
        <v>11200000</v>
      </c>
      <c r="E26" s="12">
        <f>tbl_jobSalary[[#This Row],[میانگین پرداختی ۱۴۰۰]]*d_AnnualSalary</f>
        <v>142400000</v>
      </c>
      <c r="F26" s="12">
        <f>tbl_jobSalary[[#This Row],[میانگین پرداختی ۱۴۰۱]]*d_AnnualSalary</f>
        <v>199360000</v>
      </c>
    </row>
    <row r="27" spans="1:6" x14ac:dyDescent="0.4"/>
    <row r="28" spans="1:6" x14ac:dyDescent="0.4"/>
    <row r="29" spans="1:6" x14ac:dyDescent="0.4"/>
    <row r="30" spans="1:6" x14ac:dyDescent="0.4"/>
  </sheetData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DBBA6-9518-4069-91BC-82470ED3FE95}">
  <sheetPr>
    <tabColor theme="8" tint="0.79998168889431442"/>
  </sheetPr>
  <dimension ref="A1:G19"/>
  <sheetViews>
    <sheetView rightToLeft="1" workbookViewId="0">
      <selection activeCell="D5" sqref="D5"/>
    </sheetView>
  </sheetViews>
  <sheetFormatPr defaultColWidth="0" defaultRowHeight="17.25" zeroHeight="1" x14ac:dyDescent="0.4"/>
  <cols>
    <col min="1" max="1" width="9.140625" style="1" customWidth="1"/>
    <col min="2" max="2" width="29.85546875" style="1" customWidth="1"/>
    <col min="3" max="5" width="28.7109375" style="1" customWidth="1"/>
    <col min="6" max="7" width="9.140625" style="1" customWidth="1"/>
    <col min="8" max="16384" width="9.140625" style="1" hidden="1"/>
  </cols>
  <sheetData>
    <row r="1" spans="1:5" x14ac:dyDescent="0.4">
      <c r="A1" s="1" t="s">
        <v>0</v>
      </c>
      <c r="B1" s="1" t="s">
        <v>2</v>
      </c>
      <c r="C1" s="23" t="s">
        <v>14</v>
      </c>
      <c r="D1" s="23" t="s">
        <v>15</v>
      </c>
      <c r="E1" s="1" t="s">
        <v>21</v>
      </c>
    </row>
    <row r="2" spans="1:5" x14ac:dyDescent="0.4">
      <c r="A2" s="1">
        <f>ROW(A1)</f>
        <v>1</v>
      </c>
      <c r="B2" s="1" t="s">
        <v>22</v>
      </c>
      <c r="C2" s="19">
        <v>50000000</v>
      </c>
      <c r="D2" s="19">
        <v>80000000</v>
      </c>
      <c r="E2" s="19">
        <f>SUM(tbl_marketing[[#This Row],[1400]:[1401]])</f>
        <v>130000000</v>
      </c>
    </row>
    <row r="3" spans="1:5" x14ac:dyDescent="0.4">
      <c r="A3" s="1">
        <f t="shared" ref="A3:A10" si="0">ROW(A2)</f>
        <v>2</v>
      </c>
      <c r="B3" s="1" t="s">
        <v>30</v>
      </c>
      <c r="C3" s="19">
        <v>100000000</v>
      </c>
      <c r="D3" s="19">
        <v>250000000</v>
      </c>
      <c r="E3" s="19">
        <f>SUM(tbl_marketing[[#This Row],[1400]:[1401]])</f>
        <v>350000000</v>
      </c>
    </row>
    <row r="4" spans="1:5" x14ac:dyDescent="0.4">
      <c r="A4" s="1">
        <f t="shared" si="0"/>
        <v>3</v>
      </c>
      <c r="B4" s="1" t="s">
        <v>31</v>
      </c>
      <c r="C4" s="19">
        <v>200000000</v>
      </c>
      <c r="D4" s="19">
        <v>1500000000</v>
      </c>
      <c r="E4" s="19">
        <f>SUM(tbl_marketing[[#This Row],[1400]:[1401]])</f>
        <v>1700000000</v>
      </c>
    </row>
    <row r="5" spans="1:5" x14ac:dyDescent="0.4">
      <c r="A5" s="1">
        <f t="shared" si="0"/>
        <v>4</v>
      </c>
      <c r="B5" s="1" t="s">
        <v>62</v>
      </c>
      <c r="C5" s="19">
        <v>80000000</v>
      </c>
      <c r="D5" s="19">
        <v>400000000</v>
      </c>
      <c r="E5" s="19">
        <f>SUM(tbl_marketing[[#This Row],[1400]:[1401]])</f>
        <v>480000000</v>
      </c>
    </row>
    <row r="6" spans="1:5" x14ac:dyDescent="0.4">
      <c r="A6" s="1">
        <f t="shared" si="0"/>
        <v>5</v>
      </c>
      <c r="B6" s="1" t="s">
        <v>23</v>
      </c>
      <c r="C6" s="19">
        <v>30000000</v>
      </c>
      <c r="D6" s="19">
        <v>100000000</v>
      </c>
      <c r="E6" s="19">
        <f>SUM(tbl_marketing[[#This Row],[1400]:[1401]])</f>
        <v>130000000</v>
      </c>
    </row>
    <row r="7" spans="1:5" x14ac:dyDescent="0.4">
      <c r="A7" s="1">
        <f t="shared" si="0"/>
        <v>6</v>
      </c>
      <c r="B7" s="1" t="s">
        <v>27</v>
      </c>
      <c r="C7" s="19">
        <v>10000000</v>
      </c>
      <c r="D7" s="19">
        <v>40000000</v>
      </c>
      <c r="E7" s="19">
        <f>SUM(tbl_marketing[[#This Row],[1400]:[1401]])</f>
        <v>50000000</v>
      </c>
    </row>
    <row r="8" spans="1:5" x14ac:dyDescent="0.4">
      <c r="A8" s="1">
        <f t="shared" si="0"/>
        <v>7</v>
      </c>
      <c r="B8" s="1" t="s">
        <v>24</v>
      </c>
      <c r="C8" s="19">
        <v>20000000</v>
      </c>
      <c r="D8" s="19">
        <v>60000000</v>
      </c>
      <c r="E8" s="19">
        <f>SUM(tbl_marketing[[#This Row],[1400]:[1401]])</f>
        <v>80000000</v>
      </c>
    </row>
    <row r="9" spans="1:5" x14ac:dyDescent="0.4">
      <c r="A9" s="1">
        <f t="shared" si="0"/>
        <v>8</v>
      </c>
      <c r="B9" s="1" t="s">
        <v>25</v>
      </c>
      <c r="C9" s="19">
        <v>10000000</v>
      </c>
      <c r="D9" s="19">
        <v>20000000</v>
      </c>
      <c r="E9" s="19">
        <f>SUM(tbl_marketing[[#This Row],[1400]:[1401]])</f>
        <v>30000000</v>
      </c>
    </row>
    <row r="10" spans="1:5" x14ac:dyDescent="0.4">
      <c r="A10" s="1">
        <f t="shared" si="0"/>
        <v>9</v>
      </c>
      <c r="B10" s="1" t="s">
        <v>26</v>
      </c>
      <c r="C10" s="19">
        <v>40000000</v>
      </c>
      <c r="D10" s="19">
        <v>100000000</v>
      </c>
      <c r="E10" s="19">
        <f>SUM(tbl_marketing[[#This Row],[1400]:[1401]])</f>
        <v>140000000</v>
      </c>
    </row>
    <row r="11" spans="1:5" x14ac:dyDescent="0.4">
      <c r="A11" s="1" t="s">
        <v>1</v>
      </c>
      <c r="C11" s="12">
        <f>SUBTOTAL(109,tbl_marketing[1400])</f>
        <v>540000000</v>
      </c>
      <c r="D11" s="12">
        <f>SUBTOTAL(109,tbl_marketing[1401])</f>
        <v>2550000000</v>
      </c>
      <c r="E11" s="12">
        <f>SUBTOTAL(109,tbl_marketing[جمع])</f>
        <v>3090000000</v>
      </c>
    </row>
    <row r="12" spans="1:5" x14ac:dyDescent="0.4"/>
    <row r="13" spans="1:5" x14ac:dyDescent="0.4"/>
    <row r="14" spans="1:5" x14ac:dyDescent="0.4"/>
    <row r="15" spans="1:5" x14ac:dyDescent="0.4"/>
    <row r="16" spans="1:5" x14ac:dyDescent="0.4"/>
    <row r="17" x14ac:dyDescent="0.4"/>
    <row r="18" x14ac:dyDescent="0.4"/>
    <row r="19" x14ac:dyDescent="0.4"/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22E024-D9BB-4824-99A8-D3706E564428}">
  <sheetPr>
    <tabColor theme="8" tint="0.79998168889431442"/>
  </sheetPr>
  <dimension ref="A1:G22"/>
  <sheetViews>
    <sheetView rightToLeft="1" workbookViewId="0">
      <selection activeCell="D4" sqref="D4"/>
    </sheetView>
  </sheetViews>
  <sheetFormatPr defaultColWidth="0" defaultRowHeight="17.25" zeroHeight="1" x14ac:dyDescent="0.4"/>
  <cols>
    <col min="1" max="1" width="9.140625" style="1" customWidth="1"/>
    <col min="2" max="2" width="34.7109375" style="1" customWidth="1"/>
    <col min="3" max="5" width="24.5703125" style="1" customWidth="1"/>
    <col min="6" max="7" width="9.140625" style="1" customWidth="1"/>
    <col min="8" max="16384" width="9.140625" style="1" hidden="1"/>
  </cols>
  <sheetData>
    <row r="1" spans="1:5" x14ac:dyDescent="0.4">
      <c r="A1" s="1" t="s">
        <v>35</v>
      </c>
      <c r="B1" s="1" t="s">
        <v>2</v>
      </c>
      <c r="C1" s="23" t="s">
        <v>14</v>
      </c>
      <c r="D1" s="23" t="s">
        <v>15</v>
      </c>
      <c r="E1" s="1" t="s">
        <v>21</v>
      </c>
    </row>
    <row r="2" spans="1:5" x14ac:dyDescent="0.4">
      <c r="A2" s="1">
        <f>ROW(A1)</f>
        <v>1</v>
      </c>
      <c r="B2" s="1" t="s">
        <v>51</v>
      </c>
      <c r="C2" s="12">
        <f>tbl_serverCount[1400]*d_coloCost * d_year1400Remain</f>
        <v>96000000</v>
      </c>
      <c r="D2" s="12">
        <f>tbl_serverCount[1401]*d_coloCost * 12</f>
        <v>288000000</v>
      </c>
      <c r="E2" s="12">
        <f>SUM(tbl_office[[#This Row],[1400]:[1401]])</f>
        <v>384000000</v>
      </c>
    </row>
    <row r="3" spans="1:5" x14ac:dyDescent="0.4">
      <c r="A3" s="1">
        <f t="shared" ref="A3:A9" si="0">ROW(A2)</f>
        <v>2</v>
      </c>
      <c r="B3" s="1" t="s">
        <v>61</v>
      </c>
      <c r="C3" s="12">
        <v>30000000</v>
      </c>
      <c r="D3" s="12">
        <v>120000000</v>
      </c>
      <c r="E3" s="12">
        <f>SUM(tbl_office[[#This Row],[1400]:[1401]])</f>
        <v>150000000</v>
      </c>
    </row>
    <row r="4" spans="1:5" x14ac:dyDescent="0.4">
      <c r="A4" s="1">
        <f t="shared" si="0"/>
        <v>3</v>
      </c>
      <c r="B4" s="1" t="s">
        <v>36</v>
      </c>
      <c r="C4" s="12">
        <v>10000000</v>
      </c>
      <c r="D4" s="12">
        <v>30000000</v>
      </c>
      <c r="E4" s="12">
        <f>SUM(tbl_office[[#This Row],[1400]:[1401]])</f>
        <v>40000000</v>
      </c>
    </row>
    <row r="5" spans="1:5" x14ac:dyDescent="0.4">
      <c r="A5" s="1">
        <f t="shared" si="0"/>
        <v>4</v>
      </c>
      <c r="B5" s="1" t="s">
        <v>81</v>
      </c>
      <c r="C5" s="12">
        <v>10000000</v>
      </c>
      <c r="D5" s="12">
        <v>60000000</v>
      </c>
      <c r="E5" s="12">
        <f>SUM(tbl_office[[#This Row],[1400]:[1401]])</f>
        <v>70000000</v>
      </c>
    </row>
    <row r="6" spans="1:5" x14ac:dyDescent="0.4">
      <c r="A6" s="1">
        <f t="shared" si="0"/>
        <v>5</v>
      </c>
      <c r="B6" s="1" t="s">
        <v>42</v>
      </c>
      <c r="C6" s="12">
        <f>d_staff1400*d_usagePerPersonPerMonth * d_year1400Remain</f>
        <v>32400000</v>
      </c>
      <c r="D6" s="12">
        <f>d_staffTotal * d_usagePerPersonPerMonth * 12</f>
        <v>151200000</v>
      </c>
      <c r="E6" s="12">
        <f>SUM(tbl_office[[#This Row],[1400]:[1401]])</f>
        <v>183600000</v>
      </c>
    </row>
    <row r="7" spans="1:5" x14ac:dyDescent="0.4">
      <c r="A7" s="1">
        <f t="shared" si="0"/>
        <v>6</v>
      </c>
      <c r="B7" s="1" t="s">
        <v>43</v>
      </c>
      <c r="C7" s="12">
        <v>10000000</v>
      </c>
      <c r="D7" s="12">
        <v>30000000</v>
      </c>
      <c r="E7" s="12">
        <f>SUM(tbl_office[[#This Row],[1400]:[1401]])</f>
        <v>40000000</v>
      </c>
    </row>
    <row r="8" spans="1:5" x14ac:dyDescent="0.4">
      <c r="A8" s="1">
        <f t="shared" si="0"/>
        <v>7</v>
      </c>
      <c r="B8" s="1" t="s">
        <v>44</v>
      </c>
      <c r="C8" s="12">
        <v>10000000</v>
      </c>
      <c r="D8" s="12">
        <v>40000000</v>
      </c>
      <c r="E8" s="12">
        <f>SUM(tbl_office[[#This Row],[1400]:[1401]])</f>
        <v>50000000</v>
      </c>
    </row>
    <row r="9" spans="1:5" x14ac:dyDescent="0.4">
      <c r="A9" s="1">
        <f t="shared" si="0"/>
        <v>8</v>
      </c>
      <c r="B9" s="1" t="s">
        <v>185</v>
      </c>
      <c r="C9" s="12">
        <f>SUM(C2:C8) * 10%</f>
        <v>19840000</v>
      </c>
      <c r="D9" s="12">
        <f>SUM(D2:D8) * 10%</f>
        <v>71920000</v>
      </c>
      <c r="E9" s="12">
        <f>SUM(tbl_office[[#This Row],[1400]:[1401]])</f>
        <v>91760000</v>
      </c>
    </row>
    <row r="10" spans="1:5" x14ac:dyDescent="0.4">
      <c r="A10" s="1" t="s">
        <v>1</v>
      </c>
      <c r="C10" s="12">
        <f>SUBTOTAL(109,tbl_office[1400])</f>
        <v>218240000</v>
      </c>
      <c r="D10" s="12">
        <f>SUBTOTAL(109,tbl_office[1401])</f>
        <v>791120000</v>
      </c>
      <c r="E10" s="12">
        <f>SUBTOTAL(109,tbl_office[جمع])</f>
        <v>1009360000</v>
      </c>
    </row>
    <row r="11" spans="1:5" x14ac:dyDescent="0.4"/>
    <row r="12" spans="1:5" x14ac:dyDescent="0.4"/>
    <row r="13" spans="1:5" x14ac:dyDescent="0.4"/>
    <row r="14" spans="1:5" x14ac:dyDescent="0.4"/>
    <row r="15" spans="1:5" x14ac:dyDescent="0.4"/>
    <row r="16" spans="1:5" x14ac:dyDescent="0.4"/>
    <row r="17" x14ac:dyDescent="0.4"/>
    <row r="18" x14ac:dyDescent="0.4"/>
    <row r="19" x14ac:dyDescent="0.4"/>
    <row r="20" x14ac:dyDescent="0.4"/>
    <row r="21" x14ac:dyDescent="0.4"/>
    <row r="22" x14ac:dyDescent="0.4"/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4F6E58-11BF-4A5C-A2ED-6325C015977B}">
  <sheetPr>
    <tabColor theme="9" tint="0.59999389629810485"/>
  </sheetPr>
  <dimension ref="A1:AA34"/>
  <sheetViews>
    <sheetView rightToLeft="1" zoomScaleNormal="100" workbookViewId="0">
      <selection activeCell="G2" sqref="G2"/>
    </sheetView>
  </sheetViews>
  <sheetFormatPr defaultColWidth="0" defaultRowHeight="17.25" x14ac:dyDescent="0.4"/>
  <cols>
    <col min="1" max="1" width="15.42578125" style="1" customWidth="1"/>
    <col min="2" max="2" width="35.28515625" style="1" bestFit="1" customWidth="1"/>
    <col min="3" max="4" width="22.7109375" style="1" customWidth="1"/>
    <col min="5" max="7" width="22" style="1" customWidth="1"/>
    <col min="8" max="8" width="23.5703125" style="1" bestFit="1" customWidth="1"/>
    <col min="9" max="9" width="20.5703125" style="1" bestFit="1" customWidth="1"/>
    <col min="10" max="10" width="23.7109375" style="23" customWidth="1"/>
    <col min="11" max="11" width="11.42578125" style="23" bestFit="1" customWidth="1"/>
    <col min="12" max="14" width="12.7109375" style="23" bestFit="1" customWidth="1"/>
    <col min="15" max="15" width="14" style="23" bestFit="1" customWidth="1"/>
    <col min="16" max="17" width="12.28515625" style="23" bestFit="1" customWidth="1"/>
    <col min="18" max="18" width="13.5703125" style="23" bestFit="1" customWidth="1"/>
    <col min="19" max="22" width="12.5703125" style="23" customWidth="1"/>
    <col min="23" max="27" width="9.140625" style="1" customWidth="1"/>
    <col min="28" max="16384" width="9.140625" style="1" hidden="1"/>
  </cols>
  <sheetData>
    <row r="1" spans="1:18" x14ac:dyDescent="0.4">
      <c r="A1" s="1" t="s">
        <v>35</v>
      </c>
      <c r="B1" s="1" t="s">
        <v>2</v>
      </c>
      <c r="C1" s="1" t="s">
        <v>68</v>
      </c>
      <c r="D1" s="1" t="s">
        <v>78</v>
      </c>
      <c r="E1" s="1" t="s">
        <v>79</v>
      </c>
      <c r="F1" s="1" t="s">
        <v>77</v>
      </c>
      <c r="G1" s="1" t="s">
        <v>66</v>
      </c>
      <c r="H1" s="1" t="s">
        <v>96</v>
      </c>
      <c r="I1" s="23" t="s">
        <v>95</v>
      </c>
      <c r="J1" s="1" t="s">
        <v>85</v>
      </c>
      <c r="K1" s="41" t="s">
        <v>86</v>
      </c>
      <c r="L1" s="41" t="s">
        <v>87</v>
      </c>
      <c r="M1" s="41" t="s">
        <v>88</v>
      </c>
      <c r="N1" s="41" t="s">
        <v>89</v>
      </c>
      <c r="O1" s="41" t="s">
        <v>90</v>
      </c>
      <c r="P1" s="23" t="s">
        <v>91</v>
      </c>
      <c r="Q1" s="23" t="s">
        <v>92</v>
      </c>
      <c r="R1" s="23" t="s">
        <v>93</v>
      </c>
    </row>
    <row r="2" spans="1:18" x14ac:dyDescent="0.4">
      <c r="A2" s="1">
        <f>ROW(A1)</f>
        <v>1</v>
      </c>
      <c r="B2" s="1" t="s">
        <v>63</v>
      </c>
      <c r="C2" s="1" t="s">
        <v>84</v>
      </c>
      <c r="D2" s="12">
        <v>50000</v>
      </c>
      <c r="E2" s="12">
        <v>16000</v>
      </c>
      <c r="F2" s="12">
        <f>tbl_pricing[[#This Row],[مبلغ پرداختی]]-tbl_pricing[[#This Row],[بهای تمام شده]]</f>
        <v>34000</v>
      </c>
      <c r="G2" s="38">
        <v>0.06</v>
      </c>
      <c r="H2" s="45">
        <f>tbl_pricing[[#This Row],[درصد خرید]]*tbl_pricing[[#This Row],[سود]]</f>
        <v>2040</v>
      </c>
      <c r="I2" s="44">
        <f>tbl_pricing[[#This Row],[کل بیزینس‌ها]]/ SUM(tbl_pricing[کل بیزینس‌ها])</f>
        <v>0.18360459011475286</v>
      </c>
      <c r="J2" s="49">
        <f>tbl_pricing[[#Headers],[500]]*tbl_pricing[[#This Row],[درصد خرید]]*tbl_pricing[[#This Row],[سود به ازای هر بیزینس]]</f>
        <v>61200</v>
      </c>
      <c r="K2" s="47">
        <f>tbl_pricing[[#Headers],[500]]*tbl_pricing[[#This Row],[درصد خرید]]</f>
        <v>30</v>
      </c>
      <c r="L2" s="47">
        <f>tbl_pricing[[#Headers],[1000]]*tbl_pricing[[#This Row],[درصد خرید]]</f>
        <v>60</v>
      </c>
      <c r="M2" s="47">
        <f>tbl_pricing[[#Headers],[2000]]*tbl_pricing[[#This Row],[درصد خرید]]</f>
        <v>120</v>
      </c>
      <c r="N2" s="47">
        <f>tbl_pricing[[#Headers],[5000]]*tbl_pricing[[#This Row],[درصد خرید]]</f>
        <v>300</v>
      </c>
      <c r="O2" s="47">
        <f>tbl_pricing[[#Headers],[10000]]*tbl_pricing[[#This Row],[درصد خرید]]</f>
        <v>600</v>
      </c>
      <c r="P2" s="47">
        <f>tbl_pricing[[#Headers],[20000]]*tbl_pricing[[#This Row],[درصد خرید]]</f>
        <v>1200</v>
      </c>
      <c r="Q2" s="47">
        <f>tbl_pricing[[#Headers],[50000]]*tbl_pricing[[#This Row],[درصد خرید]]</f>
        <v>3000</v>
      </c>
      <c r="R2" s="47">
        <f>tbl_pricing[[#Headers],[100000]]*tbl_pricing[[#This Row],[درصد خرید]]</f>
        <v>6000</v>
      </c>
    </row>
    <row r="3" spans="1:18" x14ac:dyDescent="0.4">
      <c r="A3" s="1">
        <f t="shared" ref="A3:A13" si="0">ROW(A2)</f>
        <v>2</v>
      </c>
      <c r="B3" s="1" t="s">
        <v>67</v>
      </c>
      <c r="C3" s="1" t="s">
        <v>70</v>
      </c>
      <c r="D3" s="12">
        <v>100000</v>
      </c>
      <c r="E3" s="12"/>
      <c r="F3" s="12">
        <f>tbl_pricing[[#This Row],[مبلغ پرداختی]]-tbl_pricing[[#This Row],[بهای تمام شده]]</f>
        <v>100000</v>
      </c>
      <c r="G3" s="38">
        <v>0.03</v>
      </c>
      <c r="H3" s="45">
        <f>tbl_pricing[[#This Row],[درصد خرید]]*tbl_pricing[[#This Row],[سود]]</f>
        <v>3000</v>
      </c>
      <c r="I3" s="44">
        <f>tbl_pricing[[#This Row],[کل بیزینس‌ها]]/ SUM(tbl_pricing[کل بیزینس‌ها])</f>
        <v>0.1350033750843771</v>
      </c>
      <c r="J3" s="49">
        <f>tbl_pricing[[#Headers],[500]]*tbl_pricing[[#This Row],[درصد خرید]]*tbl_pricing[[#This Row],[سود به ازای هر بیزینس]]</f>
        <v>45000</v>
      </c>
      <c r="K3" s="47">
        <f>tbl_pricing[[#Headers],[500]]*tbl_pricing[[#This Row],[درصد خرید]]</f>
        <v>15</v>
      </c>
      <c r="L3" s="47">
        <f>tbl_pricing[[#Headers],[1000]]*tbl_pricing[[#This Row],[درصد خرید]]</f>
        <v>30</v>
      </c>
      <c r="M3" s="47">
        <f>tbl_pricing[[#Headers],[2000]]*tbl_pricing[[#This Row],[درصد خرید]]</f>
        <v>60</v>
      </c>
      <c r="N3" s="47">
        <f>tbl_pricing[[#Headers],[5000]]*tbl_pricing[[#This Row],[درصد خرید]]</f>
        <v>150</v>
      </c>
      <c r="O3" s="47">
        <f>tbl_pricing[[#Headers],[10000]]*tbl_pricing[[#This Row],[درصد خرید]]</f>
        <v>300</v>
      </c>
      <c r="P3" s="47">
        <f>tbl_pricing[[#Headers],[20000]]*tbl_pricing[[#This Row],[درصد خرید]]</f>
        <v>600</v>
      </c>
      <c r="Q3" s="47">
        <f>tbl_pricing[[#Headers],[50000]]*tbl_pricing[[#This Row],[درصد خرید]]</f>
        <v>1500</v>
      </c>
      <c r="R3" s="47">
        <f>tbl_pricing[[#Headers],[100000]]*tbl_pricing[[#This Row],[درصد خرید]]</f>
        <v>3000</v>
      </c>
    </row>
    <row r="4" spans="1:18" x14ac:dyDescent="0.4">
      <c r="A4" s="1">
        <f t="shared" si="0"/>
        <v>3</v>
      </c>
      <c r="B4" s="1" t="s">
        <v>71</v>
      </c>
      <c r="C4" s="1" t="s">
        <v>69</v>
      </c>
      <c r="D4" s="12">
        <v>80000</v>
      </c>
      <c r="E4" s="12"/>
      <c r="F4" s="12">
        <f>tbl_pricing[[#This Row],[مبلغ پرداختی]]-tbl_pricing[[#This Row],[بهای تمام شده]]</f>
        <v>80000</v>
      </c>
      <c r="G4" s="38">
        <v>0.04</v>
      </c>
      <c r="H4" s="45">
        <f>tbl_pricing[[#This Row],[درصد خرید]]*tbl_pricing[[#This Row],[سود]]</f>
        <v>3200</v>
      </c>
      <c r="I4" s="44">
        <f>tbl_pricing[[#This Row],[کل بیزینس‌ها]]/ SUM(tbl_pricing[کل بیزینس‌ها])</f>
        <v>0.19200480012000301</v>
      </c>
      <c r="J4" s="49">
        <f>tbl_pricing[[#Headers],[500]]*tbl_pricing[[#This Row],[درصد خرید]]*tbl_pricing[[#This Row],[سود به ازای هر بیزینس]]</f>
        <v>64000</v>
      </c>
      <c r="K4" s="47">
        <f>tbl_pricing[[#Headers],[500]]*tbl_pricing[[#This Row],[درصد خرید]]</f>
        <v>20</v>
      </c>
      <c r="L4" s="47">
        <f>tbl_pricing[[#Headers],[1000]]*tbl_pricing[[#This Row],[درصد خرید]]</f>
        <v>40</v>
      </c>
      <c r="M4" s="47">
        <f>tbl_pricing[[#Headers],[2000]]*tbl_pricing[[#This Row],[درصد خرید]]</f>
        <v>80</v>
      </c>
      <c r="N4" s="47">
        <f>tbl_pricing[[#Headers],[5000]]*tbl_pricing[[#This Row],[درصد خرید]]</f>
        <v>200</v>
      </c>
      <c r="O4" s="47">
        <f>tbl_pricing[[#Headers],[10000]]*tbl_pricing[[#This Row],[درصد خرید]]</f>
        <v>400</v>
      </c>
      <c r="P4" s="47">
        <f>tbl_pricing[[#Headers],[20000]]*tbl_pricing[[#This Row],[درصد خرید]]</f>
        <v>800</v>
      </c>
      <c r="Q4" s="47">
        <f>tbl_pricing[[#Headers],[50000]]*tbl_pricing[[#This Row],[درصد خرید]]</f>
        <v>2000</v>
      </c>
      <c r="R4" s="47">
        <f>tbl_pricing[[#Headers],[100000]]*tbl_pricing[[#This Row],[درصد خرید]]</f>
        <v>4000</v>
      </c>
    </row>
    <row r="5" spans="1:18" x14ac:dyDescent="0.4">
      <c r="A5" s="1">
        <f t="shared" si="0"/>
        <v>4</v>
      </c>
      <c r="B5" s="1" t="s">
        <v>72</v>
      </c>
      <c r="C5" s="1" t="s">
        <v>70</v>
      </c>
      <c r="D5" s="12">
        <v>3000000</v>
      </c>
      <c r="E5" s="12"/>
      <c r="F5" s="12">
        <f>tbl_pricing[[#This Row],[مبلغ پرداختی]]-tbl_pricing[[#This Row],[بهای تمام شده]]</f>
        <v>3000000</v>
      </c>
      <c r="G5" s="39">
        <v>6.0000000000000001E-3</v>
      </c>
      <c r="H5" s="45">
        <f>tbl_pricing[[#This Row],[درصد خرید]]*tbl_pricing[[#This Row],[سود]]</f>
        <v>18000</v>
      </c>
      <c r="I5" s="44">
        <f>tbl_pricing[[#This Row],[کل بیزینس‌ها]]/ SUM(tbl_pricing[کل بیزینس‌ها])</f>
        <v>0.16200405010125254</v>
      </c>
      <c r="J5" s="49">
        <f>tbl_pricing[[#Headers],[500]]*tbl_pricing[[#This Row],[درصد خرید]]*tbl_pricing[[#This Row],[سود به ازای هر بیزینس]]</f>
        <v>54000</v>
      </c>
      <c r="K5" s="47">
        <f>tbl_pricing[[#Headers],[500]]*tbl_pricing[[#This Row],[درصد خرید]]</f>
        <v>3</v>
      </c>
      <c r="L5" s="47">
        <f>tbl_pricing[[#Headers],[1000]]*tbl_pricing[[#This Row],[درصد خرید]]</f>
        <v>6</v>
      </c>
      <c r="M5" s="47">
        <f>tbl_pricing[[#Headers],[2000]]*tbl_pricing[[#This Row],[درصد خرید]]</f>
        <v>12</v>
      </c>
      <c r="N5" s="47">
        <f>tbl_pricing[[#Headers],[5000]]*tbl_pricing[[#This Row],[درصد خرید]]</f>
        <v>30</v>
      </c>
      <c r="O5" s="47">
        <f>tbl_pricing[[#Headers],[10000]]*tbl_pricing[[#This Row],[درصد خرید]]</f>
        <v>60</v>
      </c>
      <c r="P5" s="47">
        <f>tbl_pricing[[#Headers],[20000]]*tbl_pricing[[#This Row],[درصد خرید]]</f>
        <v>120</v>
      </c>
      <c r="Q5" s="47">
        <f>tbl_pricing[[#Headers],[50000]]*tbl_pricing[[#This Row],[درصد خرید]]</f>
        <v>300</v>
      </c>
      <c r="R5" s="47">
        <f>tbl_pricing[[#Headers],[100000]]*tbl_pricing[[#This Row],[درصد خرید]]</f>
        <v>600</v>
      </c>
    </row>
    <row r="6" spans="1:18" x14ac:dyDescent="0.4">
      <c r="A6" s="1">
        <f t="shared" si="0"/>
        <v>5</v>
      </c>
      <c r="B6" s="1" t="s">
        <v>186</v>
      </c>
      <c r="C6" s="1" t="s">
        <v>70</v>
      </c>
      <c r="D6" s="12">
        <v>5000000</v>
      </c>
      <c r="E6" s="12"/>
      <c r="F6" s="12">
        <f>tbl_pricing[[#This Row],[مبلغ پرداختی]]-tbl_pricing[[#This Row],[بهای تمام شده]]</f>
        <v>5000000</v>
      </c>
      <c r="G6" s="43">
        <v>5.0000000000000001E-4</v>
      </c>
      <c r="H6" s="45">
        <f>tbl_pricing[[#This Row],[درصد خرید]]*tbl_pricing[[#This Row],[سود]]</f>
        <v>2500</v>
      </c>
      <c r="I6" s="44">
        <f>tbl_pricing[[#This Row],[کل بیزینس‌ها]]/ SUM(tbl_pricing[کل بیزینس‌ها])</f>
        <v>1.8750468761719043E-3</v>
      </c>
      <c r="J6" s="49">
        <f>tbl_pricing[[#Headers],[500]]*tbl_pricing[[#This Row],[درصد خرید]]*tbl_pricing[[#This Row],[سود به ازای هر بیزینس]]</f>
        <v>625</v>
      </c>
      <c r="K6" s="47">
        <f>tbl_pricing[[#Headers],[500]]*tbl_pricing[[#This Row],[درصد خرید]]</f>
        <v>0.25</v>
      </c>
      <c r="L6" s="47">
        <f>tbl_pricing[[#Headers],[1000]]*tbl_pricing[[#This Row],[درصد خرید]]</f>
        <v>0.5</v>
      </c>
      <c r="M6" s="47">
        <f>tbl_pricing[[#Headers],[2000]]*tbl_pricing[[#This Row],[درصد خرید]]</f>
        <v>1</v>
      </c>
      <c r="N6" s="47">
        <f>tbl_pricing[[#Headers],[5000]]*tbl_pricing[[#This Row],[درصد خرید]]</f>
        <v>2.5</v>
      </c>
      <c r="O6" s="47">
        <f>tbl_pricing[[#Headers],[10000]]*tbl_pricing[[#This Row],[درصد خرید]]</f>
        <v>5</v>
      </c>
      <c r="P6" s="47">
        <f>tbl_pricing[[#Headers],[20000]]*tbl_pricing[[#This Row],[درصد خرید]]</f>
        <v>10</v>
      </c>
      <c r="Q6" s="47">
        <f>tbl_pricing[[#Headers],[50000]]*tbl_pricing[[#This Row],[درصد خرید]]</f>
        <v>25</v>
      </c>
      <c r="R6" s="47">
        <f>tbl_pricing[[#Headers],[100000]]*tbl_pricing[[#This Row],[درصد خرید]]</f>
        <v>50</v>
      </c>
    </row>
    <row r="7" spans="1:18" x14ac:dyDescent="0.4">
      <c r="A7" s="1">
        <f t="shared" si="0"/>
        <v>6</v>
      </c>
      <c r="B7" s="1" t="s">
        <v>94</v>
      </c>
      <c r="C7" s="1" t="s">
        <v>70</v>
      </c>
      <c r="D7" s="12">
        <v>100000</v>
      </c>
      <c r="E7" s="12"/>
      <c r="F7" s="12">
        <f>tbl_pricing[[#This Row],[مبلغ پرداختی]]-tbl_pricing[[#This Row],[بهای تمام شده]]</f>
        <v>100000</v>
      </c>
      <c r="G7" s="39">
        <v>5.0000000000000001E-3</v>
      </c>
      <c r="H7" s="45">
        <f>tbl_pricing[[#This Row],[درصد خرید]]*tbl_pricing[[#This Row],[سود]]</f>
        <v>500</v>
      </c>
      <c r="I7" s="44">
        <f>tbl_pricing[[#This Row],[کل بیزینس‌ها]]/ SUM(tbl_pricing[کل بیزینس‌ها])</f>
        <v>3.7500937523438087E-3</v>
      </c>
      <c r="J7" s="49">
        <f>tbl_pricing[[#Headers],[500]]*tbl_pricing[[#This Row],[درصد خرید]]*tbl_pricing[[#This Row],[سود به ازای هر بیزینس]]</f>
        <v>1250</v>
      </c>
      <c r="K7" s="47">
        <f>tbl_pricing[[#Headers],[500]]*tbl_pricing[[#This Row],[درصد خرید]]</f>
        <v>2.5</v>
      </c>
      <c r="L7" s="47">
        <f>tbl_pricing[[#Headers],[1000]]*tbl_pricing[[#This Row],[درصد خرید]]</f>
        <v>5</v>
      </c>
      <c r="M7" s="47">
        <f>tbl_pricing[[#Headers],[2000]]*tbl_pricing[[#This Row],[درصد خرید]]</f>
        <v>10</v>
      </c>
      <c r="N7" s="47">
        <f>tbl_pricing[[#Headers],[5000]]*tbl_pricing[[#This Row],[درصد خرید]]</f>
        <v>25</v>
      </c>
      <c r="O7" s="47">
        <f>tbl_pricing[[#Headers],[10000]]*tbl_pricing[[#This Row],[درصد خرید]]</f>
        <v>50</v>
      </c>
      <c r="P7" s="47">
        <f>tbl_pricing[[#Headers],[20000]]*tbl_pricing[[#This Row],[درصد خرید]]</f>
        <v>100</v>
      </c>
      <c r="Q7" s="47">
        <f>tbl_pricing[[#Headers],[50000]]*tbl_pricing[[#This Row],[درصد خرید]]</f>
        <v>250</v>
      </c>
      <c r="R7" s="47">
        <f>tbl_pricing[[#Headers],[100000]]*tbl_pricing[[#This Row],[درصد خرید]]</f>
        <v>500</v>
      </c>
    </row>
    <row r="8" spans="1:18" x14ac:dyDescent="0.4">
      <c r="A8" s="1">
        <f>ROW(A7)</f>
        <v>7</v>
      </c>
      <c r="B8" s="1" t="s">
        <v>173</v>
      </c>
      <c r="C8" s="1" t="s">
        <v>84</v>
      </c>
      <c r="D8" s="12">
        <v>100000</v>
      </c>
      <c r="E8" s="12">
        <v>90000</v>
      </c>
      <c r="F8" s="12">
        <f>tbl_pricing[[#This Row],[مبلغ پرداختی]]-tbl_pricing[[#This Row],[بهای تمام شده]]</f>
        <v>10000</v>
      </c>
      <c r="G8" s="25">
        <v>0.05</v>
      </c>
      <c r="H8" s="45">
        <f>tbl_pricing[[#This Row],[درصد خرید]]*tbl_pricing[[#This Row],[سود]]</f>
        <v>500</v>
      </c>
      <c r="I8" s="44">
        <f>tbl_pricing[[#This Row],[کل بیزینس‌ها]]/ SUM(tbl_pricing[کل بیزینس‌ها])</f>
        <v>3.7500937523438083E-2</v>
      </c>
      <c r="J8" s="49">
        <f>tbl_pricing[[#Headers],[500]]*tbl_pricing[[#This Row],[درصد خرید]]*tbl_pricing[[#This Row],[سود به ازای هر بیزینس]]</f>
        <v>12500</v>
      </c>
      <c r="K8" s="47">
        <f>tbl_pricing[[#Headers],[500]]*tbl_pricing[[#This Row],[درصد خرید]]</f>
        <v>25</v>
      </c>
      <c r="L8" s="47">
        <f>tbl_pricing[[#Headers],[1000]]*tbl_pricing[[#This Row],[درصد خرید]]</f>
        <v>50</v>
      </c>
      <c r="M8" s="47">
        <f>tbl_pricing[[#Headers],[2000]]*tbl_pricing[[#This Row],[درصد خرید]]</f>
        <v>100</v>
      </c>
      <c r="N8" s="47">
        <f>tbl_pricing[[#Headers],[5000]]*tbl_pricing[[#This Row],[درصد خرید]]</f>
        <v>250</v>
      </c>
      <c r="O8" s="47">
        <f>tbl_pricing[[#Headers],[10000]]*tbl_pricing[[#This Row],[درصد خرید]]</f>
        <v>500</v>
      </c>
      <c r="P8" s="47">
        <f>tbl_pricing[[#Headers],[20000]]*tbl_pricing[[#This Row],[درصد خرید]]</f>
        <v>1000</v>
      </c>
      <c r="Q8" s="47">
        <f>tbl_pricing[[#Headers],[50000]]*tbl_pricing[[#This Row],[درصد خرید]]</f>
        <v>2500</v>
      </c>
      <c r="R8" s="47">
        <f>tbl_pricing[[#Headers],[100000]]*tbl_pricing[[#This Row],[درصد خرید]]</f>
        <v>5000</v>
      </c>
    </row>
    <row r="9" spans="1:18" x14ac:dyDescent="0.4">
      <c r="A9" s="1">
        <f>ROW(A7)</f>
        <v>7</v>
      </c>
      <c r="B9" s="1" t="s">
        <v>74</v>
      </c>
      <c r="C9" s="1" t="s">
        <v>70</v>
      </c>
      <c r="D9" s="12">
        <v>50000</v>
      </c>
      <c r="E9" s="12"/>
      <c r="F9" s="12">
        <f>tbl_pricing[[#This Row],[مبلغ پرداختی]]-tbl_pricing[[#This Row],[بهای تمام شده]]</f>
        <v>50000</v>
      </c>
      <c r="G9" s="38">
        <v>0.02</v>
      </c>
      <c r="H9" s="45">
        <f>tbl_pricing[[#This Row],[درصد خرید]]*tbl_pricing[[#This Row],[سود]]</f>
        <v>1000</v>
      </c>
      <c r="I9" s="44">
        <f>tbl_pricing[[#This Row],[کل بیزینس‌ها]]/ SUM(tbl_pricing[کل بیزینس‌ها])</f>
        <v>3.000075001875047E-2</v>
      </c>
      <c r="J9" s="49">
        <f>tbl_pricing[[#Headers],[500]]*tbl_pricing[[#This Row],[درصد خرید]]*tbl_pricing[[#This Row],[سود به ازای هر بیزینس]]</f>
        <v>10000</v>
      </c>
      <c r="K9" s="47">
        <f>tbl_pricing[[#Headers],[500]]*tbl_pricing[[#This Row],[درصد خرید]]</f>
        <v>10</v>
      </c>
      <c r="L9" s="47">
        <f>tbl_pricing[[#Headers],[1000]]*tbl_pricing[[#This Row],[درصد خرید]]</f>
        <v>20</v>
      </c>
      <c r="M9" s="47">
        <f>tbl_pricing[[#Headers],[2000]]*tbl_pricing[[#This Row],[درصد خرید]]</f>
        <v>40</v>
      </c>
      <c r="N9" s="47">
        <f>tbl_pricing[[#Headers],[5000]]*tbl_pricing[[#This Row],[درصد خرید]]</f>
        <v>100</v>
      </c>
      <c r="O9" s="47">
        <f>tbl_pricing[[#Headers],[10000]]*tbl_pricing[[#This Row],[درصد خرید]]</f>
        <v>200</v>
      </c>
      <c r="P9" s="47">
        <f>tbl_pricing[[#Headers],[20000]]*tbl_pricing[[#This Row],[درصد خرید]]</f>
        <v>400</v>
      </c>
      <c r="Q9" s="47">
        <f>tbl_pricing[[#Headers],[50000]]*tbl_pricing[[#This Row],[درصد خرید]]</f>
        <v>1000</v>
      </c>
      <c r="R9" s="47">
        <f>tbl_pricing[[#Headers],[100000]]*tbl_pricing[[#This Row],[درصد خرید]]</f>
        <v>2000</v>
      </c>
    </row>
    <row r="10" spans="1:18" x14ac:dyDescent="0.4">
      <c r="A10" s="1">
        <f t="shared" si="0"/>
        <v>9</v>
      </c>
      <c r="B10" s="1" t="s">
        <v>73</v>
      </c>
      <c r="C10" s="1" t="s">
        <v>70</v>
      </c>
      <c r="D10" s="12">
        <v>200000</v>
      </c>
      <c r="E10" s="12"/>
      <c r="F10" s="12">
        <f>tbl_pricing[[#This Row],[مبلغ پرداختی]]-tbl_pricing[[#This Row],[بهای تمام شده]]</f>
        <v>200000</v>
      </c>
      <c r="G10" s="38">
        <v>5.0000000000000001E-3</v>
      </c>
      <c r="H10" s="45">
        <f>tbl_pricing[[#This Row],[درصد خرید]]*tbl_pricing[[#This Row],[سود]]</f>
        <v>1000</v>
      </c>
      <c r="I10" s="44">
        <f>tbl_pricing[[#This Row],[کل بیزینس‌ها]]/ SUM(tbl_pricing[کل بیزینس‌ها])</f>
        <v>7.5001875046876174E-3</v>
      </c>
      <c r="J10" s="49">
        <f>tbl_pricing[[#Headers],[500]]*tbl_pricing[[#This Row],[درصد خرید]]*tbl_pricing[[#This Row],[سود به ازای هر بیزینس]]</f>
        <v>2500</v>
      </c>
      <c r="K10" s="47">
        <f>tbl_pricing[[#Headers],[500]]*tbl_pricing[[#This Row],[درصد خرید]]</f>
        <v>2.5</v>
      </c>
      <c r="L10" s="47">
        <f>tbl_pricing[[#Headers],[1000]]*tbl_pricing[[#This Row],[درصد خرید]]</f>
        <v>5</v>
      </c>
      <c r="M10" s="47">
        <f>tbl_pricing[[#Headers],[2000]]*tbl_pricing[[#This Row],[درصد خرید]]</f>
        <v>10</v>
      </c>
      <c r="N10" s="47">
        <f>tbl_pricing[[#Headers],[5000]]*tbl_pricing[[#This Row],[درصد خرید]]</f>
        <v>25</v>
      </c>
      <c r="O10" s="47">
        <f>tbl_pricing[[#Headers],[10000]]*tbl_pricing[[#This Row],[درصد خرید]]</f>
        <v>50</v>
      </c>
      <c r="P10" s="47">
        <f>tbl_pricing[[#Headers],[20000]]*tbl_pricing[[#This Row],[درصد خرید]]</f>
        <v>100</v>
      </c>
      <c r="Q10" s="47">
        <f>tbl_pricing[[#Headers],[50000]]*tbl_pricing[[#This Row],[درصد خرید]]</f>
        <v>250</v>
      </c>
      <c r="R10" s="47">
        <f>tbl_pricing[[#Headers],[100000]]*tbl_pricing[[#This Row],[درصد خرید]]</f>
        <v>500</v>
      </c>
    </row>
    <row r="11" spans="1:18" x14ac:dyDescent="0.4">
      <c r="A11" s="1">
        <f t="shared" si="0"/>
        <v>10</v>
      </c>
      <c r="B11" s="1" t="s">
        <v>75</v>
      </c>
      <c r="C11" s="1" t="s">
        <v>70</v>
      </c>
      <c r="D11" s="12">
        <v>500000</v>
      </c>
      <c r="E11" s="12"/>
      <c r="F11" s="12">
        <f>tbl_pricing[[#This Row],[مبلغ پرداختی]]-tbl_pricing[[#This Row],[بهای تمام شده]]</f>
        <v>500000</v>
      </c>
      <c r="G11" s="39">
        <v>1.4999999999999999E-2</v>
      </c>
      <c r="H11" s="45">
        <f>tbl_pricing[[#This Row],[درصد خرید]]*tbl_pricing[[#This Row],[سود]]</f>
        <v>7500</v>
      </c>
      <c r="I11" s="44">
        <f>tbl_pricing[[#This Row],[کل بیزینس‌ها]]/ SUM(tbl_pricing[کل بیزینس‌ها])</f>
        <v>0.1687542188554714</v>
      </c>
      <c r="J11" s="49">
        <f>tbl_pricing[[#Headers],[500]]*tbl_pricing[[#This Row],[درصد خرید]]*tbl_pricing[[#This Row],[سود به ازای هر بیزینس]]</f>
        <v>56250</v>
      </c>
      <c r="K11" s="47">
        <f>tbl_pricing[[#Headers],[500]]*tbl_pricing[[#This Row],[درصد خرید]]</f>
        <v>7.5</v>
      </c>
      <c r="L11" s="47">
        <f>tbl_pricing[[#Headers],[1000]]*tbl_pricing[[#This Row],[درصد خرید]]</f>
        <v>15</v>
      </c>
      <c r="M11" s="47">
        <f>tbl_pricing[[#Headers],[2000]]*tbl_pricing[[#This Row],[درصد خرید]]</f>
        <v>30</v>
      </c>
      <c r="N11" s="47">
        <f>tbl_pricing[[#Headers],[5000]]*tbl_pricing[[#This Row],[درصد خرید]]</f>
        <v>75</v>
      </c>
      <c r="O11" s="47">
        <f>tbl_pricing[[#Headers],[10000]]*tbl_pricing[[#This Row],[درصد خرید]]</f>
        <v>150</v>
      </c>
      <c r="P11" s="47">
        <f>tbl_pricing[[#Headers],[20000]]*tbl_pricing[[#This Row],[درصد خرید]]</f>
        <v>300</v>
      </c>
      <c r="Q11" s="47">
        <f>tbl_pricing[[#Headers],[50000]]*tbl_pricing[[#This Row],[درصد خرید]]</f>
        <v>750</v>
      </c>
      <c r="R11" s="47">
        <f>tbl_pricing[[#Headers],[100000]]*tbl_pricing[[#This Row],[درصد خرید]]</f>
        <v>1500</v>
      </c>
    </row>
    <row r="12" spans="1:18" x14ac:dyDescent="0.4">
      <c r="A12" s="1">
        <f t="shared" si="0"/>
        <v>11</v>
      </c>
      <c r="B12" s="1" t="s">
        <v>76</v>
      </c>
      <c r="C12" s="1" t="s">
        <v>70</v>
      </c>
      <c r="D12" s="12">
        <v>100000</v>
      </c>
      <c r="E12" s="12"/>
      <c r="F12" s="12">
        <f>tbl_pricing[[#This Row],[مبلغ پرداختی]]-tbl_pricing[[#This Row],[بهای تمام شده]]</f>
        <v>100000</v>
      </c>
      <c r="G12" s="38">
        <v>0.02</v>
      </c>
      <c r="H12" s="45">
        <f>tbl_pricing[[#This Row],[درصد خرید]]*tbl_pricing[[#This Row],[سود]]</f>
        <v>2000</v>
      </c>
      <c r="I12" s="44">
        <f>tbl_pricing[[#This Row],[کل بیزینس‌ها]]/ SUM(tbl_pricing[کل بیزینس‌ها])</f>
        <v>6.0001500037500939E-2</v>
      </c>
      <c r="J12" s="49">
        <f>tbl_pricing[[#Headers],[500]]*tbl_pricing[[#This Row],[درصد خرید]]*tbl_pricing[[#This Row],[سود به ازای هر بیزینس]]</f>
        <v>20000</v>
      </c>
      <c r="K12" s="47">
        <f>tbl_pricing[[#Headers],[500]]*tbl_pricing[[#This Row],[درصد خرید]]</f>
        <v>10</v>
      </c>
      <c r="L12" s="47">
        <f>tbl_pricing[[#Headers],[1000]]*tbl_pricing[[#This Row],[درصد خرید]]</f>
        <v>20</v>
      </c>
      <c r="M12" s="47">
        <f>tbl_pricing[[#Headers],[2000]]*tbl_pricing[[#This Row],[درصد خرید]]</f>
        <v>40</v>
      </c>
      <c r="N12" s="47">
        <f>tbl_pricing[[#Headers],[5000]]*tbl_pricing[[#This Row],[درصد خرید]]</f>
        <v>100</v>
      </c>
      <c r="O12" s="47">
        <f>tbl_pricing[[#Headers],[10000]]*tbl_pricing[[#This Row],[درصد خرید]]</f>
        <v>200</v>
      </c>
      <c r="P12" s="47">
        <f>tbl_pricing[[#Headers],[20000]]*tbl_pricing[[#This Row],[درصد خرید]]</f>
        <v>400</v>
      </c>
      <c r="Q12" s="47">
        <f>tbl_pricing[[#Headers],[50000]]*tbl_pricing[[#This Row],[درصد خرید]]</f>
        <v>1000</v>
      </c>
      <c r="R12" s="47">
        <f>tbl_pricing[[#Headers],[100000]]*tbl_pricing[[#This Row],[درصد خرید]]</f>
        <v>2000</v>
      </c>
    </row>
    <row r="13" spans="1:18" x14ac:dyDescent="0.4">
      <c r="A13" s="1">
        <f t="shared" si="0"/>
        <v>12</v>
      </c>
      <c r="B13" s="1" t="s">
        <v>80</v>
      </c>
      <c r="C13" s="1" t="s">
        <v>70</v>
      </c>
      <c r="D13" s="12">
        <v>3000000</v>
      </c>
      <c r="E13" s="12"/>
      <c r="F13" s="12">
        <f>tbl_pricing[[#This Row],[مبلغ پرداختی]]-tbl_pricing[[#This Row],[بهای تمام شده]]</f>
        <v>3000000</v>
      </c>
      <c r="G13" s="39">
        <v>2E-3</v>
      </c>
      <c r="H13" s="45">
        <f>tbl_pricing[[#This Row],[درصد خرید]]*tbl_pricing[[#This Row],[سود]]</f>
        <v>6000</v>
      </c>
      <c r="I13" s="44">
        <f>tbl_pricing[[#This Row],[کل بیزینس‌ها]]/ SUM(tbl_pricing[کل بیزینس‌ها])</f>
        <v>1.800045001125028E-2</v>
      </c>
      <c r="J13" s="49">
        <f>tbl_pricing[[#Headers],[500]]*tbl_pricing[[#This Row],[درصد خرید]]*tbl_pricing[[#This Row],[سود به ازای هر بیزینس]]</f>
        <v>6000</v>
      </c>
      <c r="K13" s="47">
        <f>tbl_pricing[[#Headers],[500]]*tbl_pricing[[#This Row],[درصد خرید]]</f>
        <v>1</v>
      </c>
      <c r="L13" s="47">
        <f>tbl_pricing[[#Headers],[1000]]*tbl_pricing[[#This Row],[درصد خرید]]</f>
        <v>2</v>
      </c>
      <c r="M13" s="47">
        <f>tbl_pricing[[#Headers],[2000]]*tbl_pricing[[#This Row],[درصد خرید]]</f>
        <v>4</v>
      </c>
      <c r="N13" s="47">
        <f>tbl_pricing[[#Headers],[5000]]*tbl_pricing[[#This Row],[درصد خرید]]</f>
        <v>10</v>
      </c>
      <c r="O13" s="47">
        <f>tbl_pricing[[#Headers],[10000]]*tbl_pricing[[#This Row],[درصد خرید]]</f>
        <v>20</v>
      </c>
      <c r="P13" s="47">
        <f>tbl_pricing[[#Headers],[20000]]*tbl_pricing[[#This Row],[درصد خرید]]</f>
        <v>40</v>
      </c>
      <c r="Q13" s="47">
        <f>tbl_pricing[[#Headers],[50000]]*tbl_pricing[[#This Row],[درصد خرید]]</f>
        <v>100</v>
      </c>
      <c r="R13" s="47">
        <f>tbl_pricing[[#Headers],[100000]]*tbl_pricing[[#This Row],[درصد خرید]]</f>
        <v>200</v>
      </c>
    </row>
    <row r="14" spans="1:18" x14ac:dyDescent="0.4">
      <c r="A14" s="1" t="s">
        <v>1</v>
      </c>
      <c r="D14" s="12"/>
      <c r="F14" s="12"/>
      <c r="G14" s="42">
        <f>SUBTOTAL(101,tbl_pricing[درصد خرید])</f>
        <v>2.1125000000000001E-2</v>
      </c>
      <c r="H14" s="45">
        <f>SUBTOTAL(109,tbl_pricing[سود به ازای هر بیزینس])</f>
        <v>47240</v>
      </c>
      <c r="I14" s="42"/>
      <c r="J14" s="1"/>
      <c r="K14" s="3"/>
      <c r="L14" s="3"/>
      <c r="M14" s="3"/>
      <c r="N14" s="3"/>
      <c r="O14" s="3"/>
      <c r="P14" s="3"/>
      <c r="Q14" s="48"/>
      <c r="R14" s="3"/>
    </row>
    <row r="17" spans="1:17" x14ac:dyDescent="0.4">
      <c r="A17" s="6" t="s">
        <v>35</v>
      </c>
      <c r="B17" s="7" t="s">
        <v>2</v>
      </c>
      <c r="C17" s="50" t="s">
        <v>3</v>
      </c>
    </row>
    <row r="18" spans="1:17" x14ac:dyDescent="0.4">
      <c r="A18" s="26">
        <v>1</v>
      </c>
      <c r="B18" s="27" t="s">
        <v>101</v>
      </c>
      <c r="C18" s="51">
        <f>AVERAGE(tbl_pricing[درصد خرید])</f>
        <v>2.1125000000000001E-2</v>
      </c>
    </row>
    <row r="19" spans="1:17" x14ac:dyDescent="0.4">
      <c r="A19" s="13">
        <v>2</v>
      </c>
      <c r="B19" s="28" t="s">
        <v>100</v>
      </c>
      <c r="C19" s="52">
        <f>ROUND(SUM(tbl_pricing[سود به ازای هر بیزینس]), -3)</f>
        <v>47000</v>
      </c>
    </row>
    <row r="20" spans="1:17" x14ac:dyDescent="0.4">
      <c r="C20" s="52"/>
      <c r="E20" s="53"/>
    </row>
    <row r="23" spans="1:17" x14ac:dyDescent="0.4">
      <c r="A23" s="46" t="s">
        <v>97</v>
      </c>
      <c r="B23" s="46" t="s">
        <v>99</v>
      </c>
      <c r="C23" s="46" t="s">
        <v>82</v>
      </c>
      <c r="D23" s="46" t="s">
        <v>83</v>
      </c>
      <c r="P23" s="40"/>
      <c r="Q23" s="40"/>
    </row>
    <row r="24" spans="1:17" x14ac:dyDescent="0.4">
      <c r="A24" s="4">
        <v>500</v>
      </c>
      <c r="B24" s="5">
        <f>tbl_pricing_predict[[#This Row],[تعداد بیزینس]]*AVERAGE(tbl_pricing[درصد خرید])</f>
        <v>10.5625</v>
      </c>
      <c r="C24" s="12">
        <f>d_customerAvgRevenue*tbl_pricing_predict[[#This Row],[تعداد بیزینس]]</f>
        <v>23500000</v>
      </c>
      <c r="D24" s="12">
        <f>tbl_pricing_predict[[#This Row],[درآمد ماهیانه]]*12</f>
        <v>282000000</v>
      </c>
      <c r="G24" s="35"/>
      <c r="H24" s="12"/>
    </row>
    <row r="25" spans="1:17" x14ac:dyDescent="0.4">
      <c r="A25" s="4">
        <v>1000</v>
      </c>
      <c r="B25" s="5">
        <f>tbl_pricing_predict[[#This Row],[تعداد بیزینس]]*AVERAGE(tbl_pricing[درصد خرید])</f>
        <v>21.125</v>
      </c>
      <c r="C25" s="12">
        <f>d_customerAvgRevenue*tbl_pricing_predict[[#This Row],[تعداد بیزینس]]</f>
        <v>47000000</v>
      </c>
      <c r="D25" s="12">
        <f>tbl_pricing_predict[[#This Row],[درآمد ماهیانه]]*12</f>
        <v>564000000</v>
      </c>
    </row>
    <row r="26" spans="1:17" x14ac:dyDescent="0.4">
      <c r="A26" s="4">
        <v>2000</v>
      </c>
      <c r="B26" s="5">
        <f>tbl_pricing_predict[[#This Row],[تعداد بیزینس]]*AVERAGE(tbl_pricing[درصد خرید])</f>
        <v>42.25</v>
      </c>
      <c r="C26" s="12">
        <f>d_customerAvgRevenue*tbl_pricing_predict[[#This Row],[تعداد بیزینس]]</f>
        <v>94000000</v>
      </c>
      <c r="D26" s="12">
        <f>tbl_pricing_predict[[#This Row],[درآمد ماهیانه]]*12</f>
        <v>1128000000</v>
      </c>
    </row>
    <row r="27" spans="1:17" x14ac:dyDescent="0.4">
      <c r="A27" s="4">
        <v>5000</v>
      </c>
      <c r="B27" s="5">
        <f>tbl_pricing_predict[[#This Row],[تعداد بیزینس]]*AVERAGE(tbl_pricing[درصد خرید])</f>
        <v>105.625</v>
      </c>
      <c r="C27" s="12">
        <f>d_customerAvgRevenue*tbl_pricing_predict[[#This Row],[تعداد بیزینس]]</f>
        <v>235000000</v>
      </c>
      <c r="D27" s="12">
        <f>tbl_pricing_predict[[#This Row],[درآمد ماهیانه]]*12</f>
        <v>2820000000</v>
      </c>
    </row>
    <row r="28" spans="1:17" x14ac:dyDescent="0.4">
      <c r="A28" s="4">
        <v>10000</v>
      </c>
      <c r="B28" s="5">
        <f>tbl_pricing_predict[[#This Row],[تعداد بیزینس]]*AVERAGE(tbl_pricing[درصد خرید])</f>
        <v>211.25</v>
      </c>
      <c r="C28" s="12">
        <f>d_customerAvgRevenue*tbl_pricing_predict[[#This Row],[تعداد بیزینس]]</f>
        <v>470000000</v>
      </c>
      <c r="D28" s="12">
        <f>tbl_pricing_predict[[#This Row],[درآمد ماهیانه]]*12</f>
        <v>5640000000</v>
      </c>
    </row>
    <row r="29" spans="1:17" x14ac:dyDescent="0.4">
      <c r="A29" s="4">
        <v>20000</v>
      </c>
      <c r="B29" s="5">
        <f>tbl_pricing_predict[[#This Row],[تعداد بیزینس]]*AVERAGE(tbl_pricing[درصد خرید])</f>
        <v>422.5</v>
      </c>
      <c r="C29" s="12">
        <f>d_customerAvgRevenue*tbl_pricing_predict[[#This Row],[تعداد بیزینس]]</f>
        <v>940000000</v>
      </c>
      <c r="D29" s="12">
        <f>tbl_pricing_predict[[#This Row],[درآمد ماهیانه]]*12</f>
        <v>11280000000</v>
      </c>
    </row>
    <row r="30" spans="1:17" x14ac:dyDescent="0.4">
      <c r="A30" s="4">
        <v>50000</v>
      </c>
      <c r="B30" s="5">
        <f>tbl_pricing_predict[[#This Row],[تعداد بیزینس]]*AVERAGE(tbl_pricing[درصد خرید])</f>
        <v>1056.25</v>
      </c>
      <c r="C30" s="12">
        <f>d_customerAvgRevenue*tbl_pricing_predict[[#This Row],[تعداد بیزینس]]</f>
        <v>2350000000</v>
      </c>
      <c r="D30" s="12">
        <f>tbl_pricing_predict[[#This Row],[درآمد ماهیانه]]*12</f>
        <v>28200000000</v>
      </c>
    </row>
    <row r="31" spans="1:17" x14ac:dyDescent="0.4">
      <c r="A31" s="4">
        <v>100000</v>
      </c>
      <c r="B31" s="5">
        <f>tbl_pricing_predict[[#This Row],[تعداد بیزینس]]*AVERAGE(tbl_pricing[درصد خرید])</f>
        <v>2112.5</v>
      </c>
      <c r="C31" s="12">
        <f>d_customerAvgRevenue*tbl_pricing_predict[[#This Row],[تعداد بیزینس]]</f>
        <v>4700000000</v>
      </c>
      <c r="D31" s="12">
        <f>tbl_pricing_predict[[#This Row],[درآمد ماهیانه]]*12</f>
        <v>56400000000</v>
      </c>
    </row>
    <row r="32" spans="1:17" x14ac:dyDescent="0.4">
      <c r="A32" s="4">
        <v>200000</v>
      </c>
      <c r="B32" s="5">
        <f>tbl_pricing_predict[[#This Row],[تعداد بیزینس]]*AVERAGE(tbl_pricing[درصد خرید])</f>
        <v>4225</v>
      </c>
      <c r="C32" s="12">
        <f>d_customerAvgRevenue*tbl_pricing_predict[[#This Row],[تعداد بیزینس]]</f>
        <v>9400000000</v>
      </c>
      <c r="D32" s="12">
        <f>tbl_pricing_predict[[#This Row],[درآمد ماهیانه]]*12</f>
        <v>112800000000</v>
      </c>
    </row>
    <row r="33" spans="1:4" x14ac:dyDescent="0.4">
      <c r="A33" s="4">
        <v>500000</v>
      </c>
      <c r="B33" s="5">
        <f>tbl_pricing_predict[[#This Row],[تعداد بیزینس]]*AVERAGE(tbl_pricing[درصد خرید])</f>
        <v>10562.5</v>
      </c>
      <c r="C33" s="12">
        <f>d_customerAvgRevenue*tbl_pricing_predict[[#This Row],[تعداد بیزینس]]</f>
        <v>23500000000</v>
      </c>
      <c r="D33" s="12">
        <f>tbl_pricing_predict[[#This Row],[درآمد ماهیانه]]*12</f>
        <v>282000000000</v>
      </c>
    </row>
    <row r="34" spans="1:4" x14ac:dyDescent="0.4">
      <c r="A34" s="4">
        <v>1000000</v>
      </c>
      <c r="B34" s="5">
        <f>tbl_pricing_predict[[#This Row],[تعداد بیزینس]]*AVERAGE(tbl_pricing[درصد خرید])</f>
        <v>21125</v>
      </c>
      <c r="C34" s="12">
        <f>d_customerAvgRevenue*tbl_pricing_predict[[#This Row],[تعداد بیزینس]]</f>
        <v>47000000000</v>
      </c>
      <c r="D34" s="12">
        <f>tbl_pricing_predict[[#This Row],[درآمد ماهیانه]]*12</f>
        <v>564000000000</v>
      </c>
    </row>
  </sheetData>
  <phoneticPr fontId="5" type="noConversion"/>
  <conditionalFormatting sqref="I2:I13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{378FFBAE-F707-4CFA-9218-A26DCF5F9FF3}</x14:id>
        </ext>
      </extLst>
    </cfRule>
  </conditionalFormatting>
  <pageMargins left="0.7" right="0.7" top="0.75" bottom="0.75" header="0.3" footer="0.3"/>
  <pageSetup paperSize="9" orientation="portrait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78FFBAE-F707-4CFA-9218-A26DCF5F9FF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I2:I13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31</vt:i4>
      </vt:variant>
    </vt:vector>
  </HeadingPairs>
  <TitlesOfParts>
    <vt:vector size="44" baseType="lpstr">
      <vt:lpstr>خلاصه هزینه‌ها</vt:lpstr>
      <vt:lpstr>نمودار هزینه‌ها</vt:lpstr>
      <vt:lpstr>فرضیات</vt:lpstr>
      <vt:lpstr>سرور</vt:lpstr>
      <vt:lpstr>تجهیزات اداری</vt:lpstr>
      <vt:lpstr>حقوق و دستمزد</vt:lpstr>
      <vt:lpstr>بازاریابی و فروش</vt:lpstr>
      <vt:lpstr>هزینه‌های عمومی و اداری</vt:lpstr>
      <vt:lpstr>جزئیات منابع درآمد</vt:lpstr>
      <vt:lpstr>پیش‌بینی درآمد</vt:lpstr>
      <vt:lpstr>خلاصه و ارزیابی</vt:lpstr>
      <vt:lpstr>درآمد جیبرس به تفکیک ماه</vt:lpstr>
      <vt:lpstr>مراحل سرمایه‌گذاری</vt:lpstr>
      <vt:lpstr>d_AnnualSalary</vt:lpstr>
      <vt:lpstr>d_coloCost</vt:lpstr>
      <vt:lpstr>d_customerAvgRevenue</vt:lpstr>
      <vt:lpstr>d_customerConvertRate</vt:lpstr>
      <vt:lpstr>d_salaryYOY</vt:lpstr>
      <vt:lpstr>d_serverCost</vt:lpstr>
      <vt:lpstr>d_serverDollarCost</vt:lpstr>
      <vt:lpstr>d_spacePricePerStaff</vt:lpstr>
      <vt:lpstr>d_ssdCost</vt:lpstr>
      <vt:lpstr>d_ssdDollarCost</vt:lpstr>
      <vt:lpstr>d_staff1400</vt:lpstr>
      <vt:lpstr>d_staff1401</vt:lpstr>
      <vt:lpstr>d_staffTotal</vt:lpstr>
      <vt:lpstr>d_systemPerPerson</vt:lpstr>
      <vt:lpstr>d_toman2dollar</vt:lpstr>
      <vt:lpstr>d_unpredictedPercent</vt:lpstr>
      <vt:lpstr>d_usagePerPersonPerMonth</vt:lpstr>
      <vt:lpstr>d_year1400Remain</vt:lpstr>
      <vt:lpstr>s_activeUser</vt:lpstr>
      <vt:lpstr>s_cagr</vt:lpstr>
      <vt:lpstr>s_costsGrowthCapexYOY</vt:lpstr>
      <vt:lpstr>s_costsGrowthYOY</vt:lpstr>
      <vt:lpstr>v_DiscountRate</vt:lpstr>
      <vt:lpstr>v_ExitRevenueMultiple</vt:lpstr>
      <vt:lpstr>v_seriA</vt:lpstr>
      <vt:lpstr>v_seriB</vt:lpstr>
      <vt:lpstr>v_seriC</vt:lpstr>
      <vt:lpstr>v_seriD</vt:lpstr>
      <vt:lpstr>v_seriE</vt:lpstr>
      <vt:lpstr>v_seriF</vt:lpstr>
      <vt:lpstr>v_totalFund</vt:lpstr>
    </vt:vector>
  </TitlesOfParts>
  <Manager>Mr.Javad.Adib@gmail.com</Manager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PageTitle</dc:title>
  <dc:creator>Mr.Javad.Adib@gmail.com</dc:creator>
  <cp:keywords>Keywords</cp:keywords>
  <cp:lastModifiedBy>Javad Adib</cp:lastModifiedBy>
  <cp:lastPrinted>2021-05-15T13:21:20Z</cp:lastPrinted>
  <dcterms:created xsi:type="dcterms:W3CDTF">2021-05-14T11:36:15Z</dcterms:created>
  <dcterms:modified xsi:type="dcterms:W3CDTF">2021-12-12T15:48:46Z</dcterms:modified>
</cp:coreProperties>
</file>