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8602C7D0-D4B8-47EB-A232-119202007CFF}" xr6:coauthVersionLast="46" xr6:coauthVersionMax="46" xr10:uidLastSave="{00000000-0000-0000-0000-000000000000}"/>
  <bookViews>
    <workbookView xWindow="-120" yWindow="-120" windowWidth="38640" windowHeight="15840" xr2:uid="{6B758C63-8066-4742-BFF0-F2DCF7A6BA0C}"/>
  </bookViews>
  <sheets>
    <sheet name="خلاصه هزینه‌ها" sheetId="1" r:id="rId1"/>
    <sheet name="فرضیات" sheetId="3" r:id="rId2"/>
    <sheet name="سرور" sheetId="6" r:id="rId3"/>
    <sheet name="تجهیزات اداری" sheetId="8" r:id="rId4"/>
    <sheet name="حقوق و دستمزد" sheetId="2" r:id="rId5"/>
    <sheet name="بازاریابی" sheetId="4" r:id="rId6"/>
    <sheet name="هزینه‌های مصرفی" sheetId="5" r:id="rId7"/>
  </sheets>
  <definedNames>
    <definedName name="d_AnnualSalary">فرضیات!$B$3</definedName>
    <definedName name="d_coloCost">فرضیات!$B$15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3" i="5" l="1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B14" i="3"/>
  <c r="D3" i="6" s="1"/>
  <c r="B13" i="3"/>
  <c r="C2" i="6" s="1"/>
  <c r="D4" i="6"/>
  <c r="C4" i="6"/>
  <c r="A10" i="6"/>
  <c r="A4" i="6"/>
  <c r="A3" i="6"/>
  <c r="A2" i="6"/>
  <c r="C6" i="5"/>
  <c r="C12" i="2"/>
  <c r="D12" i="2" s="1"/>
  <c r="E12" i="2" s="1"/>
  <c r="D6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C5" i="5" l="1"/>
  <c r="C9" i="5" s="1"/>
  <c r="C10" i="5" s="1"/>
  <c r="E6" i="1"/>
  <c r="C2" i="8"/>
  <c r="D3" i="1" s="1"/>
  <c r="D2" i="8"/>
  <c r="D5" i="5"/>
  <c r="D9" i="5" s="1"/>
  <c r="E4" i="6"/>
  <c r="E2" i="5"/>
  <c r="E6" i="5"/>
  <c r="C3" i="6"/>
  <c r="D2" i="6"/>
  <c r="D7" i="1" l="1"/>
  <c r="E3" i="1"/>
  <c r="E13" i="1" s="1"/>
  <c r="E2" i="8"/>
  <c r="E5" i="5"/>
  <c r="E7" i="1"/>
  <c r="F7" i="1" s="1"/>
  <c r="E2" i="6"/>
  <c r="D10" i="5"/>
  <c r="E9" i="5"/>
  <c r="F6" i="1"/>
  <c r="C5" i="6"/>
  <c r="E3" i="6"/>
  <c r="D5" i="6"/>
  <c r="E2" i="1"/>
  <c r="D2" i="1"/>
  <c r="D13" i="1" s="1"/>
  <c r="E5" i="6" l="1"/>
  <c r="F13" i="1"/>
  <c r="E10" i="5"/>
  <c r="C13" i="2"/>
  <c r="C15" i="2" s="1"/>
  <c r="D23" i="2"/>
  <c r="F23" i="2" s="1"/>
  <c r="D24" i="2"/>
  <c r="F24" i="2" s="1"/>
  <c r="D25" i="2"/>
  <c r="F25" i="2" s="1"/>
  <c r="D26" i="2"/>
  <c r="F26" i="2" s="1"/>
  <c r="B15" i="2"/>
  <c r="C14" i="2" l="1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D14" i="1"/>
  <c r="E4" i="1"/>
  <c r="E15" i="2"/>
  <c r="E8" i="1" l="1"/>
  <c r="E9" i="1" s="1"/>
  <c r="F3" i="1"/>
  <c r="F4" i="1"/>
  <c r="D9" i="1"/>
  <c r="E14" i="1" l="1"/>
  <c r="F14" i="1" s="1"/>
  <c r="F8" i="1"/>
  <c r="G3" i="1" s="1"/>
  <c r="F9" i="1" l="1"/>
  <c r="G4" i="1"/>
  <c r="G5" i="1"/>
  <c r="G2" i="1"/>
  <c r="G8" i="1"/>
  <c r="G7" i="1"/>
  <c r="G6" i="1"/>
  <c r="G9" i="1" l="1"/>
</calcChain>
</file>

<file path=xl/sharedStrings.xml><?xml version="1.0" encoding="utf-8"?>
<sst xmlns="http://schemas.openxmlformats.org/spreadsheetml/2006/main" count="117" uniqueCount="66">
  <si>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</si>
  <si>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</si>
  <si>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</si>
  <si>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</si>
  <si>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</si>
  <si>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</si>
  <si>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</si>
  <si>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</si>
  <si>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</si>
  <si>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</si>
  <si>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</si>
  <si>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</si>
  <si>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</si>
  <si>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</si>
  <si>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</si>
  <si>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</si>
  <si>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</si>
  <si>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</si>
  <si>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</si>
  <si>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</si>
  <si>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</si>
  <si>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</si>
  <si>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</si>
  <si>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</si>
  <si>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</si>
  <si>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</si>
  <si>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</si>
  <si>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</si>
  <si>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</si>
  <si>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</si>
  <si>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</si>
  <si>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</si>
  <si>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بازاریابی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</si>
  <si>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</si>
  <si>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</si>
  <si>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</si>
  <si>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</si>
  <si>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</si>
  <si>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</si>
  <si>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</si>
  <si>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</si>
  <si>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</si>
  <si>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</si>
  <si>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</si>
  <si>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</si>
  <si>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</si>
  <si>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هزینه‌های مصرفی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</si>
  <si>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</si>
  <si>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</si>
  <si>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</si>
  <si>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</si>
  <si>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</si>
  <si>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</si>
  <si>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</si>
  <si>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</si>
  <si>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</si>
  <si>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</si>
  <si>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</si>
  <si>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</si>
  <si>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</si>
  <si>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</si>
  <si>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</si>
  <si>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</si>
  <si>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سایز هزینه‌ها ۲۰٪</t>
  </si>
  <si>
    <t>اجاره سروهای بکاپ</t>
  </si>
  <si>
    <t>دیجیتال مارکتینگ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</si>
</sst>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20-4EBC-8D57-F653FDCA5AAD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20-4EBC-8D57-F653FDCA5AAD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20-4EBC-8D57-F653FDCA5AA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20-4EBC-8D57-F653FDCA5AAD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20-4EBC-8D57-F653FDCA5AAD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20-4EBC-8D57-F653FDCA5AAD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20-4EBC-8D57-F653FDCA5AAD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420-4EBC-8D57-F653FDCA5A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4932000000</c:v>
                </c:pt>
                <c:pt idx="1">
                  <c:v>750000000</c:v>
                </c:pt>
                <c:pt idx="2">
                  <c:v>9328980000</c:v>
                </c:pt>
                <c:pt idx="3">
                  <c:v>3800000000</c:v>
                </c:pt>
                <c:pt idx="4">
                  <c:v>990000000</c:v>
                </c:pt>
                <c:pt idx="5">
                  <c:v>2354400000</c:v>
                </c:pt>
                <c:pt idx="6">
                  <c:v>2215538000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20-4EBC-8D57-F653FDCA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2112000000</c:v>
                </c:pt>
                <c:pt idx="1">
                  <c:v>3570000000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B-4F13-A388-1094D36E4D80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3356980000</c:v>
                </c:pt>
                <c:pt idx="1">
                  <c:v>15331938000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B-4F13-A388-1094D36E4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1872000000</c:v>
                </c:pt>
                <c:pt idx="1">
                  <c:v>240000000</c:v>
                </c:pt>
                <c:pt idx="2">
                  <c:v>1121400000</c:v>
                </c:pt>
                <c:pt idx="3">
                  <c:v>800000000</c:v>
                </c:pt>
                <c:pt idx="4">
                  <c:v>240000000</c:v>
                </c:pt>
                <c:pt idx="5">
                  <c:v>698400000</c:v>
                </c:pt>
                <c:pt idx="6">
                  <c:v>497180000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0-4159-B0CF-9E77F74F74F7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3060000000</c:v>
                </c:pt>
                <c:pt idx="1">
                  <c:v>510000000</c:v>
                </c:pt>
                <c:pt idx="2">
                  <c:v>8207580000</c:v>
                </c:pt>
                <c:pt idx="3">
                  <c:v>3000000000</c:v>
                </c:pt>
                <c:pt idx="4">
                  <c:v>750000000</c:v>
                </c:pt>
                <c:pt idx="5">
                  <c:v>1656000000</c:v>
                </c:pt>
                <c:pt idx="6">
                  <c:v>1718358000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0-4159-B0CF-9E77F74F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9</xdr:row>
      <xdr:rowOff>209551</xdr:rowOff>
    </xdr:from>
    <xdr:to>
      <xdr:col>11</xdr:col>
      <xdr:colOff>352425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ADA3B-7138-4F29-BCCA-6715A0D58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10</xdr:row>
      <xdr:rowOff>0</xdr:rowOff>
    </xdr:from>
    <xdr:to>
      <xdr:col>23</xdr:col>
      <xdr:colOff>28575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7EE6-19EE-4831-90CC-0A503131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90488</xdr:colOff>
      <xdr:row>14</xdr:row>
      <xdr:rowOff>80962</xdr:rowOff>
    </xdr:from>
    <xdr:to>
      <xdr:col>5</xdr:col>
      <xdr:colOff>1704975</xdr:colOff>
      <xdr:row>26</xdr:row>
      <xdr:rowOff>195262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812E9-3E97-44C9-83B6-92812A1D8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11" dataDxfId="9" totalsRowDxfId="10">
  <autoFilter ref="A1:G8" xr:uid="{5810A676-66BF-4EA4-B586-C6E90025121D}"/>
  <tableColumns count="7">
    <tableColumn id="5" xr3:uid="{47369FE7-678F-4F87-AB99-EE1EDC617F1A}" name="#" totalsRowLabel="Total" dataDxfId="25" totalsRowDxfId="24">
      <calculatedColumnFormula>ROW(A1)</calculatedColumnFormula>
    </tableColumn>
    <tableColumn id="1" xr3:uid="{3037BF7E-6F17-4FD9-B0BA-2603DBE3AA73}" name="نوع" dataDxfId="23" totalsRowDxfId="22"/>
    <tableColumn id="2" xr3:uid="{5543AAC9-D97A-4AF1-B9C8-BCB750FF9446}" name="عنوان" dataDxfId="21" totalsRowDxfId="20"/>
    <tableColumn id="4" xr3:uid="{363204E2-D323-45E0-8740-F6AAC858616C}" name="1400" totalsRowFunction="sum" dataDxfId="19" totalsRowDxfId="18" dataCellStyle="Currency"/>
    <tableColumn id="6" xr3:uid="{0C5EF792-05B7-4EDA-BEF7-3C660D2AFD4B}" name="1401" totalsRowFunction="sum" dataDxfId="17" totalsRowDxfId="16" dataCellStyle="Currency"/>
    <tableColumn id="8" xr3:uid="{29FAD03A-69B3-4207-A748-8BD45D15D581}" name="مجموع" totalsRowFunction="sum" dataDxfId="15" totalsRowDxfId="14" dataCellStyle="Currency">
      <calculatedColumnFormula>SUM(tbl_sumary[[#This Row],[1400]:[1401]])</calculatedColumnFormula>
    </tableColumn>
    <tableColumn id="3" xr3:uid="{CDA3691F-C5E7-4ED9-A080-98FD93E74B52}" name="درصد" totalsRowFunction="sum" dataDxfId="13" totalsRowDxfId="12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16" totalsRowShown="0" headerRowDxfId="88" dataDxfId="87">
  <autoFilter ref="A1:B16" xr:uid="{2B9E2DB8-FBB8-45B3-A4BF-A27446C1BBC1}"/>
  <tableColumns count="2">
    <tableColumn id="1" xr3:uid="{04846D46-98AF-4645-B227-FF19272102B1}" name="عنوان" dataDxfId="86"/>
    <tableColumn id="2" xr3:uid="{D4584107-29D2-4B18-94B1-795D1E01B117}" name="مقدار" dataDxfId="85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84" dataDxfId="83">
  <autoFilter ref="A1:E4" xr:uid="{6BB248A9-012D-4836-9305-5141AF978271}"/>
  <tableColumns count="5">
    <tableColumn id="1" xr3:uid="{C1D9DC5C-1F85-426E-959C-3165A99CD6EC}" name="ردیف" totalsRowLabel="Total" dataDxfId="82" totalsRowDxfId="81">
      <calculatedColumnFormula>ROW(A1)</calculatedColumnFormula>
    </tableColumn>
    <tableColumn id="2" xr3:uid="{23A7CE2D-4EC2-4F59-9E8C-744F0E351954}" name="عنوان" dataDxfId="80" totalsRowDxfId="79"/>
    <tableColumn id="3" xr3:uid="{C5D9D589-B23B-4019-B4E1-A8A2308C3099}" name="1400" totalsRowFunction="sum" dataDxfId="78" totalsRowDxfId="77"/>
    <tableColumn id="4" xr3:uid="{A20DFB1D-E3C4-4F6A-9CE1-76537256DDA0}" name="1401" totalsRowFunction="sum" dataDxfId="76" totalsRowDxfId="75"/>
    <tableColumn id="5" xr3:uid="{7320D442-6698-4FA5-BB88-10D126434BE0}" name="جمع" totalsRowFunction="sum" dataDxfId="74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73" dataDxfId="72">
  <autoFilter ref="A9:D10" xr:uid="{939160DD-2EDF-4878-9A71-0E47E271CD17}"/>
  <tableColumns count="4">
    <tableColumn id="1" xr3:uid="{7CFB71D1-2F91-4886-8D95-C562400CF4F7}" name="9" dataDxfId="71">
      <calculatedColumnFormula>ROW(A1)</calculatedColumnFormula>
    </tableColumn>
    <tableColumn id="2" xr3:uid="{EBEBDCFA-6F86-4BB9-A4E1-CFAC0B6394D2}" name="عنوان" dataDxfId="70"/>
    <tableColumn id="3" xr3:uid="{9FF7CA43-0705-4E77-85EC-B371DC78ACA4}" name="1400" dataDxfId="69"/>
    <tableColumn id="4" xr3:uid="{B14BB7F9-8746-4829-AA07-C639400E814F}" name="1401" dataDxfId="68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67" dataDxfId="66">
  <autoFilter ref="A1:E2" xr:uid="{CA8A4239-364E-4650-9E13-6B35831DAABA}"/>
  <tableColumns count="5">
    <tableColumn id="1" xr3:uid="{276EA653-F6EB-43D8-A8E6-02705C4FC3C6}" name="ردیف" dataDxfId="65">
      <calculatedColumnFormula>ROW(A1)</calculatedColumnFormula>
    </tableColumn>
    <tableColumn id="2" xr3:uid="{C917D43E-3C18-4ECC-857D-F6E368E7D1DD}" name="عنوان" dataDxfId="64"/>
    <tableColumn id="3" xr3:uid="{936C2C7C-5EB9-4B64-BF32-AA11DA4CFE26}" name="1400" dataDxfId="63"/>
    <tableColumn id="4" xr3:uid="{81F72F41-D8FD-4195-ABBB-05037CE3698B}" name="1401" dataDxfId="62"/>
    <tableColumn id="5" xr3:uid="{C0453677-E159-4921-9E18-2A6C08C14999}" name="جمع" dataDxfId="61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60" dataDxfId="59" totalsRowDxfId="58">
  <autoFilter ref="A1:D5" xr:uid="{0FEAC4E8-3C92-4ECC-A20C-80059709130D}"/>
  <tableColumns count="4">
    <tableColumn id="1" xr3:uid="{DA73BFFA-A796-4432-914A-1F59F00537F5}" name="#" totalsRowLabel="جمع" dataDxfId="57" totalsRowDxfId="3">
      <calculatedColumnFormula>ROW(A1)</calculatedColumnFormula>
    </tableColumn>
    <tableColumn id="2" xr3:uid="{32ED334C-D261-4D20-8958-087C27AD9FBF}" name="عنوان شغلی" dataDxfId="56" totalsRowDxfId="2"/>
    <tableColumn id="4" xr3:uid="{0925C41E-9619-42E8-8F24-EDDF62C48C09}" name="1400" totalsRowFunction="sum" dataDxfId="55" totalsRowDxfId="1"/>
    <tableColumn id="5" xr3:uid="{0BE3F0C5-39C2-4F5C-A4BB-D96C51FFD2B1}" name="1401" totalsRowFunction="sum" dataDxfId="54" totalsRow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53" dataDxfId="52">
  <autoFilter ref="A22:F26" xr:uid="{C45356D1-9A71-4483-8364-A8B472AE846A}"/>
  <tableColumns count="6">
    <tableColumn id="3" xr3:uid="{EAA5B31A-763B-44E2-8C7F-741E10086C03}" name="#" dataDxfId="51"/>
    <tableColumn id="1" xr3:uid="{0C7B43BD-CDE0-4542-994E-07BECC378178}" name="عنوان شغلی" dataDxfId="50"/>
    <tableColumn id="2" xr3:uid="{23FA6089-E4D9-4C9C-9ADF-69E1A5FBE988}" name="میانگین پرداختی ۱۴۰۰" dataDxfId="49" dataCellStyle="Currency"/>
    <tableColumn id="4" xr3:uid="{FCAB3AB9-4281-4E61-A996-650242F1C298}" name="میانگین پرداختی ۱۴۰۱" dataDxfId="48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47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46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45" dataDxfId="44" totalsRowDxfId="43">
  <autoFilter ref="A1:E10" xr:uid="{387B4E0D-6F55-44DA-9344-EB9622378522}"/>
  <tableColumns count="5">
    <tableColumn id="1" xr3:uid="{A7835E4F-01BA-4B39-9B47-77E68912210A}" name="#" totalsRowLabel="Total" dataDxfId="42" totalsRowDxfId="8">
      <calculatedColumnFormula>ROW(A1)</calculatedColumnFormula>
    </tableColumn>
    <tableColumn id="2" xr3:uid="{915237E7-1F0F-42A4-A7C8-041DBDA02143}" name="عنوان" dataDxfId="41" totalsRowDxfId="7"/>
    <tableColumn id="4" xr3:uid="{50081311-D116-4A8B-B3B1-362E4B876409}" name="1400" totalsRowFunction="sum" dataDxfId="40" totalsRowDxfId="6" dataCellStyle="Currency"/>
    <tableColumn id="5" xr3:uid="{4B242BB3-1333-418C-A07C-49DAE81876BA}" name="1401" totalsRowFunction="sum" dataDxfId="39" totalsRowDxfId="5" dataCellStyle="Currency"/>
    <tableColumn id="6" xr3:uid="{E1DE5B6C-E01B-4554-A846-06AB203F9C1A}" name="جمع" totalsRowFunction="sum" dataDxfId="38" totalsRowDxfId="4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37" dataDxfId="36">
  <autoFilter ref="A1:E9" xr:uid="{CA8A4239-364E-4650-9E13-6B35831DAABA}"/>
  <tableColumns count="5">
    <tableColumn id="1" xr3:uid="{54E6554F-B297-4533-AD8D-E06FC372FA4D}" name="ردیف" totalsRowLabel="Total" dataDxfId="35" totalsRowDxfId="34">
      <calculatedColumnFormula>ROW(A1)</calculatedColumnFormula>
    </tableColumn>
    <tableColumn id="2" xr3:uid="{C8AD3364-8867-4058-B64B-986B3858CF42}" name="عنوان" dataDxfId="33" totalsRowDxfId="32"/>
    <tableColumn id="3" xr3:uid="{7080C68D-A903-46EB-AC1E-5D0963B807EC}" name="1400" totalsRowFunction="sum" dataDxfId="31" totalsRowDxfId="30"/>
    <tableColumn id="4" xr3:uid="{B0566FF8-F510-4A8F-8E54-F68246E5F0A7}" name="1401" totalsRowFunction="sum" dataDxfId="29" totalsRowDxfId="28"/>
    <tableColumn id="5" xr3:uid="{192D38EC-CF7E-4D9A-99C8-24B0818C5DCC}" name="جمع" totalsRowFunction="sum" dataDxfId="27" totalsRowDxfId="26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L29"/>
  <sheetViews>
    <sheetView rightToLeft="1" tabSelected="1" workbookViewId="0">
      <selection activeCell="I6" sqref="I6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48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58</v>
      </c>
    </row>
    <row r="2" spans="1:7" x14ac:dyDescent="0.4">
      <c r="A2" s="1">
        <f>ROW(A1)</f>
        <v>1</v>
      </c>
      <c r="B2" s="1" t="s">
        <v>59</v>
      </c>
      <c r="C2" s="1" t="s">
        <v>33</v>
      </c>
      <c r="D2" s="19">
        <f>SUM(tbl_servers[1400])</f>
        <v>1872000000</v>
      </c>
      <c r="E2" s="19">
        <f>SUM(tbl_servers[1401])</f>
        <v>3060000000</v>
      </c>
      <c r="F2" s="19">
        <f>SUM(tbl_sumary[[#This Row],[1400]:[1401]])</f>
        <v>4932000000</v>
      </c>
      <c r="G2" s="25">
        <f>(F2*100/SUM(tbl_sumary[مجموع])) / 100</f>
        <v>0.20237235216170354</v>
      </c>
    </row>
    <row r="3" spans="1:7" x14ac:dyDescent="0.4">
      <c r="A3" s="1">
        <f t="shared" ref="A3:A4" si="0">ROW(A2)</f>
        <v>2</v>
      </c>
      <c r="B3" s="1" t="s">
        <v>59</v>
      </c>
      <c r="C3" s="1" t="s">
        <v>38</v>
      </c>
      <c r="D3" s="19">
        <f>SUM(tbl_office12[1400])</f>
        <v>240000000</v>
      </c>
      <c r="E3" s="19">
        <f>SUM(tbl_office12[1401])</f>
        <v>510000000</v>
      </c>
      <c r="F3" s="19">
        <f>SUM(tbl_sumary[[#This Row],[1400]:[1401]])</f>
        <v>750000000</v>
      </c>
      <c r="G3" s="25">
        <f>(F3*100/SUM(tbl_sumary[مجموع])) / 100</f>
        <v>3.0774384452813802E-2</v>
      </c>
    </row>
    <row r="4" spans="1:7" x14ac:dyDescent="0.4">
      <c r="A4" s="1">
        <f t="shared" si="0"/>
        <v>3</v>
      </c>
      <c r="B4" s="1" t="s">
        <v>47</v>
      </c>
      <c r="C4" s="1" t="s">
        <v>60</v>
      </c>
      <c r="D4" s="19">
        <f>'حقوق و دستمزد'!C15</f>
        <v>1121400000</v>
      </c>
      <c r="E4" s="19">
        <f>'حقوق و دستمزد'!D15</f>
        <v>8207580000</v>
      </c>
      <c r="F4" s="19">
        <f>SUM(tbl_sumary[[#This Row],[1400]:[1401]])</f>
        <v>9328980000</v>
      </c>
      <c r="G4" s="25">
        <f>(F4*100/SUM(tbl_sumary[مجموع])) / 100</f>
        <v>0.38279148943014785</v>
      </c>
    </row>
    <row r="5" spans="1:7" x14ac:dyDescent="0.4">
      <c r="A5" s="1">
        <f>ROW(A4)</f>
        <v>4</v>
      </c>
      <c r="B5" s="1" t="s">
        <v>47</v>
      </c>
      <c r="C5" s="1" t="s">
        <v>32</v>
      </c>
      <c r="D5" s="19">
        <f>SUM(tbl_marketing[1400])</f>
        <v>800000000</v>
      </c>
      <c r="E5" s="19">
        <f>SUM(tbl_marketing[1401])</f>
        <v>3000000000</v>
      </c>
      <c r="F5" s="19">
        <f>SUM(tbl_sumary[[#This Row],[1400]:[1401]])</f>
        <v>3800000000</v>
      </c>
      <c r="G5" s="25">
        <f>(F5*100/SUM(tbl_sumary[مجموع])) / 100</f>
        <v>0.15592354789425658</v>
      </c>
    </row>
    <row r="6" spans="1:7" x14ac:dyDescent="0.4">
      <c r="A6" s="1">
        <f>ROW(A5)</f>
        <v>5</v>
      </c>
      <c r="B6" s="1" t="s">
        <v>47</v>
      </c>
      <c r="C6" s="1" t="s">
        <v>34</v>
      </c>
      <c r="D6" s="19">
        <f>d_spacePricePerStaff*SUM(tbl_salaryData[1400])*12</f>
        <v>240000000</v>
      </c>
      <c r="E6" s="19">
        <f>d_spacePricePerStaff*SUM(tbl_salaryData[1401])*12</f>
        <v>750000000</v>
      </c>
      <c r="F6" s="19">
        <f>SUM(tbl_sumary[[#This Row],[1400]:[1401]])</f>
        <v>990000000</v>
      </c>
      <c r="G6" s="25">
        <f>(F6*100/SUM(tbl_sumary[مجموع])) / 100</f>
        <v>4.0622187477714213E-2</v>
      </c>
    </row>
    <row r="7" spans="1:7" x14ac:dyDescent="0.4">
      <c r="A7" s="1">
        <f>ROW(A6)</f>
        <v>6</v>
      </c>
      <c r="B7" s="1" t="s">
        <v>47</v>
      </c>
      <c r="C7" s="1" t="s">
        <v>46</v>
      </c>
      <c r="D7" s="19">
        <f>SUM(tbl_office[1400])</f>
        <v>698400000</v>
      </c>
      <c r="E7" s="19">
        <f>SUM(tbl_office[1401])</f>
        <v>1656000000</v>
      </c>
      <c r="F7" s="19">
        <f>SUM(tbl_sumary[[#This Row],[1400]:[1401]])</f>
        <v>2354400000</v>
      </c>
      <c r="G7" s="25">
        <f>(F7*100/SUM(tbl_sumary[مجموع])) / 100</f>
        <v>9.660694767427308E-2</v>
      </c>
    </row>
    <row r="8" spans="1:7" x14ac:dyDescent="0.4">
      <c r="A8" s="1">
        <f>ROW(A7)</f>
        <v>7</v>
      </c>
      <c r="B8" s="1" t="s">
        <v>47</v>
      </c>
      <c r="C8" s="1" t="s">
        <v>61</v>
      </c>
      <c r="D8" s="19">
        <f>SUM(D2:D7) * d_unpredictedPercent</f>
        <v>497180000</v>
      </c>
      <c r="E8" s="19">
        <f>SUM(E2:E7) * d_unpredictedPercent</f>
        <v>1718358000</v>
      </c>
      <c r="F8" s="19">
        <f>SUM(tbl_sumary[[#This Row],[1400]:[1401]])</f>
        <v>2215538000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5468980000</v>
      </c>
      <c r="E9" s="12">
        <f>SUBTOTAL(109,tbl_sumary[1401])</f>
        <v>18901938000</v>
      </c>
      <c r="F9" s="17">
        <f>SUBTOTAL(109,tbl_sumary[مجموع])</f>
        <v>24370918000</v>
      </c>
      <c r="G9" s="21">
        <f>SUBTOTAL(109,tbl_sumary[درصد])</f>
        <v>0.99999999999999989</v>
      </c>
    </row>
    <row r="10" spans="1:7" x14ac:dyDescent="0.4"/>
    <row r="11" spans="1:7" x14ac:dyDescent="0.4"/>
    <row r="12" spans="1:7" x14ac:dyDescent="0.4">
      <c r="A12" s="6"/>
      <c r="B12" s="7" t="s">
        <v>48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59</v>
      </c>
      <c r="C13" s="27"/>
      <c r="D13" s="31">
        <f>SUMIFS(tbl_sumary[1400],tbl_sumary[نوع],B13)</f>
        <v>2112000000</v>
      </c>
      <c r="E13" s="31">
        <f>SUMIFS(tbl_sumary[1401],tbl_sumary[نوع],B13)</f>
        <v>3570000000</v>
      </c>
      <c r="F13" s="32">
        <f>SUM(D13:E13)</f>
        <v>5682000000</v>
      </c>
    </row>
    <row r="14" spans="1:7" x14ac:dyDescent="0.4">
      <c r="A14" s="13"/>
      <c r="B14" s="28" t="s">
        <v>47</v>
      </c>
      <c r="C14" s="28"/>
      <c r="D14" s="33">
        <f>SUMIFS(tbl_sumary[1400],tbl_sumary[نوع],B14)</f>
        <v>3356980000</v>
      </c>
      <c r="E14" s="33">
        <f>SUMIFS(tbl_sumary[1401],tbl_sumary[نوع],B14)</f>
        <v>15331938000</v>
      </c>
      <c r="F14" s="34">
        <f>SUM(D14:E14)</f>
        <v>18688918000</v>
      </c>
    </row>
    <row r="15" spans="1:7" x14ac:dyDescent="0.4">
      <c r="F15" s="5"/>
    </row>
    <row r="16" spans="1:7" x14ac:dyDescent="0.4"/>
    <row r="17" s="1" customFormat="1" x14ac:dyDescent="0.4"/>
    <row r="18" s="1" customFormat="1" x14ac:dyDescent="0.4"/>
    <row r="19" s="1" customFormat="1" x14ac:dyDescent="0.4"/>
    <row r="20" s="1" customFormat="1" x14ac:dyDescent="0.4"/>
    <row r="21" s="1" customFormat="1" x14ac:dyDescent="0.4"/>
    <row r="22" s="1" customFormat="1" x14ac:dyDescent="0.4"/>
    <row r="23" s="1" customFormat="1" x14ac:dyDescent="0.4"/>
    <row r="24" s="1" customFormat="1" x14ac:dyDescent="0.4"/>
    <row r="25" s="1" customFormat="1" x14ac:dyDescent="0.4"/>
    <row r="26" s="1" customFormat="1" x14ac:dyDescent="0.4"/>
    <row r="27" s="1" customFormat="1" x14ac:dyDescent="0.4"/>
    <row r="28" s="1" customFormat="1" x14ac:dyDescent="0.4"/>
    <row r="29" s="1" customFormat="1" x14ac:dyDescent="0.4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17"/>
  <sheetViews>
    <sheetView rightToLeft="1" zoomScale="145" zoomScaleNormal="145" workbookViewId="0">
      <selection activeCell="B10" sqref="B10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0.45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35</v>
      </c>
      <c r="B6" s="12">
        <f>B5*B4</f>
        <v>2500000</v>
      </c>
    </row>
    <row r="7" spans="1:2" x14ac:dyDescent="0.4">
      <c r="A7" s="1" t="s">
        <v>8</v>
      </c>
      <c r="B7" s="22">
        <v>25000</v>
      </c>
    </row>
    <row r="8" spans="1:2" x14ac:dyDescent="0.4">
      <c r="A8" s="1" t="s">
        <v>40</v>
      </c>
      <c r="B8" s="12">
        <v>30000000</v>
      </c>
    </row>
    <row r="9" spans="1:2" x14ac:dyDescent="0.4">
      <c r="A9" s="1" t="s">
        <v>39</v>
      </c>
      <c r="B9" s="12">
        <v>1000000</v>
      </c>
    </row>
    <row r="10" spans="1:2" x14ac:dyDescent="0.4">
      <c r="A10" s="1" t="s">
        <v>41</v>
      </c>
      <c r="B10" s="1">
        <v>6</v>
      </c>
    </row>
    <row r="11" spans="1:2" x14ac:dyDescent="0.4">
      <c r="A11" s="1" t="s">
        <v>54</v>
      </c>
      <c r="B11" s="20">
        <v>12000</v>
      </c>
    </row>
    <row r="12" spans="1:2" x14ac:dyDescent="0.4">
      <c r="A12" s="1" t="s">
        <v>55</v>
      </c>
      <c r="B12" s="20">
        <v>500</v>
      </c>
    </row>
    <row r="13" spans="1:2" x14ac:dyDescent="0.4">
      <c r="A13" s="1" t="s">
        <v>51</v>
      </c>
      <c r="B13" s="12">
        <f>d_serverDollarCost*d_toman2dollar</f>
        <v>300000000</v>
      </c>
    </row>
    <row r="14" spans="1:2" x14ac:dyDescent="0.4">
      <c r="A14" s="1" t="s">
        <v>56</v>
      </c>
      <c r="B14" s="12">
        <f>d_ssdDollarCost*d_toman2dollar * 12</f>
        <v>150000000</v>
      </c>
    </row>
    <row r="15" spans="1:2" x14ac:dyDescent="0.4">
      <c r="A15" s="1" t="s">
        <v>52</v>
      </c>
      <c r="B15" s="12">
        <v>3000000</v>
      </c>
    </row>
    <row r="16" spans="1:2" x14ac:dyDescent="0.4">
      <c r="A16" s="1" t="s">
        <v>62</v>
      </c>
      <c r="B16" s="21">
        <v>0.1</v>
      </c>
    </row>
    <row r="17" x14ac:dyDescent="0.4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9" tint="0.79998168889431442"/>
  </sheetPr>
  <dimension ref="A1:G20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49</v>
      </c>
      <c r="C2" s="12">
        <f>tbl_serverCount[1400]*d_serverCost</f>
        <v>1200000000</v>
      </c>
      <c r="D2" s="12">
        <f>(tbl_serverCount[1401] - tbl_serverCount[1400])*d_serverCost</f>
        <v>1800000000</v>
      </c>
      <c r="E2" s="12">
        <f>SUM(tbl_servers[[#This Row],[1400]:[1401]])</f>
        <v>3000000000</v>
      </c>
    </row>
    <row r="3" spans="1:5" x14ac:dyDescent="0.4">
      <c r="A3" s="1">
        <f>ROW(A2)</f>
        <v>2</v>
      </c>
      <c r="B3" s="1" t="s">
        <v>57</v>
      </c>
      <c r="C3" s="12">
        <f>tbl_serverCount[1400]*d_ssdCost</f>
        <v>600000000</v>
      </c>
      <c r="D3" s="12">
        <f>(tbl_serverCount[1401] - tbl_serverCount[1400])*d_ssdCost</f>
        <v>900000000</v>
      </c>
      <c r="E3" s="12">
        <f>SUM(tbl_servers[[#This Row],[1400]:[1401]])</f>
        <v>1500000000</v>
      </c>
    </row>
    <row r="4" spans="1:5" x14ac:dyDescent="0.4">
      <c r="A4" s="1">
        <f>ROW(A3)</f>
        <v>3</v>
      </c>
      <c r="B4" s="1" t="s">
        <v>53</v>
      </c>
      <c r="C4" s="12">
        <f>tbl_serverCount[1400]*d_coloCost * d_year1400Remain</f>
        <v>72000000</v>
      </c>
      <c r="D4" s="12">
        <f>tbl_serverCount[1401]*d_coloCost * 12</f>
        <v>360000000</v>
      </c>
      <c r="E4" s="12">
        <f>SUM(tbl_servers[[#This Row],[1400]:[1401]])</f>
        <v>432000000</v>
      </c>
    </row>
    <row r="5" spans="1:5" x14ac:dyDescent="0.4">
      <c r="A5" s="1" t="s">
        <v>1</v>
      </c>
      <c r="C5" s="12">
        <f>SUBTOTAL(109,tbl_servers[1400])</f>
        <v>1872000000</v>
      </c>
      <c r="D5" s="12">
        <f>SUBTOTAL(109,tbl_servers[1401])</f>
        <v>3060000000</v>
      </c>
      <c r="E5" s="12">
        <f>SUBTOTAL(109,tbl_servers[جمع])</f>
        <v>4932000000</v>
      </c>
    </row>
    <row r="6" spans="1:5" x14ac:dyDescent="0.4"/>
    <row r="7" spans="1:5" x14ac:dyDescent="0.4"/>
    <row r="8" spans="1:5" x14ac:dyDescent="0.4"/>
    <row r="9" spans="1:5" x14ac:dyDescent="0.4">
      <c r="A9" s="1" t="s">
        <v>50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33</v>
      </c>
      <c r="C10" s="3">
        <v>4</v>
      </c>
      <c r="D10" s="3">
        <v>10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9" tint="0.79998168889431442"/>
  </sheetPr>
  <dimension ref="A1:G19"/>
  <sheetViews>
    <sheetView rightToLeft="1" workbookViewId="0">
      <selection activeCell="B3" sqref="B3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38</v>
      </c>
      <c r="C2" s="12">
        <f>d_staff1400*d_systemPerPerson</f>
        <v>240000000</v>
      </c>
      <c r="D2" s="12">
        <f>d_staff1401 * d_systemPerPerson</f>
        <v>510000000</v>
      </c>
      <c r="E2" s="12">
        <f>SUM(tbl_office12[[#This Row],[1400]:[1401]])</f>
        <v>750000000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5</v>
      </c>
      <c r="D2" s="3">
        <v>10</v>
      </c>
      <c r="F2" s="4"/>
      <c r="G2" s="5"/>
    </row>
    <row r="3" spans="1:7" x14ac:dyDescent="0.4">
      <c r="A3" s="1">
        <f t="shared" ref="A3:A4" si="0">ROW(A2)</f>
        <v>2</v>
      </c>
      <c r="B3" s="1" t="s">
        <v>11</v>
      </c>
      <c r="C3" s="3">
        <v>1</v>
      </c>
      <c r="D3" s="3">
        <v>8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2</v>
      </c>
    </row>
    <row r="5" spans="1:7" x14ac:dyDescent="0.4">
      <c r="A5" s="1" t="e">
        <f>ROW(#REF!)</f>
        <v>#REF!</v>
      </c>
      <c r="B5" s="1" t="s">
        <v>13</v>
      </c>
      <c r="C5" s="3">
        <v>1</v>
      </c>
      <c r="D5" s="3">
        <v>5</v>
      </c>
    </row>
    <row r="6" spans="1:7" x14ac:dyDescent="0.4">
      <c r="A6" s="1" t="s">
        <v>21</v>
      </c>
      <c r="C6" s="3">
        <f>SUBTOTAL(109,tbl_salaryData[1400])</f>
        <v>8</v>
      </c>
      <c r="D6" s="3">
        <f>SUBTOTAL(109,tbl_salaryData[1401])</f>
        <v>25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42</v>
      </c>
      <c r="C12" s="24">
        <f>SUM(tbl_salaryData[1400])</f>
        <v>8</v>
      </c>
      <c r="D12" s="24">
        <f>SUM(tbl_salaryData[1401])-C12</f>
        <v>17</v>
      </c>
      <c r="E12" s="11">
        <f>SUM(C12:D12)</f>
        <v>25</v>
      </c>
    </row>
    <row r="13" spans="1:7" x14ac:dyDescent="0.4">
      <c r="A13" s="9"/>
      <c r="B13" s="10" t="s">
        <v>16</v>
      </c>
      <c r="C13" s="11">
        <f>C2*C$23+C3*C$24+C4*C$25+C5*C$26</f>
        <v>126000000</v>
      </c>
      <c r="D13" s="11">
        <f>D2*D$23+D3*D$24+D4*D$25+D5*D$26</f>
        <v>461100000</v>
      </c>
      <c r="E13" s="11">
        <f>SUM(C13:D13)</f>
        <v>587100000</v>
      </c>
    </row>
    <row r="14" spans="1:7" x14ac:dyDescent="0.4">
      <c r="A14" s="9"/>
      <c r="B14" s="10" t="s">
        <v>17</v>
      </c>
      <c r="C14" s="11">
        <f>C13*d_year1400Remain</f>
        <v>756000000</v>
      </c>
      <c r="D14" s="11">
        <f t="shared" ref="C14:D14" si="1">D13*12</f>
        <v>5533200000</v>
      </c>
      <c r="E14" s="12">
        <f t="shared" ref="E14:E15" si="2">SUM(C14:D14)</f>
        <v>6289200000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1121400000</v>
      </c>
      <c r="D15" s="15">
        <f>ROUND(D13*d_AnnualSalary,0)</f>
        <v>8207580000</v>
      </c>
      <c r="E15" s="16">
        <f t="shared" si="2"/>
        <v>9328980000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29000000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516200000</v>
      </c>
    </row>
    <row r="24" spans="1:6" x14ac:dyDescent="0.4">
      <c r="A24" s="1">
        <v>2</v>
      </c>
      <c r="B24" s="1" t="s">
        <v>11</v>
      </c>
      <c r="C24" s="19">
        <v>8000000</v>
      </c>
      <c r="D24" s="12">
        <f>tbl_jobSalary[[#This Row],[میانگین پرداختی ۱۴۰۰]]*(d_salaryYOY + 1)</f>
        <v>11600000</v>
      </c>
      <c r="E24" s="12">
        <f>tbl_jobSalary[[#This Row],[میانگین پرداختی ۱۴۰۰]]*d_AnnualSalary</f>
        <v>142400000</v>
      </c>
      <c r="F24" s="12">
        <f>tbl_jobSalary[[#This Row],[میانگین پرداختی ۱۴۰۱]]*d_AnnualSalary</f>
        <v>206480000</v>
      </c>
    </row>
    <row r="25" spans="1:6" x14ac:dyDescent="0.4">
      <c r="A25" s="1">
        <v>3</v>
      </c>
      <c r="B25" s="1" t="s">
        <v>12</v>
      </c>
      <c r="C25" s="19">
        <v>12000000</v>
      </c>
      <c r="D25" s="12">
        <f>tbl_jobSalary[[#This Row],[میانگین پرداختی ۱۴۰۰]]*(d_salaryYOY + 1)</f>
        <v>17400000</v>
      </c>
      <c r="E25" s="12">
        <f>tbl_jobSalary[[#This Row],[میانگین پرداختی ۱۴۰۰]]*d_AnnualSalary</f>
        <v>213600000</v>
      </c>
      <c r="F25" s="12">
        <f>tbl_jobSalary[[#This Row],[میانگین پرداختی ۱۴۰۱]]*d_AnnualSalary</f>
        <v>309720000</v>
      </c>
    </row>
    <row r="26" spans="1:6" x14ac:dyDescent="0.4">
      <c r="A26" s="1">
        <v>5</v>
      </c>
      <c r="B26" s="1" t="s">
        <v>13</v>
      </c>
      <c r="C26" s="19">
        <v>6000000</v>
      </c>
      <c r="D26" s="12">
        <f>tbl_jobSalary[[#This Row],[میانگین پرداختی ۱۴۰۰]]*(d_salaryYOY + 1)</f>
        <v>8700000</v>
      </c>
      <c r="E26" s="12">
        <f>tbl_jobSalary[[#This Row],[میانگین پرداختی ۱۴۰۰]]*d_AnnualSalary</f>
        <v>106800000</v>
      </c>
      <c r="F26" s="12">
        <f>tbl_jobSalary[[#This Row],[میانگین پرداختی ۱۴۰۱]]*d_AnnualSalary</f>
        <v>154860000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200000000</v>
      </c>
      <c r="E2" s="19">
        <f>SUM(tbl_marketing[[#This Row],[1400]:[1401]])</f>
        <v>250000000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500000000</v>
      </c>
      <c r="E3" s="19">
        <f>SUM(tbl_marketing[[#This Row],[1400]:[1401]])</f>
        <v>600000000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1000000000</v>
      </c>
      <c r="E4" s="19">
        <f>SUM(tbl_marketing[[#This Row],[1400]:[1401]])</f>
        <v>1200000000</v>
      </c>
    </row>
    <row r="5" spans="1:5" x14ac:dyDescent="0.4">
      <c r="A5" s="1">
        <f t="shared" si="0"/>
        <v>4</v>
      </c>
      <c r="B5" s="1" t="s">
        <v>65</v>
      </c>
      <c r="C5" s="19">
        <v>80000000</v>
      </c>
      <c r="D5" s="19">
        <v>500000000</v>
      </c>
      <c r="E5" s="19">
        <f>SUM(tbl_marketing[[#This Row],[1400]:[1401]])</f>
        <v>580000000</v>
      </c>
    </row>
    <row r="6" spans="1:5" x14ac:dyDescent="0.4">
      <c r="A6" s="1">
        <f t="shared" si="0"/>
        <v>5</v>
      </c>
      <c r="B6" s="1" t="s">
        <v>23</v>
      </c>
      <c r="C6" s="19">
        <v>40000000</v>
      </c>
      <c r="D6" s="19">
        <v>100000000</v>
      </c>
      <c r="E6" s="19">
        <f>SUM(tbl_marketing[[#This Row],[1400]:[1401]])</f>
        <v>140000000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50000000</v>
      </c>
      <c r="E7" s="19">
        <f>SUM(tbl_marketing[[#This Row],[1400]:[1401]])</f>
        <v>60000000</v>
      </c>
    </row>
    <row r="8" spans="1:5" x14ac:dyDescent="0.4">
      <c r="A8" s="1">
        <f t="shared" si="0"/>
        <v>7</v>
      </c>
      <c r="B8" s="1" t="s">
        <v>24</v>
      </c>
      <c r="C8" s="19">
        <v>50000000</v>
      </c>
      <c r="D8" s="19">
        <v>100000000</v>
      </c>
      <c r="E8" s="19">
        <f>SUM(tbl_marketing[[#This Row],[1400]:[1401]])</f>
        <v>150000000</v>
      </c>
    </row>
    <row r="9" spans="1:5" x14ac:dyDescent="0.4">
      <c r="A9" s="1">
        <f t="shared" si="0"/>
        <v>8</v>
      </c>
      <c r="B9" s="1" t="s">
        <v>25</v>
      </c>
      <c r="C9" s="19">
        <v>70000000</v>
      </c>
      <c r="D9" s="19">
        <v>50000000</v>
      </c>
      <c r="E9" s="19">
        <f>SUM(tbl_marketing[[#This Row],[1400]:[1401]])</f>
        <v>120000000</v>
      </c>
    </row>
    <row r="10" spans="1:5" x14ac:dyDescent="0.4">
      <c r="A10" s="1">
        <f t="shared" si="0"/>
        <v>9</v>
      </c>
      <c r="B10" s="1" t="s">
        <v>26</v>
      </c>
      <c r="C10" s="19">
        <v>200000000</v>
      </c>
      <c r="D10" s="19">
        <v>500000000</v>
      </c>
      <c r="E10" s="19">
        <f>SUM(tbl_marketing[[#This Row],[1400]:[1401]])</f>
        <v>700000000</v>
      </c>
    </row>
    <row r="11" spans="1:5" x14ac:dyDescent="0.4">
      <c r="A11" s="1" t="s">
        <v>1</v>
      </c>
      <c r="C11" s="12">
        <f>SUBTOTAL(109,tbl_marketing[1400])</f>
        <v>800000000</v>
      </c>
      <c r="D11" s="12">
        <f>SUBTOTAL(109,tbl_marketing[1401])</f>
        <v>3000000000</v>
      </c>
      <c r="E11" s="12">
        <f>SUBTOTAL(109,tbl_marketing[جمع])</f>
        <v>3800000000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53</v>
      </c>
      <c r="C2" s="12">
        <f>tbl_serverCount[1400]*d_coloCost * d_year1400Remain</f>
        <v>72000000</v>
      </c>
      <c r="D2" s="12">
        <f>tbl_serverCount[1401]*d_coloCost * 12</f>
        <v>360000000</v>
      </c>
      <c r="E2" s="12">
        <f>SUM(tbl_office[[#This Row],[1400]:[1401]])</f>
        <v>432000000</v>
      </c>
    </row>
    <row r="3" spans="1:5" x14ac:dyDescent="0.4">
      <c r="A3" s="1">
        <f t="shared" ref="A3:A9" si="0">ROW(A2)</f>
        <v>2</v>
      </c>
      <c r="B3" s="1" t="s">
        <v>64</v>
      </c>
      <c r="C3" s="12">
        <v>200000000</v>
      </c>
      <c r="D3" s="12">
        <v>80000000</v>
      </c>
      <c r="E3" s="12">
        <f>SUM(tbl_office[[#This Row],[1400]:[1401]])</f>
        <v>280000000</v>
      </c>
    </row>
    <row r="4" spans="1:5" x14ac:dyDescent="0.4">
      <c r="A4" s="1">
        <f t="shared" si="0"/>
        <v>3</v>
      </c>
      <c r="B4" s="1" t="s">
        <v>37</v>
      </c>
      <c r="C4" s="12">
        <v>10000000</v>
      </c>
      <c r="D4" s="12">
        <v>50000000</v>
      </c>
      <c r="E4" s="12">
        <f>SUM(tbl_office[[#This Row],[1400]:[1401]])</f>
        <v>60000000</v>
      </c>
    </row>
    <row r="5" spans="1:5" x14ac:dyDescent="0.4">
      <c r="A5" s="1">
        <f t="shared" si="0"/>
        <v>4</v>
      </c>
      <c r="B5" s="1" t="s">
        <v>38</v>
      </c>
      <c r="C5" s="12">
        <f>d_staff1400*d_systemPerPerson</f>
        <v>240000000</v>
      </c>
      <c r="D5" s="12">
        <f>d_staff1401 * d_systemPerPerson</f>
        <v>510000000</v>
      </c>
      <c r="E5" s="12">
        <f>SUM(tbl_office[[#This Row],[1400]:[1401]])</f>
        <v>750000000</v>
      </c>
    </row>
    <row r="6" spans="1:5" x14ac:dyDescent="0.4">
      <c r="A6" s="1">
        <f t="shared" si="0"/>
        <v>5</v>
      </c>
      <c r="B6" s="1" t="s">
        <v>43</v>
      </c>
      <c r="C6" s="12">
        <f>d_staff1400*d_usagePerPersonPerMonth * d_year1400Remain</f>
        <v>48000000</v>
      </c>
      <c r="D6" s="12">
        <f>d_staffTotal * d_usagePerPersonPerMonth * 12</f>
        <v>300000000</v>
      </c>
      <c r="E6" s="12">
        <f>SUM(tbl_office[[#This Row],[1400]:[1401]])</f>
        <v>348000000</v>
      </c>
    </row>
    <row r="7" spans="1:5" x14ac:dyDescent="0.4">
      <c r="A7" s="1">
        <f t="shared" si="0"/>
        <v>6</v>
      </c>
      <c r="B7" s="1" t="s">
        <v>44</v>
      </c>
      <c r="C7" s="12">
        <v>2000000</v>
      </c>
      <c r="D7" s="12">
        <v>50000000</v>
      </c>
      <c r="E7" s="12">
        <f>SUM(tbl_office[[#This Row],[1400]:[1401]])</f>
        <v>52000000</v>
      </c>
    </row>
    <row r="8" spans="1:5" x14ac:dyDescent="0.4">
      <c r="A8" s="1">
        <f t="shared" si="0"/>
        <v>7</v>
      </c>
      <c r="B8" s="1" t="s">
        <v>45</v>
      </c>
      <c r="C8" s="12">
        <v>10000000</v>
      </c>
      <c r="D8" s="12">
        <v>30000000</v>
      </c>
      <c r="E8" s="12">
        <f>SUM(tbl_office[[#This Row],[1400]:[1401]])</f>
        <v>40000000</v>
      </c>
    </row>
    <row r="9" spans="1:5" x14ac:dyDescent="0.4">
      <c r="A9" s="1">
        <f t="shared" si="0"/>
        <v>8</v>
      </c>
      <c r="B9" s="1" t="s">
        <v>63</v>
      </c>
      <c r="C9" s="12">
        <f>SUM(C2:C8) * 20%</f>
        <v>116400000</v>
      </c>
      <c r="D9" s="12">
        <f>SUM(D2:D8) * 20%</f>
        <v>276000000</v>
      </c>
      <c r="E9" s="12">
        <f>SUM(tbl_office[[#This Row],[1400]:[1401]])</f>
        <v>392400000</v>
      </c>
    </row>
    <row r="10" spans="1:5" x14ac:dyDescent="0.4">
      <c r="A10" s="1" t="s">
        <v>1</v>
      </c>
      <c r="C10" s="12">
        <f>SUBTOTAL(109,tbl_office[1400])</f>
        <v>698400000</v>
      </c>
      <c r="D10" s="12">
        <f>SUBTOTAL(109,tbl_office[1401])</f>
        <v>1656000000</v>
      </c>
      <c r="E10" s="12">
        <f>SUBTOTAL(109,tbl_office[جمع])</f>
        <v>2354400000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خلاصه هزینه‌ها</vt:lpstr>
      <vt:lpstr>فرضیات</vt:lpstr>
      <vt:lpstr>سرور</vt:lpstr>
      <vt:lpstr>تجهیزات اداری</vt:lpstr>
      <vt:lpstr>حقوق و دستمزد</vt:lpstr>
      <vt:lpstr>بازاریابی</vt:lpstr>
      <vt:lpstr>هزینه‌های مصرفی</vt:lpstr>
      <vt:lpstr>d_AnnualSalary</vt:lpstr>
      <vt:lpstr>d_coloCost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dcterms:created xsi:type="dcterms:W3CDTF">2021-05-14T11:36:15Z</dcterms:created>
  <dcterms:modified xsi:type="dcterms:W3CDTF">2021-05-15T13:11:23Z</dcterms:modified>
</cp:coreProperties>
</file>