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business-plan\"/>
    </mc:Choice>
  </mc:AlternateContent>
  <xr:revisionPtr revIDLastSave="0" documentId="13_ncr:1_{A5F44676-D778-434D-8A37-9C2A864E3D64}" xr6:coauthVersionLast="46" xr6:coauthVersionMax="46" xr10:uidLastSave="{00000000-0000-0000-0000-000000000000}"/>
  <bookViews>
    <workbookView xWindow="38280" yWindow="-120" windowWidth="29040" windowHeight="15840" tabRatio="792" activeTab="10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 و فروش" sheetId="4" r:id="rId7"/>
    <sheet name="هزینه‌های عمومی و اداری" sheetId="5" r:id="rId8"/>
    <sheet name="جزئیات منابع درآمد" sheetId="12" r:id="rId9"/>
    <sheet name="پیش‌بینی درآمد" sheetId="13" r:id="rId10"/>
    <sheet name="خلاصه و ارزیابی" sheetId="14" r:id="rId11"/>
    <sheet name="مراحل سرمایه‌گذاری" sheetId="15" r:id="rId12"/>
  </sheets>
  <definedNames>
    <definedName name="d_AnnualSalary">فرضیات!$B$3</definedName>
    <definedName name="d_coloCost">فرضیات!$B$15</definedName>
    <definedName name="d_customerAvgRevenue">'جزئیات منابع درآمد'!$C$19</definedName>
    <definedName name="d_customerConvertRate">'جزئیات منابع درآمد'!$C$18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  <definedName name="s_activeUser">فرضیات!$B$18</definedName>
    <definedName name="s_cagr">فرضیات!$B$19</definedName>
    <definedName name="s_costsGrowthCapexYOY">فرضیات!$B$21</definedName>
    <definedName name="s_costsGrowthYOY">فرضیات!$B$20</definedName>
    <definedName name="v_DiscountRate">'خلاصه و ارزیابی'!$D$21</definedName>
    <definedName name="v_ExitRevenueMultiple">'خلاصه و ارزیابی'!$D$22</definedName>
    <definedName name="v_seriA">'مراحل سرمایه‌گذاری'!$H$3</definedName>
    <definedName name="v_seriB">'مراحل سرمایه‌گذاری'!$I$4</definedName>
    <definedName name="v_seriC">'مراحل سرمایه‌گذاری'!$J$5</definedName>
    <definedName name="v_seriD">'مراحل سرمایه‌گذاری'!$K$6</definedName>
    <definedName name="v_seriE">'مراحل سرمایه‌گذاری'!$L$7</definedName>
    <definedName name="v_seriF">'مراحل سرمایه‌گذاری'!$M$8</definedName>
    <definedName name="v_totalFund">'خلاصه و ارزیابی'!$C$15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4" l="1"/>
  <c r="A12" i="14"/>
  <c r="A6" i="14"/>
  <c r="B32" i="12"/>
  <c r="B33" i="12"/>
  <c r="A5" i="2" l="1"/>
  <c r="B14" i="3"/>
  <c r="A5" i="14" l="1"/>
  <c r="A8" i="12"/>
  <c r="F8" i="12"/>
  <c r="H8" i="12" s="1"/>
  <c r="J8" i="12" s="1"/>
  <c r="K8" i="12"/>
  <c r="L8" i="12"/>
  <c r="M8" i="12"/>
  <c r="N8" i="12"/>
  <c r="O8" i="12"/>
  <c r="P8" i="12"/>
  <c r="Q8" i="12"/>
  <c r="R8" i="12"/>
  <c r="J8" i="15"/>
  <c r="K8" i="15" s="1"/>
  <c r="L8" i="15" s="1"/>
  <c r="H8" i="15"/>
  <c r="L6" i="15"/>
  <c r="K5" i="15"/>
  <c r="L5" i="15" s="1"/>
  <c r="J4" i="15"/>
  <c r="K4" i="15" s="1"/>
  <c r="L4" i="15" s="1"/>
  <c r="I13" i="15"/>
  <c r="J13" i="15" s="1"/>
  <c r="I3" i="15"/>
  <c r="J3" i="15" s="1"/>
  <c r="K3" i="15" s="1"/>
  <c r="L3" i="15" s="1"/>
  <c r="H5" i="15"/>
  <c r="I5" i="15" s="1"/>
  <c r="H6" i="15"/>
  <c r="I6" i="15" s="1"/>
  <c r="J6" i="15" s="1"/>
  <c r="H7" i="15"/>
  <c r="I7" i="15" s="1"/>
  <c r="J7" i="15" s="1"/>
  <c r="K7" i="15" s="1"/>
  <c r="H9" i="15"/>
  <c r="I9" i="15" s="1"/>
  <c r="J9" i="15" s="1"/>
  <c r="H10" i="15"/>
  <c r="I10" i="15" s="1"/>
  <c r="H11" i="15"/>
  <c r="I11" i="15" s="1"/>
  <c r="J11" i="15" s="1"/>
  <c r="H12" i="15"/>
  <c r="I12" i="15" s="1"/>
  <c r="J12" i="15" s="1"/>
  <c r="K12" i="15" s="1"/>
  <c r="H4" i="15"/>
  <c r="H2" i="15"/>
  <c r="I2" i="15" s="1"/>
  <c r="H26" i="15"/>
  <c r="G24" i="15"/>
  <c r="G25" i="15"/>
  <c r="G26" i="15"/>
  <c r="F24" i="15"/>
  <c r="F25" i="15"/>
  <c r="F26" i="15"/>
  <c r="E24" i="15"/>
  <c r="E25" i="15"/>
  <c r="E26" i="15"/>
  <c r="D24" i="15"/>
  <c r="D25" i="15"/>
  <c r="D26" i="15"/>
  <c r="C24" i="15"/>
  <c r="C25" i="15"/>
  <c r="C26" i="15"/>
  <c r="E14" i="15"/>
  <c r="F14" i="15"/>
  <c r="G14" i="15"/>
  <c r="D14" i="15"/>
  <c r="C14" i="15"/>
  <c r="E3" i="14"/>
  <c r="F3" i="14" s="1"/>
  <c r="G3" i="14" s="1"/>
  <c r="H3" i="14" s="1"/>
  <c r="I3" i="14" s="1"/>
  <c r="D3" i="14"/>
  <c r="A2" i="14"/>
  <c r="A3" i="14"/>
  <c r="F27" i="15" l="1"/>
  <c r="E27" i="15"/>
  <c r="I26" i="15"/>
  <c r="C27" i="15"/>
  <c r="G27" i="15"/>
  <c r="D27" i="15"/>
  <c r="H25" i="15"/>
  <c r="J26" i="15"/>
  <c r="K13" i="15"/>
  <c r="K9" i="15"/>
  <c r="L9" i="15" s="1"/>
  <c r="L12" i="15"/>
  <c r="K11" i="15"/>
  <c r="L11" i="15" s="1"/>
  <c r="I24" i="15"/>
  <c r="J2" i="15"/>
  <c r="I14" i="15"/>
  <c r="J10" i="15"/>
  <c r="K10" i="15" s="1"/>
  <c r="L10" i="15" s="1"/>
  <c r="I25" i="15"/>
  <c r="H24" i="15"/>
  <c r="H27" i="15" l="1"/>
  <c r="I27" i="15"/>
  <c r="L13" i="15"/>
  <c r="K26" i="15"/>
  <c r="K25" i="15"/>
  <c r="K2" i="15"/>
  <c r="J24" i="15"/>
  <c r="J25" i="15"/>
  <c r="J14" i="15"/>
  <c r="L25" i="15"/>
  <c r="J27" i="15" l="1"/>
  <c r="L26" i="15"/>
  <c r="L2" i="15"/>
  <c r="K14" i="15"/>
  <c r="K24" i="15"/>
  <c r="K27" i="15" s="1"/>
  <c r="L14" i="15" l="1"/>
  <c r="L24" i="15"/>
  <c r="L27" i="15" s="1"/>
  <c r="A7" i="14" l="1"/>
  <c r="A8" i="14"/>
  <c r="A9" i="14"/>
  <c r="A10" i="14"/>
  <c r="A11" i="14"/>
  <c r="A4" i="14"/>
  <c r="A3" i="13"/>
  <c r="A4" i="13"/>
  <c r="A5" i="13"/>
  <c r="A6" i="13"/>
  <c r="A7" i="13"/>
  <c r="A8" i="13"/>
  <c r="C18" i="12"/>
  <c r="C3" i="13" s="1"/>
  <c r="A2" i="13"/>
  <c r="B34" i="12"/>
  <c r="K2" i="12"/>
  <c r="R2" i="12"/>
  <c r="R3" i="12"/>
  <c r="R4" i="12"/>
  <c r="R5" i="12"/>
  <c r="R6" i="12"/>
  <c r="R7" i="12"/>
  <c r="R9" i="12"/>
  <c r="R10" i="12"/>
  <c r="R11" i="12"/>
  <c r="R12" i="12"/>
  <c r="R13" i="12"/>
  <c r="Q2" i="12"/>
  <c r="Q3" i="12"/>
  <c r="Q4" i="12"/>
  <c r="Q5" i="12"/>
  <c r="Q6" i="12"/>
  <c r="Q7" i="12"/>
  <c r="Q9" i="12"/>
  <c r="Q10" i="12"/>
  <c r="Q11" i="12"/>
  <c r="Q12" i="12"/>
  <c r="Q13" i="12"/>
  <c r="P2" i="12"/>
  <c r="P3" i="12"/>
  <c r="P4" i="12"/>
  <c r="P5" i="12"/>
  <c r="P6" i="12"/>
  <c r="P7" i="12"/>
  <c r="P9" i="12"/>
  <c r="P10" i="12"/>
  <c r="P11" i="12"/>
  <c r="P12" i="12"/>
  <c r="P13" i="12"/>
  <c r="O2" i="12"/>
  <c r="O3" i="12"/>
  <c r="O4" i="12"/>
  <c r="O5" i="12"/>
  <c r="O6" i="12"/>
  <c r="O7" i="12"/>
  <c r="O9" i="12"/>
  <c r="O10" i="12"/>
  <c r="O11" i="12"/>
  <c r="O12" i="12"/>
  <c r="O13" i="12"/>
  <c r="N2" i="12"/>
  <c r="N3" i="12"/>
  <c r="N4" i="12"/>
  <c r="N5" i="12"/>
  <c r="N6" i="12"/>
  <c r="N7" i="12"/>
  <c r="N9" i="12"/>
  <c r="N10" i="12"/>
  <c r="N11" i="12"/>
  <c r="N12" i="12"/>
  <c r="N13" i="12"/>
  <c r="M2" i="12"/>
  <c r="M3" i="12"/>
  <c r="M4" i="12"/>
  <c r="M5" i="12"/>
  <c r="M6" i="12"/>
  <c r="M7" i="12"/>
  <c r="M9" i="12"/>
  <c r="M10" i="12"/>
  <c r="M11" i="12"/>
  <c r="M12" i="12"/>
  <c r="M13" i="12"/>
  <c r="L2" i="12"/>
  <c r="L3" i="12"/>
  <c r="L4" i="12"/>
  <c r="L5" i="12"/>
  <c r="L6" i="12"/>
  <c r="L7" i="12"/>
  <c r="L9" i="12"/>
  <c r="L10" i="12"/>
  <c r="L11" i="12"/>
  <c r="L12" i="12"/>
  <c r="L13" i="12"/>
  <c r="K3" i="12"/>
  <c r="K4" i="12"/>
  <c r="K5" i="12"/>
  <c r="K6" i="12"/>
  <c r="K7" i="12"/>
  <c r="K9" i="12"/>
  <c r="K10" i="12"/>
  <c r="K11" i="12"/>
  <c r="K12" i="12"/>
  <c r="K13" i="12"/>
  <c r="B24" i="12"/>
  <c r="B25" i="12"/>
  <c r="B26" i="12"/>
  <c r="B27" i="12"/>
  <c r="B28" i="12"/>
  <c r="B29" i="12"/>
  <c r="B30" i="12"/>
  <c r="B31" i="12"/>
  <c r="G14" i="12"/>
  <c r="A3" i="12"/>
  <c r="A4" i="12"/>
  <c r="A5" i="12"/>
  <c r="A6" i="12"/>
  <c r="A7" i="12"/>
  <c r="A9" i="12"/>
  <c r="A10" i="12"/>
  <c r="A11" i="12"/>
  <c r="A12" i="12"/>
  <c r="A13" i="12"/>
  <c r="F7" i="12"/>
  <c r="F13" i="12"/>
  <c r="F2" i="12"/>
  <c r="F3" i="12"/>
  <c r="F4" i="12"/>
  <c r="F5" i="12"/>
  <c r="F6" i="12"/>
  <c r="F9" i="12"/>
  <c r="F10" i="12"/>
  <c r="F11" i="12"/>
  <c r="F12" i="12"/>
  <c r="C4" i="13" l="1"/>
  <c r="D3" i="13"/>
  <c r="H3" i="13"/>
  <c r="D4" i="13"/>
  <c r="H4" i="13"/>
  <c r="E3" i="13"/>
  <c r="I3" i="13"/>
  <c r="E4" i="13"/>
  <c r="I4" i="13"/>
  <c r="F3" i="13"/>
  <c r="J3" i="13"/>
  <c r="F4" i="13"/>
  <c r="J4" i="13"/>
  <c r="G3" i="13"/>
  <c r="G4" i="13"/>
  <c r="H12" i="12"/>
  <c r="J12" i="12" s="1"/>
  <c r="H11" i="12"/>
  <c r="J11" i="12" s="1"/>
  <c r="H6" i="12"/>
  <c r="J6" i="12" s="1"/>
  <c r="H10" i="12"/>
  <c r="J10" i="12" s="1"/>
  <c r="H5" i="12"/>
  <c r="J5" i="12" s="1"/>
  <c r="H13" i="12"/>
  <c r="J13" i="12" s="1"/>
  <c r="H9" i="12"/>
  <c r="J9" i="12" s="1"/>
  <c r="H4" i="12"/>
  <c r="J4" i="12" s="1"/>
  <c r="H7" i="12"/>
  <c r="J7" i="12" s="1"/>
  <c r="H3" i="12"/>
  <c r="J3" i="12" s="1"/>
  <c r="H2" i="12"/>
  <c r="C19" i="12" l="1"/>
  <c r="J2" i="12"/>
  <c r="I8" i="12" s="1"/>
  <c r="H14" i="12"/>
  <c r="C33" i="12" l="1"/>
  <c r="D33" i="12" s="1"/>
  <c r="C32" i="12"/>
  <c r="D32" i="12" s="1"/>
  <c r="D5" i="13"/>
  <c r="D6" i="13" s="1"/>
  <c r="H5" i="13"/>
  <c r="H6" i="13" s="1"/>
  <c r="E5" i="13"/>
  <c r="E6" i="13" s="1"/>
  <c r="I5" i="13"/>
  <c r="I6" i="13" s="1"/>
  <c r="F5" i="13"/>
  <c r="F6" i="13" s="1"/>
  <c r="G5" i="13"/>
  <c r="G6" i="13" s="1"/>
  <c r="C5" i="13"/>
  <c r="C6" i="13" s="1"/>
  <c r="J5" i="13"/>
  <c r="J6" i="13" s="1"/>
  <c r="C7" i="13"/>
  <c r="C8" i="13" s="1"/>
  <c r="D7" i="13"/>
  <c r="D8" i="13" s="1"/>
  <c r="H7" i="13"/>
  <c r="H8" i="13" s="1"/>
  <c r="E7" i="13"/>
  <c r="E8" i="13" s="1"/>
  <c r="I7" i="13"/>
  <c r="I8" i="13" s="1"/>
  <c r="F7" i="13"/>
  <c r="F8" i="13" s="1"/>
  <c r="J7" i="13"/>
  <c r="J8" i="13" s="1"/>
  <c r="G7" i="13"/>
  <c r="G8" i="13" s="1"/>
  <c r="I4" i="12"/>
  <c r="C34" i="12"/>
  <c r="D34" i="12" s="1"/>
  <c r="C24" i="12"/>
  <c r="D24" i="12" s="1"/>
  <c r="C28" i="12"/>
  <c r="D28" i="12" s="1"/>
  <c r="C25" i="12"/>
  <c r="D25" i="12" s="1"/>
  <c r="C29" i="12"/>
  <c r="D29" i="12" s="1"/>
  <c r="C26" i="12"/>
  <c r="D26" i="12" s="1"/>
  <c r="C30" i="12"/>
  <c r="D30" i="12" s="1"/>
  <c r="C27" i="12"/>
  <c r="D27" i="12" s="1"/>
  <c r="C31" i="12"/>
  <c r="D31" i="12" s="1"/>
  <c r="I2" i="12"/>
  <c r="I9" i="12"/>
  <c r="I12" i="12"/>
  <c r="I5" i="12"/>
  <c r="I3" i="12"/>
  <c r="I7" i="12"/>
  <c r="I13" i="12"/>
  <c r="I10" i="12"/>
  <c r="I11" i="12"/>
  <c r="I6" i="12"/>
  <c r="D4" i="14" l="1"/>
  <c r="E4" i="14"/>
  <c r="E5" i="14" s="1"/>
  <c r="D24" i="14" l="1"/>
  <c r="D5" i="14"/>
  <c r="E6" i="14" s="1"/>
  <c r="F4" i="14"/>
  <c r="E24" i="14"/>
  <c r="A2" i="12"/>
  <c r="F5" i="14" l="1"/>
  <c r="F6" i="14" s="1"/>
  <c r="G4" i="14"/>
  <c r="F24" i="14"/>
  <c r="A3" i="2"/>
  <c r="A4" i="2"/>
  <c r="H4" i="14" l="1"/>
  <c r="G5" i="14"/>
  <c r="G6" i="14" s="1"/>
  <c r="G24" i="14"/>
  <c r="A3" i="5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D3" i="6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D9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I4" i="14" l="1"/>
  <c r="H5" i="14"/>
  <c r="H6" i="14" s="1"/>
  <c r="H24" i="14"/>
  <c r="C6" i="5"/>
  <c r="E6" i="1"/>
  <c r="C2" i="8"/>
  <c r="D3" i="1" s="1"/>
  <c r="D2" i="8"/>
  <c r="E4" i="6"/>
  <c r="E2" i="5"/>
  <c r="C3" i="6"/>
  <c r="D2" i="6"/>
  <c r="I5" i="14" l="1"/>
  <c r="J4" i="14"/>
  <c r="I24" i="14"/>
  <c r="E6" i="5"/>
  <c r="C9" i="5"/>
  <c r="C10" i="5" s="1"/>
  <c r="E3" i="1"/>
  <c r="E2" i="8"/>
  <c r="E5" i="5"/>
  <c r="E7" i="1"/>
  <c r="E2" i="6"/>
  <c r="D10" i="5"/>
  <c r="F6" i="1"/>
  <c r="C5" i="6"/>
  <c r="E3" i="6"/>
  <c r="D5" i="6"/>
  <c r="E2" i="1"/>
  <c r="D2" i="1"/>
  <c r="J5" i="14" l="1"/>
  <c r="I6" i="14"/>
  <c r="E7" i="14"/>
  <c r="F7" i="14" s="1"/>
  <c r="G7" i="14" s="1"/>
  <c r="H7" i="14" s="1"/>
  <c r="I7" i="14" s="1"/>
  <c r="D7" i="14"/>
  <c r="D13" i="1"/>
  <c r="E13" i="1"/>
  <c r="E9" i="5"/>
  <c r="E10" i="5" s="1"/>
  <c r="D7" i="1"/>
  <c r="E5" i="6"/>
  <c r="C13" i="2"/>
  <c r="C15" i="2" s="1"/>
  <c r="D23" i="2"/>
  <c r="F23" i="2" s="1"/>
  <c r="D24" i="2"/>
  <c r="F24" i="2" s="1"/>
  <c r="D25" i="2"/>
  <c r="F25" i="2" s="1"/>
  <c r="D26" i="2"/>
  <c r="F26" i="2" s="1"/>
  <c r="B15" i="2"/>
  <c r="J7" i="14" l="1"/>
  <c r="F13" i="1"/>
  <c r="F7" i="1"/>
  <c r="C14" i="2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E4" i="1"/>
  <c r="E15" i="2"/>
  <c r="D8" i="14" l="1"/>
  <c r="D14" i="1"/>
  <c r="E8" i="1"/>
  <c r="E8" i="14" s="1"/>
  <c r="F8" i="14" s="1"/>
  <c r="F3" i="1"/>
  <c r="F4" i="1"/>
  <c r="D9" i="1"/>
  <c r="D9" i="14" l="1"/>
  <c r="D30" i="14" s="1"/>
  <c r="G8" i="14"/>
  <c r="H8" i="14" s="1"/>
  <c r="I8" i="14" s="1"/>
  <c r="C15" i="14"/>
  <c r="E9" i="14"/>
  <c r="E9" i="1"/>
  <c r="E14" i="1"/>
  <c r="F14" i="1" s="1"/>
  <c r="F8" i="1"/>
  <c r="G3" i="1" s="1"/>
  <c r="D10" i="14" l="1"/>
  <c r="D11" i="14"/>
  <c r="D23" i="14" s="1"/>
  <c r="D25" i="14" s="1"/>
  <c r="D26" i="14" s="1"/>
  <c r="J8" i="14"/>
  <c r="D32" i="14"/>
  <c r="E11" i="14"/>
  <c r="E30" i="14"/>
  <c r="E10" i="14"/>
  <c r="F9" i="14"/>
  <c r="F9" i="1"/>
  <c r="G4" i="1"/>
  <c r="G5" i="1"/>
  <c r="G2" i="1"/>
  <c r="G8" i="1"/>
  <c r="G7" i="1"/>
  <c r="G6" i="1"/>
  <c r="D31" i="14" l="1"/>
  <c r="E12" i="14"/>
  <c r="E13" i="14" s="1"/>
  <c r="D12" i="14"/>
  <c r="D13" i="14" s="1"/>
  <c r="E23" i="14"/>
  <c r="E32" i="14"/>
  <c r="E31" i="14"/>
  <c r="F30" i="14"/>
  <c r="F11" i="14"/>
  <c r="F10" i="14"/>
  <c r="G9" i="14"/>
  <c r="G11" i="14" s="1"/>
  <c r="G9" i="1"/>
  <c r="F23" i="14" l="1"/>
  <c r="F25" i="14" s="1"/>
  <c r="F26" i="14" s="1"/>
  <c r="F12" i="14"/>
  <c r="F13" i="14" s="1"/>
  <c r="G12" i="14"/>
  <c r="G13" i="14" s="1"/>
  <c r="E25" i="14"/>
  <c r="E26" i="14" s="1"/>
  <c r="G30" i="14"/>
  <c r="F31" i="14"/>
  <c r="G31" i="14"/>
  <c r="F32" i="14"/>
  <c r="H9" i="14"/>
  <c r="H30" i="14" s="1"/>
  <c r="I9" i="14"/>
  <c r="I11" i="14" s="1"/>
  <c r="G23" i="14"/>
  <c r="G25" i="14" s="1"/>
  <c r="G26" i="14" s="1"/>
  <c r="G10" i="14"/>
  <c r="H10" i="14" l="1"/>
  <c r="H11" i="14"/>
  <c r="J11" i="14" s="1"/>
  <c r="I30" i="14"/>
  <c r="I10" i="14"/>
  <c r="I23" i="14"/>
  <c r="H23" i="14" l="1"/>
  <c r="H25" i="14" s="1"/>
  <c r="H26" i="14" s="1"/>
  <c r="H12" i="14"/>
  <c r="H13" i="14" s="1"/>
  <c r="I12" i="14"/>
  <c r="I13" i="14" s="1"/>
  <c r="I32" i="14"/>
  <c r="I31" i="14"/>
  <c r="H32" i="14"/>
  <c r="H31" i="14"/>
  <c r="I25" i="14" l="1"/>
  <c r="I26" i="14" s="1"/>
  <c r="H14" i="15"/>
  <c r="M12" i="15"/>
  <c r="M4" i="15"/>
  <c r="M5" i="15"/>
  <c r="M10" i="15"/>
  <c r="M6" i="15"/>
  <c r="M11" i="15"/>
  <c r="M9" i="15"/>
  <c r="M3" i="15"/>
  <c r="M2" i="15"/>
  <c r="M13" i="15"/>
  <c r="M26" i="15" s="1"/>
  <c r="M7" i="15"/>
  <c r="M25" i="15" l="1"/>
  <c r="M14" i="15"/>
  <c r="M24" i="15"/>
  <c r="M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Evazzadeh</author>
  </authors>
  <commentList>
    <comment ref="C9" authorId="0" shapeId="0" xr:uid="{C4FC50AC-CFBA-4AC7-AB21-28DB7D6BCBB3}">
      <text>
        <r>
          <rPr>
            <sz val="9"/>
            <color indexed="81"/>
            <rFont val="Tahoma"/>
          </rPr>
          <t>Earnings before interest, tax, depreciation and amortization</t>
        </r>
      </text>
    </comment>
    <comment ref="B25" authorId="0" shapeId="0" xr:uid="{68FD4E4E-6D9E-4BED-9405-F6FD701F704A}">
      <text>
        <r>
          <rPr>
            <sz val="9"/>
            <color indexed="81"/>
            <rFont val="Tahoma"/>
          </rPr>
          <t>Post-money valuation</t>
        </r>
      </text>
    </comment>
    <comment ref="B26" authorId="0" shapeId="0" xr:uid="{225D4D8D-7B54-479E-8CEC-45A0AC103571}">
      <text>
        <r>
          <rPr>
            <sz val="9"/>
            <color indexed="81"/>
            <rFont val="Tahoma"/>
          </rPr>
          <t>Post-money valuation</t>
        </r>
      </text>
    </comment>
    <comment ref="C30" authorId="0" shapeId="0" xr:uid="{17C37891-F9D3-447A-B8FE-A7C8660AE20C}">
      <text>
        <r>
          <rPr>
            <b/>
            <sz val="9"/>
            <color indexed="81"/>
            <rFont val="Tahoma"/>
          </rPr>
          <t>Internal rate of return</t>
        </r>
      </text>
    </comment>
  </commentList>
</comments>
</file>

<file path=xl/sharedStrings.xml><?xml version="1.0" encoding="utf-8"?>
<sst xmlns="http://schemas.openxmlformats.org/spreadsheetml/2006/main" count="340" uniqueCount="197">
  <si>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</si>
  <si>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</si>
  <si>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</si>
  <si>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</si>
  <si>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</si>
  <si>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</si>
  <si>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</si>
  <si>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</si>
  <si>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</si>
  <si>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</si>
  <si>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</si>
  <si>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</si>
  <si>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</si>
  <si>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</si>
  <si>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</si>
  <si>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</si>
  <si>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</si>
  <si>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</si>
  <si>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</si>
  <si>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</si>
  <si>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</si>
  <si>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</si>
  <si>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</si>
  <si>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</si>
  <si>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</si>
  <si>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</si>
  <si>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</si>
  <si>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</si>
  <si>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</si>
  <si>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</si>
  <si>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</si>
  <si>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</si>
  <si>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</si>
  <si>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</si>
  <si>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</si>
  <si>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</si>
  <si>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</si>
  <si>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</si>
  <si>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</si>
  <si>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</si>
  <si>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</si>
  <si>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</si>
  <si>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</si>
  <si>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</si>
  <si>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</si>
  <si>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</si>
  <si>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</si>
  <si>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</si>
  <si>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</si>
  <si>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</si>
  <si>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</si>
  <si>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</si>
  <si>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</si>
  <si>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</si>
  <si>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</si>
  <si>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</si>
  <si>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</si>
  <si>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</si>
  <si>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</si>
  <si>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</si>
  <si>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</si>
  <si>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اجاره سروهای بکاپ</t>
  </si>
  <si>
    <t>دیجیتال مارکتینگ</t>
  </si>
  <si>
    <t>پک پیامک</t>
  </si>
  <si>
    <t>فرضیات بخش درآمد</t>
  </si>
  <si>
    <t>درصد کاربران فعال نسبت به کل</t>
  </si>
  <si>
    <t>درصد خرید</t>
  </si>
  <si>
    <t>حذف برندینگ جیبرس</t>
  </si>
  <si>
    <t>مدل پرداخت</t>
  </si>
  <si>
    <t>یک‌بار</t>
  </si>
  <si>
    <t>ماهیانه</t>
  </si>
  <si>
    <t>دیزاین سفارشی</t>
  </si>
  <si>
    <t>مشتری سازمانی</t>
  </si>
  <si>
    <t>مدیریت ارتباط با مشتریان حرفه‌ای</t>
  </si>
  <si>
    <t>گزارشات فروش پیشرفته</t>
  </si>
  <si>
    <t>دستیار فروش اینستاگرام</t>
  </si>
  <si>
    <t>ربات سفارش‌گیر تلگرام</t>
  </si>
  <si>
    <t>سود</t>
  </si>
  <si>
    <t>مبلغ پرداختی</t>
  </si>
  <si>
    <t>بهای تمام شده</t>
  </si>
  <si>
    <t>طراحی دیزاین اختصاصی</t>
  </si>
  <si>
    <t>پنل پیامک</t>
  </si>
  <si>
    <t>درآمد ماهیانه</t>
  </si>
  <si>
    <t>درآمد سالیانه</t>
  </si>
  <si>
    <t>مصرفی</t>
  </si>
  <si>
    <t>کل بیزینس‌ها</t>
  </si>
  <si>
    <t>500</t>
  </si>
  <si>
    <t>1000</t>
  </si>
  <si>
    <t>2000</t>
  </si>
  <si>
    <t>5000</t>
  </si>
  <si>
    <t>10000</t>
  </si>
  <si>
    <t>20000</t>
  </si>
  <si>
    <t>50000</t>
  </si>
  <si>
    <t>100000</t>
  </si>
  <si>
    <t>پنل ادمین روی دامنه اختصاصی</t>
  </si>
  <si>
    <t>درصد از کل درآمد</t>
  </si>
  <si>
    <t>سود به ازای هر بیزینس</t>
  </si>
  <si>
    <t>تعداد بیزینس</t>
  </si>
  <si>
    <t>درآمد</t>
  </si>
  <si>
    <t>تعداد بیزینس‌هایی که پرداخت دارند</t>
  </si>
  <si>
    <t>میانگین درآمد از هر مشتری</t>
  </si>
  <si>
    <t>نرخ تبدیل مشتریان رایگان به پولی</t>
  </si>
  <si>
    <t>1400-Q1</t>
  </si>
  <si>
    <t>1400-Q2</t>
  </si>
  <si>
    <t>1400-Q3</t>
  </si>
  <si>
    <t>1400-Q4</t>
  </si>
  <si>
    <t>1401-Q1</t>
  </si>
  <si>
    <t>1401-Q2</t>
  </si>
  <si>
    <t>1401-Q3</t>
  </si>
  <si>
    <t>1401-Q4</t>
  </si>
  <si>
    <t>تعداد کل بیزینس‌ها</t>
  </si>
  <si>
    <t>بیزینس‌هایی که پرداخت می‌کنند</t>
  </si>
  <si>
    <t>میانگین درآمد از هر مشتری در ماه</t>
  </si>
  <si>
    <t>میانگین درآمد از هر مشتری در سه‌ماهه</t>
  </si>
  <si>
    <t>درآمد سه‌ماهه</t>
  </si>
  <si>
    <t>1402</t>
  </si>
  <si>
    <t>1403</t>
  </si>
  <si>
    <t>1404</t>
  </si>
  <si>
    <t>رشد سالیانه فروش CAGR</t>
  </si>
  <si>
    <t>رشد سالیانه هزینه‌ها</t>
  </si>
  <si>
    <t>EBITDA</t>
  </si>
  <si>
    <t>EBITDA Margin</t>
  </si>
  <si>
    <t>FCF</t>
  </si>
  <si>
    <t>1405</t>
  </si>
  <si>
    <t>هزینه‌های عمومی و اداری</t>
  </si>
  <si>
    <t>بازاریابی و فروش</t>
  </si>
  <si>
    <t>تعداد بیزینس‌ها</t>
  </si>
  <si>
    <t>Merchants</t>
  </si>
  <si>
    <t>Revnue</t>
  </si>
  <si>
    <t>Opex</t>
  </si>
  <si>
    <t>Capex</t>
  </si>
  <si>
    <t>درآمد قبل از بهره، مالیات و استهلاک</t>
  </si>
  <si>
    <t>درصد EBITDA</t>
  </si>
  <si>
    <t>Discount Rate</t>
  </si>
  <si>
    <t>Exit Revenue Multiple</t>
  </si>
  <si>
    <t>Present FCF</t>
  </si>
  <si>
    <t>Title</t>
  </si>
  <si>
    <t>رشد سالیانه هزینه سرمایه ثابت</t>
  </si>
  <si>
    <t>IRR</t>
  </si>
  <si>
    <t>IRR + CAPEX</t>
  </si>
  <si>
    <t>NVP</t>
  </si>
  <si>
    <t>نرخ تنزیل</t>
  </si>
  <si>
    <t>Series A</t>
  </si>
  <si>
    <t>Series B</t>
  </si>
  <si>
    <t>Series C</t>
  </si>
  <si>
    <t>Series E</t>
  </si>
  <si>
    <t>Series F</t>
  </si>
  <si>
    <t>موسسان</t>
  </si>
  <si>
    <t>سهام کارکنان</t>
  </si>
  <si>
    <t>نوع سهام‌دار</t>
  </si>
  <si>
    <t>جواد ادیب</t>
  </si>
  <si>
    <t>رضا محیطی</t>
  </si>
  <si>
    <t>سارا ترکمنی</t>
  </si>
  <si>
    <t>حسن صالحی</t>
  </si>
  <si>
    <t>-</t>
  </si>
  <si>
    <t>سرمایه‌گذاران</t>
  </si>
  <si>
    <t>دوم</t>
  </si>
  <si>
    <t>سوم</t>
  </si>
  <si>
    <t>چهارم</t>
  </si>
  <si>
    <t>پنجم</t>
  </si>
  <si>
    <t>اشتراک بین کارکنان</t>
  </si>
  <si>
    <t>نام به تفکیک</t>
  </si>
  <si>
    <t>اول (حسینی)</t>
  </si>
  <si>
    <t>1399</t>
  </si>
  <si>
    <t>Start 1394</t>
  </si>
  <si>
    <t>سرمایه ثبتی شرکت</t>
  </si>
  <si>
    <t>Angel Out 1397/2/22</t>
  </si>
  <si>
    <t>Seed Angel 1395</t>
  </si>
  <si>
    <t>1397/5/1</t>
  </si>
  <si>
    <t>ششم</t>
  </si>
  <si>
    <t>جمع سهام</t>
  </si>
  <si>
    <t>Series D</t>
  </si>
  <si>
    <t>هفتم</t>
  </si>
  <si>
    <t>مرکز فروش دامنه</t>
  </si>
  <si>
    <t>Exit Value</t>
  </si>
  <si>
    <t>شماره سال</t>
  </si>
  <si>
    <t>T</t>
  </si>
  <si>
    <t>روش تنزیل جریانات نقد آزاد شرکت از روش ارزش خروج برای تعیین ارزش پایانی</t>
  </si>
  <si>
    <t>روش تنزیل جریانات نقد آزاد شرکت از روش استمرار رشد بنیادی</t>
  </si>
  <si>
    <t>Present Value of Terminal Value</t>
  </si>
  <si>
    <t>ارزش فعلی ارزش پایانی</t>
  </si>
  <si>
    <t>ارزش پیش از تزریق سرمایه</t>
  </si>
  <si>
    <t>ارزش فعلی جریانات نقد آزاد</t>
  </si>
  <si>
    <t>نسبت ارزش به درآمد</t>
  </si>
  <si>
    <t>ارزش خالص فعلی کل سرمایه‌گذاری</t>
  </si>
  <si>
    <t>سایز هزینه‌ها ۱۰٪</t>
  </si>
  <si>
    <t>پشتیبانی ویژه و SLA</t>
  </si>
  <si>
    <t>میزان بازده داخلی + سرمایه ثابت</t>
  </si>
  <si>
    <t>درآمد دلاری</t>
  </si>
  <si>
    <t>ارزش پیش از تزریق سرمایه به دلار</t>
  </si>
  <si>
    <t>مبلغ موردنیاز برای سرمایه‌گذاری</t>
  </si>
  <si>
    <t>رشد درآمد نسبت به سال گذشته</t>
  </si>
  <si>
    <t>جریان نقدی آزاد (سود و زیان)</t>
  </si>
  <si>
    <t>سود و زیان تجمیعی</t>
  </si>
  <si>
    <t>میزان بازده داخلی (نرخ داخلی بازگشت سرمایه)</t>
  </si>
  <si>
    <t>ROI</t>
  </si>
  <si>
    <t>نرخ بازگشت سرمایه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</si>
</sst>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  <numFmt numFmtId="167" formatCode="[$-3000401]0"/>
    <numFmt numFmtId="168" formatCode="0.0%"/>
    <numFmt numFmtId="169" formatCode="_(* #,##0.0_);_(* \(#,##0.0\);_(* &quot;-&quot;??_);_(@_)"/>
    <numFmt numFmtId="170" formatCode="_(\I\R\T\ * #,##0_);[Red]_(\I\R\T\ * &quot;-&quot;#,##0_)"/>
    <numFmt numFmtId="171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  <font>
      <sz val="8"/>
      <name val="Calibri"/>
      <family val="2"/>
      <scheme val="minor"/>
    </font>
    <font>
      <sz val="10"/>
      <color theme="1"/>
      <name val="IRANSansX"/>
      <charset val="178"/>
    </font>
    <font>
      <sz val="11"/>
      <color theme="1" tint="0.249977111117893"/>
      <name val="IRANSansX"/>
      <charset val="178"/>
    </font>
    <font>
      <sz val="9"/>
      <color indexed="81"/>
      <name val="Tahoma"/>
    </font>
    <font>
      <b/>
      <sz val="9"/>
      <color indexed="81"/>
      <name val="Tahoma"/>
    </font>
    <font>
      <sz val="11"/>
      <color theme="4"/>
      <name val="IRANSansX"/>
      <charset val="178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slantDashDot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7" fontId="2" fillId="0" borderId="0" xfId="0" applyNumberFormat="1" applyFont="1"/>
    <xf numFmtId="167" fontId="2" fillId="4" borderId="0" xfId="0" applyNumberFormat="1" applyFont="1" applyFill="1"/>
    <xf numFmtId="9" fontId="2" fillId="4" borderId="0" xfId="0" applyNumberFormat="1" applyFont="1" applyFill="1"/>
    <xf numFmtId="9" fontId="2" fillId="0" borderId="0" xfId="3" applyFont="1"/>
    <xf numFmtId="168" fontId="2" fillId="0" borderId="0" xfId="3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0" fontId="2" fillId="0" borderId="0" xfId="0" applyNumberFormat="1" applyFont="1"/>
    <xf numFmtId="10" fontId="2" fillId="0" borderId="0" xfId="3" applyNumberFormat="1" applyFont="1"/>
    <xf numFmtId="168" fontId="4" fillId="0" borderId="0" xfId="3" applyNumberFormat="1" applyFont="1" applyAlignment="1">
      <alignment horizontal="center"/>
    </xf>
    <xf numFmtId="166" fontId="2" fillId="0" borderId="0" xfId="3" applyNumberFormat="1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66" fontId="7" fillId="5" borderId="0" xfId="0" applyNumberFormat="1" applyFont="1" applyFill="1"/>
    <xf numFmtId="0" fontId="3" fillId="2" borderId="6" xfId="0" applyFont="1" applyFill="1" applyBorder="1"/>
    <xf numFmtId="168" fontId="2" fillId="3" borderId="6" xfId="3" applyNumberFormat="1" applyFont="1" applyFill="1" applyBorder="1"/>
    <xf numFmtId="166" fontId="2" fillId="0" borderId="5" xfId="0" applyNumberFormat="1" applyFont="1" applyBorder="1"/>
    <xf numFmtId="43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9" fontId="2" fillId="0" borderId="0" xfId="3" applyFont="1" applyAlignment="1">
      <alignment vertical="center"/>
    </xf>
    <xf numFmtId="9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9" fontId="2" fillId="0" borderId="0" xfId="3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6" fontId="2" fillId="0" borderId="0" xfId="0" applyNumberFormat="1" applyFont="1" applyAlignment="1">
      <alignment horizontal="center" vertical="center"/>
    </xf>
    <xf numFmtId="171" fontId="2" fillId="0" borderId="0" xfId="3" applyNumberFormat="1" applyFont="1" applyAlignment="1">
      <alignment horizontal="center" vertical="center"/>
    </xf>
    <xf numFmtId="9" fontId="4" fillId="7" borderId="0" xfId="3" applyNumberFormat="1" applyFont="1" applyFill="1" applyAlignment="1">
      <alignment horizontal="center" vertical="center"/>
    </xf>
    <xf numFmtId="10" fontId="4" fillId="6" borderId="0" xfId="3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7" xfId="3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69" fontId="2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165" fontId="2" fillId="0" borderId="0" xfId="2" applyNumberFormat="1" applyFont="1" applyAlignment="1">
      <alignment vertical="center"/>
    </xf>
    <xf numFmtId="166" fontId="2" fillId="0" borderId="0" xfId="2" applyNumberFormat="1" applyFont="1" applyAlignment="1">
      <alignment vertical="center"/>
    </xf>
    <xf numFmtId="0" fontId="2" fillId="8" borderId="0" xfId="0" applyFont="1" applyFill="1" applyAlignment="1">
      <alignment horizontal="right" vertical="center"/>
    </xf>
    <xf numFmtId="166" fontId="10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IRANSansX"/>
        <charset val="178"/>
        <scheme val="none"/>
      </font>
      <numFmt numFmtId="166" formatCode="_(\I\R\T\ * #,##0_)"/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colors>
    <mruColors>
      <color rgb="FFC80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2472000000</c:v>
                </c:pt>
                <c:pt idx="1">
                  <c:v>180000000</c:v>
                </c:pt>
                <c:pt idx="2">
                  <c:v>792100000</c:v>
                </c:pt>
                <c:pt idx="3">
                  <c:v>540000000</c:v>
                </c:pt>
                <c:pt idx="4">
                  <c:v>180000000</c:v>
                </c:pt>
                <c:pt idx="5">
                  <c:v>218240000</c:v>
                </c:pt>
                <c:pt idx="6">
                  <c:v>438234000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1476000000</c:v>
                </c:pt>
                <c:pt idx="1">
                  <c:v>240000000</c:v>
                </c:pt>
                <c:pt idx="2">
                  <c:v>4959080000</c:v>
                </c:pt>
                <c:pt idx="3">
                  <c:v>1550000000</c:v>
                </c:pt>
                <c:pt idx="4">
                  <c:v>420000000</c:v>
                </c:pt>
                <c:pt idx="5">
                  <c:v>791120000</c:v>
                </c:pt>
                <c:pt idx="6">
                  <c:v>943620000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3948000000</c:v>
                </c:pt>
                <c:pt idx="1">
                  <c:v>420000000</c:v>
                </c:pt>
                <c:pt idx="2">
                  <c:v>5751180000</c:v>
                </c:pt>
                <c:pt idx="3">
                  <c:v>2090000000</c:v>
                </c:pt>
                <c:pt idx="4">
                  <c:v>600000000</c:v>
                </c:pt>
                <c:pt idx="5">
                  <c:v>1009360000</c:v>
                </c:pt>
                <c:pt idx="6">
                  <c:v>1381854000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2652000000</c:v>
                </c:pt>
                <c:pt idx="1">
                  <c:v>1716000000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2168574000</c:v>
                </c:pt>
                <c:pt idx="1">
                  <c:v>8663820000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4820574000</c:v>
                </c:pt>
                <c:pt idx="1">
                  <c:v>10379820000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210" dataDxfId="209" totalsRowDxfId="208">
  <autoFilter ref="A1:G8" xr:uid="{5810A676-66BF-4EA4-B586-C6E90025121D}"/>
  <tableColumns count="7">
    <tableColumn id="5" xr3:uid="{47369FE7-678F-4F87-AB99-EE1EDC617F1A}" name="#" totalsRowLabel="Total" dataDxfId="207" totalsRowDxfId="206">
      <calculatedColumnFormula>ROW(A1)</calculatedColumnFormula>
    </tableColumn>
    <tableColumn id="1" xr3:uid="{3037BF7E-6F17-4FD9-B0BA-2603DBE3AA73}" name="نوع" dataDxfId="205" totalsRowDxfId="204"/>
    <tableColumn id="2" xr3:uid="{5543AAC9-D97A-4AF1-B9C8-BCB750FF9446}" name="عنوان" dataDxfId="203" totalsRowDxfId="202"/>
    <tableColumn id="4" xr3:uid="{363204E2-D323-45E0-8740-F6AAC858616C}" name="1400" totalsRowFunction="sum" totalsRowDxfId="201" dataCellStyle="Currency"/>
    <tableColumn id="6" xr3:uid="{0C5EF792-05B7-4EDA-BEF7-3C660D2AFD4B}" name="1401" totalsRowFunction="sum" totalsRowDxfId="200" dataCellStyle="Currency"/>
    <tableColumn id="8" xr3:uid="{29FAD03A-69B3-4207-A748-8BD45D15D581}" name="مجموع" totalsRowFunction="sum" totalsRowDxfId="199" dataCellStyle="Currency">
      <calculatedColumnFormula>SUM(tbl_sumary[[#This Row],[1400]:[1401]])</calculatedColumnFormula>
    </tableColumn>
    <tableColumn id="3" xr3:uid="{CDA3691F-C5E7-4ED9-A080-98FD93E74B52}" name="درصد" totalsRowFunction="sum" dataDxfId="198" totalsRowDxfId="197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49CFF-1880-461E-BE7C-4123689347E0}" name="tbl_pricing" displayName="tbl_pricing" ref="A1:R14" totalsRowCount="1" headerRowDxfId="132" dataDxfId="131">
  <autoFilter ref="A1:R13" xr:uid="{11174E64-8CFF-4722-BD71-DA8D32366E61}"/>
  <tableColumns count="18">
    <tableColumn id="1" xr3:uid="{9A53D445-08A1-4BD8-A9B1-36B149B75784}" name="ردیف" totalsRowLabel="Total" dataDxfId="39" totalsRowDxfId="38">
      <calculatedColumnFormula>ROW(A1)</calculatedColumnFormula>
    </tableColumn>
    <tableColumn id="2" xr3:uid="{A097EA43-7198-43D4-A945-9788D7E650A6}" name="عنوان" dataDxfId="37" totalsRowDxfId="36"/>
    <tableColumn id="5" xr3:uid="{EEC712EC-61BA-44C7-A77F-FC5EE5CA47F3}" name="مدل پرداخت" dataDxfId="35" totalsRowDxfId="34"/>
    <tableColumn id="3" xr3:uid="{B9F7695D-2433-4D21-A6B5-58ABCCFB2FEF}" name="مبلغ پرداختی" dataDxfId="33" totalsRowDxfId="32"/>
    <tableColumn id="6" xr3:uid="{EC802C2A-E591-4D77-926A-410A0C0BDAA0}" name="بهای تمام شده" dataDxfId="31" totalsRowDxfId="30"/>
    <tableColumn id="7" xr3:uid="{A37BFF77-E27B-448B-B94A-F9B63A90085C}" name="سود" dataDxfId="29" totalsRowDxfId="28">
      <calculatedColumnFormula>tbl_pricing[[#This Row],[مبلغ پرداختی]]-tbl_pricing[[#This Row],[بهای تمام شده]]</calculatedColumnFormula>
    </tableColumn>
    <tableColumn id="4" xr3:uid="{8F29DDFD-9907-444A-822D-CF4F1DBF869F}" name="درصد خرید" totalsRowFunction="average" dataDxfId="27" totalsRowDxfId="26" dataCellStyle="Percent"/>
    <tableColumn id="21" xr3:uid="{30514F62-ED70-4E43-940C-9DBD8F3236F7}" name="سود به ازای هر بیزینس" totalsRowFunction="sum" dataDxfId="25" totalsRowDxfId="24" dataCellStyle="Percent" totalsRowCellStyle="Percent">
      <calculatedColumnFormula>tbl_pricing[[#This Row],[درصد خرید]]*tbl_pricing[[#This Row],[سود]]</calculatedColumnFormula>
    </tableColumn>
    <tableColumn id="20" xr3:uid="{0339167C-ECB3-48F5-900C-D07E6601173D}" name="درصد از کل درآمد" dataDxfId="23" totalsRowDxfId="22" dataCellStyle="Percent">
      <calculatedColumnFormula>tbl_pricing[[#This Row],[کل بیزینس‌ها]]/ SUM(tbl_pricing[کل بیزینس‌ها])</calculatedColumnFormula>
    </tableColumn>
    <tableColumn id="8" xr3:uid="{5C42269E-0294-4750-9609-FB82B91EA379}" name="کل بیزینس‌ها" dataDxfId="21" totalsRowDxfId="20">
      <calculatedColumnFormula>tbl_pricing[[#Headers],[500]]*tbl_pricing[[#This Row],[درصد خرید]]*tbl_pricing[[#This Row],[سود به ازای هر بیزینس]]</calculatedColumnFormula>
    </tableColumn>
    <tableColumn id="9" xr3:uid="{57700895-A636-4D69-BC9A-86010F006F9A}" name="500" dataDxfId="19" totalsRowDxfId="18">
      <calculatedColumnFormula>tbl_pricing[[#Headers],[500]]*tbl_pricing[[#This Row],[درصد خرید]]</calculatedColumnFormula>
    </tableColumn>
    <tableColumn id="10" xr3:uid="{9AB94E1B-34ED-4589-8806-1371AF0006CE}" name="1000" dataDxfId="17" totalsRowDxfId="16">
      <calculatedColumnFormula>tbl_pricing[[#Headers],[1000]]*tbl_pricing[[#This Row],[درصد خرید]]</calculatedColumnFormula>
    </tableColumn>
    <tableColumn id="11" xr3:uid="{73D11ABE-3FE2-4354-9B4D-6A48992B395A}" name="2000" dataDxfId="15" totalsRowDxfId="14">
      <calculatedColumnFormula>tbl_pricing[[#Headers],[2000]]*tbl_pricing[[#This Row],[درصد خرید]]</calculatedColumnFormula>
    </tableColumn>
    <tableColumn id="12" xr3:uid="{C88D635E-46CD-44BB-9844-EBB575A727B1}" name="5000" dataDxfId="13" totalsRowDxfId="12">
      <calculatedColumnFormula>tbl_pricing[[#Headers],[5000]]*tbl_pricing[[#This Row],[درصد خرید]]</calculatedColumnFormula>
    </tableColumn>
    <tableColumn id="13" xr3:uid="{159DCBCC-07DD-484D-8F87-B26CA28EFF29}" name="10000" dataDxfId="11" totalsRowDxfId="10">
      <calculatedColumnFormula>tbl_pricing[[#Headers],[10000]]*tbl_pricing[[#This Row],[درصد خرید]]</calculatedColumnFormula>
    </tableColumn>
    <tableColumn id="14" xr3:uid="{1A3D8FD2-70CB-4665-975C-2114464348DB}" name="20000" dataDxfId="9" totalsRowDxfId="8">
      <calculatedColumnFormula>tbl_pricing[[#Headers],[20000]]*tbl_pricing[[#This Row],[درصد خرید]]</calculatedColumnFormula>
    </tableColumn>
    <tableColumn id="15" xr3:uid="{8854EC08-9308-4944-BDA8-75596BFE727B}" name="50000" dataDxfId="7" totalsRowDxfId="6">
      <calculatedColumnFormula>tbl_pricing[[#Headers],[50000]]*tbl_pricing[[#This Row],[درصد خرید]]</calculatedColumnFormula>
    </tableColumn>
    <tableColumn id="16" xr3:uid="{AA928AC4-CF96-4BA2-8936-8A643A7DDAA6}" name="100000" dataDxfId="5" totalsRowDxfId="4">
      <calculatedColumnFormula>tbl_pricing[[#Headers],[100000]]*tbl_pricing[[#This Row],[درصد خرید]]</calculatedColumnFormula>
    </tableColumn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DC6D01-1908-424F-B4D3-0A113BEC83E9}" name="tbl_pricing_predict" displayName="tbl_pricing_predict" ref="A23:D34" totalsRowShown="0" headerRowDxfId="130" dataDxfId="129">
  <autoFilter ref="A23:D34" xr:uid="{652F814E-9275-4FA3-8E84-CADC4414840E}"/>
  <tableColumns count="4">
    <tableColumn id="1" xr3:uid="{1DE062CE-5BF5-4FEA-A98A-704F2735EAA7}" name="تعداد بیزینس" dataDxfId="128" dataCellStyle="Comma"/>
    <tableColumn id="2" xr3:uid="{9A3B5D26-797A-4D19-9504-750237C50E47}" name="تعداد بیزینس‌هایی که پرداخت دارند" dataDxfId="127">
      <calculatedColumnFormula>tbl_pricing_predict[[#This Row],[تعداد بیزینس]]*AVERAGE(tbl_pricing[درصد خرید])</calculatedColumnFormula>
    </tableColumn>
    <tableColumn id="3" xr3:uid="{5CCA6DBC-ECB1-4830-8ED4-23C63AE947E7}" name="درآمد ماهیانه" dataDxfId="126">
      <calculatedColumnFormula>d_customerAvgRevenue*tbl_pricing_predict[[#This Row],[تعداد بیزینس]]</calculatedColumnFormula>
    </tableColumn>
    <tableColumn id="4" xr3:uid="{16B0B2F6-77AB-4BCF-B967-97D476246151}" name="درآمد سالیانه" dataDxfId="125">
      <calculatedColumnFormula>tbl_pricing_predict[[#This Row],[درآمد ماهیانه]]*12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AB8CD-6080-4EBF-8358-2286D17022E3}" name="Table15" displayName="Table15" ref="A1:J8" totalsRowShown="0" headerRowDxfId="124" dataDxfId="123">
  <autoFilter ref="A1:J8" xr:uid="{4B45EF50-D07B-4462-B4EB-CF690CB4B7A8}"/>
  <tableColumns count="10">
    <tableColumn id="1" xr3:uid="{3233B9C7-9724-4673-B9F1-EAE50D2C9670}" name="ردیف" dataDxfId="122">
      <calculatedColumnFormula>ROW(A1)</calculatedColumnFormula>
    </tableColumn>
    <tableColumn id="10" xr3:uid="{60819422-87DD-4CFF-AB10-DB3E961E5555}" name="عنوان" dataDxfId="121"/>
    <tableColumn id="2" xr3:uid="{18B29F41-DC81-4467-BD19-639C5E40AC0E}" name="1400-Q1" dataDxfId="120"/>
    <tableColumn id="3" xr3:uid="{75B9AC7C-0C9A-4EBB-A21B-9103F31171A5}" name="1400-Q2" dataDxfId="119">
      <calculatedColumnFormula>AVERAGE(tbl_pricing[درصد خرید])</calculatedColumnFormula>
    </tableColumn>
    <tableColumn id="4" xr3:uid="{A6A37BC8-F105-4BC7-BBA5-7CD986675C7E}" name="1400-Q3" dataDxfId="118">
      <calculatedColumnFormula>AVERAGE(tbl_pricing[درصد خرید])</calculatedColumnFormula>
    </tableColumn>
    <tableColumn id="5" xr3:uid="{7CD9CE2A-0982-402E-90BB-A37955F9417B}" name="1400-Q4" dataDxfId="117">
      <calculatedColumnFormula>AVERAGE(tbl_pricing[درصد خرید])</calculatedColumnFormula>
    </tableColumn>
    <tableColumn id="6" xr3:uid="{F574DA15-52E0-46FF-8058-3626E90ADCD3}" name="1401-Q1" dataDxfId="116">
      <calculatedColumnFormula>AVERAGE(tbl_pricing[درصد خرید])</calculatedColumnFormula>
    </tableColumn>
    <tableColumn id="7" xr3:uid="{265E39CF-C0D3-42D3-BE97-6DA6F758CCBB}" name="1401-Q2" dataDxfId="115">
      <calculatedColumnFormula>AVERAGE(tbl_pricing[درصد خرید])</calculatedColumnFormula>
    </tableColumn>
    <tableColumn id="8" xr3:uid="{491DB0FE-9C40-4DCA-8643-B5E810C0361E}" name="1401-Q3" dataDxfId="114">
      <calculatedColumnFormula>AVERAGE(tbl_pricing[درصد خرید])</calculatedColumnFormula>
    </tableColumn>
    <tableColumn id="9" xr3:uid="{299BD95A-56DA-46C1-AD0F-CE6FCABD7593}" name="1401-Q4" dataDxfId="113">
      <calculatedColumnFormula>AVERAGE(tbl_pricing[درصد خرید])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5D3563-07D8-4AEF-9B22-A8CF424C8F4C}" name="tbl_revenue_summary" displayName="tbl_revenue_summary" ref="A1:J13" totalsRowShown="0" headerRowDxfId="112" dataDxfId="111">
  <autoFilter ref="A1:J13" xr:uid="{0E994EE0-F0F0-4FBF-9544-F0DF02B7F5C3}"/>
  <tableColumns count="10">
    <tableColumn id="1" xr3:uid="{7CFD1D53-F749-4B43-9DD3-BE3F1C5EC98F}" name="#" dataDxfId="110">
      <calculatedColumnFormula>ROW(A1)</calculatedColumnFormula>
    </tableColumn>
    <tableColumn id="11" xr3:uid="{EDB8F8AF-AD21-41D4-84B7-19B49F8D2731}" name="نوع" dataDxfId="109"/>
    <tableColumn id="8" xr3:uid="{54E69985-F797-4A1D-810B-CD4B14DE4247}" name="Title" dataDxfId="108"/>
    <tableColumn id="3" xr3:uid="{4C28CA0D-B0C2-4EC6-9320-E20F2AA18D35}" name="1400" dataDxfId="107">
      <calculatedColumnFormula>'پیش‌بینی درآمد'!$C$8:$F$8</calculatedColumnFormula>
    </tableColumn>
    <tableColumn id="4" xr3:uid="{BE2DB32D-49B5-4174-91DB-055B8A546B01}" name="1401" dataDxfId="106">
      <calculatedColumnFormula>SUM('پیش‌بینی درآمد'!$G$8:$J$8)</calculatedColumnFormula>
    </tableColumn>
    <tableColumn id="5" xr3:uid="{200B4D8D-3290-4392-A148-F2EC03CDB0D3}" name="1402" dataDxfId="105">
      <calculatedColumnFormula>tbl_revenue_summary[[#This Row],[1401]]*(1+s_cagr)</calculatedColumnFormula>
    </tableColumn>
    <tableColumn id="6" xr3:uid="{A7A00C3C-C62A-4AFB-8F2F-961D9B70FA4E}" name="1403" dataDxfId="104"/>
    <tableColumn id="7" xr3:uid="{CD51A06F-0126-4363-82F1-83D419084E3E}" name="1404" dataDxfId="103"/>
    <tableColumn id="2" xr3:uid="{9FF3912E-8E29-4421-A4CB-E01182C34419}" name="1405" dataDxfId="102"/>
    <tableColumn id="9" xr3:uid="{A95B37EE-B672-4C1F-B96C-91C026F696D6}" name="جمع" dataDxfId="101"/>
  </tableColumns>
  <tableStyleInfo name="TableStyleLight6" showFirstColumn="0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342561-B7A4-48E4-82DB-7091D7FE24C2}" name="tbl_fundraisingSteps" displayName="tbl_fundraisingSteps" ref="A1:M14" totalsRowCount="1" headerRowDxfId="100" dataDxfId="99" totalsRowDxfId="98">
  <autoFilter ref="A1:M13" xr:uid="{7E87C80A-E7EE-4352-81C0-E925498C3A9A}"/>
  <tableColumns count="13">
    <tableColumn id="1" xr3:uid="{12E2DB3F-C608-4C14-BC50-2BC1F2A76D86}" name="نوع سهام‌دار" totalsRowLabel="Total" dataDxfId="97" totalsRowDxfId="96"/>
    <tableColumn id="8" xr3:uid="{879A5D2D-8CD3-4CD8-9A10-ACEBF45244A1}" name="نام به تفکیک" dataDxfId="95" totalsRowDxfId="94"/>
    <tableColumn id="9" xr3:uid="{504C5ECB-7E69-4D58-88F2-F2EE7BF3AF63}" name="Start 1394" totalsRowFunction="sum" dataDxfId="93" totalsRowDxfId="92" dataCellStyle="Percent"/>
    <tableColumn id="10" xr3:uid="{489B3961-F0BB-4DBA-9569-4B6F9D2C8136}" name="Seed Angel 1395" totalsRowFunction="sum" dataDxfId="91" totalsRowDxfId="90" dataCellStyle="Percent"/>
    <tableColumn id="12" xr3:uid="{2F49346B-42D1-4A05-A022-49E685B8F677}" name="Angel Out 1397/2/22" totalsRowFunction="sum" dataDxfId="89" totalsRowDxfId="88" dataCellStyle="Percent"/>
    <tableColumn id="11" xr3:uid="{D7B34FBB-1249-4A52-BC71-F4F4C353E9FF}" name="1397/5/1" totalsRowFunction="sum" dataDxfId="87" totalsRowDxfId="86" dataCellStyle="Percent"/>
    <tableColumn id="7" xr3:uid="{D017C8F8-D15A-4768-9250-191C7C3FBCAD}" name="1399" totalsRowFunction="sum" dataDxfId="85" totalsRowDxfId="84" dataCellStyle="Percent"/>
    <tableColumn id="2" xr3:uid="{CC921348-160B-4F0D-9BE4-5DDA1AD69B16}" name="Series A" totalsRowFunction="sum" dataDxfId="83" totalsRowDxfId="82" dataCellStyle="Percent">
      <calculatedColumnFormula>tbl_fundraisingSteps[[#This Row],[1399]]*(1-H$13-#REF!)</calculatedColumnFormula>
    </tableColumn>
    <tableColumn id="3" xr3:uid="{DF9F62FE-3F49-4863-9EB8-9DA044FDA222}" name="Series B" totalsRowFunction="sum" dataDxfId="81" totalsRowDxfId="80" dataCellStyle="Percent"/>
    <tableColumn id="4" xr3:uid="{077EF452-6558-4AC1-8073-331A97F79010}" name="Series C" totalsRowFunction="sum" dataDxfId="79" totalsRowDxfId="78" dataCellStyle="Percent"/>
    <tableColumn id="5" xr3:uid="{4EBDA36A-837C-4D6F-8F61-A05A0A68122A}" name="Series D" totalsRowFunction="sum" dataDxfId="77" totalsRowDxfId="76" dataCellStyle="Percent"/>
    <tableColumn id="6" xr3:uid="{8993C8BA-E6C1-4341-9D63-25AE19DA5FDB}" name="Series E" totalsRowFunction="sum" dataDxfId="75" totalsRowDxfId="74" dataCellStyle="Percent"/>
    <tableColumn id="13" xr3:uid="{8B46D6B7-B794-4A24-8CAA-5733D667F553}" name="Series F" totalsRowFunction="sum" dataDxfId="73" totalsRowDxfId="72" dataCellStyle="Percent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A41E25-9D6F-4C20-A396-5400E9F4A5CF}" name="Table13" displayName="Table13" ref="A23:M27" totalsRowCount="1" headerRowDxfId="71" dataDxfId="70">
  <autoFilter ref="A23:M26" xr:uid="{65851948-34D5-432A-B8FB-4FA5D425C4F9}"/>
  <tableColumns count="13">
    <tableColumn id="1" xr3:uid="{34E46D92-A5C7-4723-8F0E-96589EB1AEC2}" name="نوع سهام‌دار" totalsRowLabel="Total" dataDxfId="69" totalsRowDxfId="68"/>
    <tableColumn id="2" xr3:uid="{A5B597FC-720C-447A-9F66-CBDB8836AFA2}" name="جمع سهام" dataDxfId="67" totalsRowDxfId="66"/>
    <tableColumn id="3" xr3:uid="{9D64E6C7-4D6D-46C0-921E-CD57FADBCEA8}" name="Start 1394" totalsRowFunction="sum" dataDxfId="65" totalsRowDxfId="64" dataCellStyle="Percent">
      <calculatedColumnFormula>SUMIFS(tbl_fundraisingSteps[Start 1394],tbl_fundraisingSteps[نوع سهام‌دار],Table13[[#This Row],[نوع سهام‌دار]])</calculatedColumnFormula>
    </tableColumn>
    <tableColumn id="4" xr3:uid="{18E1D5B0-D6EB-4E11-A1AF-756FF28BCF08}" name="Seed Angel 1395" totalsRowFunction="sum" dataDxfId="63" totalsRowDxfId="62" dataCellStyle="Percent">
      <calculatedColumnFormula>SUMIFS(tbl_fundraisingSteps[Seed Angel 1395],tbl_fundraisingSteps[نوع سهام‌دار],Table13[[#This Row],[نوع سهام‌دار]])</calculatedColumnFormula>
    </tableColumn>
    <tableColumn id="5" xr3:uid="{16E03538-9711-428F-96E4-F5A83D77388E}" name="Angel Out 1397/2/22" totalsRowFunction="sum" dataDxfId="61" totalsRowDxfId="60" dataCellStyle="Percent">
      <calculatedColumnFormula>SUMIFS(tbl_fundraisingSteps[Angel Out 1397/2/22],tbl_fundraisingSteps[نوع سهام‌دار],Table13[[#This Row],[نوع سهام‌دار]])</calculatedColumnFormula>
    </tableColumn>
    <tableColumn id="6" xr3:uid="{1005E7E3-6CDA-4436-991E-B3B379B55B0A}" name="1397/5/1" totalsRowFunction="sum" dataDxfId="59" totalsRowDxfId="58" dataCellStyle="Percent">
      <calculatedColumnFormula>SUMIFS(tbl_fundraisingSteps[1397/5/1],tbl_fundraisingSteps[نوع سهام‌دار],Table13[[#This Row],[نوع سهام‌دار]])</calculatedColumnFormula>
    </tableColumn>
    <tableColumn id="7" xr3:uid="{9A2B6988-1497-40EF-87D8-F8505FFD7BED}" name="1399" totalsRowFunction="sum" dataDxfId="57" totalsRowDxfId="56" dataCellStyle="Percent">
      <calculatedColumnFormula>SUMIFS(tbl_fundraisingSteps[1399],tbl_fundraisingSteps[نوع سهام‌دار],Table13[[#This Row],[نوع سهام‌دار]])</calculatedColumnFormula>
    </tableColumn>
    <tableColumn id="8" xr3:uid="{7EB61B1B-B071-44BA-9BDE-AB01D5A7A675}" name="Series A" totalsRowFunction="sum" dataDxfId="55" totalsRowDxfId="54" dataCellStyle="Percent">
      <calculatedColumnFormula>SUMIFS(tbl_fundraisingSteps[Series A],tbl_fundraisingSteps[نوع سهام‌دار],Table13[[#This Row],[نوع سهام‌دار]])</calculatedColumnFormula>
    </tableColumn>
    <tableColumn id="9" xr3:uid="{872DE947-28BB-47C2-B6BA-A18345AA109A}" name="Series B" totalsRowFunction="sum" dataDxfId="53" totalsRowDxfId="52" dataCellStyle="Percent">
      <calculatedColumnFormula>SUMIFS(tbl_fundraisingSteps[Series B],tbl_fundraisingSteps[نوع سهام‌دار],Table13[[#This Row],[نوع سهام‌دار]])</calculatedColumnFormula>
    </tableColumn>
    <tableColumn id="10" xr3:uid="{5A1BFC5B-E565-476F-B851-56F08693CE71}" name="Series C" totalsRowFunction="sum" dataDxfId="51" totalsRowDxfId="50" dataCellStyle="Percent">
      <calculatedColumnFormula>SUMIFS(tbl_fundraisingSteps[Series C],tbl_fundraisingSteps[نوع سهام‌دار],Table13[[#This Row],[نوع سهام‌دار]])</calculatedColumnFormula>
    </tableColumn>
    <tableColumn id="11" xr3:uid="{769D64D0-F4FE-464D-AA35-37608D10B674}" name="Series D" totalsRowFunction="sum" dataDxfId="49" totalsRowDxfId="48" dataCellStyle="Percent">
      <calculatedColumnFormula>SUMIFS(tbl_fundraisingSteps[Series D],tbl_fundraisingSteps[نوع سهام‌دار],Table13[[#This Row],[نوع سهام‌دار]])</calculatedColumnFormula>
    </tableColumn>
    <tableColumn id="12" xr3:uid="{9C33E128-ADB1-4C6A-AF02-8F7E47B4ED9A}" name="Series E" totalsRowFunction="sum" dataDxfId="47" totalsRowDxfId="46" dataCellStyle="Percent">
      <calculatedColumnFormula>SUMIFS(tbl_fundraisingSteps[Series E],tbl_fundraisingSteps[نوع سهام‌دار],Table13[[#This Row],[نوع سهام‌دار]])</calculatedColumnFormula>
    </tableColumn>
    <tableColumn id="13" xr3:uid="{9B8985F9-A88C-49C2-8098-57E3F68A1C4A}" name="Series F" totalsRowFunction="sum" dataDxfId="45" totalsRowDxfId="44" dataCellStyle="Percent">
      <calculatedColumnFormula>SUMIFS(tbl_fundraisingSteps[Series F],tbl_fundraisingSteps[نوع سهام‌دار],Table13[[#This Row],[نوع سهام‌دار]])</calculatedColumnFormula>
    </tableColumn>
  </tableColumns>
  <tableStyleInfo name="TableStyleMedium2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21" totalsRowShown="0" headerRowDxfId="196" dataDxfId="195">
  <autoFilter ref="A1:B21" xr:uid="{2B9E2DB8-FBB8-45B3-A4BF-A27446C1BBC1}"/>
  <tableColumns count="2">
    <tableColumn id="1" xr3:uid="{04846D46-98AF-4645-B227-FF19272102B1}" name="عنوان" dataDxfId="194"/>
    <tableColumn id="2" xr3:uid="{D4584107-29D2-4B18-94B1-795D1E01B117}" name="مقدار" dataDxfId="193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192" dataDxfId="191">
  <autoFilter ref="A1:E4" xr:uid="{6BB248A9-012D-4836-9305-5141AF978271}"/>
  <tableColumns count="5">
    <tableColumn id="1" xr3:uid="{C1D9DC5C-1F85-426E-959C-3165A99CD6EC}" name="ردیف" totalsRowLabel="Total" dataDxfId="190" totalsRowDxfId="189">
      <calculatedColumnFormula>ROW(A1)</calculatedColumnFormula>
    </tableColumn>
    <tableColumn id="2" xr3:uid="{23A7CE2D-4EC2-4F59-9E8C-744F0E351954}" name="عنوان" dataDxfId="188" totalsRowDxfId="187"/>
    <tableColumn id="3" xr3:uid="{C5D9D589-B23B-4019-B4E1-A8A2308C3099}" name="1400" totalsRowFunction="sum" dataDxfId="186" totalsRowDxfId="185"/>
    <tableColumn id="4" xr3:uid="{A20DFB1D-E3C4-4F6A-9CE1-76537256DDA0}" name="1401" totalsRowFunction="sum" dataDxfId="184" totalsRowDxfId="183"/>
    <tableColumn id="5" xr3:uid="{7320D442-6698-4FA5-BB88-10D126434BE0}" name="جمع" totalsRowFunction="sum" dataDxfId="182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181" dataDxfId="180">
  <autoFilter ref="A9:D10" xr:uid="{939160DD-2EDF-4878-9A71-0E47E271CD17}"/>
  <tableColumns count="4">
    <tableColumn id="1" xr3:uid="{7CFB71D1-2F91-4886-8D95-C562400CF4F7}" name="9" dataDxfId="179">
      <calculatedColumnFormula>ROW(A1)</calculatedColumnFormula>
    </tableColumn>
    <tableColumn id="2" xr3:uid="{EBEBDCFA-6F86-4BB9-A4E1-CFAC0B6394D2}" name="عنوان" dataDxfId="178"/>
    <tableColumn id="3" xr3:uid="{9FF7CA43-0705-4E77-85EC-B371DC78ACA4}" name="1400" dataDxfId="177"/>
    <tableColumn id="4" xr3:uid="{B14BB7F9-8746-4829-AA07-C639400E814F}" name="1401" dataDxfId="176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175" dataDxfId="174">
  <autoFilter ref="A1:E2" xr:uid="{CA8A4239-364E-4650-9E13-6B35831DAABA}"/>
  <tableColumns count="5">
    <tableColumn id="1" xr3:uid="{276EA653-F6EB-43D8-A8E6-02705C4FC3C6}" name="ردیف" dataDxfId="173">
      <calculatedColumnFormula>ROW(A1)</calculatedColumnFormula>
    </tableColumn>
    <tableColumn id="2" xr3:uid="{C917D43E-3C18-4ECC-857D-F6E368E7D1DD}" name="عنوان" dataDxfId="172"/>
    <tableColumn id="3" xr3:uid="{936C2C7C-5EB9-4B64-BF32-AA11DA4CFE26}" name="1400" dataDxfId="171"/>
    <tableColumn id="4" xr3:uid="{81F72F41-D8FD-4195-ABBB-05037CE3698B}" name="1401" dataDxfId="170"/>
    <tableColumn id="5" xr3:uid="{C0453677-E159-4921-9E18-2A6C08C14999}" name="جمع" dataDxfId="169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168" dataDxfId="167" totalsRowDxfId="166">
  <autoFilter ref="A1:D5" xr:uid="{0FEAC4E8-3C92-4ECC-A20C-80059709130D}"/>
  <tableColumns count="4">
    <tableColumn id="1" xr3:uid="{DA73BFFA-A796-4432-914A-1F59F00537F5}" name="#" totalsRowLabel="جمع" dataDxfId="43" totalsRowDxfId="3">
      <calculatedColumnFormula>ROW(A1)</calculatedColumnFormula>
    </tableColumn>
    <tableColumn id="2" xr3:uid="{32ED334C-D261-4D20-8958-087C27AD9FBF}" name="عنوان شغلی" dataDxfId="42" totalsRowDxfId="2"/>
    <tableColumn id="4" xr3:uid="{0925C41E-9619-42E8-8F24-EDDF62C48C09}" name="1400" totalsRowFunction="sum" dataDxfId="41" totalsRowDxfId="1"/>
    <tableColumn id="5" xr3:uid="{0BE3F0C5-39C2-4F5C-A4BB-D96C51FFD2B1}" name="1401" totalsRowFunction="sum" dataDxfId="40" totalsRowDxfId="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165" dataDxfId="164">
  <autoFilter ref="A22:F26" xr:uid="{C45356D1-9A71-4483-8364-A8B472AE846A}"/>
  <tableColumns count="6">
    <tableColumn id="3" xr3:uid="{EAA5B31A-763B-44E2-8C7F-741E10086C03}" name="#" dataDxfId="163"/>
    <tableColumn id="1" xr3:uid="{0C7B43BD-CDE0-4542-994E-07BECC378178}" name="عنوان شغلی" dataDxfId="162"/>
    <tableColumn id="2" xr3:uid="{23FA6089-E4D9-4C9C-9ADF-69E1A5FBE988}" name="میانگین پرداختی ۱۴۰۰" dataDxfId="161" dataCellStyle="Currency"/>
    <tableColumn id="4" xr3:uid="{FCAB3AB9-4281-4E61-A996-650242F1C298}" name="میانگین پرداختی ۱۴۰۱" dataDxfId="160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159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158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157" dataDxfId="156" totalsRowDxfId="155">
  <autoFilter ref="A1:E10" xr:uid="{387B4E0D-6F55-44DA-9344-EB9622378522}"/>
  <tableColumns count="5">
    <tableColumn id="1" xr3:uid="{A7835E4F-01BA-4B39-9B47-77E68912210A}" name="#" totalsRowLabel="Total" dataDxfId="154" totalsRowDxfId="153">
      <calculatedColumnFormula>ROW(A1)</calculatedColumnFormula>
    </tableColumn>
    <tableColumn id="2" xr3:uid="{915237E7-1F0F-42A4-A7C8-041DBDA02143}" name="عنوان" dataDxfId="152" totalsRowDxfId="151"/>
    <tableColumn id="4" xr3:uid="{50081311-D116-4A8B-B3B1-362E4B876409}" name="1400" totalsRowFunction="sum" dataDxfId="150" totalsRowDxfId="149" dataCellStyle="Currency"/>
    <tableColumn id="5" xr3:uid="{4B242BB3-1333-418C-A07C-49DAE81876BA}" name="1401" totalsRowFunction="sum" dataDxfId="148" totalsRowDxfId="147" dataCellStyle="Currency"/>
    <tableColumn id="6" xr3:uid="{E1DE5B6C-E01B-4554-A846-06AB203F9C1A}" name="جمع" totalsRowFunction="sum" dataDxfId="146" totalsRowDxfId="145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144" dataDxfId="143">
  <autoFilter ref="A1:E9" xr:uid="{CA8A4239-364E-4650-9E13-6B35831DAABA}"/>
  <tableColumns count="5">
    <tableColumn id="1" xr3:uid="{54E6554F-B297-4533-AD8D-E06FC372FA4D}" name="ردیف" totalsRowLabel="Total" dataDxfId="142" totalsRowDxfId="141">
      <calculatedColumnFormula>ROW(A1)</calculatedColumnFormula>
    </tableColumn>
    <tableColumn id="2" xr3:uid="{C8AD3364-8867-4058-B64B-986B3858CF42}" name="عنوان" dataDxfId="140" totalsRowDxfId="139"/>
    <tableColumn id="3" xr3:uid="{7080C68D-A903-46EB-AC1E-5D0963B807EC}" name="1400" totalsRowFunction="sum" dataDxfId="138" totalsRowDxfId="137"/>
    <tableColumn id="4" xr3:uid="{B0566FF8-F510-4A8F-8E54-F68246E5F0A7}" name="1401" totalsRowFunction="sum" dataDxfId="136" totalsRowDxfId="135"/>
    <tableColumn id="5" xr3:uid="{192D38EC-CF7E-4D9A-99C8-24B0818C5DCC}" name="جمع" totalsRowFunction="sum" dataDxfId="134" totalsRowDxfId="133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G29"/>
  <sheetViews>
    <sheetView rightToLeft="1" workbookViewId="0">
      <selection activeCell="E2" sqref="E2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46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56</v>
      </c>
    </row>
    <row r="2" spans="1:7" x14ac:dyDescent="0.4">
      <c r="A2" s="1">
        <f>ROW(A1)</f>
        <v>1</v>
      </c>
      <c r="B2" s="1" t="s">
        <v>57</v>
      </c>
      <c r="C2" s="1" t="s">
        <v>32</v>
      </c>
      <c r="D2" s="19">
        <f>SUM(tbl_servers[1400])</f>
        <v>2472000000</v>
      </c>
      <c r="E2" s="19">
        <f>SUM(tbl_servers[1401])</f>
        <v>1476000000</v>
      </c>
      <c r="F2" s="19">
        <f>SUM(tbl_sumary[[#This Row],[1400]:[1401]])</f>
        <v>3948000000</v>
      </c>
      <c r="G2" s="25">
        <f>(F2*100/SUM(tbl_sumary[مجموع])) / 100</f>
        <v>0.25973010962742149</v>
      </c>
    </row>
    <row r="3" spans="1:7" x14ac:dyDescent="0.4">
      <c r="A3" s="1">
        <f t="shared" ref="A3:A4" si="0">ROW(A2)</f>
        <v>2</v>
      </c>
      <c r="B3" s="1" t="s">
        <v>57</v>
      </c>
      <c r="C3" s="1" t="s">
        <v>37</v>
      </c>
      <c r="D3" s="19">
        <f>SUM(tbl_office12[1400])</f>
        <v>180000000</v>
      </c>
      <c r="E3" s="19">
        <f>SUM(tbl_office12[1401])</f>
        <v>240000000</v>
      </c>
      <c r="F3" s="19">
        <f>SUM(tbl_sumary[[#This Row],[1400]:[1401]])</f>
        <v>420000000</v>
      </c>
      <c r="G3" s="25">
        <f>(F3*100/SUM(tbl_sumary[مجموع])) / 100</f>
        <v>2.7630862726321436E-2</v>
      </c>
    </row>
    <row r="4" spans="1:7" x14ac:dyDescent="0.4">
      <c r="A4" s="1">
        <f t="shared" si="0"/>
        <v>3</v>
      </c>
      <c r="B4" s="1" t="s">
        <v>45</v>
      </c>
      <c r="C4" s="1" t="s">
        <v>58</v>
      </c>
      <c r="D4" s="19">
        <f>'حقوق و دستمزد'!C15</f>
        <v>792100000</v>
      </c>
      <c r="E4" s="19">
        <f>'حقوق و دستمزد'!D15</f>
        <v>4959080000</v>
      </c>
      <c r="F4" s="19">
        <f>SUM(tbl_sumary[[#This Row],[1400]:[1401]])</f>
        <v>5751180000</v>
      </c>
      <c r="G4" s="25">
        <f>(F4*100/SUM(tbl_sumary[مجموع])) / 100</f>
        <v>0.37835729784372696</v>
      </c>
    </row>
    <row r="5" spans="1:7" x14ac:dyDescent="0.4">
      <c r="A5" s="1">
        <f>ROW(A4)</f>
        <v>4</v>
      </c>
      <c r="B5" s="1" t="s">
        <v>45</v>
      </c>
      <c r="C5" s="1" t="s">
        <v>125</v>
      </c>
      <c r="D5" s="19">
        <f>SUM(tbl_marketing[1400])</f>
        <v>540000000</v>
      </c>
      <c r="E5" s="19">
        <f>SUM(tbl_marketing[1401])</f>
        <v>1550000000</v>
      </c>
      <c r="F5" s="19">
        <f>SUM(tbl_sumary[[#This Row],[1400]:[1401]])</f>
        <v>2090000000</v>
      </c>
      <c r="G5" s="25">
        <f>(F5*100/SUM(tbl_sumary[مجموع])) / 100</f>
        <v>0.13749643594764716</v>
      </c>
    </row>
    <row r="6" spans="1:7" x14ac:dyDescent="0.4">
      <c r="A6" s="1">
        <f>ROW(A5)</f>
        <v>5</v>
      </c>
      <c r="B6" s="1" t="s">
        <v>45</v>
      </c>
      <c r="C6" s="1" t="s">
        <v>33</v>
      </c>
      <c r="D6" s="19">
        <f>d_spacePricePerStaff*SUM(tbl_salaryData[1400])*12</f>
        <v>180000000</v>
      </c>
      <c r="E6" s="19">
        <f>d_spacePricePerStaff*SUM(tbl_salaryData[1401])*12</f>
        <v>420000000</v>
      </c>
      <c r="F6" s="19">
        <f>SUM(tbl_sumary[[#This Row],[1400]:[1401]])</f>
        <v>600000000</v>
      </c>
      <c r="G6" s="25">
        <f>(F6*100/SUM(tbl_sumary[مجموع])) / 100</f>
        <v>3.9472661037602053E-2</v>
      </c>
    </row>
    <row r="7" spans="1:7" x14ac:dyDescent="0.4">
      <c r="A7" s="1">
        <f>ROW(A6)</f>
        <v>6</v>
      </c>
      <c r="B7" s="1" t="s">
        <v>45</v>
      </c>
      <c r="C7" s="1" t="s">
        <v>124</v>
      </c>
      <c r="D7" s="19">
        <f>SUM(tbl_office[1400])</f>
        <v>218240000</v>
      </c>
      <c r="E7" s="19">
        <f>SUM(tbl_office[1401])</f>
        <v>791120000</v>
      </c>
      <c r="F7" s="19">
        <f>SUM(tbl_sumary[[#This Row],[1400]:[1401]])</f>
        <v>1009360000</v>
      </c>
      <c r="G7" s="25">
        <f>(F7*100/SUM(tbl_sumary[مجموع])) / 100</f>
        <v>6.6403541908190006E-2</v>
      </c>
    </row>
    <row r="8" spans="1:7" x14ac:dyDescent="0.4">
      <c r="A8" s="1">
        <f>ROW(A7)</f>
        <v>7</v>
      </c>
      <c r="B8" s="1" t="s">
        <v>45</v>
      </c>
      <c r="C8" s="1" t="s">
        <v>59</v>
      </c>
      <c r="D8" s="19">
        <f>SUM(D2:D7) * d_unpredictedPercent</f>
        <v>438234000</v>
      </c>
      <c r="E8" s="19">
        <f>SUM(E2:E7) * d_unpredictedPercent</f>
        <v>943620000</v>
      </c>
      <c r="F8" s="19">
        <f>SUM(tbl_sumary[[#This Row],[1400]:[1401]])</f>
        <v>1381854000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4820574000</v>
      </c>
      <c r="E9" s="12">
        <f>SUBTOTAL(109,tbl_sumary[1401])</f>
        <v>10379820000</v>
      </c>
      <c r="F9" s="17">
        <f>SUBTOTAL(109,tbl_sumary[مجموع])</f>
        <v>15200394000</v>
      </c>
      <c r="G9" s="21">
        <f>SUBTOTAL(109,tbl_sumary[درصد])</f>
        <v>1</v>
      </c>
    </row>
    <row r="10" spans="1:7" x14ac:dyDescent="0.4"/>
    <row r="11" spans="1:7" x14ac:dyDescent="0.4"/>
    <row r="12" spans="1:7" x14ac:dyDescent="0.4">
      <c r="A12" s="6"/>
      <c r="B12" s="7" t="s">
        <v>46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57</v>
      </c>
      <c r="C13" s="27"/>
      <c r="D13" s="31">
        <f>SUMIFS(tbl_sumary[1400],tbl_sumary[نوع],B13)</f>
        <v>2652000000</v>
      </c>
      <c r="E13" s="31">
        <f>SUMIFS(tbl_sumary[1401],tbl_sumary[نوع],B13)</f>
        <v>1716000000</v>
      </c>
      <c r="F13" s="32">
        <f>SUM(D13:E13)</f>
        <v>4368000000</v>
      </c>
    </row>
    <row r="14" spans="1:7" x14ac:dyDescent="0.4">
      <c r="A14" s="13"/>
      <c r="B14" s="28" t="s">
        <v>45</v>
      </c>
      <c r="C14" s="28"/>
      <c r="D14" s="33">
        <f>SUMIFS(tbl_sumary[1400],tbl_sumary[نوع],B14)</f>
        <v>2168574000</v>
      </c>
      <c r="E14" s="33">
        <f>SUMIFS(tbl_sumary[1401],tbl_sumary[نوع],B14)</f>
        <v>8663820000</v>
      </c>
      <c r="F14" s="34">
        <f>SUM(D14:E14)</f>
        <v>10832394000</v>
      </c>
    </row>
    <row r="15" spans="1:7" x14ac:dyDescent="0.4">
      <c r="F15" s="5"/>
    </row>
    <row r="16" spans="1:7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</sheetData>
  <conditionalFormatting sqref="D2:D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{186E6B78-3059-4976-B40D-3F43B72838CA}</x14:id>
        </ext>
      </extLst>
    </cfRule>
  </conditionalFormatting>
  <conditionalFormatting sqref="E2:E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{A41741EC-04FA-4302-9DC1-B05F42D966EB}</x14:id>
        </ext>
      </extLst>
    </cfRule>
  </conditionalFormatting>
  <conditionalFormatting sqref="F2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{34EFEE2B-6C06-4952-9F5A-4A980C6CC3EB}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6E6B78-3059-4976-B40D-3F43B72838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A41741EC-04FA-4302-9DC1-B05F42D96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34EFEE2B-6C06-4952-9F5A-4A980C6CC3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132-3265-4B20-AEC4-A2AE2B54AA52}">
  <dimension ref="A1:J8"/>
  <sheetViews>
    <sheetView rightToLeft="1" workbookViewId="0">
      <selection activeCell="G2" sqref="G2"/>
    </sheetView>
  </sheetViews>
  <sheetFormatPr defaultRowHeight="17.25" x14ac:dyDescent="0.4"/>
  <cols>
    <col min="1" max="1" width="9.140625" style="1"/>
    <col min="2" max="2" width="39.85546875" style="1" customWidth="1"/>
    <col min="3" max="10" width="21.7109375" style="1" customWidth="1"/>
    <col min="11" max="16384" width="9.140625" style="1"/>
  </cols>
  <sheetData>
    <row r="1" spans="1:10" x14ac:dyDescent="0.4">
      <c r="A1" s="1" t="s">
        <v>35</v>
      </c>
      <c r="B1" s="1" t="s">
        <v>2</v>
      </c>
      <c r="C1" s="23" t="s">
        <v>102</v>
      </c>
      <c r="D1" s="23" t="s">
        <v>103</v>
      </c>
      <c r="E1" s="23" t="s">
        <v>104</v>
      </c>
      <c r="F1" s="23" t="s">
        <v>105</v>
      </c>
      <c r="G1" s="23" t="s">
        <v>106</v>
      </c>
      <c r="H1" s="23" t="s">
        <v>107</v>
      </c>
      <c r="I1" s="23" t="s">
        <v>108</v>
      </c>
      <c r="J1" s="23" t="s">
        <v>109</v>
      </c>
    </row>
    <row r="2" spans="1:10" x14ac:dyDescent="0.4">
      <c r="A2" s="1">
        <f>ROW(A1)</f>
        <v>1</v>
      </c>
      <c r="B2" s="1" t="s">
        <v>110</v>
      </c>
      <c r="C2" s="4">
        <v>500</v>
      </c>
      <c r="D2" s="4">
        <v>800</v>
      </c>
      <c r="E2" s="4">
        <v>1200</v>
      </c>
      <c r="F2" s="4">
        <v>2000</v>
      </c>
      <c r="G2" s="4">
        <v>4000</v>
      </c>
      <c r="H2" s="4">
        <v>7000</v>
      </c>
      <c r="I2" s="4">
        <v>12000</v>
      </c>
      <c r="J2" s="4">
        <v>20000</v>
      </c>
    </row>
    <row r="3" spans="1:10" x14ac:dyDescent="0.4">
      <c r="A3" s="1">
        <f t="shared" ref="A3:A8" si="0">ROW(A2)</f>
        <v>2</v>
      </c>
      <c r="B3" s="1" t="s">
        <v>101</v>
      </c>
      <c r="C3" s="39">
        <f t="shared" ref="C3:J3" si="1">d_customerConvertRate</f>
        <v>2.0291666666666663E-2</v>
      </c>
      <c r="D3" s="39">
        <f t="shared" si="1"/>
        <v>2.0291666666666663E-2</v>
      </c>
      <c r="E3" s="39">
        <f t="shared" si="1"/>
        <v>2.0291666666666663E-2</v>
      </c>
      <c r="F3" s="39">
        <f t="shared" si="1"/>
        <v>2.0291666666666663E-2</v>
      </c>
      <c r="G3" s="39">
        <f t="shared" si="1"/>
        <v>2.0291666666666663E-2</v>
      </c>
      <c r="H3" s="39">
        <f t="shared" si="1"/>
        <v>2.0291666666666663E-2</v>
      </c>
      <c r="I3" s="39">
        <f t="shared" si="1"/>
        <v>2.0291666666666663E-2</v>
      </c>
      <c r="J3" s="39">
        <f t="shared" si="1"/>
        <v>2.0291666666666663E-2</v>
      </c>
    </row>
    <row r="4" spans="1:10" x14ac:dyDescent="0.4">
      <c r="A4" s="1">
        <f t="shared" si="0"/>
        <v>3</v>
      </c>
      <c r="B4" s="1" t="s">
        <v>111</v>
      </c>
      <c r="C4" s="4">
        <f t="shared" ref="C4:J4" si="2">ROUND(C2*d_customerConvertRate, 0)</f>
        <v>10</v>
      </c>
      <c r="D4" s="4">
        <f t="shared" si="2"/>
        <v>16</v>
      </c>
      <c r="E4" s="4">
        <f t="shared" si="2"/>
        <v>24</v>
      </c>
      <c r="F4" s="4">
        <f t="shared" si="2"/>
        <v>41</v>
      </c>
      <c r="G4" s="4">
        <f t="shared" si="2"/>
        <v>81</v>
      </c>
      <c r="H4" s="4">
        <f t="shared" si="2"/>
        <v>142</v>
      </c>
      <c r="I4" s="4">
        <f t="shared" si="2"/>
        <v>244</v>
      </c>
      <c r="J4" s="4">
        <f t="shared" si="2"/>
        <v>406</v>
      </c>
    </row>
    <row r="5" spans="1:10" x14ac:dyDescent="0.4">
      <c r="A5" s="1">
        <f t="shared" si="0"/>
        <v>4</v>
      </c>
      <c r="B5" s="1" t="s">
        <v>112</v>
      </c>
      <c r="C5" s="22">
        <f t="shared" ref="C5:J5" si="3">d_customerAvgRevenue</f>
        <v>47000</v>
      </c>
      <c r="D5" s="22">
        <f t="shared" si="3"/>
        <v>47000</v>
      </c>
      <c r="E5" s="22">
        <f t="shared" si="3"/>
        <v>47000</v>
      </c>
      <c r="F5" s="22">
        <f t="shared" si="3"/>
        <v>47000</v>
      </c>
      <c r="G5" s="22">
        <f t="shared" si="3"/>
        <v>47000</v>
      </c>
      <c r="H5" s="22">
        <f t="shared" si="3"/>
        <v>47000</v>
      </c>
      <c r="I5" s="22">
        <f t="shared" si="3"/>
        <v>47000</v>
      </c>
      <c r="J5" s="22">
        <f t="shared" si="3"/>
        <v>47000</v>
      </c>
    </row>
    <row r="6" spans="1:10" x14ac:dyDescent="0.4">
      <c r="A6" s="1">
        <f t="shared" si="0"/>
        <v>5</v>
      </c>
      <c r="B6" s="1" t="s">
        <v>113</v>
      </c>
      <c r="C6" s="22">
        <f>C5*3</f>
        <v>141000</v>
      </c>
      <c r="D6" s="22">
        <f t="shared" ref="D6:J6" si="4">D5*3</f>
        <v>141000</v>
      </c>
      <c r="E6" s="22">
        <f t="shared" si="4"/>
        <v>141000</v>
      </c>
      <c r="F6" s="22">
        <f t="shared" si="4"/>
        <v>141000</v>
      </c>
      <c r="G6" s="22">
        <f t="shared" si="4"/>
        <v>141000</v>
      </c>
      <c r="H6" s="22">
        <f t="shared" si="4"/>
        <v>141000</v>
      </c>
      <c r="I6" s="22">
        <f t="shared" si="4"/>
        <v>141000</v>
      </c>
      <c r="J6" s="22">
        <f t="shared" si="4"/>
        <v>141000</v>
      </c>
    </row>
    <row r="7" spans="1:10" x14ac:dyDescent="0.4">
      <c r="A7" s="1">
        <f t="shared" si="0"/>
        <v>6</v>
      </c>
      <c r="B7" s="1" t="s">
        <v>82</v>
      </c>
      <c r="C7" s="12">
        <f t="shared" ref="C7:J7" si="5">C2*d_customerAvgRevenue</f>
        <v>23500000</v>
      </c>
      <c r="D7" s="12">
        <f t="shared" si="5"/>
        <v>37600000</v>
      </c>
      <c r="E7" s="12">
        <f t="shared" si="5"/>
        <v>56400000</v>
      </c>
      <c r="F7" s="12">
        <f t="shared" si="5"/>
        <v>94000000</v>
      </c>
      <c r="G7" s="12">
        <f t="shared" si="5"/>
        <v>188000000</v>
      </c>
      <c r="H7" s="12">
        <f t="shared" si="5"/>
        <v>329000000</v>
      </c>
      <c r="I7" s="12">
        <f t="shared" si="5"/>
        <v>564000000</v>
      </c>
      <c r="J7" s="12">
        <f t="shared" si="5"/>
        <v>940000000</v>
      </c>
    </row>
    <row r="8" spans="1:10" x14ac:dyDescent="0.4">
      <c r="A8" s="1">
        <f t="shared" si="0"/>
        <v>7</v>
      </c>
      <c r="B8" s="54" t="s">
        <v>114</v>
      </c>
      <c r="C8" s="16">
        <f>C7*3</f>
        <v>70500000</v>
      </c>
      <c r="D8" s="16">
        <f t="shared" ref="D8:J8" si="6">D7*3</f>
        <v>112800000</v>
      </c>
      <c r="E8" s="16">
        <f t="shared" si="6"/>
        <v>169200000</v>
      </c>
      <c r="F8" s="16">
        <f t="shared" si="6"/>
        <v>282000000</v>
      </c>
      <c r="G8" s="16">
        <f t="shared" si="6"/>
        <v>564000000</v>
      </c>
      <c r="H8" s="16">
        <f t="shared" si="6"/>
        <v>987000000</v>
      </c>
      <c r="I8" s="16">
        <f t="shared" si="6"/>
        <v>1692000000</v>
      </c>
      <c r="J8" s="16">
        <f t="shared" si="6"/>
        <v>2820000000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C2BB-F168-40EC-967E-5425F5C717CD}">
  <sheetPr>
    <tabColor rgb="FFC80A5A"/>
  </sheetPr>
  <dimension ref="A1:S74"/>
  <sheetViews>
    <sheetView rightToLeft="1" tabSelected="1" workbookViewId="0">
      <selection activeCell="D3" sqref="D3"/>
    </sheetView>
  </sheetViews>
  <sheetFormatPr defaultColWidth="0" defaultRowHeight="17.25" zeroHeight="1" x14ac:dyDescent="0.25"/>
  <cols>
    <col min="1" max="1" width="9.140625" style="55" customWidth="1"/>
    <col min="2" max="2" width="41.7109375" style="55" bestFit="1" customWidth="1"/>
    <col min="3" max="3" width="33.140625" style="55" bestFit="1" customWidth="1"/>
    <col min="4" max="9" width="25.7109375" style="55" customWidth="1"/>
    <col min="10" max="10" width="27.5703125" style="55" customWidth="1"/>
    <col min="11" max="12" width="9.140625" style="55" customWidth="1"/>
    <col min="13" max="19" width="9.140625" style="55" hidden="1" customWidth="1"/>
    <col min="20" max="16384" width="0" style="55" hidden="1"/>
  </cols>
  <sheetData>
    <row r="1" spans="1:10" x14ac:dyDescent="0.25">
      <c r="A1" s="55" t="s">
        <v>0</v>
      </c>
      <c r="B1" s="55" t="s">
        <v>46</v>
      </c>
      <c r="C1" s="56" t="s">
        <v>136</v>
      </c>
      <c r="D1" s="56" t="s">
        <v>14</v>
      </c>
      <c r="E1" s="56" t="s">
        <v>15</v>
      </c>
      <c r="F1" s="56" t="s">
        <v>115</v>
      </c>
      <c r="G1" s="56" t="s">
        <v>116</v>
      </c>
      <c r="H1" s="56" t="s">
        <v>117</v>
      </c>
      <c r="I1" s="56" t="s">
        <v>123</v>
      </c>
      <c r="J1" s="55" t="s">
        <v>21</v>
      </c>
    </row>
    <row r="2" spans="1:10" x14ac:dyDescent="0.25">
      <c r="A2" s="55">
        <f>ROW(A1)</f>
        <v>1</v>
      </c>
      <c r="B2" s="55" t="s">
        <v>175</v>
      </c>
      <c r="C2" s="75" t="s">
        <v>176</v>
      </c>
      <c r="D2" s="57">
        <v>1</v>
      </c>
      <c r="E2" s="57">
        <v>2</v>
      </c>
      <c r="F2" s="57">
        <v>3</v>
      </c>
      <c r="G2" s="57">
        <v>4</v>
      </c>
      <c r="H2" s="57">
        <v>5</v>
      </c>
      <c r="I2" s="57">
        <v>6</v>
      </c>
      <c r="J2" s="58"/>
    </row>
    <row r="3" spans="1:10" x14ac:dyDescent="0.25">
      <c r="A3" s="55">
        <f>ROW(A1)</f>
        <v>1</v>
      </c>
      <c r="B3" s="55" t="s">
        <v>126</v>
      </c>
      <c r="C3" s="55" t="s">
        <v>127</v>
      </c>
      <c r="D3" s="57">
        <f>'پیش‌بینی درآمد'!F2</f>
        <v>2000</v>
      </c>
      <c r="E3" s="57">
        <f>'پیش‌بینی درآمد'!J2</f>
        <v>20000</v>
      </c>
      <c r="F3" s="57">
        <f>tbl_revenue_summary[[#This Row],[1401]]*(1+s_cagr)</f>
        <v>45000</v>
      </c>
      <c r="G3" s="57">
        <f>tbl_revenue_summary[[#This Row],[1402]]*(1+s_cagr)</f>
        <v>101250</v>
      </c>
      <c r="H3" s="57">
        <f>tbl_revenue_summary[[#This Row],[1403]]*(1+s_cagr)</f>
        <v>227812.5</v>
      </c>
      <c r="I3" s="57">
        <f>tbl_revenue_summary[[#This Row],[1404]]*(1+s_cagr)</f>
        <v>512578.125</v>
      </c>
      <c r="J3" s="58"/>
    </row>
    <row r="4" spans="1:10" x14ac:dyDescent="0.25">
      <c r="A4" s="55">
        <f>ROW(A1)</f>
        <v>1</v>
      </c>
      <c r="B4" s="55" t="s">
        <v>98</v>
      </c>
      <c r="C4" s="55" t="s">
        <v>128</v>
      </c>
      <c r="D4" s="61">
        <f>SUM('پیش‌بینی درآمد'!C8:F8)</f>
        <v>634500000</v>
      </c>
      <c r="E4" s="61">
        <f>SUM('پیش‌بینی درآمد'!$G$8:$J$8)</f>
        <v>6063000000</v>
      </c>
      <c r="F4" s="61">
        <f>tbl_revenue_summary[[#This Row],[1401]]*(1+s_cagr) *(1+s_costsGrowthYOY)</f>
        <v>19098450000</v>
      </c>
      <c r="G4" s="61">
        <f>tbl_revenue_summary[[#This Row],[1402]]*(1+s_cagr)*(1+s_costsGrowthYOY)</f>
        <v>60160117499.999992</v>
      </c>
      <c r="H4" s="61">
        <f>tbl_revenue_summary[[#This Row],[1403]]*(1+s_cagr)*(1+s_costsGrowthYOY)</f>
        <v>189504370124.99997</v>
      </c>
      <c r="I4" s="61">
        <f>tbl_revenue_summary[[#This Row],[1404]]*(1+s_cagr)*(1+s_costsGrowthYOY)</f>
        <v>596938765893.74988</v>
      </c>
      <c r="J4" s="58">
        <f>SUM(tbl_revenue_summary[[#This Row],[1400]:[1405]])</f>
        <v>872399203518.74988</v>
      </c>
    </row>
    <row r="5" spans="1:10" x14ac:dyDescent="0.25">
      <c r="A5" s="55">
        <f>ROW(A4)</f>
        <v>4</v>
      </c>
      <c r="B5" s="55" t="s">
        <v>188</v>
      </c>
      <c r="D5" s="76">
        <f t="shared" ref="D5:I5" si="0">D4/d_toman2dollar</f>
        <v>28200</v>
      </c>
      <c r="E5" s="76">
        <f t="shared" si="0"/>
        <v>269466.66666666669</v>
      </c>
      <c r="F5" s="76">
        <f t="shared" si="0"/>
        <v>848820</v>
      </c>
      <c r="G5" s="76">
        <f t="shared" si="0"/>
        <v>2673782.9999999995</v>
      </c>
      <c r="H5" s="76">
        <f t="shared" si="0"/>
        <v>8422416.4499999993</v>
      </c>
      <c r="I5" s="76">
        <f t="shared" si="0"/>
        <v>26530611.817499995</v>
      </c>
      <c r="J5" s="58">
        <f>SUM(tbl_revenue_summary[[#This Row],[1400]:[1405]])</f>
        <v>38773297.934166662</v>
      </c>
    </row>
    <row r="6" spans="1:10" x14ac:dyDescent="0.25">
      <c r="A6" s="55">
        <f>ROW(A5)</f>
        <v>5</v>
      </c>
      <c r="B6" s="55" t="s">
        <v>191</v>
      </c>
      <c r="D6" s="77"/>
      <c r="E6" s="59">
        <f>E5/D5</f>
        <v>9.5555555555555554</v>
      </c>
      <c r="F6" s="59">
        <f t="shared" ref="F6:I6" si="1">F5/E5</f>
        <v>3.15</v>
      </c>
      <c r="G6" s="59">
        <f t="shared" si="1"/>
        <v>3.1499999999999995</v>
      </c>
      <c r="H6" s="59">
        <f t="shared" si="1"/>
        <v>3.1500000000000004</v>
      </c>
      <c r="I6" s="59">
        <f t="shared" si="1"/>
        <v>3.15</v>
      </c>
      <c r="J6" s="58"/>
    </row>
    <row r="7" spans="1:10" x14ac:dyDescent="0.25">
      <c r="A7" s="55">
        <f>ROW(A4)</f>
        <v>4</v>
      </c>
      <c r="B7" s="55" t="s">
        <v>57</v>
      </c>
      <c r="C7" s="55" t="s">
        <v>130</v>
      </c>
      <c r="D7" s="61">
        <f>SUMIFS(tbl_sumary[1400],tbl_sumary[نوع],tbl_revenue_summary[[#This Row],[نوع]])</f>
        <v>2652000000</v>
      </c>
      <c r="E7" s="61">
        <f>SUMIFS(tbl_sumary[1401],tbl_sumary[نوع],tbl_revenue_summary[[#This Row],[نوع]])</f>
        <v>1716000000</v>
      </c>
      <c r="F7" s="61">
        <f>tbl_revenue_summary[[#This Row],[1401]]*(1+s_costsGrowthCapexYOY)</f>
        <v>2059200000</v>
      </c>
      <c r="G7" s="61">
        <f>tbl_revenue_summary[[#This Row],[1402]]*(1+s_costsGrowthCapexYOY)</f>
        <v>2471040000</v>
      </c>
      <c r="H7" s="61">
        <f>tbl_revenue_summary[[#This Row],[1403]]*(1+s_costsGrowthCapexYOY)</f>
        <v>2965248000</v>
      </c>
      <c r="I7" s="61">
        <f>tbl_revenue_summary[[#This Row],[1404]]*(1+s_costsGrowthCapexYOY)</f>
        <v>3558297600</v>
      </c>
      <c r="J7" s="61">
        <f>SUM(tbl_revenue_summary[[#This Row],[1400]:[1405]])</f>
        <v>15421785600</v>
      </c>
    </row>
    <row r="8" spans="1:10" x14ac:dyDescent="0.25">
      <c r="A8" s="55">
        <f t="shared" ref="A8:A11" si="2">ROW(A7)</f>
        <v>7</v>
      </c>
      <c r="B8" s="55" t="s">
        <v>45</v>
      </c>
      <c r="C8" s="55" t="s">
        <v>129</v>
      </c>
      <c r="D8" s="61">
        <f>SUMIFS(tbl_sumary[1400],tbl_sumary[نوع],tbl_revenue_summary[[#This Row],[نوع]])</f>
        <v>2168574000</v>
      </c>
      <c r="E8" s="61">
        <f>SUMIFS(tbl_sumary[1401],tbl_sumary[نوع],tbl_revenue_summary[[#This Row],[نوع]])</f>
        <v>8663820000</v>
      </c>
      <c r="F8" s="61">
        <f>tbl_revenue_summary[[#This Row],[1401]]*(1+s_costsGrowthYOY)</f>
        <v>12129348000</v>
      </c>
      <c r="G8" s="61">
        <f>tbl_revenue_summary[[#This Row],[1402]]*(1+s_costsGrowthYOY)</f>
        <v>16981087199.999998</v>
      </c>
      <c r="H8" s="61">
        <f>tbl_revenue_summary[[#This Row],[1403]]*(1+s_costsGrowthYOY)</f>
        <v>23773522079.999996</v>
      </c>
      <c r="I8" s="61">
        <f>tbl_revenue_summary[[#This Row],[1404]]*(1+s_costsGrowthYOY)</f>
        <v>33282930911.999992</v>
      </c>
      <c r="J8" s="61">
        <f>SUM(tbl_revenue_summary[[#This Row],[1400]:[1405]])</f>
        <v>96999282192</v>
      </c>
    </row>
    <row r="9" spans="1:10" x14ac:dyDescent="0.25">
      <c r="A9" s="55">
        <f>ROW(A8)</f>
        <v>8</v>
      </c>
      <c r="B9" s="55" t="s">
        <v>131</v>
      </c>
      <c r="C9" s="55" t="s">
        <v>120</v>
      </c>
      <c r="D9" s="61">
        <f t="shared" ref="D9:I9" si="3">D4-D8</f>
        <v>-1534074000</v>
      </c>
      <c r="E9" s="61">
        <f t="shared" si="3"/>
        <v>-2600820000</v>
      </c>
      <c r="F9" s="61">
        <f t="shared" si="3"/>
        <v>6969102000</v>
      </c>
      <c r="G9" s="61">
        <f t="shared" si="3"/>
        <v>43179030299.999992</v>
      </c>
      <c r="H9" s="61">
        <f t="shared" si="3"/>
        <v>165730848044.99997</v>
      </c>
      <c r="I9" s="61">
        <f t="shared" si="3"/>
        <v>563655834981.74988</v>
      </c>
      <c r="J9" s="58"/>
    </row>
    <row r="10" spans="1:10" x14ac:dyDescent="0.25">
      <c r="A10" s="55">
        <f t="shared" si="2"/>
        <v>9</v>
      </c>
      <c r="B10" s="55" t="s">
        <v>132</v>
      </c>
      <c r="C10" s="55" t="s">
        <v>121</v>
      </c>
      <c r="D10" s="59">
        <f t="shared" ref="D10:I10" si="4">D9/D4</f>
        <v>-2.4177683215130026</v>
      </c>
      <c r="E10" s="59">
        <f t="shared" si="4"/>
        <v>-0.42896585848589808</v>
      </c>
      <c r="F10" s="59">
        <f t="shared" si="4"/>
        <v>0.36490406289515642</v>
      </c>
      <c r="G10" s="59">
        <f t="shared" si="4"/>
        <v>0.71773513906451392</v>
      </c>
      <c r="H10" s="59">
        <f t="shared" si="4"/>
        <v>0.87454895069533956</v>
      </c>
      <c r="I10" s="59">
        <f t="shared" si="4"/>
        <v>0.94424397808681759</v>
      </c>
      <c r="J10" s="58"/>
    </row>
    <row r="11" spans="1:10" x14ac:dyDescent="0.25">
      <c r="A11" s="55">
        <f t="shared" si="2"/>
        <v>10</v>
      </c>
      <c r="B11" s="55" t="s">
        <v>192</v>
      </c>
      <c r="C11" s="55" t="s">
        <v>122</v>
      </c>
      <c r="D11" s="61">
        <f t="shared" ref="D11:I11" si="5">D9-D7</f>
        <v>-4186074000</v>
      </c>
      <c r="E11" s="61">
        <f t="shared" si="5"/>
        <v>-4316820000</v>
      </c>
      <c r="F11" s="61">
        <f t="shared" si="5"/>
        <v>4909902000</v>
      </c>
      <c r="G11" s="61">
        <f t="shared" si="5"/>
        <v>40707990299.999992</v>
      </c>
      <c r="H11" s="61">
        <f t="shared" si="5"/>
        <v>162765600044.99997</v>
      </c>
      <c r="I11" s="61">
        <f t="shared" si="5"/>
        <v>560097537381.74988</v>
      </c>
      <c r="J11" s="61">
        <f>SUM(tbl_revenue_summary[[#This Row],[1400]:[1405]])</f>
        <v>759978135726.74988</v>
      </c>
    </row>
    <row r="12" spans="1:10" x14ac:dyDescent="0.25">
      <c r="A12" s="55">
        <f>ROW(A11)</f>
        <v>11</v>
      </c>
      <c r="B12" s="55" t="s">
        <v>193</v>
      </c>
      <c r="D12" s="61">
        <f>SUM($D$11:D11)</f>
        <v>-4186074000</v>
      </c>
      <c r="E12" s="61">
        <f>SUM($D$11:E11)</f>
        <v>-8502894000</v>
      </c>
      <c r="F12" s="61">
        <f>SUM($D$11:F11)</f>
        <v>-3592992000</v>
      </c>
      <c r="G12" s="61">
        <f>SUM($D$11:G11)</f>
        <v>37114998299.999992</v>
      </c>
      <c r="H12" s="61">
        <f>SUM($D$11:H11)</f>
        <v>199880598344.99997</v>
      </c>
      <c r="I12" s="61">
        <f>SUM($D$11:I11)</f>
        <v>759978135726.74988</v>
      </c>
      <c r="J12" s="61"/>
    </row>
    <row r="13" spans="1:10" x14ac:dyDescent="0.25">
      <c r="A13" s="55">
        <f>ROW(A12)</f>
        <v>12</v>
      </c>
      <c r="B13" s="55" t="s">
        <v>196</v>
      </c>
      <c r="C13" s="55" t="s">
        <v>195</v>
      </c>
      <c r="D13" s="59">
        <f>D12/v_totalFund</f>
        <v>-0.27539960526315788</v>
      </c>
      <c r="E13" s="59">
        <f>E12/v_totalFund</f>
        <v>-0.55940092105263162</v>
      </c>
      <c r="F13" s="59">
        <f>F12/v_totalFund</f>
        <v>-0.23638105263157894</v>
      </c>
      <c r="G13" s="59">
        <f>G12/v_totalFund</f>
        <v>2.4417762039473678</v>
      </c>
      <c r="H13" s="59">
        <f>H12/v_totalFund</f>
        <v>13.15003936480263</v>
      </c>
      <c r="I13" s="59">
        <f>I12/v_totalFund</f>
        <v>49.998561560970387</v>
      </c>
      <c r="J13" s="59"/>
    </row>
    <row r="14" spans="1:10" x14ac:dyDescent="0.25">
      <c r="D14" s="61"/>
      <c r="E14" s="61"/>
      <c r="F14" s="61"/>
      <c r="G14" s="61"/>
      <c r="H14" s="61"/>
      <c r="I14" s="61"/>
    </row>
    <row r="15" spans="1:10" x14ac:dyDescent="0.25">
      <c r="B15" s="55" t="s">
        <v>190</v>
      </c>
      <c r="C15" s="61">
        <f>ROUND(SUM(tbl_sumary[[1400]:[1401]]),-7 )</f>
        <v>15200000000</v>
      </c>
      <c r="D15" s="61"/>
      <c r="E15" s="61"/>
      <c r="F15" s="61"/>
      <c r="G15" s="61"/>
      <c r="H15" s="61"/>
      <c r="I15" s="61"/>
    </row>
    <row r="16" spans="1:10" x14ac:dyDescent="0.25">
      <c r="C16" s="61"/>
      <c r="D16" s="61"/>
      <c r="E16" s="61"/>
      <c r="F16" s="61"/>
      <c r="G16" s="61"/>
      <c r="H16" s="61"/>
      <c r="I16" s="61"/>
    </row>
    <row r="17" spans="2:9" x14ac:dyDescent="0.25">
      <c r="C17" s="61"/>
      <c r="D17" s="61"/>
      <c r="E17" s="61"/>
      <c r="F17" s="61"/>
      <c r="G17" s="61"/>
      <c r="H17" s="61"/>
      <c r="I17" s="61"/>
    </row>
    <row r="18" spans="2:9" x14ac:dyDescent="0.25">
      <c r="C18" s="61"/>
      <c r="D18" s="61"/>
      <c r="E18" s="61"/>
      <c r="F18" s="61"/>
      <c r="G18" s="61"/>
      <c r="H18" s="61"/>
      <c r="I18" s="61"/>
    </row>
    <row r="19" spans="2:9" x14ac:dyDescent="0.25"/>
    <row r="20" spans="2:9" x14ac:dyDescent="0.25">
      <c r="B20" s="78" t="s">
        <v>177</v>
      </c>
      <c r="C20" s="78"/>
      <c r="D20" s="78"/>
      <c r="E20" s="78"/>
      <c r="F20" s="78"/>
      <c r="G20" s="78"/>
      <c r="H20" s="78"/>
      <c r="I20" s="78"/>
    </row>
    <row r="21" spans="2:9" x14ac:dyDescent="0.25">
      <c r="B21" s="55" t="s">
        <v>141</v>
      </c>
      <c r="C21" s="55" t="s">
        <v>133</v>
      </c>
      <c r="D21" s="60">
        <v>0.3</v>
      </c>
    </row>
    <row r="22" spans="2:9" x14ac:dyDescent="0.25">
      <c r="B22" s="55" t="s">
        <v>183</v>
      </c>
      <c r="C22" s="55" t="s">
        <v>134</v>
      </c>
      <c r="D22" s="55">
        <v>2</v>
      </c>
    </row>
    <row r="23" spans="2:9" x14ac:dyDescent="0.25">
      <c r="B23" s="55" t="s">
        <v>182</v>
      </c>
      <c r="C23" s="55" t="s">
        <v>135</v>
      </c>
      <c r="D23" s="61">
        <f t="shared" ref="D23:I23" si="6">D11/(1+v_DiscountRate)^D2</f>
        <v>-3220056923.0769229</v>
      </c>
      <c r="E23" s="61">
        <f t="shared" si="6"/>
        <v>-2554331360.9467454</v>
      </c>
      <c r="F23" s="61">
        <f t="shared" si="6"/>
        <v>2234821119.708693</v>
      </c>
      <c r="G23" s="61">
        <f t="shared" si="6"/>
        <v>14252998949.616604</v>
      </c>
      <c r="H23" s="61">
        <f t="shared" si="6"/>
        <v>43837508394.987228</v>
      </c>
      <c r="I23" s="61">
        <f t="shared" si="6"/>
        <v>116038885603.66687</v>
      </c>
    </row>
    <row r="24" spans="2:9" x14ac:dyDescent="0.25">
      <c r="B24" s="55" t="s">
        <v>180</v>
      </c>
      <c r="C24" s="55" t="s">
        <v>179</v>
      </c>
      <c r="D24" s="61">
        <f t="shared" ref="D24:I24" si="7">D4*v_ExitRevenueMultiple/(1+v_DiscountRate)^D2</f>
        <v>976153846.15384614</v>
      </c>
      <c r="E24" s="61">
        <f t="shared" si="7"/>
        <v>7175147928.9940825</v>
      </c>
      <c r="F24" s="61">
        <f t="shared" si="7"/>
        <v>17385935366.408733</v>
      </c>
      <c r="G24" s="61">
        <f t="shared" si="7"/>
        <v>42127458772.451935</v>
      </c>
      <c r="H24" s="61">
        <f t="shared" si="7"/>
        <v>102078073179.40274</v>
      </c>
      <c r="I24" s="61">
        <f t="shared" si="7"/>
        <v>247343023473.16815</v>
      </c>
    </row>
    <row r="25" spans="2:9" x14ac:dyDescent="0.25">
      <c r="B25" s="55" t="s">
        <v>181</v>
      </c>
      <c r="C25" s="55" t="s">
        <v>174</v>
      </c>
      <c r="D25" s="61" t="str">
        <f>IF(SUM($D$23:D23) + D24 &gt; 0, SUM($D$23:D23) + D24, "-")</f>
        <v>-</v>
      </c>
      <c r="E25" s="61">
        <f>IF(SUM($D$23:E23) + E24 &gt; 0, SUM($D$23:E23) + E24, "-")</f>
        <v>1400759644.9704142</v>
      </c>
      <c r="F25" s="61">
        <f>IF(SUM($D$23:F23) + F24 &gt; 0, SUM($D$23:F23) + F24, "-")</f>
        <v>13846368202.093758</v>
      </c>
      <c r="G25" s="61">
        <f>IF(SUM($D$23:G23) + G24 &gt; 0, SUM($D$23:G23) + G24, "-")</f>
        <v>52840890557.753563</v>
      </c>
      <c r="H25" s="61">
        <f>IF(SUM($D$23:H23) + H24 &gt; 0, SUM($D$23:H23) + H24, "-")</f>
        <v>156629013359.69159</v>
      </c>
      <c r="I25" s="61">
        <f>IF(SUM($D$23:I23) + I24 &gt; 0, SUM($D$23:I23) + I24, "-")</f>
        <v>417932849257.1239</v>
      </c>
    </row>
    <row r="26" spans="2:9" x14ac:dyDescent="0.25">
      <c r="B26" s="55" t="s">
        <v>189</v>
      </c>
      <c r="D26" s="76" t="str">
        <f t="shared" ref="D26:I26" si="8">IFERROR(D25/d_toman2dollar, "-")</f>
        <v>-</v>
      </c>
      <c r="E26" s="76">
        <f t="shared" si="8"/>
        <v>62255.984220907296</v>
      </c>
      <c r="F26" s="76">
        <f t="shared" si="8"/>
        <v>615394.14231527806</v>
      </c>
      <c r="G26" s="76">
        <f t="shared" si="8"/>
        <v>2348484.0247890474</v>
      </c>
      <c r="H26" s="76">
        <f t="shared" si="8"/>
        <v>6961289.4826529594</v>
      </c>
      <c r="I26" s="76">
        <f t="shared" si="8"/>
        <v>18574793.300316617</v>
      </c>
    </row>
    <row r="27" spans="2:9" x14ac:dyDescent="0.25">
      <c r="D27" s="76"/>
      <c r="E27" s="76"/>
      <c r="F27" s="76"/>
      <c r="G27" s="76"/>
      <c r="H27" s="76"/>
      <c r="I27" s="76"/>
    </row>
    <row r="28" spans="2:9" x14ac:dyDescent="0.25">
      <c r="D28" s="61"/>
      <c r="E28" s="61"/>
      <c r="F28" s="61"/>
      <c r="G28" s="61"/>
      <c r="H28" s="61"/>
      <c r="I28" s="61"/>
    </row>
    <row r="29" spans="2:9" x14ac:dyDescent="0.25">
      <c r="B29" s="78" t="s">
        <v>178</v>
      </c>
      <c r="C29" s="78"/>
      <c r="D29" s="78"/>
      <c r="E29" s="78"/>
      <c r="F29" s="78"/>
      <c r="G29" s="78"/>
      <c r="H29" s="78"/>
      <c r="I29" s="78"/>
    </row>
    <row r="30" spans="2:9" x14ac:dyDescent="0.25">
      <c r="B30" s="55" t="s">
        <v>194</v>
      </c>
      <c r="C30" s="55" t="s">
        <v>138</v>
      </c>
      <c r="D30" s="59" t="str">
        <f>IFERROR(IRR($D$9:D9), "-")</f>
        <v>-</v>
      </c>
      <c r="E30" s="59" t="str">
        <f>IFERROR(IRR($D$9:E9), "-")</f>
        <v>-</v>
      </c>
      <c r="F30" s="59">
        <f>IFERROR(IRR($D$9:F9), "-")</f>
        <v>0.44609895656823384</v>
      </c>
      <c r="G30" s="59">
        <f>IFERROR(IRR($D$9:G9), "-")</f>
        <v>1.9851232488841473</v>
      </c>
      <c r="H30" s="59">
        <f>IFERROR(IRR($D$9:H9), "-")</f>
        <v>2.7051005864392832</v>
      </c>
      <c r="I30" s="59">
        <f>IFERROR(IRR($D$9:I9), "-")</f>
        <v>3.0681409092506842</v>
      </c>
    </row>
    <row r="31" spans="2:9" x14ac:dyDescent="0.25">
      <c r="B31" s="55" t="s">
        <v>187</v>
      </c>
      <c r="C31" s="55" t="s">
        <v>139</v>
      </c>
      <c r="D31" s="59" t="str">
        <f>IFERROR(IRR($D$11:D11), "-")</f>
        <v>-</v>
      </c>
      <c r="E31" s="59" t="str">
        <f>IFERROR(IRR($D$11:E11), "-")</f>
        <v>-</v>
      </c>
      <c r="F31" s="59">
        <f>IFERROR(IRR($D$11:F11), "-")</f>
        <v>-0.31612772463146843</v>
      </c>
      <c r="G31" s="59">
        <f>IFERROR(IRR($D$11:G11), "-")</f>
        <v>0.9963497571131692</v>
      </c>
      <c r="H31" s="59">
        <f>IFERROR(IRR($D$11:H11), "-")</f>
        <v>1.7029023538704346</v>
      </c>
      <c r="I31" s="59">
        <f>IFERROR(IRR($D$11:I11), "-")</f>
        <v>2.1026608341394457</v>
      </c>
    </row>
    <row r="32" spans="2:9" x14ac:dyDescent="0.25">
      <c r="B32" s="55" t="s">
        <v>184</v>
      </c>
      <c r="C32" s="55" t="s">
        <v>140</v>
      </c>
      <c r="D32" s="61">
        <f>NPV(v_DiscountRate,D11)</f>
        <v>-3220056923.0769229</v>
      </c>
      <c r="E32" s="61">
        <f>NPV(v_DiscountRate,D11,E11)</f>
        <v>-5774388284.0236683</v>
      </c>
      <c r="F32" s="61">
        <f>NPV(v_DiscountRate,D11,E11,F11)</f>
        <v>-3539567164.3149748</v>
      </c>
      <c r="G32" s="61">
        <v>3</v>
      </c>
      <c r="H32" s="61">
        <f>NPV(v_DiscountRate,D11,E11,F11,G11,H11)</f>
        <v>54550940180.288857</v>
      </c>
      <c r="I32" s="61">
        <f>NPV(v_DiscountRate,D11,E11,F11,G11,H11,I11)</f>
        <v>170589825783.95572</v>
      </c>
    </row>
    <row r="33" spans="2:9" x14ac:dyDescent="0.25">
      <c r="D33" s="76"/>
      <c r="E33" s="76"/>
      <c r="F33" s="76"/>
      <c r="G33" s="76"/>
      <c r="H33" s="76"/>
      <c r="I33" s="76"/>
    </row>
    <row r="34" spans="2:9" x14ac:dyDescent="0.25">
      <c r="E34" s="74"/>
    </row>
    <row r="35" spans="2:9" x14ac:dyDescent="0.25">
      <c r="B35" s="78"/>
      <c r="C35" s="78"/>
      <c r="D35" s="78"/>
      <c r="E35" s="78"/>
      <c r="F35" s="78"/>
      <c r="G35" s="78"/>
      <c r="H35" s="78"/>
      <c r="I35" s="78"/>
    </row>
    <row r="36" spans="2:9" x14ac:dyDescent="0.25">
      <c r="D36" s="61"/>
      <c r="E36" s="61"/>
      <c r="F36" s="61"/>
      <c r="G36" s="61"/>
      <c r="H36" s="61"/>
      <c r="I36" s="61"/>
    </row>
    <row r="37" spans="2:9" x14ac:dyDescent="0.25">
      <c r="D37" s="61"/>
      <c r="E37" s="61"/>
      <c r="F37" s="61"/>
      <c r="G37" s="61"/>
      <c r="H37" s="61"/>
      <c r="I37" s="61"/>
    </row>
    <row r="38" spans="2:9" x14ac:dyDescent="0.25">
      <c r="D38" s="61"/>
      <c r="E38" s="61"/>
      <c r="F38" s="61"/>
      <c r="G38" s="61"/>
      <c r="H38" s="61"/>
      <c r="I38" s="61"/>
    </row>
    <row r="39" spans="2:9" x14ac:dyDescent="0.25">
      <c r="D39" s="61"/>
      <c r="E39" s="61"/>
      <c r="F39" s="61"/>
      <c r="G39" s="61"/>
      <c r="H39" s="61"/>
      <c r="I39" s="61"/>
    </row>
    <row r="40" spans="2:9" x14ac:dyDescent="0.25">
      <c r="D40" s="59"/>
      <c r="E40" s="59"/>
      <c r="F40" s="59"/>
      <c r="G40" s="59"/>
      <c r="H40" s="59"/>
      <c r="I40" s="59"/>
    </row>
    <row r="41" spans="2:9" x14ac:dyDescent="0.25"/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</sheetData>
  <mergeCells count="3">
    <mergeCell ref="B20:I20"/>
    <mergeCell ref="B29:I29"/>
    <mergeCell ref="B35:I35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17DC-A059-427A-B1E3-F4E95301E578}">
  <dimension ref="A1:R39"/>
  <sheetViews>
    <sheetView rightToLeft="1" workbookViewId="0">
      <selection activeCell="H3" sqref="H3"/>
    </sheetView>
  </sheetViews>
  <sheetFormatPr defaultColWidth="0" defaultRowHeight="17.25" zeroHeight="1" x14ac:dyDescent="0.25"/>
  <cols>
    <col min="1" max="1" width="21" style="56" bestFit="1" customWidth="1"/>
    <col min="2" max="2" width="21" style="56" customWidth="1"/>
    <col min="3" max="4" width="25.7109375" style="56" customWidth="1"/>
    <col min="5" max="5" width="26.7109375" style="56" bestFit="1" customWidth="1"/>
    <col min="6" max="13" width="25.7109375" style="56" customWidth="1"/>
    <col min="14" max="18" width="9.140625" style="56" customWidth="1"/>
    <col min="19" max="16384" width="9.140625" style="56" hidden="1"/>
  </cols>
  <sheetData>
    <row r="1" spans="1:13" x14ac:dyDescent="0.25">
      <c r="A1" s="65" t="s">
        <v>149</v>
      </c>
      <c r="B1" s="65" t="s">
        <v>161</v>
      </c>
      <c r="C1" s="65" t="s">
        <v>164</v>
      </c>
      <c r="D1" s="65" t="s">
        <v>167</v>
      </c>
      <c r="E1" s="65" t="s">
        <v>166</v>
      </c>
      <c r="F1" s="65" t="s">
        <v>168</v>
      </c>
      <c r="G1" s="65" t="s">
        <v>163</v>
      </c>
      <c r="H1" s="65" t="s">
        <v>142</v>
      </c>
      <c r="I1" s="65" t="s">
        <v>143</v>
      </c>
      <c r="J1" s="65" t="s">
        <v>144</v>
      </c>
      <c r="K1" s="65" t="s">
        <v>171</v>
      </c>
      <c r="L1" s="65" t="s">
        <v>145</v>
      </c>
      <c r="M1" s="65" t="s">
        <v>146</v>
      </c>
    </row>
    <row r="2" spans="1:13" x14ac:dyDescent="0.25">
      <c r="A2" s="56" t="s">
        <v>155</v>
      </c>
      <c r="B2" s="56" t="s">
        <v>162</v>
      </c>
      <c r="C2" s="62"/>
      <c r="D2" s="62">
        <v>0.55000000000000004</v>
      </c>
      <c r="E2" s="63">
        <v>6.0100000000000001E-2</v>
      </c>
      <c r="F2" s="63">
        <v>8.6E-3</v>
      </c>
      <c r="G2" s="63">
        <v>2.0000000000000001E-4</v>
      </c>
      <c r="H2" s="67">
        <f>IFERROR(tbl_fundraisingSteps[[#This Row],[1399]]*(1-H$13-v_seriA), "-")</f>
        <v>1.3999999999999999E-4</v>
      </c>
      <c r="I2" s="67">
        <f>IFERROR(tbl_fundraisingSteps[[#This Row],[Series A]]*(1-v_seriB), "-")</f>
        <v>1.12E-4</v>
      </c>
      <c r="J2" s="67">
        <f>IFERROR(tbl_fundraisingSteps[[#This Row],[Series B]]*(1-v_seriC), "-")</f>
        <v>9.5199999999999997E-5</v>
      </c>
      <c r="K2" s="67">
        <f>IFERROR(tbl_fundraisingSteps[[#This Row],[Series C]]*(1-v_seriD), "-")</f>
        <v>8.0919999999999991E-5</v>
      </c>
      <c r="L2" s="67">
        <f>IFERROR(tbl_fundraisingSteps[[#This Row],[Series D]]*(1-v_seriE), "-")</f>
        <v>7.2827999999999988E-5</v>
      </c>
      <c r="M2" s="67">
        <f>IFERROR(tbl_fundraisingSteps[[#This Row],[Series E]]*(1-v_seriF), "-")</f>
        <v>6.5545199999999997E-5</v>
      </c>
    </row>
    <row r="3" spans="1:13" x14ac:dyDescent="0.25">
      <c r="A3" s="56" t="s">
        <v>155</v>
      </c>
      <c r="B3" s="56" t="s">
        <v>156</v>
      </c>
      <c r="C3" s="62" t="s">
        <v>154</v>
      </c>
      <c r="D3" s="62" t="s">
        <v>154</v>
      </c>
      <c r="E3" s="62" t="s">
        <v>154</v>
      </c>
      <c r="F3" s="62" t="s">
        <v>154</v>
      </c>
      <c r="G3" s="62" t="s">
        <v>154</v>
      </c>
      <c r="H3" s="68">
        <v>0.2</v>
      </c>
      <c r="I3" s="63">
        <f>IFERROR(tbl_fundraisingSteps[[#This Row],[Series A]]*(1-v_seriB), "-")</f>
        <v>0.16000000000000003</v>
      </c>
      <c r="J3" s="63">
        <f>IFERROR(tbl_fundraisingSteps[[#This Row],[Series B]]*(1-v_seriC), "-")</f>
        <v>0.13600000000000001</v>
      </c>
      <c r="K3" s="63">
        <f>IFERROR(tbl_fundraisingSteps[[#This Row],[Series C]]*(1-v_seriD), "-")</f>
        <v>0.11560000000000001</v>
      </c>
      <c r="L3" s="63">
        <f>IFERROR(tbl_fundraisingSteps[[#This Row],[Series D]]*(1-v_seriE), "-")</f>
        <v>0.10404000000000001</v>
      </c>
      <c r="M3" s="63">
        <f>IFERROR(tbl_fundraisingSteps[[#This Row],[Series E]]*(1-v_seriF), "-")</f>
        <v>9.3636000000000011E-2</v>
      </c>
    </row>
    <row r="4" spans="1:13" x14ac:dyDescent="0.25">
      <c r="A4" s="56" t="s">
        <v>155</v>
      </c>
      <c r="B4" s="56" t="s">
        <v>157</v>
      </c>
      <c r="C4" s="62" t="s">
        <v>154</v>
      </c>
      <c r="D4" s="62" t="s">
        <v>154</v>
      </c>
      <c r="E4" s="62" t="s">
        <v>154</v>
      </c>
      <c r="F4" s="62" t="s">
        <v>154</v>
      </c>
      <c r="G4" s="62" t="s">
        <v>154</v>
      </c>
      <c r="H4" s="63" t="str">
        <f>IFERROR(tbl_fundraisingSteps[[#This Row],[1399]]*(1-H$13-v_seriA), "-")</f>
        <v>-</v>
      </c>
      <c r="I4" s="68">
        <v>0.2</v>
      </c>
      <c r="J4" s="63">
        <f>IFERROR(tbl_fundraisingSteps[[#This Row],[Series B]]*(1-v_seriC), "-")</f>
        <v>0.17</v>
      </c>
      <c r="K4" s="63">
        <f>IFERROR(tbl_fundraisingSteps[[#This Row],[Series C]]*(1-v_seriD), "-")</f>
        <v>0.14450000000000002</v>
      </c>
      <c r="L4" s="63">
        <f>IFERROR(tbl_fundraisingSteps[[#This Row],[Series D]]*(1-v_seriE), "-")</f>
        <v>0.13005000000000003</v>
      </c>
      <c r="M4" s="63">
        <f>IFERROR(tbl_fundraisingSteps[[#This Row],[Series E]]*(1-v_seriF), "-")</f>
        <v>0.11704500000000002</v>
      </c>
    </row>
    <row r="5" spans="1:13" x14ac:dyDescent="0.25">
      <c r="A5" s="56" t="s">
        <v>155</v>
      </c>
      <c r="B5" s="56" t="s">
        <v>158</v>
      </c>
      <c r="C5" s="62" t="s">
        <v>154</v>
      </c>
      <c r="D5" s="62" t="s">
        <v>154</v>
      </c>
      <c r="E5" s="62" t="s">
        <v>154</v>
      </c>
      <c r="F5" s="62" t="s">
        <v>154</v>
      </c>
      <c r="G5" s="62" t="s">
        <v>154</v>
      </c>
      <c r="H5" s="63" t="str">
        <f>IFERROR(tbl_fundraisingSteps[[#This Row],[1399]]*(1-H$13-v_seriA), "-")</f>
        <v>-</v>
      </c>
      <c r="I5" s="63" t="str">
        <f>IFERROR(tbl_fundraisingSteps[[#This Row],[Series A]]*(1-v_seriB), "-")</f>
        <v>-</v>
      </c>
      <c r="J5" s="68">
        <v>0.15</v>
      </c>
      <c r="K5" s="63">
        <f>IFERROR(tbl_fundraisingSteps[[#This Row],[Series C]]*(1-v_seriD), "-")</f>
        <v>0.1275</v>
      </c>
      <c r="L5" s="63">
        <f>IFERROR(tbl_fundraisingSteps[[#This Row],[Series D]]*(1-v_seriE), "-")</f>
        <v>0.11475</v>
      </c>
      <c r="M5" s="63">
        <f>IFERROR(tbl_fundraisingSteps[[#This Row],[Series E]]*(1-v_seriF), "-")</f>
        <v>0.10327500000000001</v>
      </c>
    </row>
    <row r="6" spans="1:13" x14ac:dyDescent="0.25">
      <c r="A6" s="56" t="s">
        <v>155</v>
      </c>
      <c r="B6" s="56" t="s">
        <v>159</v>
      </c>
      <c r="C6" s="62" t="s">
        <v>154</v>
      </c>
      <c r="D6" s="62" t="s">
        <v>154</v>
      </c>
      <c r="E6" s="62" t="s">
        <v>154</v>
      </c>
      <c r="F6" s="62" t="s">
        <v>154</v>
      </c>
      <c r="G6" s="62" t="s">
        <v>154</v>
      </c>
      <c r="H6" s="63" t="str">
        <f>IFERROR(tbl_fundraisingSteps[[#This Row],[1399]]*(1-H$13-v_seriA), "-")</f>
        <v>-</v>
      </c>
      <c r="I6" s="63" t="str">
        <f>IFERROR(tbl_fundraisingSteps[[#This Row],[Series A]]*(1-v_seriB), "-")</f>
        <v>-</v>
      </c>
      <c r="J6" s="63" t="str">
        <f>IFERROR(tbl_fundraisingSteps[[#This Row],[Series B]]*(1-v_seriC), "-")</f>
        <v>-</v>
      </c>
      <c r="K6" s="68">
        <v>0.15</v>
      </c>
      <c r="L6" s="63">
        <f>IFERROR(tbl_fundraisingSteps[[#This Row],[Series D]]*(1-v_seriE), "-")</f>
        <v>0.13500000000000001</v>
      </c>
      <c r="M6" s="63">
        <f>IFERROR(tbl_fundraisingSteps[[#This Row],[Series E]]*(1-v_seriF), "-")</f>
        <v>0.12150000000000001</v>
      </c>
    </row>
    <row r="7" spans="1:13" x14ac:dyDescent="0.25">
      <c r="A7" s="56" t="s">
        <v>155</v>
      </c>
      <c r="B7" s="56" t="s">
        <v>169</v>
      </c>
      <c r="C7" s="62" t="s">
        <v>154</v>
      </c>
      <c r="D7" s="62" t="s">
        <v>154</v>
      </c>
      <c r="E7" s="63" t="s">
        <v>154</v>
      </c>
      <c r="F7" s="62" t="s">
        <v>154</v>
      </c>
      <c r="G7" s="62" t="s">
        <v>154</v>
      </c>
      <c r="H7" s="63" t="str">
        <f>IFERROR(tbl_fundraisingSteps[[#This Row],[1399]]*(1-H$13-v_seriA), "-")</f>
        <v>-</v>
      </c>
      <c r="I7" s="63" t="str">
        <f>IFERROR(tbl_fundraisingSteps[[#This Row],[Series A]]*(1-v_seriB), "-")</f>
        <v>-</v>
      </c>
      <c r="J7" s="63" t="str">
        <f>IFERROR(tbl_fundraisingSteps[[#This Row],[Series B]]*(1-v_seriC), "-")</f>
        <v>-</v>
      </c>
      <c r="K7" s="63" t="str">
        <f>IFERROR(tbl_fundraisingSteps[[#This Row],[Series C]]*(1-v_seriD), "-")</f>
        <v>-</v>
      </c>
      <c r="L7" s="68">
        <v>0.1</v>
      </c>
      <c r="M7" s="63">
        <f>IFERROR(tbl_fundraisingSteps[[#This Row],[Series E]]*(1-v_seriF), "-")</f>
        <v>9.0000000000000011E-2</v>
      </c>
    </row>
    <row r="8" spans="1:13" ht="18" thickBot="1" x14ac:dyDescent="0.3">
      <c r="A8" s="56" t="s">
        <v>155</v>
      </c>
      <c r="B8" s="56" t="s">
        <v>172</v>
      </c>
      <c r="C8" s="62" t="s">
        <v>154</v>
      </c>
      <c r="D8" s="62" t="s">
        <v>154</v>
      </c>
      <c r="E8" s="63" t="s">
        <v>154</v>
      </c>
      <c r="F8" s="62" t="s">
        <v>154</v>
      </c>
      <c r="G8" s="62" t="s">
        <v>154</v>
      </c>
      <c r="H8" s="63" t="str">
        <f>IFERROR(tbl_fundraisingSteps[[#This Row],[1399]]*(1-H$13-v_seriA), "-")</f>
        <v>-</v>
      </c>
      <c r="I8" s="63" t="s">
        <v>154</v>
      </c>
      <c r="J8" s="63" t="str">
        <f>IFERROR(tbl_fundraisingSteps[[#This Row],[Series B]]*(1-v_seriC), "-")</f>
        <v>-</v>
      </c>
      <c r="K8" s="63" t="str">
        <f>IFERROR(tbl_fundraisingSteps[[#This Row],[Series C]]*(1-v_seriD), "-")</f>
        <v>-</v>
      </c>
      <c r="L8" s="63" t="str">
        <f>IFERROR(tbl_fundraisingSteps[[#This Row],[Series D]]*(1-v_seriE), "-")</f>
        <v>-</v>
      </c>
      <c r="M8" s="68">
        <v>0.1</v>
      </c>
    </row>
    <row r="9" spans="1:13" x14ac:dyDescent="0.25">
      <c r="A9" s="71" t="s">
        <v>147</v>
      </c>
      <c r="B9" s="71" t="s">
        <v>150</v>
      </c>
      <c r="C9" s="72">
        <v>0.9</v>
      </c>
      <c r="D9" s="72">
        <v>0.3</v>
      </c>
      <c r="E9" s="73">
        <v>0.86</v>
      </c>
      <c r="F9" s="73">
        <v>0.75139999999999996</v>
      </c>
      <c r="G9" s="73">
        <v>0.6593</v>
      </c>
      <c r="H9" s="73">
        <f>IFERROR(tbl_fundraisingSteps[[#This Row],[1399]]*(1-H$13-v_seriA), "-")</f>
        <v>0.46150999999999998</v>
      </c>
      <c r="I9" s="73">
        <f>IFERROR(tbl_fundraisingSteps[[#This Row],[Series A]]*(1-v_seriB), "-")</f>
        <v>0.36920799999999998</v>
      </c>
      <c r="J9" s="73">
        <f>IFERROR(tbl_fundraisingSteps[[#This Row],[Series B]]*(1-v_seriC), "-")</f>
        <v>0.31382679999999996</v>
      </c>
      <c r="K9" s="73">
        <f>IFERROR(tbl_fundraisingSteps[[#This Row],[Series C]]*(1-v_seriD), "-")</f>
        <v>0.26675277999999997</v>
      </c>
      <c r="L9" s="73">
        <f>IFERROR(tbl_fundraisingSteps[[#This Row],[Series D]]*(1-v_seriE), "-")</f>
        <v>0.24007750199999997</v>
      </c>
      <c r="M9" s="73">
        <f>IFERROR(tbl_fundraisingSteps[[#This Row],[Series E]]*(1-v_seriF), "-")</f>
        <v>0.21606975179999999</v>
      </c>
    </row>
    <row r="10" spans="1:13" x14ac:dyDescent="0.25">
      <c r="A10" s="56" t="s">
        <v>147</v>
      </c>
      <c r="B10" s="56" t="s">
        <v>151</v>
      </c>
      <c r="C10" s="62" t="s">
        <v>154</v>
      </c>
      <c r="D10" s="62" t="s">
        <v>154</v>
      </c>
      <c r="E10" s="62" t="s">
        <v>154</v>
      </c>
      <c r="F10" s="62">
        <v>0.19</v>
      </c>
      <c r="G10" s="62">
        <v>0.3</v>
      </c>
      <c r="H10" s="63">
        <f>IFERROR(tbl_fundraisingSteps[[#This Row],[1399]]*(1-H$13-v_seriA), "-")</f>
        <v>0.21</v>
      </c>
      <c r="I10" s="63">
        <f>IFERROR(tbl_fundraisingSteps[[#This Row],[Series A]]*(1-v_seriB), "-")</f>
        <v>0.16800000000000001</v>
      </c>
      <c r="J10" s="63">
        <f>IFERROR(tbl_fundraisingSteps[[#This Row],[Series B]]*(1-v_seriC), "-")</f>
        <v>0.14280000000000001</v>
      </c>
      <c r="K10" s="63">
        <f>IFERROR(tbl_fundraisingSteps[[#This Row],[Series C]]*(1-v_seriD), "-")</f>
        <v>0.12138</v>
      </c>
      <c r="L10" s="63">
        <f>IFERROR(tbl_fundraisingSteps[[#This Row],[Series D]]*(1-v_seriE), "-")</f>
        <v>0.10924200000000001</v>
      </c>
      <c r="M10" s="63">
        <f>IFERROR(tbl_fundraisingSteps[[#This Row],[Series E]]*(1-v_seriF), "-")</f>
        <v>9.8317800000000011E-2</v>
      </c>
    </row>
    <row r="11" spans="1:13" x14ac:dyDescent="0.25">
      <c r="A11" s="56" t="s">
        <v>147</v>
      </c>
      <c r="B11" s="56" t="s">
        <v>152</v>
      </c>
      <c r="C11" s="62">
        <v>0.1</v>
      </c>
      <c r="D11" s="62" t="s">
        <v>154</v>
      </c>
      <c r="E11" s="63" t="s">
        <v>154</v>
      </c>
      <c r="F11" s="63">
        <v>2.86E-2</v>
      </c>
      <c r="G11" s="62">
        <v>0.04</v>
      </c>
      <c r="H11" s="63">
        <f>IFERROR(tbl_fundraisingSteps[[#This Row],[1399]]*(1-H$13-v_seriA), "-")</f>
        <v>2.7999999999999997E-2</v>
      </c>
      <c r="I11" s="63">
        <f>IFERROR(tbl_fundraisingSteps[[#This Row],[Series A]]*(1-v_seriB), "-")</f>
        <v>2.24E-2</v>
      </c>
      <c r="J11" s="63">
        <f>IFERROR(tbl_fundraisingSteps[[#This Row],[Series B]]*(1-v_seriC), "-")</f>
        <v>1.9039999999999998E-2</v>
      </c>
      <c r="K11" s="63">
        <f>IFERROR(tbl_fundraisingSteps[[#This Row],[Series C]]*(1-v_seriD), "-")</f>
        <v>1.6183999999999997E-2</v>
      </c>
      <c r="L11" s="63">
        <f>IFERROR(tbl_fundraisingSteps[[#This Row],[Series D]]*(1-v_seriE), "-")</f>
        <v>1.4565599999999998E-2</v>
      </c>
      <c r="M11" s="63">
        <f>IFERROR(tbl_fundraisingSteps[[#This Row],[Series E]]*(1-v_seriF), "-")</f>
        <v>1.3109039999999999E-2</v>
      </c>
    </row>
    <row r="12" spans="1:13" x14ac:dyDescent="0.25">
      <c r="A12" s="56" t="s">
        <v>147</v>
      </c>
      <c r="B12" s="56" t="s">
        <v>153</v>
      </c>
      <c r="C12" s="62" t="s">
        <v>154</v>
      </c>
      <c r="D12" s="62">
        <v>0.15</v>
      </c>
      <c r="E12" s="63">
        <v>7.9899999999999999E-2</v>
      </c>
      <c r="F12" s="63">
        <v>2.1399999999999999E-2</v>
      </c>
      <c r="G12" s="63">
        <v>5.0000000000000001E-4</v>
      </c>
      <c r="H12" s="63">
        <f>IFERROR(tbl_fundraisingSteps[[#This Row],[1399]]*(1-H$13-v_seriA), "-")</f>
        <v>3.5E-4</v>
      </c>
      <c r="I12" s="63">
        <f>IFERROR(tbl_fundraisingSteps[[#This Row],[Series A]]*(1-v_seriB), "-")</f>
        <v>2.8000000000000003E-4</v>
      </c>
      <c r="J12" s="63">
        <f>IFERROR(tbl_fundraisingSteps[[#This Row],[Series B]]*(1-v_seriC), "-")</f>
        <v>2.3800000000000001E-4</v>
      </c>
      <c r="K12" s="63">
        <f>IFERROR(tbl_fundraisingSteps[[#This Row],[Series C]]*(1-v_seriD), "-")</f>
        <v>2.0230000000000001E-4</v>
      </c>
      <c r="L12" s="63">
        <f>IFERROR(tbl_fundraisingSteps[[#This Row],[Series D]]*(1-v_seriE), "-")</f>
        <v>1.8207000000000002E-4</v>
      </c>
      <c r="M12" s="63">
        <f>IFERROR(tbl_fundraisingSteps[[#This Row],[Series E]]*(1-v_seriF), "-")</f>
        <v>1.6386300000000001E-4</v>
      </c>
    </row>
    <row r="13" spans="1:13" x14ac:dyDescent="0.25">
      <c r="A13" s="56" t="s">
        <v>148</v>
      </c>
      <c r="B13" s="56" t="s">
        <v>160</v>
      </c>
      <c r="C13" s="62" t="s">
        <v>154</v>
      </c>
      <c r="D13" s="62" t="s">
        <v>154</v>
      </c>
      <c r="E13" s="62" t="s">
        <v>154</v>
      </c>
      <c r="F13" s="62" t="s">
        <v>154</v>
      </c>
      <c r="G13" s="62" t="s">
        <v>154</v>
      </c>
      <c r="H13" s="69">
        <v>0.1</v>
      </c>
      <c r="I13" s="63">
        <f>IFERROR(tbl_fundraisingSteps[[#This Row],[Series A]]*(1-v_seriB), "-")</f>
        <v>8.0000000000000016E-2</v>
      </c>
      <c r="J13" s="63">
        <f>IFERROR(tbl_fundraisingSteps[[#This Row],[Series B]]*(1-v_seriC), "-")</f>
        <v>6.8000000000000005E-2</v>
      </c>
      <c r="K13" s="63">
        <f>IFERROR(tbl_fundraisingSteps[[#This Row],[Series C]]*(1-v_seriD), "-")</f>
        <v>5.7800000000000004E-2</v>
      </c>
      <c r="L13" s="63">
        <f>IFERROR(tbl_fundraisingSteps[[#This Row],[Series D]]*(1-v_seriE), "-")</f>
        <v>5.2020000000000004E-2</v>
      </c>
      <c r="M13" s="63">
        <f>IFERROR(tbl_fundraisingSteps[[#This Row],[Series E]]*(1-v_seriF), "-")</f>
        <v>4.6818000000000005E-2</v>
      </c>
    </row>
    <row r="14" spans="1:13" x14ac:dyDescent="0.25">
      <c r="A14" s="56" t="s">
        <v>1</v>
      </c>
      <c r="C14" s="64">
        <f>SUBTOTAL(109,tbl_fundraisingSteps[Start 1394])</f>
        <v>1</v>
      </c>
      <c r="D14" s="64">
        <f>SUBTOTAL(109,tbl_fundraisingSteps[Seed Angel 1395])</f>
        <v>1</v>
      </c>
      <c r="E14" s="64">
        <f>SUBTOTAL(109,tbl_fundraisingSteps[Angel Out 1397/2/22])</f>
        <v>1</v>
      </c>
      <c r="F14" s="64">
        <f>SUBTOTAL(109,tbl_fundraisingSteps[1397/5/1])</f>
        <v>0.99999999999999989</v>
      </c>
      <c r="G14" s="64">
        <f>SUBTOTAL(109,tbl_fundraisingSteps[1399])</f>
        <v>1</v>
      </c>
      <c r="H14" s="64">
        <f>SUBTOTAL(109,tbl_fundraisingSteps[Series A])</f>
        <v>0.99999999999999989</v>
      </c>
      <c r="I14" s="64">
        <f>SUBTOTAL(109,tbl_fundraisingSteps[Series B])</f>
        <v>1</v>
      </c>
      <c r="J14" s="64">
        <f>SUBTOTAL(109,tbl_fundraisingSteps[Series C])</f>
        <v>1</v>
      </c>
      <c r="K14" s="64">
        <f>SUBTOTAL(109,tbl_fundraisingSteps[Series D])</f>
        <v>0.99999999999999989</v>
      </c>
      <c r="L14" s="64">
        <f>SUBTOTAL(109,tbl_fundraisingSteps[Series E])</f>
        <v>1</v>
      </c>
      <c r="M14" s="70">
        <f>SUBTOTAL(109,tbl_fundraisingSteps[Series F])</f>
        <v>1</v>
      </c>
    </row>
    <row r="15" spans="1:13" x14ac:dyDescent="0.25"/>
    <row r="16" spans="1:13" x14ac:dyDescent="0.25">
      <c r="A16" s="56" t="s">
        <v>165</v>
      </c>
      <c r="C16" s="66">
        <v>10000000</v>
      </c>
      <c r="D16" s="66">
        <v>10000000</v>
      </c>
      <c r="E16" s="66">
        <v>1000000</v>
      </c>
      <c r="F16" s="66">
        <v>7000000</v>
      </c>
      <c r="G16" s="66">
        <v>300000000</v>
      </c>
      <c r="H16" s="66"/>
      <c r="I16" s="66"/>
      <c r="J16" s="66"/>
      <c r="K16" s="66"/>
      <c r="L16" s="66"/>
    </row>
    <row r="17" spans="1:13" x14ac:dyDescent="0.25">
      <c r="C17" s="66"/>
      <c r="D17" s="66"/>
      <c r="E17" s="66"/>
      <c r="F17" s="66"/>
      <c r="G17" s="66"/>
      <c r="H17" s="66"/>
      <c r="I17" s="66"/>
      <c r="J17" s="66"/>
      <c r="K17" s="66"/>
      <c r="L17" s="66"/>
    </row>
    <row r="18" spans="1:13" x14ac:dyDescent="0.25">
      <c r="C18" s="66"/>
      <c r="D18" s="66"/>
      <c r="E18" s="66"/>
      <c r="F18" s="66"/>
      <c r="G18" s="66"/>
      <c r="H18" s="66"/>
      <c r="I18" s="66"/>
      <c r="J18" s="66"/>
      <c r="K18" s="66"/>
      <c r="L18" s="66"/>
    </row>
    <row r="19" spans="1:13" x14ac:dyDescent="0.25">
      <c r="C19" s="66"/>
      <c r="D19" s="66"/>
      <c r="E19" s="66"/>
      <c r="F19" s="66"/>
      <c r="G19" s="66"/>
      <c r="H19" s="66"/>
      <c r="I19" s="66"/>
      <c r="J19" s="66"/>
      <c r="K19" s="66"/>
      <c r="L19" s="66"/>
    </row>
    <row r="20" spans="1:13" x14ac:dyDescent="0.25">
      <c r="C20" s="66"/>
      <c r="D20" s="66"/>
      <c r="E20" s="66"/>
      <c r="F20" s="66"/>
      <c r="G20" s="66"/>
      <c r="H20" s="66"/>
      <c r="I20" s="66"/>
      <c r="J20" s="66"/>
      <c r="K20" s="66"/>
      <c r="L20" s="66"/>
    </row>
    <row r="21" spans="1:13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13" x14ac:dyDescent="0.25"/>
    <row r="23" spans="1:13" x14ac:dyDescent="0.25">
      <c r="A23" s="56" t="s">
        <v>149</v>
      </c>
      <c r="B23" s="56" t="s">
        <v>170</v>
      </c>
      <c r="C23" s="56" t="s">
        <v>164</v>
      </c>
      <c r="D23" s="56" t="s">
        <v>167</v>
      </c>
      <c r="E23" s="56" t="s">
        <v>166</v>
      </c>
      <c r="F23" s="56" t="s">
        <v>168</v>
      </c>
      <c r="G23" s="56" t="s">
        <v>163</v>
      </c>
      <c r="H23" s="56" t="s">
        <v>142</v>
      </c>
      <c r="I23" s="56" t="s">
        <v>143</v>
      </c>
      <c r="J23" s="56" t="s">
        <v>144</v>
      </c>
      <c r="K23" s="56" t="s">
        <v>171</v>
      </c>
      <c r="L23" s="56" t="s">
        <v>145</v>
      </c>
      <c r="M23" s="56" t="s">
        <v>146</v>
      </c>
    </row>
    <row r="24" spans="1:13" x14ac:dyDescent="0.25">
      <c r="A24" s="56" t="s">
        <v>155</v>
      </c>
      <c r="C24" s="63">
        <f>SUMIFS(tbl_fundraisingSteps[Start 1394],tbl_fundraisingSteps[نوع سهام‌دار],Table13[[#This Row],[نوع سهام‌دار]])</f>
        <v>0</v>
      </c>
      <c r="D24" s="63">
        <f>SUMIFS(tbl_fundraisingSteps[Seed Angel 1395],tbl_fundraisingSteps[نوع سهام‌دار],Table13[[#This Row],[نوع سهام‌دار]])</f>
        <v>0.55000000000000004</v>
      </c>
      <c r="E24" s="63">
        <f>SUMIFS(tbl_fundraisingSteps[Angel Out 1397/2/22],tbl_fundraisingSteps[نوع سهام‌دار],Table13[[#This Row],[نوع سهام‌دار]])</f>
        <v>6.0100000000000001E-2</v>
      </c>
      <c r="F24" s="63">
        <f>SUMIFS(tbl_fundraisingSteps[1397/5/1],tbl_fundraisingSteps[نوع سهام‌دار],Table13[[#This Row],[نوع سهام‌دار]])</f>
        <v>8.6E-3</v>
      </c>
      <c r="G24" s="63">
        <f>SUMIFS(tbl_fundraisingSteps[1399],tbl_fundraisingSteps[نوع سهام‌دار],Table13[[#This Row],[نوع سهام‌دار]])</f>
        <v>2.0000000000000001E-4</v>
      </c>
      <c r="H24" s="63">
        <f>SUMIFS(tbl_fundraisingSteps[Series A],tbl_fundraisingSteps[نوع سهام‌دار],Table13[[#This Row],[نوع سهام‌دار]])</f>
        <v>0.20014000000000001</v>
      </c>
      <c r="I24" s="63">
        <f>SUMIFS(tbl_fundraisingSteps[Series B],tbl_fundraisingSteps[نوع سهام‌دار],Table13[[#This Row],[نوع سهام‌دار]])</f>
        <v>0.36011200000000004</v>
      </c>
      <c r="J24" s="63">
        <f>SUMIFS(tbl_fundraisingSteps[Series C],tbl_fundraisingSteps[نوع سهام‌دار],Table13[[#This Row],[نوع سهام‌دار]])</f>
        <v>0.45609520000000003</v>
      </c>
      <c r="K24" s="63">
        <f>SUMIFS(tbl_fundraisingSteps[Series D],tbl_fundraisingSteps[نوع سهام‌دار],Table13[[#This Row],[نوع سهام‌دار]])</f>
        <v>0.53768092000000001</v>
      </c>
      <c r="L24" s="63">
        <f>SUMIFS(tbl_fundraisingSteps[Series E],tbl_fundraisingSteps[نوع سهام‌دار],Table13[[#This Row],[نوع سهام‌دار]])</f>
        <v>0.58391282800000011</v>
      </c>
      <c r="M24" s="63">
        <f>SUMIFS(tbl_fundraisingSteps[Series F],tbl_fundraisingSteps[نوع سهام‌دار],Table13[[#This Row],[نوع سهام‌دار]])</f>
        <v>0.62552154520000003</v>
      </c>
    </row>
    <row r="25" spans="1:13" x14ac:dyDescent="0.25">
      <c r="A25" s="56" t="s">
        <v>147</v>
      </c>
      <c r="C25" s="63">
        <f>SUMIFS(tbl_fundraisingSteps[Start 1394],tbl_fundraisingSteps[نوع سهام‌دار],Table13[[#This Row],[نوع سهام‌دار]])</f>
        <v>1</v>
      </c>
      <c r="D25" s="63">
        <f>SUMIFS(tbl_fundraisingSteps[Seed Angel 1395],tbl_fundraisingSteps[نوع سهام‌دار],Table13[[#This Row],[نوع سهام‌دار]])</f>
        <v>0.44999999999999996</v>
      </c>
      <c r="E25" s="63">
        <f>SUMIFS(tbl_fundraisingSteps[Angel Out 1397/2/22],tbl_fundraisingSteps[نوع سهام‌دار],Table13[[#This Row],[نوع سهام‌دار]])</f>
        <v>0.93989999999999996</v>
      </c>
      <c r="F25" s="63">
        <f>SUMIFS(tbl_fundraisingSteps[1397/5/1],tbl_fundraisingSteps[نوع سهام‌دار],Table13[[#This Row],[نوع سهام‌دار]])</f>
        <v>0.99139999999999995</v>
      </c>
      <c r="G25" s="63">
        <f>SUMIFS(tbl_fundraisingSteps[1399],tbl_fundraisingSteps[نوع سهام‌دار],Table13[[#This Row],[نوع سهام‌دار]])</f>
        <v>0.99980000000000002</v>
      </c>
      <c r="H25" s="63">
        <f>SUMIFS(tbl_fundraisingSteps[Series A],tbl_fundraisingSteps[نوع سهام‌دار],Table13[[#This Row],[نوع سهام‌دار]])</f>
        <v>0.69985999999999993</v>
      </c>
      <c r="I25" s="63">
        <f>SUMIFS(tbl_fundraisingSteps[Series B],tbl_fundraisingSteps[نوع سهام‌دار],Table13[[#This Row],[نوع سهام‌دار]])</f>
        <v>0.55988799999999994</v>
      </c>
      <c r="J25" s="63">
        <f>SUMIFS(tbl_fundraisingSteps[Series C],tbl_fundraisingSteps[نوع سهام‌دار],Table13[[#This Row],[نوع سهام‌دار]])</f>
        <v>0.47590480000000002</v>
      </c>
      <c r="K25" s="63">
        <f>SUMIFS(tbl_fundraisingSteps[Series D],tbl_fundraisingSteps[نوع سهام‌دار],Table13[[#This Row],[نوع سهام‌دار]])</f>
        <v>0.40451907999999992</v>
      </c>
      <c r="L25" s="63">
        <f>SUMIFS(tbl_fundraisingSteps[Series E],tbl_fundraisingSteps[نوع سهام‌دار],Table13[[#This Row],[نوع سهام‌دار]])</f>
        <v>0.36406717199999994</v>
      </c>
      <c r="M25" s="63">
        <f>SUMIFS(tbl_fundraisingSteps[Series F],tbl_fundraisingSteps[نوع سهام‌دار],Table13[[#This Row],[نوع سهام‌دار]])</f>
        <v>0.3276604548</v>
      </c>
    </row>
    <row r="26" spans="1:13" x14ac:dyDescent="0.25">
      <c r="A26" s="56" t="s">
        <v>148</v>
      </c>
      <c r="C26" s="63">
        <f>SUMIFS(tbl_fundraisingSteps[Start 1394],tbl_fundraisingSteps[نوع سهام‌دار],Table13[[#This Row],[نوع سهام‌دار]])</f>
        <v>0</v>
      </c>
      <c r="D26" s="63">
        <f>SUMIFS(tbl_fundraisingSteps[Seed Angel 1395],tbl_fundraisingSteps[نوع سهام‌دار],Table13[[#This Row],[نوع سهام‌دار]])</f>
        <v>0</v>
      </c>
      <c r="E26" s="63">
        <f>SUMIFS(tbl_fundraisingSteps[Angel Out 1397/2/22],tbl_fundraisingSteps[نوع سهام‌دار],Table13[[#This Row],[نوع سهام‌دار]])</f>
        <v>0</v>
      </c>
      <c r="F26" s="63">
        <f>SUMIFS(tbl_fundraisingSteps[1397/5/1],tbl_fundraisingSteps[نوع سهام‌دار],Table13[[#This Row],[نوع سهام‌دار]])</f>
        <v>0</v>
      </c>
      <c r="G26" s="63">
        <f>SUMIFS(tbl_fundraisingSteps[1399],tbl_fundraisingSteps[نوع سهام‌دار],Table13[[#This Row],[نوع سهام‌دار]])</f>
        <v>0</v>
      </c>
      <c r="H26" s="63">
        <f>SUMIFS(tbl_fundraisingSteps[Series A],tbl_fundraisingSteps[نوع سهام‌دار],Table13[[#This Row],[نوع سهام‌دار]])</f>
        <v>0.1</v>
      </c>
      <c r="I26" s="63">
        <f>SUMIFS(tbl_fundraisingSteps[Series B],tbl_fundraisingSteps[نوع سهام‌دار],Table13[[#This Row],[نوع سهام‌دار]])</f>
        <v>8.0000000000000016E-2</v>
      </c>
      <c r="J26" s="63">
        <f>SUMIFS(tbl_fundraisingSteps[Series C],tbl_fundraisingSteps[نوع سهام‌دار],Table13[[#This Row],[نوع سهام‌دار]])</f>
        <v>6.8000000000000005E-2</v>
      </c>
      <c r="K26" s="63">
        <f>SUMIFS(tbl_fundraisingSteps[Series D],tbl_fundraisingSteps[نوع سهام‌دار],Table13[[#This Row],[نوع سهام‌دار]])</f>
        <v>5.7800000000000004E-2</v>
      </c>
      <c r="L26" s="63">
        <f>SUMIFS(tbl_fundraisingSteps[Series E],tbl_fundraisingSteps[نوع سهام‌دار],Table13[[#This Row],[نوع سهام‌دار]])</f>
        <v>5.2020000000000004E-2</v>
      </c>
      <c r="M26" s="63">
        <f>SUMIFS(tbl_fundraisingSteps[Series F],tbl_fundraisingSteps[نوع سهام‌دار],Table13[[#This Row],[نوع سهام‌دار]])</f>
        <v>4.6818000000000005E-2</v>
      </c>
    </row>
    <row r="27" spans="1:13" x14ac:dyDescent="0.25">
      <c r="A27" s="56" t="s">
        <v>1</v>
      </c>
      <c r="C27" s="70">
        <f>SUBTOTAL(109,Table13[Start 1394])</f>
        <v>1</v>
      </c>
      <c r="D27" s="70">
        <f>SUBTOTAL(109,Table13[Seed Angel 1395])</f>
        <v>1</v>
      </c>
      <c r="E27" s="70">
        <f>SUBTOTAL(109,Table13[Angel Out 1397/2/22])</f>
        <v>1</v>
      </c>
      <c r="F27" s="70">
        <f>SUBTOTAL(109,Table13[1397/5/1])</f>
        <v>1</v>
      </c>
      <c r="G27" s="70">
        <f>SUBTOTAL(109,Table13[1399])</f>
        <v>1</v>
      </c>
      <c r="H27" s="70">
        <f>SUBTOTAL(109,Table13[Series A])</f>
        <v>0.99999999999999989</v>
      </c>
      <c r="I27" s="70">
        <f>SUBTOTAL(109,Table13[Series B])</f>
        <v>1</v>
      </c>
      <c r="J27" s="70">
        <f>SUBTOTAL(109,Table13[Series C])</f>
        <v>1</v>
      </c>
      <c r="K27" s="70">
        <f>SUBTOTAL(109,Table13[Series D])</f>
        <v>0.99999999999999989</v>
      </c>
      <c r="L27" s="70">
        <f>SUBTOTAL(109,Table13[Series E])</f>
        <v>1</v>
      </c>
      <c r="M27" s="70">
        <f>SUBTOTAL(109,Table13[Series F])</f>
        <v>1</v>
      </c>
    </row>
    <row r="28" spans="1:13" x14ac:dyDescent="0.25"/>
    <row r="29" spans="1:13" x14ac:dyDescent="0.25"/>
    <row r="30" spans="1:13" x14ac:dyDescent="0.25"/>
    <row r="31" spans="1:13" x14ac:dyDescent="0.25"/>
    <row r="32" spans="1:13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R100"/>
  <sheetViews>
    <sheetView rightToLeft="1" topLeftCell="A25" workbookViewId="0">
      <selection activeCell="J4" sqref="J4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30"/>
  <sheetViews>
    <sheetView rightToLeft="1" zoomScale="145" zoomScaleNormal="145" workbookViewId="0">
      <selection activeCell="B8" sqref="B8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34</v>
      </c>
      <c r="B6" s="12">
        <f>B5*B4</f>
        <v>2500000</v>
      </c>
    </row>
    <row r="7" spans="1:2" x14ac:dyDescent="0.4">
      <c r="A7" s="1" t="s">
        <v>8</v>
      </c>
      <c r="B7" s="79">
        <v>22500</v>
      </c>
    </row>
    <row r="8" spans="1:2" x14ac:dyDescent="0.4">
      <c r="A8" s="1" t="s">
        <v>39</v>
      </c>
      <c r="B8" s="12">
        <v>30000000</v>
      </c>
    </row>
    <row r="9" spans="1:2" x14ac:dyDescent="0.4">
      <c r="A9" s="1" t="s">
        <v>38</v>
      </c>
      <c r="B9" s="12">
        <v>900000</v>
      </c>
    </row>
    <row r="10" spans="1:2" x14ac:dyDescent="0.4">
      <c r="A10" s="1" t="s">
        <v>40</v>
      </c>
      <c r="B10" s="1">
        <v>6</v>
      </c>
    </row>
    <row r="11" spans="1:2" x14ac:dyDescent="0.4">
      <c r="A11" s="1" t="s">
        <v>52</v>
      </c>
      <c r="B11" s="20">
        <v>12000</v>
      </c>
    </row>
    <row r="12" spans="1:2" x14ac:dyDescent="0.4">
      <c r="A12" s="1" t="s">
        <v>53</v>
      </c>
      <c r="B12" s="20">
        <v>600</v>
      </c>
    </row>
    <row r="13" spans="1:2" x14ac:dyDescent="0.4">
      <c r="A13" s="1" t="s">
        <v>49</v>
      </c>
      <c r="B13" s="12">
        <f>d_serverDollarCost*d_toman2dollar</f>
        <v>270000000</v>
      </c>
    </row>
    <row r="14" spans="1:2" x14ac:dyDescent="0.4">
      <c r="A14" s="1" t="s">
        <v>54</v>
      </c>
      <c r="B14" s="12">
        <f>d_ssdDollarCost*d_toman2dollar * 24</f>
        <v>324000000</v>
      </c>
    </row>
    <row r="15" spans="1:2" x14ac:dyDescent="0.4">
      <c r="A15" s="1" t="s">
        <v>50</v>
      </c>
      <c r="B15" s="12">
        <v>4000000</v>
      </c>
    </row>
    <row r="16" spans="1:2" x14ac:dyDescent="0.4">
      <c r="A16" s="1" t="s">
        <v>60</v>
      </c>
      <c r="B16" s="21">
        <v>0.1</v>
      </c>
    </row>
    <row r="17" spans="1:2" x14ac:dyDescent="0.4">
      <c r="A17" s="36" t="s">
        <v>64</v>
      </c>
      <c r="B17" s="37"/>
    </row>
    <row r="18" spans="1:2" x14ac:dyDescent="0.4">
      <c r="A18" s="35" t="s">
        <v>65</v>
      </c>
      <c r="B18" s="21">
        <v>0.4</v>
      </c>
    </row>
    <row r="19" spans="1:2" x14ac:dyDescent="0.4">
      <c r="A19" s="1" t="s">
        <v>118</v>
      </c>
      <c r="B19" s="21">
        <v>1.25</v>
      </c>
    </row>
    <row r="20" spans="1:2" x14ac:dyDescent="0.4">
      <c r="A20" s="1" t="s">
        <v>119</v>
      </c>
      <c r="B20" s="21">
        <v>0.4</v>
      </c>
    </row>
    <row r="21" spans="1:2" x14ac:dyDescent="0.4">
      <c r="A21" s="1" t="s">
        <v>137</v>
      </c>
      <c r="B21" s="21">
        <v>0.2</v>
      </c>
    </row>
    <row r="22" spans="1:2" x14ac:dyDescent="0.4">
      <c r="B22" s="21"/>
    </row>
    <row r="23" spans="1:2" x14ac:dyDescent="0.4">
      <c r="B23" s="21"/>
    </row>
    <row r="24" spans="1:2" x14ac:dyDescent="0.4">
      <c r="B24" s="21"/>
    </row>
    <row r="25" spans="1:2" x14ac:dyDescent="0.4">
      <c r="B25" s="21"/>
    </row>
    <row r="26" spans="1:2" x14ac:dyDescent="0.4">
      <c r="B26" s="21"/>
    </row>
    <row r="27" spans="1:2" x14ac:dyDescent="0.4">
      <c r="B27" s="21"/>
    </row>
    <row r="28" spans="1:2" x14ac:dyDescent="0.4">
      <c r="B28" s="21"/>
    </row>
    <row r="29" spans="1:2" x14ac:dyDescent="0.4">
      <c r="B29" s="21"/>
    </row>
    <row r="30" spans="1:2" x14ac:dyDescent="0.4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8" tint="0.59999389629810485"/>
  </sheetPr>
  <dimension ref="A1:G20"/>
  <sheetViews>
    <sheetView rightToLeft="1" workbookViewId="0">
      <selection activeCell="D6" sqref="D6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47</v>
      </c>
      <c r="C2" s="12">
        <f>tbl_serverCount[1400]*d_serverCost</f>
        <v>1080000000</v>
      </c>
      <c r="D2" s="12">
        <f>(tbl_serverCount[1401] - tbl_serverCount[1400])*d_serverCost</f>
        <v>540000000</v>
      </c>
      <c r="E2" s="12">
        <f>SUM(tbl_servers[[#This Row],[1400]:[1401]])</f>
        <v>1620000000</v>
      </c>
    </row>
    <row r="3" spans="1:5" x14ac:dyDescent="0.4">
      <c r="A3" s="1">
        <f>ROW(A2)</f>
        <v>2</v>
      </c>
      <c r="B3" s="1" t="s">
        <v>55</v>
      </c>
      <c r="C3" s="12">
        <f>tbl_serverCount[1400]*d_ssdCost</f>
        <v>1296000000</v>
      </c>
      <c r="D3" s="12">
        <f>(tbl_serverCount[1401] - tbl_serverCount[1400])*d_ssdCost</f>
        <v>648000000</v>
      </c>
      <c r="E3" s="12">
        <f>SUM(tbl_servers[[#This Row],[1400]:[1401]])</f>
        <v>1944000000</v>
      </c>
    </row>
    <row r="4" spans="1:5" x14ac:dyDescent="0.4">
      <c r="A4" s="1">
        <f>ROW(A3)</f>
        <v>3</v>
      </c>
      <c r="B4" s="1" t="s">
        <v>51</v>
      </c>
      <c r="C4" s="12">
        <f>tbl_serverCount[1400]*d_coloCost * d_year1400Remain</f>
        <v>96000000</v>
      </c>
      <c r="D4" s="12">
        <f>tbl_serverCount[1401]*d_coloCost * 12</f>
        <v>288000000</v>
      </c>
      <c r="E4" s="12">
        <f>SUM(tbl_servers[[#This Row],[1400]:[1401]])</f>
        <v>384000000</v>
      </c>
    </row>
    <row r="5" spans="1:5" x14ac:dyDescent="0.4">
      <c r="A5" s="1" t="s">
        <v>1</v>
      </c>
      <c r="C5" s="12">
        <f>SUBTOTAL(109,tbl_servers[1400])</f>
        <v>2472000000</v>
      </c>
      <c r="D5" s="12">
        <f>SUBTOTAL(109,tbl_servers[1401])</f>
        <v>1476000000</v>
      </c>
      <c r="E5" s="12">
        <f>SUBTOTAL(109,tbl_servers[جمع])</f>
        <v>3948000000</v>
      </c>
    </row>
    <row r="6" spans="1:5" x14ac:dyDescent="0.4"/>
    <row r="7" spans="1:5" x14ac:dyDescent="0.4"/>
    <row r="8" spans="1:5" x14ac:dyDescent="0.4"/>
    <row r="9" spans="1:5" x14ac:dyDescent="0.4">
      <c r="A9" s="1" t="s">
        <v>48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32</v>
      </c>
      <c r="C10" s="3">
        <v>4</v>
      </c>
      <c r="D10" s="3">
        <v>6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8" tint="0.59999389629810485"/>
  </sheetPr>
  <dimension ref="A1:G19"/>
  <sheetViews>
    <sheetView rightToLeft="1" workbookViewId="0">
      <selection activeCell="D2" sqref="D2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37</v>
      </c>
      <c r="C2" s="12">
        <f>d_staff1400*d_systemPerPerson</f>
        <v>180000000</v>
      </c>
      <c r="D2" s="12">
        <f>d_staff1401 * d_systemPerPerson</f>
        <v>240000000</v>
      </c>
      <c r="E2" s="12">
        <f>SUM(tbl_office12[[#This Row],[1400]:[1401]])</f>
        <v>420000000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C3" sqref="C3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3</v>
      </c>
      <c r="D2" s="3">
        <v>6</v>
      </c>
      <c r="F2" s="4"/>
      <c r="G2" s="5"/>
    </row>
    <row r="3" spans="1:7" x14ac:dyDescent="0.4">
      <c r="A3" s="1">
        <f t="shared" ref="A3:A5" si="0">ROW(A2)</f>
        <v>2</v>
      </c>
      <c r="B3" s="1" t="s">
        <v>11</v>
      </c>
      <c r="C3" s="3">
        <v>1</v>
      </c>
      <c r="D3" s="3">
        <v>3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3</v>
      </c>
    </row>
    <row r="5" spans="1:7" x14ac:dyDescent="0.4">
      <c r="A5" s="1">
        <f t="shared" si="0"/>
        <v>4</v>
      </c>
      <c r="B5" s="1" t="s">
        <v>13</v>
      </c>
      <c r="C5" s="3">
        <v>1</v>
      </c>
      <c r="D5" s="3">
        <v>2</v>
      </c>
    </row>
    <row r="6" spans="1:7" x14ac:dyDescent="0.4">
      <c r="A6" s="1" t="s">
        <v>21</v>
      </c>
      <c r="C6" s="3">
        <f>SUBTOTAL(109,tbl_salaryData[1400])</f>
        <v>6</v>
      </c>
      <c r="D6" s="3">
        <f>SUBTOTAL(109,tbl_salaryData[1401])</f>
        <v>14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41</v>
      </c>
      <c r="C12" s="24">
        <f>SUM(tbl_salaryData[1400])</f>
        <v>6</v>
      </c>
      <c r="D12" s="24">
        <f>SUM(tbl_salaryData[1401])-C12</f>
        <v>8</v>
      </c>
      <c r="E12" s="11">
        <f>SUM(C12:D12)</f>
        <v>14</v>
      </c>
    </row>
    <row r="13" spans="1:7" x14ac:dyDescent="0.4">
      <c r="A13" s="9"/>
      <c r="B13" s="10" t="s">
        <v>16</v>
      </c>
      <c r="C13" s="11">
        <f>C2*C$23+C3*C$24+C4*C$25+C5*C$26</f>
        <v>89000000</v>
      </c>
      <c r="D13" s="11">
        <f>D2*D$23+D3*D$24+D4*D$25+D5*D$26</f>
        <v>278600000</v>
      </c>
      <c r="E13" s="11">
        <f>SUM(C13:D13)</f>
        <v>367600000</v>
      </c>
    </row>
    <row r="14" spans="1:7" x14ac:dyDescent="0.4">
      <c r="A14" s="9"/>
      <c r="B14" s="10" t="s">
        <v>17</v>
      </c>
      <c r="C14" s="11">
        <f>C13*d_year1400Remain</f>
        <v>534000000</v>
      </c>
      <c r="D14" s="11">
        <f t="shared" ref="D14" si="1">D13*12</f>
        <v>3343200000</v>
      </c>
      <c r="E14" s="12">
        <f t="shared" ref="E14:E15" si="2">SUM(C14:D14)</f>
        <v>3877200000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792100000</v>
      </c>
      <c r="D15" s="15">
        <f>ROUND(D13*d_AnnualSalary,0)</f>
        <v>4959080000</v>
      </c>
      <c r="E15" s="16">
        <f t="shared" si="2"/>
        <v>5751180000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28000000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498400000</v>
      </c>
    </row>
    <row r="24" spans="1:6" x14ac:dyDescent="0.4">
      <c r="A24" s="1">
        <v>2</v>
      </c>
      <c r="B24" s="1" t="s">
        <v>11</v>
      </c>
      <c r="C24" s="19">
        <v>6000000</v>
      </c>
      <c r="D24" s="12">
        <f>tbl_jobSalary[[#This Row],[میانگین پرداختی ۱۴۰۰]]*(d_salaryYOY + 1)</f>
        <v>8400000</v>
      </c>
      <c r="E24" s="12">
        <f>tbl_jobSalary[[#This Row],[میانگین پرداختی ۱۴۰۰]]*d_AnnualSalary</f>
        <v>106800000</v>
      </c>
      <c r="F24" s="12">
        <f>tbl_jobSalary[[#This Row],[میانگین پرداختی ۱۴۰۱]]*d_AnnualSalary</f>
        <v>149520000</v>
      </c>
    </row>
    <row r="25" spans="1:6" x14ac:dyDescent="0.4">
      <c r="A25" s="1">
        <v>3</v>
      </c>
      <c r="B25" s="1" t="s">
        <v>12</v>
      </c>
      <c r="C25" s="19">
        <v>15000000</v>
      </c>
      <c r="D25" s="12">
        <f>tbl_jobSalary[[#This Row],[میانگین پرداختی ۱۴۰۰]]*(d_salaryYOY + 1)</f>
        <v>21000000</v>
      </c>
      <c r="E25" s="12">
        <f>tbl_jobSalary[[#This Row],[میانگین پرداختی ۱۴۰۰]]*d_AnnualSalary</f>
        <v>267000000</v>
      </c>
      <c r="F25" s="12">
        <f>tbl_jobSalary[[#This Row],[میانگین پرداختی ۱۴۰۱]]*d_AnnualSalary</f>
        <v>373800000</v>
      </c>
    </row>
    <row r="26" spans="1:6" x14ac:dyDescent="0.4">
      <c r="A26" s="1">
        <v>4</v>
      </c>
      <c r="B26" s="1" t="s">
        <v>13</v>
      </c>
      <c r="C26" s="19">
        <v>8000000</v>
      </c>
      <c r="D26" s="12">
        <f>tbl_jobSalary[[#This Row],[میانگین پرداختی ۱۴۰۰]]*(d_salaryYOY + 1)</f>
        <v>11200000</v>
      </c>
      <c r="E26" s="12">
        <f>tbl_jobSalary[[#This Row],[میانگین پرداختی ۱۴۰۰]]*d_AnnualSalary</f>
        <v>142400000</v>
      </c>
      <c r="F26" s="12">
        <f>tbl_jobSalary[[#This Row],[میانگین پرداختی ۱۴۰۱]]*d_AnnualSalary</f>
        <v>199360000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3" sqref="D3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80000000</v>
      </c>
      <c r="E2" s="19">
        <f>SUM(tbl_marketing[[#This Row],[1400]:[1401]])</f>
        <v>130000000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250000000</v>
      </c>
      <c r="E3" s="19">
        <f>SUM(tbl_marketing[[#This Row],[1400]:[1401]])</f>
        <v>350000000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600000000</v>
      </c>
      <c r="E4" s="19">
        <f>SUM(tbl_marketing[[#This Row],[1400]:[1401]])</f>
        <v>800000000</v>
      </c>
    </row>
    <row r="5" spans="1:5" x14ac:dyDescent="0.4">
      <c r="A5" s="1">
        <f t="shared" si="0"/>
        <v>4</v>
      </c>
      <c r="B5" s="1" t="s">
        <v>62</v>
      </c>
      <c r="C5" s="19">
        <v>80000000</v>
      </c>
      <c r="D5" s="19">
        <v>300000000</v>
      </c>
      <c r="E5" s="19">
        <f>SUM(tbl_marketing[[#This Row],[1400]:[1401]])</f>
        <v>380000000</v>
      </c>
    </row>
    <row r="6" spans="1:5" x14ac:dyDescent="0.4">
      <c r="A6" s="1">
        <f t="shared" si="0"/>
        <v>5</v>
      </c>
      <c r="B6" s="1" t="s">
        <v>23</v>
      </c>
      <c r="C6" s="19">
        <v>30000000</v>
      </c>
      <c r="D6" s="19">
        <v>100000000</v>
      </c>
      <c r="E6" s="19">
        <f>SUM(tbl_marketing[[#This Row],[1400]:[1401]])</f>
        <v>130000000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40000000</v>
      </c>
      <c r="E7" s="19">
        <f>SUM(tbl_marketing[[#This Row],[1400]:[1401]])</f>
        <v>50000000</v>
      </c>
    </row>
    <row r="8" spans="1:5" x14ac:dyDescent="0.4">
      <c r="A8" s="1">
        <f t="shared" si="0"/>
        <v>7</v>
      </c>
      <c r="B8" s="1" t="s">
        <v>24</v>
      </c>
      <c r="C8" s="19">
        <v>20000000</v>
      </c>
      <c r="D8" s="19">
        <v>60000000</v>
      </c>
      <c r="E8" s="19">
        <f>SUM(tbl_marketing[[#This Row],[1400]:[1401]])</f>
        <v>80000000</v>
      </c>
    </row>
    <row r="9" spans="1:5" x14ac:dyDescent="0.4">
      <c r="A9" s="1">
        <f t="shared" si="0"/>
        <v>8</v>
      </c>
      <c r="B9" s="1" t="s">
        <v>25</v>
      </c>
      <c r="C9" s="19">
        <v>10000000</v>
      </c>
      <c r="D9" s="19">
        <v>20000000</v>
      </c>
      <c r="E9" s="19">
        <f>SUM(tbl_marketing[[#This Row],[1400]:[1401]])</f>
        <v>30000000</v>
      </c>
    </row>
    <row r="10" spans="1:5" x14ac:dyDescent="0.4">
      <c r="A10" s="1">
        <f t="shared" si="0"/>
        <v>9</v>
      </c>
      <c r="B10" s="1" t="s">
        <v>26</v>
      </c>
      <c r="C10" s="19">
        <v>40000000</v>
      </c>
      <c r="D10" s="19">
        <v>100000000</v>
      </c>
      <c r="E10" s="19">
        <f>SUM(tbl_marketing[[#This Row],[1400]:[1401]])</f>
        <v>140000000</v>
      </c>
    </row>
    <row r="11" spans="1:5" x14ac:dyDescent="0.4">
      <c r="A11" s="1" t="s">
        <v>1</v>
      </c>
      <c r="C11" s="12">
        <f>SUBTOTAL(109,tbl_marketing[1400])</f>
        <v>540000000</v>
      </c>
      <c r="D11" s="12">
        <f>SUBTOTAL(109,tbl_marketing[1401])</f>
        <v>1550000000</v>
      </c>
      <c r="E11" s="12">
        <f>SUBTOTAL(109,tbl_marketing[جمع])</f>
        <v>2090000000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D4" sqref="D4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51</v>
      </c>
      <c r="C2" s="12">
        <f>tbl_serverCount[1400]*d_coloCost * d_year1400Remain</f>
        <v>96000000</v>
      </c>
      <c r="D2" s="12">
        <f>tbl_serverCount[1401]*d_coloCost * 12</f>
        <v>288000000</v>
      </c>
      <c r="E2" s="12">
        <f>SUM(tbl_office[[#This Row],[1400]:[1401]])</f>
        <v>384000000</v>
      </c>
    </row>
    <row r="3" spans="1:5" x14ac:dyDescent="0.4">
      <c r="A3" s="1">
        <f t="shared" ref="A3:A9" si="0">ROW(A2)</f>
        <v>2</v>
      </c>
      <c r="B3" s="1" t="s">
        <v>61</v>
      </c>
      <c r="C3" s="12">
        <v>30000000</v>
      </c>
      <c r="D3" s="12">
        <v>120000000</v>
      </c>
      <c r="E3" s="12">
        <f>SUM(tbl_office[[#This Row],[1400]:[1401]])</f>
        <v>150000000</v>
      </c>
    </row>
    <row r="4" spans="1:5" x14ac:dyDescent="0.4">
      <c r="A4" s="1">
        <f t="shared" si="0"/>
        <v>3</v>
      </c>
      <c r="B4" s="1" t="s">
        <v>36</v>
      </c>
      <c r="C4" s="12">
        <v>10000000</v>
      </c>
      <c r="D4" s="12">
        <v>30000000</v>
      </c>
      <c r="E4" s="12">
        <f>SUM(tbl_office[[#This Row],[1400]:[1401]])</f>
        <v>40000000</v>
      </c>
    </row>
    <row r="5" spans="1:5" x14ac:dyDescent="0.4">
      <c r="A5" s="1">
        <f t="shared" si="0"/>
        <v>4</v>
      </c>
      <c r="B5" s="1" t="s">
        <v>81</v>
      </c>
      <c r="C5" s="12">
        <v>10000000</v>
      </c>
      <c r="D5" s="12">
        <v>60000000</v>
      </c>
      <c r="E5" s="12">
        <f>SUM(tbl_office[[#This Row],[1400]:[1401]])</f>
        <v>70000000</v>
      </c>
    </row>
    <row r="6" spans="1:5" x14ac:dyDescent="0.4">
      <c r="A6" s="1">
        <f t="shared" si="0"/>
        <v>5</v>
      </c>
      <c r="B6" s="1" t="s">
        <v>42</v>
      </c>
      <c r="C6" s="12">
        <f>d_staff1400*d_usagePerPersonPerMonth * d_year1400Remain</f>
        <v>32400000</v>
      </c>
      <c r="D6" s="12">
        <f>d_staffTotal * d_usagePerPersonPerMonth * 12</f>
        <v>151200000</v>
      </c>
      <c r="E6" s="12">
        <f>SUM(tbl_office[[#This Row],[1400]:[1401]])</f>
        <v>183600000</v>
      </c>
    </row>
    <row r="7" spans="1:5" x14ac:dyDescent="0.4">
      <c r="A7" s="1">
        <f t="shared" si="0"/>
        <v>6</v>
      </c>
      <c r="B7" s="1" t="s">
        <v>43</v>
      </c>
      <c r="C7" s="12">
        <v>10000000</v>
      </c>
      <c r="D7" s="12">
        <v>30000000</v>
      </c>
      <c r="E7" s="12">
        <f>SUM(tbl_office[[#This Row],[1400]:[1401]])</f>
        <v>40000000</v>
      </c>
    </row>
    <row r="8" spans="1:5" x14ac:dyDescent="0.4">
      <c r="A8" s="1">
        <f t="shared" si="0"/>
        <v>7</v>
      </c>
      <c r="B8" s="1" t="s">
        <v>44</v>
      </c>
      <c r="C8" s="12">
        <v>10000000</v>
      </c>
      <c r="D8" s="12">
        <v>40000000</v>
      </c>
      <c r="E8" s="12">
        <f>SUM(tbl_office[[#This Row],[1400]:[1401]])</f>
        <v>50000000</v>
      </c>
    </row>
    <row r="9" spans="1:5" x14ac:dyDescent="0.4">
      <c r="A9" s="1">
        <f t="shared" si="0"/>
        <v>8</v>
      </c>
      <c r="B9" s="1" t="s">
        <v>185</v>
      </c>
      <c r="C9" s="12">
        <f>SUM(C2:C8) * 10%</f>
        <v>19840000</v>
      </c>
      <c r="D9" s="12">
        <f>SUM(D2:D8) * 10%</f>
        <v>71920000</v>
      </c>
      <c r="E9" s="12">
        <f>SUM(tbl_office[[#This Row],[1400]:[1401]])</f>
        <v>91760000</v>
      </c>
    </row>
    <row r="10" spans="1:5" x14ac:dyDescent="0.4">
      <c r="A10" s="1" t="s">
        <v>1</v>
      </c>
      <c r="C10" s="12">
        <f>SUBTOTAL(109,tbl_office[1400])</f>
        <v>218240000</v>
      </c>
      <c r="D10" s="12">
        <f>SUBTOTAL(109,tbl_office[1401])</f>
        <v>791120000</v>
      </c>
      <c r="E10" s="12">
        <f>SUBTOTAL(109,tbl_office[جمع])</f>
        <v>1009360000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E58-11BF-4A5C-A2ED-6325C015977B}">
  <sheetPr>
    <tabColor theme="9" tint="0.59999389629810485"/>
  </sheetPr>
  <dimension ref="A1:AA34"/>
  <sheetViews>
    <sheetView rightToLeft="1" zoomScaleNormal="100" workbookViewId="0">
      <selection activeCell="G5" sqref="G5"/>
    </sheetView>
  </sheetViews>
  <sheetFormatPr defaultColWidth="0" defaultRowHeight="17.25" x14ac:dyDescent="0.4"/>
  <cols>
    <col min="1" max="1" width="15.42578125" style="1" customWidth="1"/>
    <col min="2" max="2" width="35.28515625" style="1" bestFit="1" customWidth="1"/>
    <col min="3" max="4" width="22.7109375" style="1" customWidth="1"/>
    <col min="5" max="7" width="22" style="1" customWidth="1"/>
    <col min="8" max="8" width="23.5703125" style="1" bestFit="1" customWidth="1"/>
    <col min="9" max="9" width="20.5703125" style="1" bestFit="1" customWidth="1"/>
    <col min="10" max="10" width="23.7109375" style="23" customWidth="1"/>
    <col min="11" max="11" width="11.42578125" style="23" bestFit="1" customWidth="1"/>
    <col min="12" max="14" width="12.7109375" style="23" bestFit="1" customWidth="1"/>
    <col min="15" max="15" width="14" style="23" bestFit="1" customWidth="1"/>
    <col min="16" max="17" width="12.28515625" style="23" bestFit="1" customWidth="1"/>
    <col min="18" max="18" width="13.5703125" style="23" bestFit="1" customWidth="1"/>
    <col min="19" max="22" width="12.5703125" style="23" customWidth="1"/>
    <col min="23" max="27" width="9.140625" style="1" customWidth="1"/>
    <col min="28" max="16384" width="9.140625" style="1" hidden="1"/>
  </cols>
  <sheetData>
    <row r="1" spans="1:18" x14ac:dyDescent="0.4">
      <c r="A1" s="1" t="s">
        <v>35</v>
      </c>
      <c r="B1" s="1" t="s">
        <v>2</v>
      </c>
      <c r="C1" s="1" t="s">
        <v>68</v>
      </c>
      <c r="D1" s="1" t="s">
        <v>78</v>
      </c>
      <c r="E1" s="1" t="s">
        <v>79</v>
      </c>
      <c r="F1" s="1" t="s">
        <v>77</v>
      </c>
      <c r="G1" s="1" t="s">
        <v>66</v>
      </c>
      <c r="H1" s="1" t="s">
        <v>96</v>
      </c>
      <c r="I1" s="23" t="s">
        <v>95</v>
      </c>
      <c r="J1" s="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1" t="s">
        <v>90</v>
      </c>
      <c r="P1" s="23" t="s">
        <v>91</v>
      </c>
      <c r="Q1" s="23" t="s">
        <v>92</v>
      </c>
      <c r="R1" s="23" t="s">
        <v>93</v>
      </c>
    </row>
    <row r="2" spans="1:18" x14ac:dyDescent="0.4">
      <c r="A2" s="1">
        <f>ROW(A1)</f>
        <v>1</v>
      </c>
      <c r="B2" s="1" t="s">
        <v>63</v>
      </c>
      <c r="C2" s="1" t="s">
        <v>84</v>
      </c>
      <c r="D2" s="12">
        <v>50000</v>
      </c>
      <c r="E2" s="12">
        <v>16000</v>
      </c>
      <c r="F2" s="12">
        <f>tbl_pricing[[#This Row],[مبلغ پرداختی]]-tbl_pricing[[#This Row],[بهای تمام شده]]</f>
        <v>34000</v>
      </c>
      <c r="G2" s="38">
        <v>0.05</v>
      </c>
      <c r="H2" s="45">
        <f>tbl_pricing[[#This Row],[درصد خرید]]*tbl_pricing[[#This Row],[سود]]</f>
        <v>1700</v>
      </c>
      <c r="I2" s="44">
        <f>tbl_pricing[[#This Row],[کل بیزینس‌ها]]/ SUM(tbl_pricing[کل بیزینس‌ها])</f>
        <v>0.13508144616607071</v>
      </c>
      <c r="J2" s="49">
        <f>tbl_pricing[[#Headers],[500]]*tbl_pricing[[#This Row],[درصد خرید]]*tbl_pricing[[#This Row],[سود به ازای هر بیزینس]]</f>
        <v>42500</v>
      </c>
      <c r="K2" s="47">
        <f>tbl_pricing[[#Headers],[500]]*tbl_pricing[[#This Row],[درصد خرید]]</f>
        <v>25</v>
      </c>
      <c r="L2" s="47">
        <f>tbl_pricing[[#Headers],[1000]]*tbl_pricing[[#This Row],[درصد خرید]]</f>
        <v>50</v>
      </c>
      <c r="M2" s="47">
        <f>tbl_pricing[[#Headers],[2000]]*tbl_pricing[[#This Row],[درصد خرید]]</f>
        <v>100</v>
      </c>
      <c r="N2" s="47">
        <f>tbl_pricing[[#Headers],[5000]]*tbl_pricing[[#This Row],[درصد خرید]]</f>
        <v>250</v>
      </c>
      <c r="O2" s="47">
        <f>tbl_pricing[[#Headers],[10000]]*tbl_pricing[[#This Row],[درصد خرید]]</f>
        <v>500</v>
      </c>
      <c r="P2" s="47">
        <f>tbl_pricing[[#Headers],[20000]]*tbl_pricing[[#This Row],[درصد خرید]]</f>
        <v>1000</v>
      </c>
      <c r="Q2" s="47">
        <f>tbl_pricing[[#Headers],[50000]]*tbl_pricing[[#This Row],[درصد خرید]]</f>
        <v>2500</v>
      </c>
      <c r="R2" s="47">
        <f>tbl_pricing[[#Headers],[100000]]*tbl_pricing[[#This Row],[درصد خرید]]</f>
        <v>5000</v>
      </c>
    </row>
    <row r="3" spans="1:18" x14ac:dyDescent="0.4">
      <c r="A3" s="1">
        <f t="shared" ref="A3:A13" si="0">ROW(A2)</f>
        <v>2</v>
      </c>
      <c r="B3" s="1" t="s">
        <v>67</v>
      </c>
      <c r="C3" s="1" t="s">
        <v>70</v>
      </c>
      <c r="D3" s="12">
        <v>100000</v>
      </c>
      <c r="E3" s="12"/>
      <c r="F3" s="12">
        <f>tbl_pricing[[#This Row],[مبلغ پرداختی]]-tbl_pricing[[#This Row],[بهای تمام شده]]</f>
        <v>100000</v>
      </c>
      <c r="G3" s="38">
        <v>0.03</v>
      </c>
      <c r="H3" s="45">
        <f>tbl_pricing[[#This Row],[درصد خرید]]*tbl_pricing[[#This Row],[سود]]</f>
        <v>3000</v>
      </c>
      <c r="I3" s="44">
        <f>tbl_pricing[[#This Row],[کل بیزینس‌ها]]/ SUM(tbl_pricing[کل بیزینس‌ها])</f>
        <v>0.14302741358760429</v>
      </c>
      <c r="J3" s="49">
        <f>tbl_pricing[[#Headers],[500]]*tbl_pricing[[#This Row],[درصد خرید]]*tbl_pricing[[#This Row],[سود به ازای هر بیزینس]]</f>
        <v>45000</v>
      </c>
      <c r="K3" s="47">
        <f>tbl_pricing[[#Headers],[500]]*tbl_pricing[[#This Row],[درصد خرید]]</f>
        <v>15</v>
      </c>
      <c r="L3" s="47">
        <f>tbl_pricing[[#Headers],[1000]]*tbl_pricing[[#This Row],[درصد خرید]]</f>
        <v>30</v>
      </c>
      <c r="M3" s="47">
        <f>tbl_pricing[[#Headers],[2000]]*tbl_pricing[[#This Row],[درصد خرید]]</f>
        <v>60</v>
      </c>
      <c r="N3" s="47">
        <f>tbl_pricing[[#Headers],[5000]]*tbl_pricing[[#This Row],[درصد خرید]]</f>
        <v>150</v>
      </c>
      <c r="O3" s="47">
        <f>tbl_pricing[[#Headers],[10000]]*tbl_pricing[[#This Row],[درصد خرید]]</f>
        <v>300</v>
      </c>
      <c r="P3" s="47">
        <f>tbl_pricing[[#Headers],[20000]]*tbl_pricing[[#This Row],[درصد خرید]]</f>
        <v>600</v>
      </c>
      <c r="Q3" s="47">
        <f>tbl_pricing[[#Headers],[50000]]*tbl_pricing[[#This Row],[درصد خرید]]</f>
        <v>1500</v>
      </c>
      <c r="R3" s="47">
        <f>tbl_pricing[[#Headers],[100000]]*tbl_pricing[[#This Row],[درصد خرید]]</f>
        <v>3000</v>
      </c>
    </row>
    <row r="4" spans="1:18" x14ac:dyDescent="0.4">
      <c r="A4" s="1">
        <f t="shared" si="0"/>
        <v>3</v>
      </c>
      <c r="B4" s="1" t="s">
        <v>71</v>
      </c>
      <c r="C4" s="1" t="s">
        <v>69</v>
      </c>
      <c r="D4" s="12">
        <v>80000</v>
      </c>
      <c r="E4" s="12"/>
      <c r="F4" s="12">
        <f>tbl_pricing[[#This Row],[مبلغ پرداختی]]-tbl_pricing[[#This Row],[بهای تمام شده]]</f>
        <v>80000</v>
      </c>
      <c r="G4" s="38">
        <v>0.04</v>
      </c>
      <c r="H4" s="45">
        <f>tbl_pricing[[#This Row],[درصد خرید]]*tbl_pricing[[#This Row],[سود]]</f>
        <v>3200</v>
      </c>
      <c r="I4" s="44">
        <f>tbl_pricing[[#This Row],[کل بیزینس‌ها]]/ SUM(tbl_pricing[کل بیزینس‌ها])</f>
        <v>0.20341676599125944</v>
      </c>
      <c r="J4" s="49">
        <f>tbl_pricing[[#Headers],[500]]*tbl_pricing[[#This Row],[درصد خرید]]*tbl_pricing[[#This Row],[سود به ازای هر بیزینس]]</f>
        <v>64000</v>
      </c>
      <c r="K4" s="47">
        <f>tbl_pricing[[#Headers],[500]]*tbl_pricing[[#This Row],[درصد خرید]]</f>
        <v>20</v>
      </c>
      <c r="L4" s="47">
        <f>tbl_pricing[[#Headers],[1000]]*tbl_pricing[[#This Row],[درصد خرید]]</f>
        <v>40</v>
      </c>
      <c r="M4" s="47">
        <f>tbl_pricing[[#Headers],[2000]]*tbl_pricing[[#This Row],[درصد خرید]]</f>
        <v>80</v>
      </c>
      <c r="N4" s="47">
        <f>tbl_pricing[[#Headers],[5000]]*tbl_pricing[[#This Row],[درصد خرید]]</f>
        <v>200</v>
      </c>
      <c r="O4" s="47">
        <f>tbl_pricing[[#Headers],[10000]]*tbl_pricing[[#This Row],[درصد خرید]]</f>
        <v>400</v>
      </c>
      <c r="P4" s="47">
        <f>tbl_pricing[[#Headers],[20000]]*tbl_pricing[[#This Row],[درصد خرید]]</f>
        <v>800</v>
      </c>
      <c r="Q4" s="47">
        <f>tbl_pricing[[#Headers],[50000]]*tbl_pricing[[#This Row],[درصد خرید]]</f>
        <v>2000</v>
      </c>
      <c r="R4" s="47">
        <f>tbl_pricing[[#Headers],[100000]]*tbl_pricing[[#This Row],[درصد خرید]]</f>
        <v>4000</v>
      </c>
    </row>
    <row r="5" spans="1:18" x14ac:dyDescent="0.4">
      <c r="A5" s="1">
        <f t="shared" si="0"/>
        <v>4</v>
      </c>
      <c r="B5" s="1" t="s">
        <v>72</v>
      </c>
      <c r="C5" s="1" t="s">
        <v>70</v>
      </c>
      <c r="D5" s="12">
        <v>3000000</v>
      </c>
      <c r="E5" s="12"/>
      <c r="F5" s="12">
        <f>tbl_pricing[[#This Row],[مبلغ پرداختی]]-tbl_pricing[[#This Row],[بهای تمام شده]]</f>
        <v>3000000</v>
      </c>
      <c r="G5" s="39">
        <v>6.0000000000000001E-3</v>
      </c>
      <c r="H5" s="45">
        <f>tbl_pricing[[#This Row],[درصد خرید]]*tbl_pricing[[#This Row],[سود]]</f>
        <v>18000</v>
      </c>
      <c r="I5" s="44">
        <f>tbl_pricing[[#This Row],[کل بیزینس‌ها]]/ SUM(tbl_pricing[کل بیزینس‌ها])</f>
        <v>0.17163289630512515</v>
      </c>
      <c r="J5" s="49">
        <f>tbl_pricing[[#Headers],[500]]*tbl_pricing[[#This Row],[درصد خرید]]*tbl_pricing[[#This Row],[سود به ازای هر بیزینس]]</f>
        <v>54000</v>
      </c>
      <c r="K5" s="47">
        <f>tbl_pricing[[#Headers],[500]]*tbl_pricing[[#This Row],[درصد خرید]]</f>
        <v>3</v>
      </c>
      <c r="L5" s="47">
        <f>tbl_pricing[[#Headers],[1000]]*tbl_pricing[[#This Row],[درصد خرید]]</f>
        <v>6</v>
      </c>
      <c r="M5" s="47">
        <f>tbl_pricing[[#Headers],[2000]]*tbl_pricing[[#This Row],[درصد خرید]]</f>
        <v>12</v>
      </c>
      <c r="N5" s="47">
        <f>tbl_pricing[[#Headers],[5000]]*tbl_pricing[[#This Row],[درصد خرید]]</f>
        <v>30</v>
      </c>
      <c r="O5" s="47">
        <f>tbl_pricing[[#Headers],[10000]]*tbl_pricing[[#This Row],[درصد خرید]]</f>
        <v>60</v>
      </c>
      <c r="P5" s="47">
        <f>tbl_pricing[[#Headers],[20000]]*tbl_pricing[[#This Row],[درصد خرید]]</f>
        <v>120</v>
      </c>
      <c r="Q5" s="47">
        <f>tbl_pricing[[#Headers],[50000]]*tbl_pricing[[#This Row],[درصد خرید]]</f>
        <v>300</v>
      </c>
      <c r="R5" s="47">
        <f>tbl_pricing[[#Headers],[100000]]*tbl_pricing[[#This Row],[درصد خرید]]</f>
        <v>600</v>
      </c>
    </row>
    <row r="6" spans="1:18" x14ac:dyDescent="0.4">
      <c r="A6" s="1">
        <f t="shared" si="0"/>
        <v>5</v>
      </c>
      <c r="B6" s="1" t="s">
        <v>186</v>
      </c>
      <c r="C6" s="1" t="s">
        <v>70</v>
      </c>
      <c r="D6" s="12">
        <v>5000000</v>
      </c>
      <c r="E6" s="12"/>
      <c r="F6" s="12">
        <f>tbl_pricing[[#This Row],[مبلغ پرداختی]]-tbl_pricing[[#This Row],[بهای تمام شده]]</f>
        <v>5000000</v>
      </c>
      <c r="G6" s="43">
        <v>5.0000000000000001E-4</v>
      </c>
      <c r="H6" s="45">
        <f>tbl_pricing[[#This Row],[درصد خرید]]*tbl_pricing[[#This Row],[سود]]</f>
        <v>2500</v>
      </c>
      <c r="I6" s="44">
        <f>tbl_pricing[[#This Row],[کل بیزینس‌ها]]/ SUM(tbl_pricing[کل بیزینس‌ها])</f>
        <v>1.986491855383393E-3</v>
      </c>
      <c r="J6" s="49">
        <f>tbl_pricing[[#Headers],[500]]*tbl_pricing[[#This Row],[درصد خرید]]*tbl_pricing[[#This Row],[سود به ازای هر بیزینس]]</f>
        <v>625</v>
      </c>
      <c r="K6" s="47">
        <f>tbl_pricing[[#Headers],[500]]*tbl_pricing[[#This Row],[درصد خرید]]</f>
        <v>0.25</v>
      </c>
      <c r="L6" s="47">
        <f>tbl_pricing[[#Headers],[1000]]*tbl_pricing[[#This Row],[درصد خرید]]</f>
        <v>0.5</v>
      </c>
      <c r="M6" s="47">
        <f>tbl_pricing[[#Headers],[2000]]*tbl_pricing[[#This Row],[درصد خرید]]</f>
        <v>1</v>
      </c>
      <c r="N6" s="47">
        <f>tbl_pricing[[#Headers],[5000]]*tbl_pricing[[#This Row],[درصد خرید]]</f>
        <v>2.5</v>
      </c>
      <c r="O6" s="47">
        <f>tbl_pricing[[#Headers],[10000]]*tbl_pricing[[#This Row],[درصد خرید]]</f>
        <v>5</v>
      </c>
      <c r="P6" s="47">
        <f>tbl_pricing[[#Headers],[20000]]*tbl_pricing[[#This Row],[درصد خرید]]</f>
        <v>10</v>
      </c>
      <c r="Q6" s="47">
        <f>tbl_pricing[[#Headers],[50000]]*tbl_pricing[[#This Row],[درصد خرید]]</f>
        <v>25</v>
      </c>
      <c r="R6" s="47">
        <f>tbl_pricing[[#Headers],[100000]]*tbl_pricing[[#This Row],[درصد خرید]]</f>
        <v>50</v>
      </c>
    </row>
    <row r="7" spans="1:18" x14ac:dyDescent="0.4">
      <c r="A7" s="1">
        <f t="shared" si="0"/>
        <v>6</v>
      </c>
      <c r="B7" s="1" t="s">
        <v>94</v>
      </c>
      <c r="C7" s="1" t="s">
        <v>70</v>
      </c>
      <c r="D7" s="12">
        <v>100000</v>
      </c>
      <c r="E7" s="12"/>
      <c r="F7" s="12">
        <f>tbl_pricing[[#This Row],[مبلغ پرداختی]]-tbl_pricing[[#This Row],[بهای تمام شده]]</f>
        <v>100000</v>
      </c>
      <c r="G7" s="39">
        <v>5.0000000000000001E-3</v>
      </c>
      <c r="H7" s="45">
        <f>tbl_pricing[[#This Row],[درصد خرید]]*tbl_pricing[[#This Row],[سود]]</f>
        <v>500</v>
      </c>
      <c r="I7" s="44">
        <f>tbl_pricing[[#This Row],[کل بیزینس‌ها]]/ SUM(tbl_pricing[کل بیزینس‌ها])</f>
        <v>3.9729837107667859E-3</v>
      </c>
      <c r="J7" s="49">
        <f>tbl_pricing[[#Headers],[500]]*tbl_pricing[[#This Row],[درصد خرید]]*tbl_pricing[[#This Row],[سود به ازای هر بیزینس]]</f>
        <v>1250</v>
      </c>
      <c r="K7" s="47">
        <f>tbl_pricing[[#Headers],[500]]*tbl_pricing[[#This Row],[درصد خرید]]</f>
        <v>2.5</v>
      </c>
      <c r="L7" s="47">
        <f>tbl_pricing[[#Headers],[1000]]*tbl_pricing[[#This Row],[درصد خرید]]</f>
        <v>5</v>
      </c>
      <c r="M7" s="47">
        <f>tbl_pricing[[#Headers],[2000]]*tbl_pricing[[#This Row],[درصد خرید]]</f>
        <v>10</v>
      </c>
      <c r="N7" s="47">
        <f>tbl_pricing[[#Headers],[5000]]*tbl_pricing[[#This Row],[درصد خرید]]</f>
        <v>25</v>
      </c>
      <c r="O7" s="47">
        <f>tbl_pricing[[#Headers],[10000]]*tbl_pricing[[#This Row],[درصد خرید]]</f>
        <v>50</v>
      </c>
      <c r="P7" s="47">
        <f>tbl_pricing[[#Headers],[20000]]*tbl_pricing[[#This Row],[درصد خرید]]</f>
        <v>100</v>
      </c>
      <c r="Q7" s="47">
        <f>tbl_pricing[[#Headers],[50000]]*tbl_pricing[[#This Row],[درصد خرید]]</f>
        <v>250</v>
      </c>
      <c r="R7" s="47">
        <f>tbl_pricing[[#Headers],[100000]]*tbl_pricing[[#This Row],[درصد خرید]]</f>
        <v>500</v>
      </c>
    </row>
    <row r="8" spans="1:18" x14ac:dyDescent="0.4">
      <c r="A8" s="1">
        <f>ROW(A7)</f>
        <v>7</v>
      </c>
      <c r="B8" s="1" t="s">
        <v>173</v>
      </c>
      <c r="C8" s="1" t="s">
        <v>84</v>
      </c>
      <c r="D8" s="12">
        <v>100000</v>
      </c>
      <c r="E8" s="12">
        <v>90000</v>
      </c>
      <c r="F8" s="12">
        <f>tbl_pricing[[#This Row],[مبلغ پرداختی]]-tbl_pricing[[#This Row],[بهای تمام شده]]</f>
        <v>10000</v>
      </c>
      <c r="G8" s="25">
        <v>0.05</v>
      </c>
      <c r="H8" s="45">
        <f>tbl_pricing[[#This Row],[درصد خرید]]*tbl_pricing[[#This Row],[سود]]</f>
        <v>500</v>
      </c>
      <c r="I8" s="44">
        <f>tbl_pricing[[#This Row],[کل بیزینس‌ها]]/ SUM(tbl_pricing[کل بیزینس‌ها])</f>
        <v>3.9729837107667858E-2</v>
      </c>
      <c r="J8" s="49">
        <f>tbl_pricing[[#Headers],[500]]*tbl_pricing[[#This Row],[درصد خرید]]*tbl_pricing[[#This Row],[سود به ازای هر بیزینس]]</f>
        <v>12500</v>
      </c>
      <c r="K8" s="47">
        <f>tbl_pricing[[#Headers],[500]]*tbl_pricing[[#This Row],[درصد خرید]]</f>
        <v>25</v>
      </c>
      <c r="L8" s="47">
        <f>tbl_pricing[[#Headers],[1000]]*tbl_pricing[[#This Row],[درصد خرید]]</f>
        <v>50</v>
      </c>
      <c r="M8" s="47">
        <f>tbl_pricing[[#Headers],[2000]]*tbl_pricing[[#This Row],[درصد خرید]]</f>
        <v>100</v>
      </c>
      <c r="N8" s="47">
        <f>tbl_pricing[[#Headers],[5000]]*tbl_pricing[[#This Row],[درصد خرید]]</f>
        <v>250</v>
      </c>
      <c r="O8" s="47">
        <f>tbl_pricing[[#Headers],[10000]]*tbl_pricing[[#This Row],[درصد خرید]]</f>
        <v>500</v>
      </c>
      <c r="P8" s="47">
        <f>tbl_pricing[[#Headers],[20000]]*tbl_pricing[[#This Row],[درصد خرید]]</f>
        <v>1000</v>
      </c>
      <c r="Q8" s="47">
        <f>tbl_pricing[[#Headers],[50000]]*tbl_pricing[[#This Row],[درصد خرید]]</f>
        <v>2500</v>
      </c>
      <c r="R8" s="47">
        <f>tbl_pricing[[#Headers],[100000]]*tbl_pricing[[#This Row],[درصد خرید]]</f>
        <v>5000</v>
      </c>
    </row>
    <row r="9" spans="1:18" x14ac:dyDescent="0.4">
      <c r="A9" s="1">
        <f>ROW(A7)</f>
        <v>7</v>
      </c>
      <c r="B9" s="1" t="s">
        <v>74</v>
      </c>
      <c r="C9" s="1" t="s">
        <v>70</v>
      </c>
      <c r="D9" s="12">
        <v>50000</v>
      </c>
      <c r="E9" s="12"/>
      <c r="F9" s="12">
        <f>tbl_pricing[[#This Row],[مبلغ پرداختی]]-tbl_pricing[[#This Row],[بهای تمام شده]]</f>
        <v>50000</v>
      </c>
      <c r="G9" s="38">
        <v>0.02</v>
      </c>
      <c r="H9" s="45">
        <f>tbl_pricing[[#This Row],[درصد خرید]]*tbl_pricing[[#This Row],[سود]]</f>
        <v>1000</v>
      </c>
      <c r="I9" s="44">
        <f>tbl_pricing[[#This Row],[کل بیزینس‌ها]]/ SUM(tbl_pricing[کل بیزینس‌ها])</f>
        <v>3.1783869686134288E-2</v>
      </c>
      <c r="J9" s="49">
        <f>tbl_pricing[[#Headers],[500]]*tbl_pricing[[#This Row],[درصد خرید]]*tbl_pricing[[#This Row],[سود به ازای هر بیزینس]]</f>
        <v>10000</v>
      </c>
      <c r="K9" s="47">
        <f>tbl_pricing[[#Headers],[500]]*tbl_pricing[[#This Row],[درصد خرید]]</f>
        <v>10</v>
      </c>
      <c r="L9" s="47">
        <f>tbl_pricing[[#Headers],[1000]]*tbl_pricing[[#This Row],[درصد خرید]]</f>
        <v>20</v>
      </c>
      <c r="M9" s="47">
        <f>tbl_pricing[[#Headers],[2000]]*tbl_pricing[[#This Row],[درصد خرید]]</f>
        <v>40</v>
      </c>
      <c r="N9" s="47">
        <f>tbl_pricing[[#Headers],[5000]]*tbl_pricing[[#This Row],[درصد خرید]]</f>
        <v>100</v>
      </c>
      <c r="O9" s="47">
        <f>tbl_pricing[[#Headers],[10000]]*tbl_pricing[[#This Row],[درصد خرید]]</f>
        <v>200</v>
      </c>
      <c r="P9" s="47">
        <f>tbl_pricing[[#Headers],[20000]]*tbl_pricing[[#This Row],[درصد خرید]]</f>
        <v>400</v>
      </c>
      <c r="Q9" s="47">
        <f>tbl_pricing[[#Headers],[50000]]*tbl_pricing[[#This Row],[درصد خرید]]</f>
        <v>1000</v>
      </c>
      <c r="R9" s="47">
        <f>tbl_pricing[[#Headers],[100000]]*tbl_pricing[[#This Row],[درصد خرید]]</f>
        <v>2000</v>
      </c>
    </row>
    <row r="10" spans="1:18" x14ac:dyDescent="0.4">
      <c r="A10" s="1">
        <f t="shared" si="0"/>
        <v>9</v>
      </c>
      <c r="B10" s="1" t="s">
        <v>73</v>
      </c>
      <c r="C10" s="1" t="s">
        <v>70</v>
      </c>
      <c r="D10" s="12">
        <v>200000</v>
      </c>
      <c r="E10" s="12"/>
      <c r="F10" s="12">
        <f>tbl_pricing[[#This Row],[مبلغ پرداختی]]-tbl_pricing[[#This Row],[بهای تمام شده]]</f>
        <v>200000</v>
      </c>
      <c r="G10" s="38">
        <v>5.0000000000000001E-3</v>
      </c>
      <c r="H10" s="45">
        <f>tbl_pricing[[#This Row],[درصد خرید]]*tbl_pricing[[#This Row],[سود]]</f>
        <v>1000</v>
      </c>
      <c r="I10" s="44">
        <f>tbl_pricing[[#This Row],[کل بیزینس‌ها]]/ SUM(tbl_pricing[کل بیزینس‌ها])</f>
        <v>7.9459674215335719E-3</v>
      </c>
      <c r="J10" s="49">
        <f>tbl_pricing[[#Headers],[500]]*tbl_pricing[[#This Row],[درصد خرید]]*tbl_pricing[[#This Row],[سود به ازای هر بیزینس]]</f>
        <v>2500</v>
      </c>
      <c r="K10" s="47">
        <f>tbl_pricing[[#Headers],[500]]*tbl_pricing[[#This Row],[درصد خرید]]</f>
        <v>2.5</v>
      </c>
      <c r="L10" s="47">
        <f>tbl_pricing[[#Headers],[1000]]*tbl_pricing[[#This Row],[درصد خرید]]</f>
        <v>5</v>
      </c>
      <c r="M10" s="47">
        <f>tbl_pricing[[#Headers],[2000]]*tbl_pricing[[#This Row],[درصد خرید]]</f>
        <v>10</v>
      </c>
      <c r="N10" s="47">
        <f>tbl_pricing[[#Headers],[5000]]*tbl_pricing[[#This Row],[درصد خرید]]</f>
        <v>25</v>
      </c>
      <c r="O10" s="47">
        <f>tbl_pricing[[#Headers],[10000]]*tbl_pricing[[#This Row],[درصد خرید]]</f>
        <v>50</v>
      </c>
      <c r="P10" s="47">
        <f>tbl_pricing[[#Headers],[20000]]*tbl_pricing[[#This Row],[درصد خرید]]</f>
        <v>100</v>
      </c>
      <c r="Q10" s="47">
        <f>tbl_pricing[[#Headers],[50000]]*tbl_pricing[[#This Row],[درصد خرید]]</f>
        <v>250</v>
      </c>
      <c r="R10" s="47">
        <f>tbl_pricing[[#Headers],[100000]]*tbl_pricing[[#This Row],[درصد خرید]]</f>
        <v>500</v>
      </c>
    </row>
    <row r="11" spans="1:18" x14ac:dyDescent="0.4">
      <c r="A11" s="1">
        <f t="shared" si="0"/>
        <v>10</v>
      </c>
      <c r="B11" s="1" t="s">
        <v>75</v>
      </c>
      <c r="C11" s="1" t="s">
        <v>70</v>
      </c>
      <c r="D11" s="12">
        <v>500000</v>
      </c>
      <c r="E11" s="12"/>
      <c r="F11" s="12">
        <f>tbl_pricing[[#This Row],[مبلغ پرداختی]]-tbl_pricing[[#This Row],[بهای تمام شده]]</f>
        <v>500000</v>
      </c>
      <c r="G11" s="39">
        <v>1.4999999999999999E-2</v>
      </c>
      <c r="H11" s="45">
        <f>tbl_pricing[[#This Row],[درصد خرید]]*tbl_pricing[[#This Row],[سود]]</f>
        <v>7500</v>
      </c>
      <c r="I11" s="44">
        <f>tbl_pricing[[#This Row],[کل بیزینس‌ها]]/ SUM(tbl_pricing[کل بیزینس‌ها])</f>
        <v>0.17878426698450536</v>
      </c>
      <c r="J11" s="49">
        <f>tbl_pricing[[#Headers],[500]]*tbl_pricing[[#This Row],[درصد خرید]]*tbl_pricing[[#This Row],[سود به ازای هر بیزینس]]</f>
        <v>56250</v>
      </c>
      <c r="K11" s="47">
        <f>tbl_pricing[[#Headers],[500]]*tbl_pricing[[#This Row],[درصد خرید]]</f>
        <v>7.5</v>
      </c>
      <c r="L11" s="47">
        <f>tbl_pricing[[#Headers],[1000]]*tbl_pricing[[#This Row],[درصد خرید]]</f>
        <v>15</v>
      </c>
      <c r="M11" s="47">
        <f>tbl_pricing[[#Headers],[2000]]*tbl_pricing[[#This Row],[درصد خرید]]</f>
        <v>30</v>
      </c>
      <c r="N11" s="47">
        <f>tbl_pricing[[#Headers],[5000]]*tbl_pricing[[#This Row],[درصد خرید]]</f>
        <v>75</v>
      </c>
      <c r="O11" s="47">
        <f>tbl_pricing[[#Headers],[10000]]*tbl_pricing[[#This Row],[درصد خرید]]</f>
        <v>150</v>
      </c>
      <c r="P11" s="47">
        <f>tbl_pricing[[#Headers],[20000]]*tbl_pricing[[#This Row],[درصد خرید]]</f>
        <v>300</v>
      </c>
      <c r="Q11" s="47">
        <f>tbl_pricing[[#Headers],[50000]]*tbl_pricing[[#This Row],[درصد خرید]]</f>
        <v>750</v>
      </c>
      <c r="R11" s="47">
        <f>tbl_pricing[[#Headers],[100000]]*tbl_pricing[[#This Row],[درصد خرید]]</f>
        <v>1500</v>
      </c>
    </row>
    <row r="12" spans="1:18" x14ac:dyDescent="0.4">
      <c r="A12" s="1">
        <f t="shared" si="0"/>
        <v>11</v>
      </c>
      <c r="B12" s="1" t="s">
        <v>76</v>
      </c>
      <c r="C12" s="1" t="s">
        <v>70</v>
      </c>
      <c r="D12" s="12">
        <v>100000</v>
      </c>
      <c r="E12" s="12"/>
      <c r="F12" s="12">
        <f>tbl_pricing[[#This Row],[مبلغ پرداختی]]-tbl_pricing[[#This Row],[بهای تمام شده]]</f>
        <v>100000</v>
      </c>
      <c r="G12" s="38">
        <v>0.02</v>
      </c>
      <c r="H12" s="45">
        <f>tbl_pricing[[#This Row],[درصد خرید]]*tbl_pricing[[#This Row],[سود]]</f>
        <v>2000</v>
      </c>
      <c r="I12" s="44">
        <f>tbl_pricing[[#This Row],[کل بیزینس‌ها]]/ SUM(tbl_pricing[کل بیزینس‌ها])</f>
        <v>6.3567739372268575E-2</v>
      </c>
      <c r="J12" s="49">
        <f>tbl_pricing[[#Headers],[500]]*tbl_pricing[[#This Row],[درصد خرید]]*tbl_pricing[[#This Row],[سود به ازای هر بیزینس]]</f>
        <v>20000</v>
      </c>
      <c r="K12" s="47">
        <f>tbl_pricing[[#Headers],[500]]*tbl_pricing[[#This Row],[درصد خرید]]</f>
        <v>10</v>
      </c>
      <c r="L12" s="47">
        <f>tbl_pricing[[#Headers],[1000]]*tbl_pricing[[#This Row],[درصد خرید]]</f>
        <v>20</v>
      </c>
      <c r="M12" s="47">
        <f>tbl_pricing[[#Headers],[2000]]*tbl_pricing[[#This Row],[درصد خرید]]</f>
        <v>40</v>
      </c>
      <c r="N12" s="47">
        <f>tbl_pricing[[#Headers],[5000]]*tbl_pricing[[#This Row],[درصد خرید]]</f>
        <v>100</v>
      </c>
      <c r="O12" s="47">
        <f>tbl_pricing[[#Headers],[10000]]*tbl_pricing[[#This Row],[درصد خرید]]</f>
        <v>200</v>
      </c>
      <c r="P12" s="47">
        <f>tbl_pricing[[#Headers],[20000]]*tbl_pricing[[#This Row],[درصد خرید]]</f>
        <v>400</v>
      </c>
      <c r="Q12" s="47">
        <f>tbl_pricing[[#Headers],[50000]]*tbl_pricing[[#This Row],[درصد خرید]]</f>
        <v>1000</v>
      </c>
      <c r="R12" s="47">
        <f>tbl_pricing[[#Headers],[100000]]*tbl_pricing[[#This Row],[درصد خرید]]</f>
        <v>2000</v>
      </c>
    </row>
    <row r="13" spans="1:18" x14ac:dyDescent="0.4">
      <c r="A13" s="1">
        <f t="shared" si="0"/>
        <v>12</v>
      </c>
      <c r="B13" s="1" t="s">
        <v>80</v>
      </c>
      <c r="C13" s="1" t="s">
        <v>70</v>
      </c>
      <c r="D13" s="12">
        <v>3000000</v>
      </c>
      <c r="E13" s="12"/>
      <c r="F13" s="12">
        <f>tbl_pricing[[#This Row],[مبلغ پرداختی]]-tbl_pricing[[#This Row],[بهای تمام شده]]</f>
        <v>3000000</v>
      </c>
      <c r="G13" s="39">
        <v>2E-3</v>
      </c>
      <c r="H13" s="45">
        <f>tbl_pricing[[#This Row],[درصد خرید]]*tbl_pricing[[#This Row],[سود]]</f>
        <v>6000</v>
      </c>
      <c r="I13" s="44">
        <f>tbl_pricing[[#This Row],[کل بیزینس‌ها]]/ SUM(tbl_pricing[کل بیزینس‌ها])</f>
        <v>1.9070321811680571E-2</v>
      </c>
      <c r="J13" s="49">
        <f>tbl_pricing[[#Headers],[500]]*tbl_pricing[[#This Row],[درصد خرید]]*tbl_pricing[[#This Row],[سود به ازای هر بیزینس]]</f>
        <v>6000</v>
      </c>
      <c r="K13" s="47">
        <f>tbl_pricing[[#Headers],[500]]*tbl_pricing[[#This Row],[درصد خرید]]</f>
        <v>1</v>
      </c>
      <c r="L13" s="47">
        <f>tbl_pricing[[#Headers],[1000]]*tbl_pricing[[#This Row],[درصد خرید]]</f>
        <v>2</v>
      </c>
      <c r="M13" s="47">
        <f>tbl_pricing[[#Headers],[2000]]*tbl_pricing[[#This Row],[درصد خرید]]</f>
        <v>4</v>
      </c>
      <c r="N13" s="47">
        <f>tbl_pricing[[#Headers],[5000]]*tbl_pricing[[#This Row],[درصد خرید]]</f>
        <v>10</v>
      </c>
      <c r="O13" s="47">
        <f>tbl_pricing[[#Headers],[10000]]*tbl_pricing[[#This Row],[درصد خرید]]</f>
        <v>20</v>
      </c>
      <c r="P13" s="47">
        <f>tbl_pricing[[#Headers],[20000]]*tbl_pricing[[#This Row],[درصد خرید]]</f>
        <v>40</v>
      </c>
      <c r="Q13" s="47">
        <f>tbl_pricing[[#Headers],[50000]]*tbl_pricing[[#This Row],[درصد خرید]]</f>
        <v>100</v>
      </c>
      <c r="R13" s="47">
        <f>tbl_pricing[[#Headers],[100000]]*tbl_pricing[[#This Row],[درصد خرید]]</f>
        <v>200</v>
      </c>
    </row>
    <row r="14" spans="1:18" x14ac:dyDescent="0.4">
      <c r="A14" s="1" t="s">
        <v>1</v>
      </c>
      <c r="D14" s="12"/>
      <c r="F14" s="12"/>
      <c r="G14" s="42">
        <f>SUBTOTAL(101,tbl_pricing[درصد خرید])</f>
        <v>2.0291666666666663E-2</v>
      </c>
      <c r="H14" s="45">
        <f>SUBTOTAL(109,tbl_pricing[سود به ازای هر بیزینس])</f>
        <v>46900</v>
      </c>
      <c r="I14" s="42"/>
      <c r="J14" s="1"/>
      <c r="K14" s="3"/>
      <c r="L14" s="3"/>
      <c r="M14" s="3"/>
      <c r="N14" s="3"/>
      <c r="O14" s="3"/>
      <c r="P14" s="3"/>
      <c r="Q14" s="48"/>
      <c r="R14" s="3"/>
    </row>
    <row r="17" spans="1:17" x14ac:dyDescent="0.4">
      <c r="A17" s="6" t="s">
        <v>35</v>
      </c>
      <c r="B17" s="7" t="s">
        <v>2</v>
      </c>
      <c r="C17" s="50" t="s">
        <v>3</v>
      </c>
    </row>
    <row r="18" spans="1:17" x14ac:dyDescent="0.4">
      <c r="A18" s="26">
        <v>1</v>
      </c>
      <c r="B18" s="27" t="s">
        <v>101</v>
      </c>
      <c r="C18" s="51">
        <f>AVERAGE(tbl_pricing[درصد خرید])</f>
        <v>2.0291666666666663E-2</v>
      </c>
    </row>
    <row r="19" spans="1:17" x14ac:dyDescent="0.4">
      <c r="A19" s="13">
        <v>2</v>
      </c>
      <c r="B19" s="28" t="s">
        <v>100</v>
      </c>
      <c r="C19" s="52">
        <f>ROUND(SUM(tbl_pricing[سود به ازای هر بیزینس]), -3)</f>
        <v>47000</v>
      </c>
    </row>
    <row r="20" spans="1:17" x14ac:dyDescent="0.4">
      <c r="C20" s="52"/>
      <c r="E20" s="53"/>
    </row>
    <row r="23" spans="1:17" x14ac:dyDescent="0.4">
      <c r="A23" s="46" t="s">
        <v>97</v>
      </c>
      <c r="B23" s="46" t="s">
        <v>99</v>
      </c>
      <c r="C23" s="46" t="s">
        <v>82</v>
      </c>
      <c r="D23" s="46" t="s">
        <v>83</v>
      </c>
      <c r="P23" s="40"/>
      <c r="Q23" s="40"/>
    </row>
    <row r="24" spans="1:17" x14ac:dyDescent="0.4">
      <c r="A24" s="4">
        <v>500</v>
      </c>
      <c r="B24" s="5">
        <f>tbl_pricing_predict[[#This Row],[تعداد بیزینس]]*AVERAGE(tbl_pricing[درصد خرید])</f>
        <v>10.145833333333332</v>
      </c>
      <c r="C24" s="12">
        <f>d_customerAvgRevenue*tbl_pricing_predict[[#This Row],[تعداد بیزینس]]</f>
        <v>23500000</v>
      </c>
      <c r="D24" s="12">
        <f>tbl_pricing_predict[[#This Row],[درآمد ماهیانه]]*12</f>
        <v>282000000</v>
      </c>
      <c r="G24" s="35"/>
      <c r="H24" s="12"/>
    </row>
    <row r="25" spans="1:17" x14ac:dyDescent="0.4">
      <c r="A25" s="4">
        <v>1000</v>
      </c>
      <c r="B25" s="5">
        <f>tbl_pricing_predict[[#This Row],[تعداد بیزینس]]*AVERAGE(tbl_pricing[درصد خرید])</f>
        <v>20.291666666666664</v>
      </c>
      <c r="C25" s="12">
        <f>d_customerAvgRevenue*tbl_pricing_predict[[#This Row],[تعداد بیزینس]]</f>
        <v>47000000</v>
      </c>
      <c r="D25" s="12">
        <f>tbl_pricing_predict[[#This Row],[درآمد ماهیانه]]*12</f>
        <v>564000000</v>
      </c>
    </row>
    <row r="26" spans="1:17" x14ac:dyDescent="0.4">
      <c r="A26" s="4">
        <v>2000</v>
      </c>
      <c r="B26" s="5">
        <f>tbl_pricing_predict[[#This Row],[تعداد بیزینس]]*AVERAGE(tbl_pricing[درصد خرید])</f>
        <v>40.583333333333329</v>
      </c>
      <c r="C26" s="12">
        <f>d_customerAvgRevenue*tbl_pricing_predict[[#This Row],[تعداد بیزینس]]</f>
        <v>94000000</v>
      </c>
      <c r="D26" s="12">
        <f>tbl_pricing_predict[[#This Row],[درآمد ماهیانه]]*12</f>
        <v>1128000000</v>
      </c>
    </row>
    <row r="27" spans="1:17" x14ac:dyDescent="0.4">
      <c r="A27" s="4">
        <v>5000</v>
      </c>
      <c r="B27" s="5">
        <f>tbl_pricing_predict[[#This Row],[تعداد بیزینس]]*AVERAGE(tbl_pricing[درصد خرید])</f>
        <v>101.45833333333331</v>
      </c>
      <c r="C27" s="12">
        <f>d_customerAvgRevenue*tbl_pricing_predict[[#This Row],[تعداد بیزینس]]</f>
        <v>235000000</v>
      </c>
      <c r="D27" s="12">
        <f>tbl_pricing_predict[[#This Row],[درآمد ماهیانه]]*12</f>
        <v>2820000000</v>
      </c>
    </row>
    <row r="28" spans="1:17" x14ac:dyDescent="0.4">
      <c r="A28" s="4">
        <v>10000</v>
      </c>
      <c r="B28" s="5">
        <f>tbl_pricing_predict[[#This Row],[تعداد بیزینس]]*AVERAGE(tbl_pricing[درصد خرید])</f>
        <v>202.91666666666663</v>
      </c>
      <c r="C28" s="12">
        <f>d_customerAvgRevenue*tbl_pricing_predict[[#This Row],[تعداد بیزینس]]</f>
        <v>470000000</v>
      </c>
      <c r="D28" s="12">
        <f>tbl_pricing_predict[[#This Row],[درآمد ماهیانه]]*12</f>
        <v>5640000000</v>
      </c>
    </row>
    <row r="29" spans="1:17" x14ac:dyDescent="0.4">
      <c r="A29" s="4">
        <v>20000</v>
      </c>
      <c r="B29" s="5">
        <f>tbl_pricing_predict[[#This Row],[تعداد بیزینس]]*AVERAGE(tbl_pricing[درصد خرید])</f>
        <v>405.83333333333326</v>
      </c>
      <c r="C29" s="12">
        <f>d_customerAvgRevenue*tbl_pricing_predict[[#This Row],[تعداد بیزینس]]</f>
        <v>940000000</v>
      </c>
      <c r="D29" s="12">
        <f>tbl_pricing_predict[[#This Row],[درآمد ماهیانه]]*12</f>
        <v>11280000000</v>
      </c>
    </row>
    <row r="30" spans="1:17" x14ac:dyDescent="0.4">
      <c r="A30" s="4">
        <v>50000</v>
      </c>
      <c r="B30" s="5">
        <f>tbl_pricing_predict[[#This Row],[تعداد بیزینس]]*AVERAGE(tbl_pricing[درصد خرید])</f>
        <v>1014.5833333333331</v>
      </c>
      <c r="C30" s="12">
        <f>d_customerAvgRevenue*tbl_pricing_predict[[#This Row],[تعداد بیزینس]]</f>
        <v>2350000000</v>
      </c>
      <c r="D30" s="12">
        <f>tbl_pricing_predict[[#This Row],[درآمد ماهیانه]]*12</f>
        <v>28200000000</v>
      </c>
    </row>
    <row r="31" spans="1:17" x14ac:dyDescent="0.4">
      <c r="A31" s="4">
        <v>100000</v>
      </c>
      <c r="B31" s="5">
        <f>tbl_pricing_predict[[#This Row],[تعداد بیزینس]]*AVERAGE(tbl_pricing[درصد خرید])</f>
        <v>2029.1666666666663</v>
      </c>
      <c r="C31" s="12">
        <f>d_customerAvgRevenue*tbl_pricing_predict[[#This Row],[تعداد بیزینس]]</f>
        <v>4700000000</v>
      </c>
      <c r="D31" s="12">
        <f>tbl_pricing_predict[[#This Row],[درآمد ماهیانه]]*12</f>
        <v>56400000000</v>
      </c>
    </row>
    <row r="32" spans="1:17" x14ac:dyDescent="0.4">
      <c r="A32" s="4">
        <v>200000</v>
      </c>
      <c r="B32" s="5">
        <f>tbl_pricing_predict[[#This Row],[تعداد بیزینس]]*AVERAGE(tbl_pricing[درصد خرید])</f>
        <v>4058.3333333333326</v>
      </c>
      <c r="C32" s="12">
        <f>d_customerAvgRevenue*tbl_pricing_predict[[#This Row],[تعداد بیزینس]]</f>
        <v>9400000000</v>
      </c>
      <c r="D32" s="12">
        <f>tbl_pricing_predict[[#This Row],[درآمد ماهیانه]]*12</f>
        <v>112800000000</v>
      </c>
    </row>
    <row r="33" spans="1:4" x14ac:dyDescent="0.4">
      <c r="A33" s="4">
        <v>500000</v>
      </c>
      <c r="B33" s="5">
        <f>tbl_pricing_predict[[#This Row],[تعداد بیزینس]]*AVERAGE(tbl_pricing[درصد خرید])</f>
        <v>10145.833333333332</v>
      </c>
      <c r="C33" s="12">
        <f>d_customerAvgRevenue*tbl_pricing_predict[[#This Row],[تعداد بیزینس]]</f>
        <v>23500000000</v>
      </c>
      <c r="D33" s="12">
        <f>tbl_pricing_predict[[#This Row],[درآمد ماهیانه]]*12</f>
        <v>282000000000</v>
      </c>
    </row>
    <row r="34" spans="1:4" x14ac:dyDescent="0.4">
      <c r="A34" s="4">
        <v>1000000</v>
      </c>
      <c r="B34" s="5">
        <f>tbl_pricing_predict[[#This Row],[تعداد بیزینس]]*AVERAGE(tbl_pricing[درصد خرید])</f>
        <v>20291.666666666664</v>
      </c>
      <c r="C34" s="12">
        <f>d_customerAvgRevenue*tbl_pricing_predict[[#This Row],[تعداد بیزینس]]</f>
        <v>47000000000</v>
      </c>
      <c r="D34" s="12">
        <f>tbl_pricing_predict[[#This Row],[درآمد ماهیانه]]*12</f>
        <v>564000000000</v>
      </c>
    </row>
  </sheetData>
  <phoneticPr fontId="5" type="noConversion"/>
  <conditionalFormatting sqref="I2:I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{378FFBAE-F707-4CFA-9218-A26DCF5F9FF3}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FBAE-F707-4CFA-9218-A26DCF5F9F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31</vt:i4>
      </vt:variant>
    </vt:vector>
  </HeadingPairs>
  <TitlesOfParts>
    <vt:vector size="43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 و فروش</vt:lpstr>
      <vt:lpstr>هزینه‌های عمومی و اداری</vt:lpstr>
      <vt:lpstr>جزئیات منابع درآمد</vt:lpstr>
      <vt:lpstr>پیش‌بینی درآمد</vt:lpstr>
      <vt:lpstr>خلاصه و ارزیابی</vt:lpstr>
      <vt:lpstr>مراحل سرمایه‌گذاری</vt:lpstr>
      <vt:lpstr>d_AnnualSalary</vt:lpstr>
      <vt:lpstr>d_coloCost</vt:lpstr>
      <vt:lpstr>d_customerAvgRevenue</vt:lpstr>
      <vt:lpstr>d_customerConvertRate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  <vt:lpstr>s_activeUser</vt:lpstr>
      <vt:lpstr>s_cagr</vt:lpstr>
      <vt:lpstr>s_costsGrowthCapexYOY</vt:lpstr>
      <vt:lpstr>s_costsGrowthYOY</vt:lpstr>
      <vt:lpstr>v_DiscountRate</vt:lpstr>
      <vt:lpstr>v_ExitRevenueMultiple</vt:lpstr>
      <vt:lpstr>v_seriA</vt:lpstr>
      <vt:lpstr>v_seriB</vt:lpstr>
      <vt:lpstr>v_seriC</vt:lpstr>
      <vt:lpstr>v_seriD</vt:lpstr>
      <vt:lpstr>v_seriE</vt:lpstr>
      <vt:lpstr>v_seriF</vt:lpstr>
      <vt:lpstr>v_totalFund</vt:lpstr>
    </vt:vector>
  </TitlesOfParts>
  <Manager>Mr.Javad.Adib@gmail.com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Mr.Javad.Adib@gmail.com</dc:creator>
  <cp:lastModifiedBy>Javad Evazzadeh</cp:lastModifiedBy>
  <cp:lastPrinted>2021-05-15T13:21:20Z</cp:lastPrinted>
  <dcterms:created xsi:type="dcterms:W3CDTF">2021-05-14T11:36:15Z</dcterms:created>
  <dcterms:modified xsi:type="dcterms:W3CDTF">2021-05-19T13:44:40Z</dcterms:modified>
</cp:coreProperties>
</file>