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eb\projects\talambar_cdn\business\stat\"/>
    </mc:Choice>
  </mc:AlternateContent>
  <xr:revisionPtr revIDLastSave="0" documentId="13_ncr:1_{09857C4E-4C75-4175-B7DF-15AD02DC9A08}" xr6:coauthVersionLast="46" xr6:coauthVersionMax="46" xr10:uidLastSave="{00000000-0000-0000-0000-000000000000}"/>
  <bookViews>
    <workbookView xWindow="38280" yWindow="-120" windowWidth="29040" windowHeight="15840" activeTab="2" xr2:uid="{00000000-000D-0000-FFFF-FFFF00000000}"/>
  </bookViews>
  <sheets>
    <sheet name="Data" sheetId="1" r:id="rId1"/>
    <sheet name="Summary Quarter" sheetId="2" r:id="rId2"/>
    <sheet name="Summary Year" sheetId="4" r:id="rId3"/>
    <sheet name="Chart for PitchDeck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2" i="4"/>
  <c r="G4" i="4"/>
  <c r="G5" i="4"/>
  <c r="G6" i="4"/>
  <c r="F2" i="4"/>
  <c r="F3" i="4"/>
  <c r="F4" i="4"/>
  <c r="F5" i="4"/>
  <c r="F6" i="4"/>
  <c r="E2" i="4"/>
  <c r="E3" i="4"/>
  <c r="E4" i="4"/>
  <c r="E5" i="4"/>
  <c r="E6" i="4"/>
  <c r="D2" i="4"/>
  <c r="D3" i="4"/>
  <c r="D4" i="4"/>
  <c r="D5" i="4"/>
  <c r="D6" i="4"/>
  <c r="C2" i="4"/>
  <c r="C3" i="4"/>
  <c r="C4" i="4"/>
  <c r="C5" i="4"/>
  <c r="C6" i="4"/>
  <c r="B2" i="4"/>
  <c r="B3" i="4"/>
  <c r="B4" i="4"/>
  <c r="B5" i="4"/>
  <c r="B6" i="4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D3" i="2"/>
  <c r="I3" i="2" s="1"/>
  <c r="D4" i="2"/>
  <c r="K4" i="2" s="1"/>
  <c r="D5" i="2"/>
  <c r="K5" i="2" s="1"/>
  <c r="D6" i="2"/>
  <c r="D7" i="2"/>
  <c r="I7" i="2" s="1"/>
  <c r="D8" i="2"/>
  <c r="K8" i="2" s="1"/>
  <c r="D9" i="2"/>
  <c r="K9" i="2" s="1"/>
  <c r="D10" i="2"/>
  <c r="D11" i="2"/>
  <c r="I11" i="2" s="1"/>
  <c r="D12" i="2"/>
  <c r="D13" i="2"/>
  <c r="K13" i="2" s="1"/>
  <c r="D14" i="2"/>
  <c r="K14" i="2" s="1"/>
  <c r="D15" i="2"/>
  <c r="I15" i="2" s="1"/>
  <c r="D16" i="2"/>
  <c r="H44" i="1"/>
  <c r="G44" i="1"/>
  <c r="F44" i="1"/>
  <c r="E44" i="1"/>
  <c r="D44" i="1"/>
  <c r="I44" i="1"/>
  <c r="H4" i="4" l="1"/>
  <c r="H6" i="4"/>
  <c r="H5" i="4"/>
  <c r="H2" i="4"/>
  <c r="H3" i="4"/>
  <c r="H14" i="2"/>
  <c r="H10" i="2"/>
  <c r="H6" i="2"/>
  <c r="H2" i="2"/>
  <c r="K12" i="2"/>
  <c r="G12" i="2"/>
  <c r="F7" i="2"/>
  <c r="G8" i="2"/>
  <c r="J7" i="2"/>
  <c r="F11" i="2"/>
  <c r="J11" i="2"/>
  <c r="I14" i="2"/>
  <c r="I10" i="2"/>
  <c r="I6" i="2"/>
  <c r="I2" i="2"/>
  <c r="F3" i="2"/>
  <c r="G4" i="2"/>
  <c r="J3" i="2"/>
  <c r="J16" i="2"/>
  <c r="J12" i="2"/>
  <c r="J8" i="2"/>
  <c r="J4" i="2"/>
  <c r="F15" i="2"/>
  <c r="G16" i="2"/>
  <c r="J15" i="2"/>
  <c r="K16" i="2"/>
  <c r="H13" i="2"/>
  <c r="F14" i="2"/>
  <c r="F10" i="2"/>
  <c r="F6" i="2"/>
  <c r="F2" i="2"/>
  <c r="G15" i="2"/>
  <c r="G11" i="2"/>
  <c r="G7" i="2"/>
  <c r="G3" i="2"/>
  <c r="H16" i="2"/>
  <c r="H12" i="2"/>
  <c r="H8" i="2"/>
  <c r="H4" i="2"/>
  <c r="I13" i="2"/>
  <c r="I9" i="2"/>
  <c r="I5" i="2"/>
  <c r="J14" i="2"/>
  <c r="J10" i="2"/>
  <c r="J6" i="2"/>
  <c r="J2" i="2"/>
  <c r="K15" i="2"/>
  <c r="K11" i="2"/>
  <c r="K7" i="2"/>
  <c r="K3" i="2"/>
  <c r="H5" i="2"/>
  <c r="F13" i="2"/>
  <c r="F9" i="2"/>
  <c r="F5" i="2"/>
  <c r="G14" i="2"/>
  <c r="G10" i="2"/>
  <c r="G6" i="2"/>
  <c r="G2" i="2"/>
  <c r="H15" i="2"/>
  <c r="H11" i="2"/>
  <c r="H7" i="2"/>
  <c r="H3" i="2"/>
  <c r="I16" i="2"/>
  <c r="I12" i="2"/>
  <c r="I8" i="2"/>
  <c r="I4" i="2"/>
  <c r="J13" i="2"/>
  <c r="J9" i="2"/>
  <c r="J5" i="2"/>
  <c r="K10" i="2"/>
  <c r="K6" i="2"/>
  <c r="K2" i="2"/>
  <c r="H9" i="2"/>
  <c r="F16" i="2"/>
  <c r="F12" i="2"/>
  <c r="F8" i="2"/>
  <c r="F4" i="2"/>
  <c r="G13" i="2"/>
  <c r="G9" i="2"/>
  <c r="G5" i="2"/>
  <c r="F7" i="4" l="1"/>
  <c r="C7" i="4"/>
  <c r="B7" i="4"/>
  <c r="G7" i="4"/>
  <c r="D7" i="4"/>
  <c r="E7" i="4"/>
  <c r="H17" i="2"/>
  <c r="J17" i="2"/>
  <c r="I17" i="2"/>
  <c r="G17" i="2"/>
  <c r="F17" i="2"/>
  <c r="K17" i="2"/>
</calcChain>
</file>

<file path=xl/sharedStrings.xml><?xml version="1.0" encoding="utf-8"?>
<sst xmlns="http://schemas.openxmlformats.org/spreadsheetml/2006/main" count="77" uniqueCount="29">
  <si>
    <t>Year</t>
  </si>
  <si>
    <t>Month</t>
  </si>
  <si>
    <t>Column1</t>
  </si>
  <si>
    <t>Row</t>
  </si>
  <si>
    <t>New Business</t>
  </si>
  <si>
    <t>New Product</t>
  </si>
  <si>
    <t>New Factor</t>
  </si>
  <si>
    <t>Filtered Factor</t>
  </si>
  <si>
    <t>GMV</t>
  </si>
  <si>
    <t>GMV Filtered</t>
  </si>
  <si>
    <t>Total</t>
  </si>
  <si>
    <t>Q4</t>
  </si>
  <si>
    <t>Q1</t>
  </si>
  <si>
    <t>Quarter</t>
  </si>
  <si>
    <t>Q2</t>
  </si>
  <si>
    <t>Q3</t>
  </si>
  <si>
    <t>Criteria 1</t>
  </si>
  <si>
    <t>Criteria 2</t>
  </si>
  <si>
    <t>&gt;=1</t>
  </si>
  <si>
    <t>&lt;=3</t>
  </si>
  <si>
    <t>&gt;=4</t>
  </si>
  <si>
    <t>&lt;=6</t>
  </si>
  <si>
    <t>&gt;=7</t>
  </si>
  <si>
    <t>&lt;=9</t>
  </si>
  <si>
    <t>&gt;=10</t>
  </si>
  <si>
    <t>&lt;=12</t>
  </si>
  <si>
    <t>Criteria 12</t>
  </si>
  <si>
    <t>Title</t>
  </si>
  <si>
    <t>Increase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</si>
</sst>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3" fillId="0" borderId="0" xfId="0" applyFont="1"/>
    <xf numFmtId="169" fontId="0" fillId="0" borderId="0" xfId="1" applyNumberFormat="1" applyFont="1"/>
    <xf numFmtId="169" fontId="0" fillId="0" borderId="0" xfId="0" applyNumberFormat="1"/>
    <xf numFmtId="1" fontId="0" fillId="0" borderId="0" xfId="1" applyNumberFormat="1" applyFont="1"/>
  </cellXfs>
  <cellStyles count="2">
    <cellStyle name="Comma" xfId="1" builtinId="3"/>
    <cellStyle name="Normal" xfId="0" builtinId="0"/>
  </cellStyles>
  <dxfs count="36"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" formatCode="0"/>
    </dxf>
    <dxf>
      <numFmt numFmtId="1" formatCode="0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numFmt numFmtId="0" formatCode="General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numFmt numFmtId="169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Quarter'!$F$1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Quarter'!$B$2:$B$16</c:f>
              <c:strCache>
                <c:ptCount val="15"/>
                <c:pt idx="0">
                  <c:v>Q4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Q1</c:v>
                </c:pt>
                <c:pt idx="6">
                  <c:v>Q2</c:v>
                </c:pt>
                <c:pt idx="7">
                  <c:v>Q3</c:v>
                </c:pt>
                <c:pt idx="8">
                  <c:v>Q4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Q4</c:v>
                </c:pt>
                <c:pt idx="13">
                  <c:v>Q1</c:v>
                </c:pt>
                <c:pt idx="14">
                  <c:v>Q2</c:v>
                </c:pt>
              </c:strCache>
            </c:strRef>
          </c:cat>
          <c:val>
            <c:numRef>
              <c:f>'Summary Quarter'!$F$2:$F$16</c:f>
              <c:numCache>
                <c:formatCode>_(* #,##0_);_(* \(#,##0\);_(* "-"??_);_(@_)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17</c:v>
                </c:pt>
                <c:pt idx="9">
                  <c:v>14</c:v>
                </c:pt>
                <c:pt idx="10">
                  <c:v>8</c:v>
                </c:pt>
                <c:pt idx="11">
                  <c:v>41</c:v>
                </c:pt>
                <c:pt idx="12">
                  <c:v>36</c:v>
                </c:pt>
                <c:pt idx="13">
                  <c:v>328</c:v>
                </c:pt>
                <c:pt idx="1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F-49F9-8371-A5D99946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Year'!$G$1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Year'!$A$2:$A$6</c15:sqref>
                  </c15:fullRef>
                </c:ext>
              </c:extLst>
              <c:f>'Summary Year'!$A$3:$A$6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Year'!$G$2:$G$6</c15:sqref>
                  </c15:fullRef>
                </c:ext>
              </c:extLst>
              <c:f>'Summary Year'!$G$3:$G$6</c:f>
              <c:numCache>
                <c:formatCode>_(* #,##0_);_(* \(#,##0\);_(* "-"??_);_(@_)</c:formatCode>
                <c:ptCount val="4"/>
                <c:pt idx="0">
                  <c:v>1301105163</c:v>
                </c:pt>
                <c:pt idx="1">
                  <c:v>2282293207</c:v>
                </c:pt>
                <c:pt idx="2">
                  <c:v>3856317552</c:v>
                </c:pt>
                <c:pt idx="3">
                  <c:v>2210322540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5-46D3-81FF-E2D44C960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Growing merchants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Year'!$B$1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'Summary Year'!$A$2:$A$6</c15:sqref>
                  </c15:fullRef>
                </c:ext>
              </c:extLst>
              <c:f>'Summary Year'!$A$3:$A$6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Year'!$B$2:$B$6</c15:sqref>
                  </c15:fullRef>
                </c:ext>
              </c:extLst>
              <c:f>'Summary Year'!$B$3:$B$6</c:f>
              <c:numCache>
                <c:formatCode>_(* #,##0_);_(* \(#,##0\);_(* "-"??_);_(@_)</c:formatCode>
                <c:ptCount val="4"/>
                <c:pt idx="0">
                  <c:v>7</c:v>
                </c:pt>
                <c:pt idx="1">
                  <c:v>28</c:v>
                </c:pt>
                <c:pt idx="2">
                  <c:v>99</c:v>
                </c:pt>
                <c:pt idx="3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E-4B6B-A29F-8C203FA9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Quarter'!$K$1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Quarter'!$C$2:$C$16</c:f>
              <c:strCache>
                <c:ptCount val="15"/>
                <c:pt idx="0">
                  <c:v>17 Q4</c:v>
                </c:pt>
                <c:pt idx="1">
                  <c:v>18 Q1</c:v>
                </c:pt>
                <c:pt idx="2">
                  <c:v>18 Q2</c:v>
                </c:pt>
                <c:pt idx="3">
                  <c:v>18 Q3</c:v>
                </c:pt>
                <c:pt idx="4">
                  <c:v>18 Q4</c:v>
                </c:pt>
                <c:pt idx="5">
                  <c:v>19 Q1</c:v>
                </c:pt>
                <c:pt idx="6">
                  <c:v>19 Q2</c:v>
                </c:pt>
                <c:pt idx="7">
                  <c:v>19 Q3</c:v>
                </c:pt>
                <c:pt idx="8">
                  <c:v>19 Q4</c:v>
                </c:pt>
                <c:pt idx="9">
                  <c:v>20 Q1</c:v>
                </c:pt>
                <c:pt idx="10">
                  <c:v>20 Q2</c:v>
                </c:pt>
                <c:pt idx="11">
                  <c:v>20 Q3</c:v>
                </c:pt>
                <c:pt idx="12">
                  <c:v>20 Q4</c:v>
                </c:pt>
                <c:pt idx="13">
                  <c:v>21 Q1</c:v>
                </c:pt>
                <c:pt idx="14">
                  <c:v>21 Q2</c:v>
                </c:pt>
              </c:strCache>
            </c:strRef>
          </c:cat>
          <c:val>
            <c:numRef>
              <c:f>'Summary Quarter'!$K$2:$K$16</c:f>
              <c:numCache>
                <c:formatCode>_(* #,##0_);_(* \(#,##0\);_(* "-"??_);_(@_)</c:formatCode>
                <c:ptCount val="15"/>
                <c:pt idx="0">
                  <c:v>21665200</c:v>
                </c:pt>
                <c:pt idx="1">
                  <c:v>203215527</c:v>
                </c:pt>
                <c:pt idx="2">
                  <c:v>235019170</c:v>
                </c:pt>
                <c:pt idx="3">
                  <c:v>357678372</c:v>
                </c:pt>
                <c:pt idx="4">
                  <c:v>505192094</c:v>
                </c:pt>
                <c:pt idx="5">
                  <c:v>566162090</c:v>
                </c:pt>
                <c:pt idx="6">
                  <c:v>554276248</c:v>
                </c:pt>
                <c:pt idx="7">
                  <c:v>531471033</c:v>
                </c:pt>
                <c:pt idx="8">
                  <c:v>630383836</c:v>
                </c:pt>
                <c:pt idx="9">
                  <c:v>730777096</c:v>
                </c:pt>
                <c:pt idx="10">
                  <c:v>796791486</c:v>
                </c:pt>
                <c:pt idx="11">
                  <c:v>1028758990</c:v>
                </c:pt>
                <c:pt idx="12">
                  <c:v>1299989980</c:v>
                </c:pt>
                <c:pt idx="13">
                  <c:v>1507002143</c:v>
                </c:pt>
                <c:pt idx="14">
                  <c:v>703320397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197-8B77-DA3D0DD5C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Quarter'!$I$1</c:f>
              <c:strCache>
                <c:ptCount val="1"/>
                <c:pt idx="0">
                  <c:v>Filtered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Quarter'!$C$2:$C$16</c:f>
              <c:strCache>
                <c:ptCount val="15"/>
                <c:pt idx="0">
                  <c:v>17 Q4</c:v>
                </c:pt>
                <c:pt idx="1">
                  <c:v>18 Q1</c:v>
                </c:pt>
                <c:pt idx="2">
                  <c:v>18 Q2</c:v>
                </c:pt>
                <c:pt idx="3">
                  <c:v>18 Q3</c:v>
                </c:pt>
                <c:pt idx="4">
                  <c:v>18 Q4</c:v>
                </c:pt>
                <c:pt idx="5">
                  <c:v>19 Q1</c:v>
                </c:pt>
                <c:pt idx="6">
                  <c:v>19 Q2</c:v>
                </c:pt>
                <c:pt idx="7">
                  <c:v>19 Q3</c:v>
                </c:pt>
                <c:pt idx="8">
                  <c:v>19 Q4</c:v>
                </c:pt>
                <c:pt idx="9">
                  <c:v>20 Q1</c:v>
                </c:pt>
                <c:pt idx="10">
                  <c:v>20 Q2</c:v>
                </c:pt>
                <c:pt idx="11">
                  <c:v>20 Q3</c:v>
                </c:pt>
                <c:pt idx="12">
                  <c:v>20 Q4</c:v>
                </c:pt>
                <c:pt idx="13">
                  <c:v>21 Q1</c:v>
                </c:pt>
                <c:pt idx="14">
                  <c:v>21 Q2</c:v>
                </c:pt>
              </c:strCache>
            </c:strRef>
          </c:cat>
          <c:val>
            <c:numRef>
              <c:f>'Summary Quarter'!$I$2:$I$16</c:f>
              <c:numCache>
                <c:formatCode>_(* #,##0_);_(* \(#,##0\);_(* "-"??_);_(@_)</c:formatCode>
                <c:ptCount val="15"/>
                <c:pt idx="0">
                  <c:v>2119</c:v>
                </c:pt>
                <c:pt idx="1">
                  <c:v>24482</c:v>
                </c:pt>
                <c:pt idx="2">
                  <c:v>28865</c:v>
                </c:pt>
                <c:pt idx="3">
                  <c:v>35124</c:v>
                </c:pt>
                <c:pt idx="4">
                  <c:v>36166</c:v>
                </c:pt>
                <c:pt idx="5">
                  <c:v>36018</c:v>
                </c:pt>
                <c:pt idx="6">
                  <c:v>33082</c:v>
                </c:pt>
                <c:pt idx="7">
                  <c:v>30223</c:v>
                </c:pt>
                <c:pt idx="8">
                  <c:v>34074</c:v>
                </c:pt>
                <c:pt idx="9">
                  <c:v>34867</c:v>
                </c:pt>
                <c:pt idx="10">
                  <c:v>35278</c:v>
                </c:pt>
                <c:pt idx="11">
                  <c:v>37218</c:v>
                </c:pt>
                <c:pt idx="12">
                  <c:v>34553</c:v>
                </c:pt>
                <c:pt idx="13">
                  <c:v>34987</c:v>
                </c:pt>
                <c:pt idx="14">
                  <c:v>15967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A-493F-A756-6D0150FF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Quarter'!$G$1</c:f>
              <c:strCache>
                <c:ptCount val="1"/>
                <c:pt idx="0">
                  <c:v>New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Quarter'!$C$2:$C$16</c:f>
              <c:strCache>
                <c:ptCount val="15"/>
                <c:pt idx="0">
                  <c:v>17 Q4</c:v>
                </c:pt>
                <c:pt idx="1">
                  <c:v>18 Q1</c:v>
                </c:pt>
                <c:pt idx="2">
                  <c:v>18 Q2</c:v>
                </c:pt>
                <c:pt idx="3">
                  <c:v>18 Q3</c:v>
                </c:pt>
                <c:pt idx="4">
                  <c:v>18 Q4</c:v>
                </c:pt>
                <c:pt idx="5">
                  <c:v>19 Q1</c:v>
                </c:pt>
                <c:pt idx="6">
                  <c:v>19 Q2</c:v>
                </c:pt>
                <c:pt idx="7">
                  <c:v>19 Q3</c:v>
                </c:pt>
                <c:pt idx="8">
                  <c:v>19 Q4</c:v>
                </c:pt>
                <c:pt idx="9">
                  <c:v>20 Q1</c:v>
                </c:pt>
                <c:pt idx="10">
                  <c:v>20 Q2</c:v>
                </c:pt>
                <c:pt idx="11">
                  <c:v>20 Q3</c:v>
                </c:pt>
                <c:pt idx="12">
                  <c:v>20 Q4</c:v>
                </c:pt>
                <c:pt idx="13">
                  <c:v>21 Q1</c:v>
                </c:pt>
                <c:pt idx="14">
                  <c:v>21 Q2</c:v>
                </c:pt>
              </c:strCache>
            </c:strRef>
          </c:cat>
          <c:val>
            <c:numRef>
              <c:f>'Summary Quarter'!$G$2:$G$16</c:f>
              <c:numCache>
                <c:formatCode>_(* #,##0_);_(* \(#,##0\);_(* "-"??_);_(@_)</c:formatCode>
                <c:ptCount val="15"/>
                <c:pt idx="0">
                  <c:v>4296</c:v>
                </c:pt>
                <c:pt idx="1">
                  <c:v>1010</c:v>
                </c:pt>
                <c:pt idx="2">
                  <c:v>2330</c:v>
                </c:pt>
                <c:pt idx="3">
                  <c:v>1018</c:v>
                </c:pt>
                <c:pt idx="4">
                  <c:v>905</c:v>
                </c:pt>
                <c:pt idx="5">
                  <c:v>733</c:v>
                </c:pt>
                <c:pt idx="6">
                  <c:v>628</c:v>
                </c:pt>
                <c:pt idx="7">
                  <c:v>626</c:v>
                </c:pt>
                <c:pt idx="8">
                  <c:v>612</c:v>
                </c:pt>
                <c:pt idx="9">
                  <c:v>475</c:v>
                </c:pt>
                <c:pt idx="10">
                  <c:v>613</c:v>
                </c:pt>
                <c:pt idx="11">
                  <c:v>1253</c:v>
                </c:pt>
                <c:pt idx="12">
                  <c:v>2131</c:v>
                </c:pt>
                <c:pt idx="13">
                  <c:v>3137</c:v>
                </c:pt>
                <c:pt idx="14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9-4A6B-9B28-C23D251F3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Growing merchants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Year'!$B$1</c:f>
              <c:strCache>
                <c:ptCount val="1"/>
                <c:pt idx="0">
                  <c:v>New 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Year'!$B$2:$B$6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28</c:v>
                </c:pt>
                <c:pt idx="3">
                  <c:v>99</c:v>
                </c:pt>
                <c:pt idx="4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9-4BF1-A97E-7DF84895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771200"/>
        <c:axId val="2127240224"/>
      </c:barChart>
      <c:catAx>
        <c:axId val="20637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0224"/>
        <c:crosses val="autoZero"/>
        <c:auto val="1"/>
        <c:lblAlgn val="ctr"/>
        <c:lblOffset val="100"/>
        <c:noMultiLvlLbl val="0"/>
      </c:catAx>
      <c:valAx>
        <c:axId val="21272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Year'!$G$1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Year'!$G$2:$G$6</c:f>
              <c:numCache>
                <c:formatCode>_(* #,##0_);_(* \(#,##0\);_(* "-"??_);_(@_)</c:formatCode>
                <c:ptCount val="5"/>
                <c:pt idx="0">
                  <c:v>21665200</c:v>
                </c:pt>
                <c:pt idx="1">
                  <c:v>1301105163</c:v>
                </c:pt>
                <c:pt idx="2">
                  <c:v>2282293207</c:v>
                </c:pt>
                <c:pt idx="3">
                  <c:v>3856317552</c:v>
                </c:pt>
                <c:pt idx="4">
                  <c:v>2210322540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E-42B2-982D-03E6B0EC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Year'!$E$1</c:f>
              <c:strCache>
                <c:ptCount val="1"/>
                <c:pt idx="0">
                  <c:v>Filtered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Year'!$E$2:$E$6</c:f>
              <c:numCache>
                <c:formatCode>_(* #,##0_);_(* \(#,##0\);_(* "-"??_);_(@_)</c:formatCode>
                <c:ptCount val="5"/>
                <c:pt idx="0">
                  <c:v>2119</c:v>
                </c:pt>
                <c:pt idx="1">
                  <c:v>124637</c:v>
                </c:pt>
                <c:pt idx="2">
                  <c:v>133397</c:v>
                </c:pt>
                <c:pt idx="3">
                  <c:v>141916</c:v>
                </c:pt>
                <c:pt idx="4">
                  <c:v>50954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46C5-8396-CFE92FE3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Year'!$C$1</c:f>
              <c:strCache>
                <c:ptCount val="1"/>
                <c:pt idx="0">
                  <c:v>New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'Summary Year'!$A$2:$A$6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'Summary Year'!$C$2:$C$6</c:f>
              <c:numCache>
                <c:formatCode>_(* #,##0_);_(* \(#,##0\);_(* "-"??_);_(@_)</c:formatCode>
                <c:ptCount val="5"/>
                <c:pt idx="0">
                  <c:v>4296</c:v>
                </c:pt>
                <c:pt idx="1">
                  <c:v>5263</c:v>
                </c:pt>
                <c:pt idx="2">
                  <c:v>2599</c:v>
                </c:pt>
                <c:pt idx="3">
                  <c:v>4472</c:v>
                </c:pt>
                <c:pt idx="4">
                  <c:v>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4A84-8CF1-C0CFC110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Quarter'!$K$1</c:f>
              <c:strCache>
                <c:ptCount val="1"/>
                <c:pt idx="0">
                  <c:v>GMV Filtered</c:v>
                </c:pt>
              </c:strCache>
            </c:strRef>
          </c:tx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'Summary Quarter'!$C$2:$C$16</c15:sqref>
                  </c15:fullRef>
                </c:ext>
              </c:extLst>
              <c:f>'Summary Quarter'!$C$3:$C$15</c:f>
              <c:strCache>
                <c:ptCount val="13"/>
                <c:pt idx="0">
                  <c:v>18 Q1</c:v>
                </c:pt>
                <c:pt idx="1">
                  <c:v>18 Q2</c:v>
                </c:pt>
                <c:pt idx="2">
                  <c:v>18 Q3</c:v>
                </c:pt>
                <c:pt idx="3">
                  <c:v>18 Q4</c:v>
                </c:pt>
                <c:pt idx="4">
                  <c:v>19 Q1</c:v>
                </c:pt>
                <c:pt idx="5">
                  <c:v>19 Q2</c:v>
                </c:pt>
                <c:pt idx="6">
                  <c:v>19 Q3</c:v>
                </c:pt>
                <c:pt idx="7">
                  <c:v>19 Q4</c:v>
                </c:pt>
                <c:pt idx="8">
                  <c:v>20 Q1</c:v>
                </c:pt>
                <c:pt idx="9">
                  <c:v>20 Q2</c:v>
                </c:pt>
                <c:pt idx="10">
                  <c:v>20 Q3</c:v>
                </c:pt>
                <c:pt idx="11">
                  <c:v>20 Q4</c:v>
                </c:pt>
                <c:pt idx="12">
                  <c:v>21 Q1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'Summary Quarter'!$K$2:$K$16</c15:sqref>
                  </c15:fullRef>
                </c:ext>
              </c:extLst>
              <c:f>'Summary Quarter'!$K$3:$K$15</c:f>
              <c:numCache>
                <c:formatCode>_(* #,##0_);_(* \(#,##0\);_(* "-"??_);_(@_)</c:formatCode>
                <c:ptCount val="13"/>
                <c:pt idx="0">
                  <c:v>203215527</c:v>
                </c:pt>
                <c:pt idx="1">
                  <c:v>235019170</c:v>
                </c:pt>
                <c:pt idx="2">
                  <c:v>357678372</c:v>
                </c:pt>
                <c:pt idx="3">
                  <c:v>505192094</c:v>
                </c:pt>
                <c:pt idx="4">
                  <c:v>566162090</c:v>
                </c:pt>
                <c:pt idx="5">
                  <c:v>554276248</c:v>
                </c:pt>
                <c:pt idx="6">
                  <c:v>531471033</c:v>
                </c:pt>
                <c:pt idx="7">
                  <c:v>630383836</c:v>
                </c:pt>
                <c:pt idx="8">
                  <c:v>730777096</c:v>
                </c:pt>
                <c:pt idx="9">
                  <c:v>796791486</c:v>
                </c:pt>
                <c:pt idx="10">
                  <c:v>1028758990</c:v>
                </c:pt>
                <c:pt idx="11">
                  <c:v>1299989980</c:v>
                </c:pt>
                <c:pt idx="12">
                  <c:v>1507002143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4-4FE2-AA89-8CD3AB11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49376"/>
        <c:axId val="2127249792"/>
      </c:barChart>
      <c:catAx>
        <c:axId val="21272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792"/>
        <c:crosses val="autoZero"/>
        <c:auto val="1"/>
        <c:lblAlgn val="ctr"/>
        <c:lblOffset val="100"/>
        <c:noMultiLvlLbl val="0"/>
      </c:catAx>
      <c:valAx>
        <c:axId val="2127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49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18</xdr:row>
      <xdr:rowOff>14287</xdr:rowOff>
    </xdr:from>
    <xdr:to>
      <xdr:col>6</xdr:col>
      <xdr:colOff>209550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E144D-6801-4C7D-BBF3-8AC54A76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400049</xdr:colOff>
      <xdr:row>1</xdr:row>
      <xdr:rowOff>0</xdr:rowOff>
    </xdr:from>
    <xdr:to>
      <xdr:col>21</xdr:col>
      <xdr:colOff>95249</xdr:colOff>
      <xdr:row>17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4FB88-982B-4E4A-9129-C2FFBFFD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409575</xdr:colOff>
      <xdr:row>17</xdr:row>
      <xdr:rowOff>171450</xdr:rowOff>
    </xdr:from>
    <xdr:to>
      <xdr:col>21</xdr:col>
      <xdr:colOff>66676</xdr:colOff>
      <xdr:row>34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4261A-37DC-4CED-A6C1-F5FBBF46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285750</xdr:colOff>
      <xdr:row>18</xdr:row>
      <xdr:rowOff>9525</xdr:rowOff>
    </xdr:from>
    <xdr:to>
      <xdr:col>12</xdr:col>
      <xdr:colOff>19050</xdr:colOff>
      <xdr:row>34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43FD7-EAF0-4A03-BCF7-C2B4D185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18</xdr:row>
      <xdr:rowOff>71437</xdr:rowOff>
    </xdr:from>
    <xdr:to>
      <xdr:col>4</xdr:col>
      <xdr:colOff>314324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A23E2-E601-4026-989C-735BE8E7C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971549</xdr:colOff>
      <xdr:row>0</xdr:row>
      <xdr:rowOff>133350</xdr:rowOff>
    </xdr:from>
    <xdr:to>
      <xdr:col>20</xdr:col>
      <xdr:colOff>57149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FED57-D89B-43CB-A54A-905ED22AA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1009650</xdr:colOff>
      <xdr:row>17</xdr:row>
      <xdr:rowOff>180975</xdr:rowOff>
    </xdr:from>
    <xdr:to>
      <xdr:col>20</xdr:col>
      <xdr:colOff>57151</xdr:colOff>
      <xdr:row>34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5BF1EC-6173-4026-A782-F952B30CF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18</xdr:row>
      <xdr:rowOff>47625</xdr:rowOff>
    </xdr:from>
    <xdr:to>
      <xdr:col>10</xdr:col>
      <xdr:colOff>857250</xdr:colOff>
      <xdr:row>34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C611A-3C8B-4B38-9AAA-1FDCE1186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495301</xdr:colOff>
      <xdr:row>3</xdr:row>
      <xdr:rowOff>38100</xdr:rowOff>
    </xdr:from>
    <xdr:to>
      <xdr:col>8</xdr:col>
      <xdr:colOff>438150</xdr:colOff>
      <xdr:row>19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C847E-875F-4D98-8FC6-48C0D4CE0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3</xdr:row>
      <xdr:rowOff>19050</xdr:rowOff>
    </xdr:from>
    <xdr:to>
      <xdr:col>19</xdr:col>
      <xdr:colOff>542925</xdr:colOff>
      <xdr:row>19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7011B-CCB5-48BE-AFC4-12A0680D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20</xdr:row>
      <xdr:rowOff>104775</xdr:rowOff>
    </xdr:from>
    <xdr:to>
      <xdr:col>6</xdr:col>
      <xdr:colOff>457200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443A8D-CB2F-4B87-B098-418B69D2E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BF5F5E-A08C-43D3-AF5C-93D29AB57339}" name="tbl_data" displayName="tbl_data" ref="A1:I44" totalsRowCount="1">
  <autoFilter ref="A1:I43" xr:uid="{2D944AD3-C5DD-452B-B86E-8F1AFD7D2864}"/>
  <tableColumns count="9">
    <tableColumn id="1" xr3:uid="{030E955E-FE92-4FF1-B3D2-9540CADEE291}" name="Row" totalsRowLabel="Total"/>
    <tableColumn id="2" xr3:uid="{C6C03CC8-DD6E-459E-8B3A-F7A34D5929BA}" name="Year"/>
    <tableColumn id="3" xr3:uid="{05B9A9D1-2D32-4655-9BF8-0FCFDAFBE553}" name="Month"/>
    <tableColumn id="4" xr3:uid="{7462BB8E-4B15-4D29-A766-77F99E9F2E6E}" name="New Business" totalsRowFunction="sum"/>
    <tableColumn id="5" xr3:uid="{8CFBB81D-A559-44A0-9449-516C5068D84A}" name="New Product" totalsRowFunction="sum"/>
    <tableColumn id="6" xr3:uid="{1D44023C-EE14-4AB1-A9C2-87175E983D38}" name="New Factor" totalsRowFunction="sum" dataDxfId="35"/>
    <tableColumn id="7" xr3:uid="{3FCA5576-5FAA-4020-9C3C-736D6AD5A42F}" name="Filtered Factor" totalsRowFunction="sum" dataDxfId="34"/>
    <tableColumn id="8" xr3:uid="{3B17B47B-3CBE-4CE4-A592-6D461525C0AF}" name="GMV" totalsRowFunction="sum" dataDxfId="33"/>
    <tableColumn id="9" xr3:uid="{BF548A0E-59A1-45DD-B8C3-C3D8AE95B8DE}" name="GMV Filtered" totalsRowFunction="sum" dataDxfId="32" totalsRow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3E3F00-5D4B-4C30-AB01-4D095B55CFF2}" name="tbl_summary" displayName="tbl_summary" ref="A1:L17" totalsRowCount="1">
  <autoFilter ref="A1:L16" xr:uid="{538EC323-8ED8-4CE3-B8D4-0A190AEDB6FB}"/>
  <tableColumns count="12">
    <tableColumn id="1" xr3:uid="{3AEDF3E8-DCDF-4458-8CEB-82817AB64072}" name="Year" totalsRowLabel="Total"/>
    <tableColumn id="2" xr3:uid="{5CC5A32E-8D8D-4620-AA68-67CA198A6D22}" name="Quarter"/>
    <tableColumn id="12" xr3:uid="{E6D4C389-7217-4BEA-8474-AA9545BFC91F}" name="Title" dataDxfId="22">
      <calculatedColumnFormula>RIGHT(tbl_summary[[#This Row],[Year]],2) &amp; " " &amp; tbl_summary[[#This Row],[Quarter]]</calculatedColumnFormula>
    </tableColumn>
    <tableColumn id="10" xr3:uid="{FE8EAC06-9343-43A5-9933-DA06B55C4834}" name="Criteria 1" dataDxfId="30" totalsRowDxfId="21">
      <calculatedColumnFormula>VLOOKUP(tbl_summary[[#This Row],[Quarter]],tbl_Criteria[],2,FALSE)</calculatedColumnFormula>
    </tableColumn>
    <tableColumn id="11" xr3:uid="{C2D61A1B-5F2E-47AB-A2F5-843F0E6D5F88}" name="Criteria 2" dataDxfId="29" totalsRowDxfId="20">
      <calculatedColumnFormula>VLOOKUP(tbl_summary[[#This Row],[Quarter]],tbl_Criteria[],3,FALSE)</calculatedColumnFormula>
    </tableColumn>
    <tableColumn id="9" xr3:uid="{5949D5F2-4B5A-43E1-BE5E-5034FCD8DA25}" name="New Business" totalsRowFunction="sum" dataDxfId="28" totalsRowDxfId="19" dataCellStyle="Comma">
      <calculatedColumnFormula>SUMIFS(tbl_data[New Business],tbl_data[Year],tbl_summary[[#This Row],[Year]],tbl_data[Month],tbl_summary[[#This Row],[Criteria 1]],tbl_data[Month],tbl_summary[[#This Row],[Criteria 2]])</calculatedColumnFormula>
    </tableColumn>
    <tableColumn id="4" xr3:uid="{F29BC25B-6310-4D3C-ACDA-A802AA2EBA01}" name="New Product" totalsRowFunction="sum" dataDxfId="27" totalsRowDxfId="18" dataCellStyle="Comma">
      <calculatedColumnFormula>SUMIFS(tbl_data[New Product],tbl_data[Year],tbl_summary[[#This Row],[Year]],tbl_data[Month],tbl_summary[[#This Row],[Criteria 1]],tbl_data[Month],tbl_summary[[#This Row],[Criteria 2]])</calculatedColumnFormula>
    </tableColumn>
    <tableColumn id="5" xr3:uid="{FF6A2A54-ECC5-4CC5-9EC1-DAFC86F27E1F}" name="New Factor" totalsRowFunction="sum" dataDxfId="26" totalsRowDxfId="17" dataCellStyle="Comma">
      <calculatedColumnFormula>SUMIFS(tbl_data[New Factor],tbl_data[Year],tbl_summary[[#This Row],[Year]],tbl_data[Month],tbl_summary[[#This Row],[Criteria 1]],tbl_data[Month],tbl_summary[[#This Row],[Criteria 2]])</calculatedColumnFormula>
    </tableColumn>
    <tableColumn id="6" xr3:uid="{E99716DE-17A8-4B4F-B157-45F22E35D131}" name="Filtered Factor" totalsRowFunction="sum" dataDxfId="25" totalsRowDxfId="16" dataCellStyle="Comma">
      <calculatedColumnFormula>SUMIFS(tbl_data[Filtered Factor],tbl_data[Year],tbl_summary[[#This Row],[Year]],tbl_data[Month],tbl_summary[[#This Row],[Criteria 1]],tbl_data[Month],tbl_summary[[#This Row],[Criteria 2]])</calculatedColumnFormula>
    </tableColumn>
    <tableColumn id="7" xr3:uid="{15212531-9C7E-4483-B14C-2B5A668B2CB0}" name="GMV" totalsRowFunction="sum" dataDxfId="24" totalsRowDxfId="15" dataCellStyle="Comma">
      <calculatedColumnFormula>SUMIFS(tbl_data[GMV],tbl_data[Year],tbl_summary[[#This Row],[Year]],tbl_data[Month],tbl_summary[[#This Row],[Criteria 1]],tbl_data[Month],tbl_summary[[#This Row],[Criteria 2]])</calculatedColumnFormula>
    </tableColumn>
    <tableColumn id="8" xr3:uid="{C97EE61E-0CBC-455B-92CF-74B2D05CC38B}" name="GMV Filtered" totalsRowFunction="sum" dataDxfId="23" totalsRowDxfId="14" dataCellStyle="Comma">
      <calculatedColumnFormula>SUMIFS(tbl_data[GMV Filtered],tbl_data[Year],tbl_summary[[#This Row],[Year]],tbl_data[Month],tbl_summary[[#This Row],[Criteria 1]],tbl_data[Month],tbl_summary[[#This Row],[Criteria 2]])</calculatedColumnFormula>
    </tableColumn>
    <tableColumn id="13" xr3:uid="{62E6CAA1-C202-49B5-9950-CA18C4E578FA}" name="Increase %" dataDxfId="13" dataCellStyle="Comma">
      <calculatedColumnFormula>IFERROR((tbl_summary[[#This Row],[GMV Filtered]]*100/K1) - 100,"-")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ECBA10-C0F3-4394-8B51-BF7539FA6E81}" name="tbl_Criteria" displayName="tbl_Criteria" ref="R1:T5" totalsRowShown="0">
  <autoFilter ref="R1:T5" xr:uid="{5751C316-A3C8-41AB-8CB7-37F0E24C74E6}"/>
  <tableColumns count="3">
    <tableColumn id="1" xr3:uid="{4379DA9F-8A4D-427C-AD11-8FEC3AB10261}" name="Column1"/>
    <tableColumn id="2" xr3:uid="{B958D79C-29A6-4CFB-8B8B-F82656F0EC09}" name="Criteria 1"/>
    <tableColumn id="3" xr3:uid="{F6B8465A-4B09-47D5-A1FA-EC0D803E6B0D}" name="Criteria 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94F70F-8FF9-4747-B9DD-244E6E532C55}" name="tbl_summary6" displayName="tbl_summary6" ref="A1:H7" totalsRowCount="1">
  <autoFilter ref="A1:H6" xr:uid="{538EC323-8ED8-4CE3-B8D4-0A190AEDB6FB}"/>
  <tableColumns count="8">
    <tableColumn id="1" xr3:uid="{C9720499-2365-4C1F-9FFC-0A99316840AF}" name="Year" totalsRowLabel="Total"/>
    <tableColumn id="9" xr3:uid="{8BE58B90-4732-4E86-A539-7F89CE04CAEC}" name="New Business" totalsRowFunction="sum" dataDxfId="11" totalsRowDxfId="5" dataCellStyle="Comma">
      <calculatedColumnFormula>SUMIFS(tbl_data[New Business],tbl_data[Year],tbl_summary6[[#This Row],[Year]])</calculatedColumnFormula>
    </tableColumn>
    <tableColumn id="4" xr3:uid="{B562534D-E54B-4F8B-B8C5-0DE64EFA4251}" name="New Product" totalsRowFunction="sum" dataDxfId="10" totalsRowDxfId="4" dataCellStyle="Comma">
      <calculatedColumnFormula>SUMIFS(tbl_data[New Product],tbl_data[Year],tbl_summary6[[#This Row],[Year]])</calculatedColumnFormula>
    </tableColumn>
    <tableColumn id="5" xr3:uid="{2372AFFB-F735-4AE8-9EFD-EDB9687A1E5A}" name="New Factor" totalsRowFunction="sum" dataDxfId="9" totalsRowDxfId="3" dataCellStyle="Comma">
      <calculatedColumnFormula>SUMIFS(tbl_data[New Factor],tbl_data[Year],tbl_summary6[[#This Row],[Year]])</calculatedColumnFormula>
    </tableColumn>
    <tableColumn id="6" xr3:uid="{3D2214AE-0E19-4268-87BC-91C8DCD060E0}" name="Filtered Factor" totalsRowFunction="sum" dataDxfId="8" totalsRowDxfId="2" dataCellStyle="Comma">
      <calculatedColumnFormula>SUMIFS(tbl_data[Filtered Factor],tbl_data[Year],tbl_summary6[[#This Row],[Year]])</calculatedColumnFormula>
    </tableColumn>
    <tableColumn id="7" xr3:uid="{AC97987F-F5FA-4728-A97D-72C2AA8478F9}" name="GMV" totalsRowFunction="sum" dataDxfId="7" totalsRowDxfId="1" dataCellStyle="Comma">
      <calculatedColumnFormula>SUMIFS(tbl_data[GMV],tbl_data[Year],tbl_summary6[[#This Row],[Year]])</calculatedColumnFormula>
    </tableColumn>
    <tableColumn id="8" xr3:uid="{8E24CA94-C4BA-4A47-BF8A-5CBC539EFE0B}" name="GMV Filtered" totalsRowFunction="sum" dataDxfId="6" totalsRowDxfId="0" dataCellStyle="Comma">
      <calculatedColumnFormula>SUMIFS(tbl_data[GMV Filtered],tbl_data[Year],tbl_summary6[[#This Row],[Year]])</calculatedColumnFormula>
    </tableColumn>
    <tableColumn id="13" xr3:uid="{A6DDA24E-FCF6-4C78-B9EA-1B4407C22C51}" name="Increase %" dataDxfId="12" dataCellStyle="Comma">
      <calculatedColumnFormula>IFERROR((tbl_summary6[[#This Row],[GMV Filtered]]*100/G1) - 100,"-")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63C37A-E3CD-4D14-B983-96D90EE2063D}" name="tbl_Criteria7" displayName="tbl_Criteria7" ref="N1:P5" totalsRowShown="0">
  <autoFilter ref="N1:P5" xr:uid="{5751C316-A3C8-41AB-8CB7-37F0E24C74E6}"/>
  <tableColumns count="3">
    <tableColumn id="1" xr3:uid="{61C4B8DC-32BB-4635-BD65-18B3DE83593A}" name="Column1"/>
    <tableColumn id="2" xr3:uid="{2CD3A6A9-5631-4F0B-AC8A-2F99B731C354}" name="Criteria 1"/>
    <tableColumn id="3" xr3:uid="{72132A4E-3A18-493F-B13D-79EF3B74F64B}" name="Criteria 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opLeftCell="A13" workbookViewId="0">
      <selection activeCell="E2" sqref="E2"/>
    </sheetView>
  </sheetViews>
  <sheetFormatPr defaultRowHeight="15" x14ac:dyDescent="0.25"/>
  <cols>
    <col min="4" max="5" width="16.5703125" customWidth="1"/>
    <col min="6" max="6" width="15.140625" customWidth="1"/>
    <col min="7" max="7" width="22.5703125" customWidth="1"/>
    <col min="8" max="8" width="13.7109375" customWidth="1"/>
    <col min="9" max="9" width="21.140625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</v>
      </c>
      <c r="B2">
        <v>2017</v>
      </c>
      <c r="C2">
        <v>12</v>
      </c>
      <c r="D2">
        <v>5</v>
      </c>
      <c r="E2" s="1">
        <v>4296</v>
      </c>
      <c r="F2" s="1">
        <v>2119</v>
      </c>
      <c r="G2" s="1">
        <v>2119</v>
      </c>
      <c r="H2" s="1">
        <v>21665200</v>
      </c>
      <c r="I2" s="1">
        <v>21665200</v>
      </c>
    </row>
    <row r="3" spans="1:9" x14ac:dyDescent="0.25">
      <c r="A3">
        <v>2</v>
      </c>
      <c r="B3">
        <v>2018</v>
      </c>
      <c r="C3">
        <v>1</v>
      </c>
      <c r="D3">
        <v>3</v>
      </c>
      <c r="E3">
        <v>520</v>
      </c>
      <c r="F3" s="1">
        <v>8271</v>
      </c>
      <c r="G3" s="1">
        <v>8271</v>
      </c>
      <c r="H3" s="1">
        <v>67202728</v>
      </c>
      <c r="I3" s="1">
        <v>67202728</v>
      </c>
    </row>
    <row r="4" spans="1:9" x14ac:dyDescent="0.25">
      <c r="A4">
        <v>3</v>
      </c>
      <c r="B4">
        <v>2018</v>
      </c>
      <c r="C4">
        <v>2</v>
      </c>
      <c r="E4">
        <v>322</v>
      </c>
      <c r="F4" s="1">
        <v>8251</v>
      </c>
      <c r="G4" s="1">
        <v>8251</v>
      </c>
      <c r="H4" s="1">
        <v>64621881</v>
      </c>
      <c r="I4" s="1">
        <v>64621881</v>
      </c>
    </row>
    <row r="5" spans="1:9" x14ac:dyDescent="0.25">
      <c r="A5">
        <v>4</v>
      </c>
      <c r="B5">
        <v>2018</v>
      </c>
      <c r="C5">
        <v>3</v>
      </c>
      <c r="D5">
        <v>1</v>
      </c>
      <c r="E5">
        <v>168</v>
      </c>
      <c r="F5" s="1">
        <v>7960</v>
      </c>
      <c r="G5" s="1">
        <v>7960</v>
      </c>
      <c r="H5" s="1">
        <v>71390918</v>
      </c>
      <c r="I5" s="1">
        <v>71390918</v>
      </c>
    </row>
    <row r="6" spans="1:9" x14ac:dyDescent="0.25">
      <c r="A6">
        <v>5</v>
      </c>
      <c r="B6">
        <v>2018</v>
      </c>
      <c r="C6">
        <v>4</v>
      </c>
      <c r="D6">
        <v>1</v>
      </c>
      <c r="E6">
        <v>221</v>
      </c>
      <c r="F6" s="1">
        <v>8825</v>
      </c>
      <c r="G6" s="1">
        <v>8825</v>
      </c>
      <c r="H6" s="1">
        <v>68435544</v>
      </c>
      <c r="I6" s="1">
        <v>68435544</v>
      </c>
    </row>
    <row r="7" spans="1:9" x14ac:dyDescent="0.25">
      <c r="A7">
        <v>6</v>
      </c>
      <c r="B7">
        <v>2018</v>
      </c>
      <c r="C7">
        <v>5</v>
      </c>
      <c r="D7">
        <v>2</v>
      </c>
      <c r="E7" s="1">
        <v>1802</v>
      </c>
      <c r="F7" s="1">
        <v>10068</v>
      </c>
      <c r="G7" s="1">
        <v>10068</v>
      </c>
      <c r="H7" s="1">
        <v>82961385</v>
      </c>
      <c r="I7" s="1">
        <v>82961385</v>
      </c>
    </row>
    <row r="8" spans="1:9" x14ac:dyDescent="0.25">
      <c r="A8">
        <v>7</v>
      </c>
      <c r="B8">
        <v>2018</v>
      </c>
      <c r="C8">
        <v>6</v>
      </c>
      <c r="E8">
        <v>307</v>
      </c>
      <c r="F8" s="1">
        <v>9972</v>
      </c>
      <c r="G8" s="1">
        <v>9972</v>
      </c>
      <c r="H8" s="1">
        <v>83622241</v>
      </c>
      <c r="I8" s="1">
        <v>83622241</v>
      </c>
    </row>
    <row r="9" spans="1:9" x14ac:dyDescent="0.25">
      <c r="A9">
        <v>8</v>
      </c>
      <c r="B9">
        <v>2018</v>
      </c>
      <c r="C9">
        <v>7</v>
      </c>
      <c r="E9">
        <v>380</v>
      </c>
      <c r="F9" s="1">
        <v>12420</v>
      </c>
      <c r="G9" s="1">
        <v>12420</v>
      </c>
      <c r="H9" s="1">
        <v>102639878</v>
      </c>
      <c r="I9" s="1">
        <v>102639878</v>
      </c>
    </row>
    <row r="10" spans="1:9" x14ac:dyDescent="0.25">
      <c r="A10">
        <v>9</v>
      </c>
      <c r="B10">
        <v>2018</v>
      </c>
      <c r="C10">
        <v>8</v>
      </c>
      <c r="E10">
        <v>361</v>
      </c>
      <c r="F10" s="1">
        <v>11494</v>
      </c>
      <c r="G10" s="1">
        <v>11494</v>
      </c>
      <c r="H10" s="1">
        <v>110472478</v>
      </c>
      <c r="I10" s="1">
        <v>110472478</v>
      </c>
    </row>
    <row r="11" spans="1:9" x14ac:dyDescent="0.25">
      <c r="A11">
        <v>10</v>
      </c>
      <c r="B11">
        <v>2018</v>
      </c>
      <c r="C11">
        <v>9</v>
      </c>
      <c r="E11">
        <v>277</v>
      </c>
      <c r="F11" s="1">
        <v>11210</v>
      </c>
      <c r="G11" s="1">
        <v>11210</v>
      </c>
      <c r="H11" s="1">
        <v>144566016</v>
      </c>
      <c r="I11" s="1">
        <v>144566016</v>
      </c>
    </row>
    <row r="12" spans="1:9" x14ac:dyDescent="0.25">
      <c r="A12">
        <v>11</v>
      </c>
      <c r="B12">
        <v>2018</v>
      </c>
      <c r="C12">
        <v>10</v>
      </c>
      <c r="E12">
        <v>336</v>
      </c>
      <c r="F12" s="1">
        <v>11563</v>
      </c>
      <c r="G12" s="1">
        <v>11563</v>
      </c>
      <c r="H12" s="1">
        <v>150628423</v>
      </c>
      <c r="I12" s="1">
        <v>150628423</v>
      </c>
    </row>
    <row r="13" spans="1:9" x14ac:dyDescent="0.25">
      <c r="A13">
        <v>12</v>
      </c>
      <c r="B13">
        <v>2018</v>
      </c>
      <c r="C13">
        <v>11</v>
      </c>
      <c r="E13">
        <v>324</v>
      </c>
      <c r="F13" s="1">
        <v>12243</v>
      </c>
      <c r="G13" s="1">
        <v>12243</v>
      </c>
      <c r="H13" s="1">
        <v>173677623</v>
      </c>
      <c r="I13" s="1">
        <v>173677623</v>
      </c>
    </row>
    <row r="14" spans="1:9" x14ac:dyDescent="0.25">
      <c r="A14">
        <v>13</v>
      </c>
      <c r="B14">
        <v>2018</v>
      </c>
      <c r="C14">
        <v>12</v>
      </c>
      <c r="E14">
        <v>245</v>
      </c>
      <c r="F14" s="1">
        <v>12360</v>
      </c>
      <c r="G14" s="1">
        <v>12360</v>
      </c>
      <c r="H14" s="1">
        <v>180886048</v>
      </c>
      <c r="I14" s="1">
        <v>180886048</v>
      </c>
    </row>
    <row r="15" spans="1:9" x14ac:dyDescent="0.25">
      <c r="A15">
        <v>14</v>
      </c>
      <c r="B15">
        <v>2019</v>
      </c>
      <c r="C15">
        <v>1</v>
      </c>
      <c r="E15">
        <v>257</v>
      </c>
      <c r="F15" s="1">
        <v>13142</v>
      </c>
      <c r="G15" s="1">
        <v>13142</v>
      </c>
      <c r="H15" s="1">
        <v>189985619</v>
      </c>
      <c r="I15" s="1">
        <v>189985619</v>
      </c>
    </row>
    <row r="16" spans="1:9" x14ac:dyDescent="0.25">
      <c r="A16">
        <v>15</v>
      </c>
      <c r="B16">
        <v>2019</v>
      </c>
      <c r="C16">
        <v>2</v>
      </c>
      <c r="D16">
        <v>2</v>
      </c>
      <c r="E16">
        <v>242</v>
      </c>
      <c r="F16" s="1">
        <v>11481</v>
      </c>
      <c r="G16" s="1">
        <v>11481</v>
      </c>
      <c r="H16" s="1">
        <v>169314916</v>
      </c>
      <c r="I16" s="1">
        <v>169314916</v>
      </c>
    </row>
    <row r="17" spans="1:9" x14ac:dyDescent="0.25">
      <c r="A17">
        <v>16</v>
      </c>
      <c r="B17">
        <v>2019</v>
      </c>
      <c r="C17">
        <v>3</v>
      </c>
      <c r="D17">
        <v>1</v>
      </c>
      <c r="E17">
        <v>234</v>
      </c>
      <c r="F17" s="1">
        <v>11395</v>
      </c>
      <c r="G17" s="1">
        <v>11395</v>
      </c>
      <c r="H17" s="1">
        <v>206861555</v>
      </c>
      <c r="I17" s="1">
        <v>206861555</v>
      </c>
    </row>
    <row r="18" spans="1:9" x14ac:dyDescent="0.25">
      <c r="A18">
        <v>17</v>
      </c>
      <c r="B18">
        <v>2019</v>
      </c>
      <c r="C18">
        <v>4</v>
      </c>
      <c r="D18">
        <v>3</v>
      </c>
      <c r="E18">
        <v>175</v>
      </c>
      <c r="F18" s="1">
        <v>10974</v>
      </c>
      <c r="G18" s="1">
        <v>10974</v>
      </c>
      <c r="H18" s="1">
        <v>180793251</v>
      </c>
      <c r="I18" s="1">
        <v>180793251</v>
      </c>
    </row>
    <row r="19" spans="1:9" x14ac:dyDescent="0.25">
      <c r="A19">
        <v>18</v>
      </c>
      <c r="B19">
        <v>2019</v>
      </c>
      <c r="C19">
        <v>5</v>
      </c>
      <c r="D19">
        <v>1</v>
      </c>
      <c r="E19">
        <v>216</v>
      </c>
      <c r="F19" s="1">
        <v>11885</v>
      </c>
      <c r="G19" s="1">
        <v>11885</v>
      </c>
      <c r="H19" s="1">
        <v>196325698</v>
      </c>
      <c r="I19" s="1">
        <v>196325698</v>
      </c>
    </row>
    <row r="20" spans="1:9" x14ac:dyDescent="0.25">
      <c r="A20">
        <v>19</v>
      </c>
      <c r="B20">
        <v>2019</v>
      </c>
      <c r="C20">
        <v>6</v>
      </c>
      <c r="D20">
        <v>3</v>
      </c>
      <c r="E20">
        <v>237</v>
      </c>
      <c r="F20" s="1">
        <v>10223</v>
      </c>
      <c r="G20" s="1">
        <v>10223</v>
      </c>
      <c r="H20" s="1">
        <v>177157299</v>
      </c>
      <c r="I20" s="1">
        <v>177157299</v>
      </c>
    </row>
    <row r="21" spans="1:9" x14ac:dyDescent="0.25">
      <c r="A21">
        <v>20</v>
      </c>
      <c r="B21">
        <v>2019</v>
      </c>
      <c r="C21">
        <v>7</v>
      </c>
      <c r="D21">
        <v>1</v>
      </c>
      <c r="E21">
        <v>294</v>
      </c>
      <c r="F21" s="1">
        <v>10995</v>
      </c>
      <c r="G21" s="1">
        <v>10995</v>
      </c>
      <c r="H21" s="1">
        <v>196721548</v>
      </c>
      <c r="I21" s="1">
        <v>196721548</v>
      </c>
    </row>
    <row r="22" spans="1:9" x14ac:dyDescent="0.25">
      <c r="A22">
        <v>21</v>
      </c>
      <c r="B22">
        <v>2019</v>
      </c>
      <c r="C22">
        <v>8</v>
      </c>
      <c r="E22">
        <v>187</v>
      </c>
      <c r="F22" s="1">
        <v>10022</v>
      </c>
      <c r="G22" s="1">
        <v>10022</v>
      </c>
      <c r="H22" s="1">
        <v>174103247</v>
      </c>
      <c r="I22" s="1">
        <v>174103247</v>
      </c>
    </row>
    <row r="23" spans="1:9" x14ac:dyDescent="0.25">
      <c r="A23">
        <v>22</v>
      </c>
      <c r="B23">
        <v>2019</v>
      </c>
      <c r="C23">
        <v>9</v>
      </c>
      <c r="E23">
        <v>145</v>
      </c>
      <c r="F23" s="1">
        <v>9206</v>
      </c>
      <c r="G23" s="1">
        <v>9206</v>
      </c>
      <c r="H23" s="1">
        <v>160646238</v>
      </c>
      <c r="I23" s="1">
        <v>160646238</v>
      </c>
    </row>
    <row r="24" spans="1:9" x14ac:dyDescent="0.25">
      <c r="A24">
        <v>23</v>
      </c>
      <c r="B24">
        <v>2019</v>
      </c>
      <c r="C24">
        <v>10</v>
      </c>
      <c r="E24">
        <v>196</v>
      </c>
      <c r="F24" s="1">
        <v>10960</v>
      </c>
      <c r="G24" s="1">
        <v>10960</v>
      </c>
      <c r="H24" s="1">
        <v>193875571</v>
      </c>
      <c r="I24" s="1">
        <v>193875571</v>
      </c>
    </row>
    <row r="25" spans="1:9" x14ac:dyDescent="0.25">
      <c r="A25">
        <v>24</v>
      </c>
      <c r="B25">
        <v>2019</v>
      </c>
      <c r="C25">
        <v>11</v>
      </c>
      <c r="E25">
        <v>224</v>
      </c>
      <c r="F25" s="1">
        <v>11310</v>
      </c>
      <c r="G25" s="1">
        <v>11310</v>
      </c>
      <c r="H25" s="1">
        <v>188191867</v>
      </c>
      <c r="I25" s="1">
        <v>188191867</v>
      </c>
    </row>
    <row r="26" spans="1:9" x14ac:dyDescent="0.25">
      <c r="A26">
        <v>25</v>
      </c>
      <c r="B26">
        <v>2019</v>
      </c>
      <c r="C26">
        <v>12</v>
      </c>
      <c r="D26">
        <v>17</v>
      </c>
      <c r="E26">
        <v>192</v>
      </c>
      <c r="F26" s="1">
        <v>11804</v>
      </c>
      <c r="G26" s="1">
        <v>11804</v>
      </c>
      <c r="H26" s="1">
        <v>248316398</v>
      </c>
      <c r="I26" s="1">
        <v>248316398</v>
      </c>
    </row>
    <row r="27" spans="1:9" x14ac:dyDescent="0.25">
      <c r="A27">
        <v>26</v>
      </c>
      <c r="B27">
        <v>2020</v>
      </c>
      <c r="C27">
        <v>1</v>
      </c>
      <c r="D27">
        <v>5</v>
      </c>
      <c r="E27">
        <v>150</v>
      </c>
      <c r="F27" s="1">
        <v>12494</v>
      </c>
      <c r="G27" s="1">
        <v>12494</v>
      </c>
      <c r="H27" s="1">
        <v>209718545</v>
      </c>
      <c r="I27" s="1">
        <v>209718545</v>
      </c>
    </row>
    <row r="28" spans="1:9" x14ac:dyDescent="0.25">
      <c r="A28">
        <v>27</v>
      </c>
      <c r="B28">
        <v>2020</v>
      </c>
      <c r="C28">
        <v>2</v>
      </c>
      <c r="D28">
        <v>6</v>
      </c>
      <c r="E28">
        <v>174</v>
      </c>
      <c r="F28" s="1">
        <v>11857</v>
      </c>
      <c r="G28" s="1">
        <v>11857</v>
      </c>
      <c r="H28" s="1">
        <v>223422509</v>
      </c>
      <c r="I28" s="1">
        <v>223422509</v>
      </c>
    </row>
    <row r="29" spans="1:9" x14ac:dyDescent="0.25">
      <c r="A29">
        <v>28</v>
      </c>
      <c r="B29">
        <v>2020</v>
      </c>
      <c r="C29">
        <v>3</v>
      </c>
      <c r="D29">
        <v>3</v>
      </c>
      <c r="E29">
        <v>151</v>
      </c>
      <c r="F29" s="1">
        <v>10516</v>
      </c>
      <c r="G29" s="1">
        <v>10516</v>
      </c>
      <c r="H29" s="1">
        <v>297636042</v>
      </c>
      <c r="I29" s="1">
        <v>297636042</v>
      </c>
    </row>
    <row r="30" spans="1:9" x14ac:dyDescent="0.25">
      <c r="A30">
        <v>29</v>
      </c>
      <c r="B30">
        <v>2020</v>
      </c>
      <c r="C30">
        <v>4</v>
      </c>
      <c r="E30">
        <v>219</v>
      </c>
      <c r="F30" s="1">
        <v>10681</v>
      </c>
      <c r="G30" s="1">
        <v>10681</v>
      </c>
      <c r="H30" s="1">
        <v>262892890</v>
      </c>
      <c r="I30" s="1">
        <v>262892890</v>
      </c>
    </row>
    <row r="31" spans="1:9" x14ac:dyDescent="0.25">
      <c r="A31">
        <v>30</v>
      </c>
      <c r="B31">
        <v>2020</v>
      </c>
      <c r="C31">
        <v>5</v>
      </c>
      <c r="D31">
        <v>5</v>
      </c>
      <c r="E31">
        <v>214</v>
      </c>
      <c r="F31" s="1">
        <v>11966</v>
      </c>
      <c r="G31" s="1">
        <v>11966</v>
      </c>
      <c r="H31" s="1">
        <v>259066605</v>
      </c>
      <c r="I31" s="1">
        <v>259066605</v>
      </c>
    </row>
    <row r="32" spans="1:9" x14ac:dyDescent="0.25">
      <c r="A32">
        <v>31</v>
      </c>
      <c r="B32">
        <v>2020</v>
      </c>
      <c r="C32">
        <v>6</v>
      </c>
      <c r="D32">
        <v>3</v>
      </c>
      <c r="E32">
        <v>180</v>
      </c>
      <c r="F32" s="1">
        <v>12631</v>
      </c>
      <c r="G32" s="1">
        <v>12631</v>
      </c>
      <c r="H32" s="1">
        <v>274831991</v>
      </c>
      <c r="I32" s="1">
        <v>274831991</v>
      </c>
    </row>
    <row r="33" spans="1:9" x14ac:dyDescent="0.25">
      <c r="A33">
        <v>32</v>
      </c>
      <c r="B33">
        <v>2020</v>
      </c>
      <c r="C33">
        <v>7</v>
      </c>
      <c r="D33">
        <v>8</v>
      </c>
      <c r="E33">
        <v>427</v>
      </c>
      <c r="F33" s="1">
        <v>13802</v>
      </c>
      <c r="G33" s="1">
        <v>13802</v>
      </c>
      <c r="H33" s="1">
        <v>343039042</v>
      </c>
      <c r="I33" s="1">
        <v>343039042</v>
      </c>
    </row>
    <row r="34" spans="1:9" x14ac:dyDescent="0.25">
      <c r="A34">
        <v>33</v>
      </c>
      <c r="B34">
        <v>2020</v>
      </c>
      <c r="C34">
        <v>8</v>
      </c>
      <c r="D34">
        <v>25</v>
      </c>
      <c r="E34">
        <v>532</v>
      </c>
      <c r="F34" s="1">
        <v>11911</v>
      </c>
      <c r="G34" s="1">
        <v>11911</v>
      </c>
      <c r="H34" s="1">
        <v>376177283</v>
      </c>
      <c r="I34" s="1">
        <v>376177283</v>
      </c>
    </row>
    <row r="35" spans="1:9" x14ac:dyDescent="0.25">
      <c r="A35">
        <v>34</v>
      </c>
      <c r="B35">
        <v>2020</v>
      </c>
      <c r="C35">
        <v>9</v>
      </c>
      <c r="D35">
        <v>8</v>
      </c>
      <c r="E35">
        <v>294</v>
      </c>
      <c r="F35" s="1">
        <v>11505</v>
      </c>
      <c r="G35" s="1">
        <v>11505</v>
      </c>
      <c r="H35" s="1">
        <v>309542665</v>
      </c>
      <c r="I35" s="1">
        <v>309542665</v>
      </c>
    </row>
    <row r="36" spans="1:9" x14ac:dyDescent="0.25">
      <c r="A36">
        <v>35</v>
      </c>
      <c r="B36">
        <v>2020</v>
      </c>
      <c r="C36">
        <v>10</v>
      </c>
      <c r="D36">
        <v>6</v>
      </c>
      <c r="E36">
        <v>322</v>
      </c>
      <c r="F36" s="1">
        <v>11699</v>
      </c>
      <c r="G36" s="1">
        <v>11699</v>
      </c>
      <c r="H36" s="1">
        <v>364678351</v>
      </c>
      <c r="I36" s="1">
        <v>364678351</v>
      </c>
    </row>
    <row r="37" spans="1:9" x14ac:dyDescent="0.25">
      <c r="A37">
        <v>36</v>
      </c>
      <c r="B37">
        <v>2020</v>
      </c>
      <c r="C37">
        <v>11</v>
      </c>
      <c r="D37">
        <v>13</v>
      </c>
      <c r="E37">
        <v>442</v>
      </c>
      <c r="F37" s="1">
        <v>11243</v>
      </c>
      <c r="G37" s="1">
        <v>11239</v>
      </c>
      <c r="H37" s="1">
        <v>1175952471</v>
      </c>
      <c r="I37" s="1">
        <v>412452471</v>
      </c>
    </row>
    <row r="38" spans="1:9" x14ac:dyDescent="0.25">
      <c r="A38">
        <v>37</v>
      </c>
      <c r="B38">
        <v>2020</v>
      </c>
      <c r="C38">
        <v>12</v>
      </c>
      <c r="D38">
        <v>17</v>
      </c>
      <c r="E38" s="1">
        <v>1367</v>
      </c>
      <c r="F38" s="1">
        <v>11618</v>
      </c>
      <c r="G38" s="1">
        <v>11615</v>
      </c>
      <c r="H38" s="1">
        <v>1135859158</v>
      </c>
      <c r="I38" s="1">
        <v>522859158</v>
      </c>
    </row>
    <row r="39" spans="1:9" x14ac:dyDescent="0.25">
      <c r="A39">
        <v>38</v>
      </c>
      <c r="B39">
        <v>2021</v>
      </c>
      <c r="C39">
        <v>1</v>
      </c>
      <c r="D39">
        <v>49</v>
      </c>
      <c r="E39" s="1">
        <v>1365</v>
      </c>
      <c r="F39" s="1">
        <v>11766</v>
      </c>
      <c r="G39" s="1">
        <v>11766</v>
      </c>
      <c r="H39" s="1">
        <v>489535234</v>
      </c>
      <c r="I39" s="1">
        <v>489535234</v>
      </c>
    </row>
    <row r="40" spans="1:9" x14ac:dyDescent="0.25">
      <c r="A40">
        <v>39</v>
      </c>
      <c r="B40">
        <v>2021</v>
      </c>
      <c r="C40">
        <v>2</v>
      </c>
      <c r="D40">
        <v>174</v>
      </c>
      <c r="E40">
        <v>990</v>
      </c>
      <c r="F40" s="1">
        <v>11063</v>
      </c>
      <c r="G40" s="1">
        <v>11062</v>
      </c>
      <c r="H40" s="1">
        <v>677571590</v>
      </c>
      <c r="I40" s="1">
        <v>477571590</v>
      </c>
    </row>
    <row r="41" spans="1:9" x14ac:dyDescent="0.25">
      <c r="A41">
        <v>40</v>
      </c>
      <c r="B41">
        <v>2021</v>
      </c>
      <c r="C41">
        <v>3</v>
      </c>
      <c r="D41">
        <v>105</v>
      </c>
      <c r="E41">
        <v>782</v>
      </c>
      <c r="F41" s="1">
        <v>12159</v>
      </c>
      <c r="G41" s="1">
        <v>12159</v>
      </c>
      <c r="H41" s="1">
        <v>539895319</v>
      </c>
      <c r="I41" s="1">
        <v>539895319</v>
      </c>
    </row>
    <row r="42" spans="1:9" x14ac:dyDescent="0.25">
      <c r="A42">
        <v>41</v>
      </c>
      <c r="B42">
        <v>2021</v>
      </c>
      <c r="C42">
        <v>4</v>
      </c>
      <c r="D42">
        <v>74</v>
      </c>
      <c r="E42">
        <v>796</v>
      </c>
      <c r="F42" s="1">
        <v>12305</v>
      </c>
      <c r="G42" s="1">
        <v>12305</v>
      </c>
      <c r="H42" s="1">
        <v>525928748</v>
      </c>
      <c r="I42" s="1">
        <v>525928748</v>
      </c>
    </row>
    <row r="43" spans="1:9" x14ac:dyDescent="0.25">
      <c r="A43">
        <v>42</v>
      </c>
      <c r="B43">
        <v>2021</v>
      </c>
      <c r="C43">
        <v>5</v>
      </c>
      <c r="D43">
        <v>25</v>
      </c>
      <c r="E43">
        <v>392</v>
      </c>
      <c r="F43" s="1">
        <v>3662</v>
      </c>
      <c r="G43" s="1">
        <v>3662</v>
      </c>
      <c r="H43" s="1">
        <v>177391649</v>
      </c>
      <c r="I43" s="1">
        <v>177391649</v>
      </c>
    </row>
    <row r="44" spans="1:9" x14ac:dyDescent="0.25">
      <c r="A44" t="s">
        <v>10</v>
      </c>
      <c r="D44">
        <f>SUBTOTAL(109,tbl_data[New Business])</f>
        <v>566</v>
      </c>
      <c r="E44">
        <f>SUBTOTAL(109,tbl_data[New Product])</f>
        <v>20955</v>
      </c>
      <c r="F44" s="1">
        <f>SUBTOTAL(109,tbl_data[New Factor])</f>
        <v>453031</v>
      </c>
      <c r="G44" s="1">
        <f>SUBTOTAL(109,tbl_data[Filtered Factor])</f>
        <v>453023</v>
      </c>
      <c r="H44" s="1">
        <f>SUBTOTAL(109,tbl_data[GMV])</f>
        <v>11248203662</v>
      </c>
      <c r="I44" s="1">
        <f>SUBTOTAL(109,tbl_data[GMV Filtered])</f>
        <v>9671703662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0D5D-B024-455D-AD52-AA1D1021FB9B}">
  <dimension ref="A1:T17"/>
  <sheetViews>
    <sheetView workbookViewId="0">
      <selection activeCell="L3" sqref="L3"/>
    </sheetView>
  </sheetViews>
  <sheetFormatPr defaultRowHeight="15" x14ac:dyDescent="0.25"/>
  <cols>
    <col min="2" max="3" width="10" customWidth="1"/>
    <col min="4" max="5" width="11.28515625" bestFit="1" customWidth="1"/>
    <col min="6" max="6" width="15.7109375" bestFit="1" customWidth="1"/>
    <col min="7" max="7" width="14.7109375" bestFit="1" customWidth="1"/>
    <col min="8" max="8" width="13.28515625" bestFit="1" customWidth="1"/>
    <col min="9" max="9" width="16.28515625" bestFit="1" customWidth="1"/>
    <col min="10" max="10" width="15" customWidth="1"/>
    <col min="11" max="11" width="19.28515625" customWidth="1"/>
    <col min="12" max="12" width="12.7109375" bestFit="1" customWidth="1"/>
    <col min="15" max="15" width="16.7109375" bestFit="1" customWidth="1"/>
    <col min="16" max="16" width="14.28515625" bestFit="1" customWidth="1"/>
    <col min="18" max="18" width="11" customWidth="1"/>
    <col min="19" max="19" width="11.140625" customWidth="1"/>
    <col min="20" max="20" width="12.140625" customWidth="1"/>
  </cols>
  <sheetData>
    <row r="1" spans="1:20" x14ac:dyDescent="0.25">
      <c r="A1" t="s">
        <v>0</v>
      </c>
      <c r="B1" t="s">
        <v>13</v>
      </c>
      <c r="C1" t="s">
        <v>27</v>
      </c>
      <c r="D1" t="s">
        <v>16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R1" t="s">
        <v>2</v>
      </c>
      <c r="S1" t="s">
        <v>16</v>
      </c>
      <c r="T1" t="s">
        <v>26</v>
      </c>
    </row>
    <row r="2" spans="1:20" x14ac:dyDescent="0.25">
      <c r="A2">
        <v>2017</v>
      </c>
      <c r="B2" t="s">
        <v>11</v>
      </c>
      <c r="C2" t="str">
        <f>RIGHT(tbl_summary[[#This Row],[Year]],2) &amp; " " &amp; tbl_summary[[#This Row],[Quarter]]</f>
        <v>17 Q4</v>
      </c>
      <c r="D2" s="2" t="str">
        <f>VLOOKUP(tbl_summary[[#This Row],[Quarter]],tbl_Criteria[],2,FALSE)</f>
        <v>&gt;=10</v>
      </c>
      <c r="E2" s="2" t="str">
        <f>VLOOKUP(tbl_summary[[#This Row],[Quarter]],tbl_Criteria[],3,FALSE)</f>
        <v>&lt;=12</v>
      </c>
      <c r="F2" s="3">
        <f>SUMIFS(tbl_data[New Business],tbl_data[Year],tbl_summary[[#This Row],[Year]],tbl_data[Month],tbl_summary[[#This Row],[Criteria 1]],tbl_data[Month],tbl_summary[[#This Row],[Criteria 2]])</f>
        <v>5</v>
      </c>
      <c r="G2" s="3">
        <f>SUMIFS(tbl_data[New Product],tbl_data[Year],tbl_summary[[#This Row],[Year]],tbl_data[Month],tbl_summary[[#This Row],[Criteria 1]],tbl_data[Month],tbl_summary[[#This Row],[Criteria 2]])</f>
        <v>4296</v>
      </c>
      <c r="H2" s="3">
        <f>SUMIFS(tbl_data[New Factor],tbl_data[Year],tbl_summary[[#This Row],[Year]],tbl_data[Month],tbl_summary[[#This Row],[Criteria 1]],tbl_data[Month],tbl_summary[[#This Row],[Criteria 2]])</f>
        <v>2119</v>
      </c>
      <c r="I2" s="3">
        <f>SUMIFS(tbl_data[Filtered Factor],tbl_data[Year],tbl_summary[[#This Row],[Year]],tbl_data[Month],tbl_summary[[#This Row],[Criteria 1]],tbl_data[Month],tbl_summary[[#This Row],[Criteria 2]])</f>
        <v>2119</v>
      </c>
      <c r="J2" s="3">
        <f>SUMIFS(tbl_data[GMV],tbl_data[Year],tbl_summary[[#This Row],[Year]],tbl_data[Month],tbl_summary[[#This Row],[Criteria 1]],tbl_data[Month],tbl_summary[[#This Row],[Criteria 2]])</f>
        <v>21665200</v>
      </c>
      <c r="K2" s="3">
        <f>SUMIFS(tbl_data[GMV Filtered],tbl_data[Year],tbl_summary[[#This Row],[Year]],tbl_data[Month],tbl_summary[[#This Row],[Criteria 1]],tbl_data[Month],tbl_summary[[#This Row],[Criteria 2]])</f>
        <v>21665200</v>
      </c>
      <c r="L2" s="5" t="str">
        <f>IFERROR((tbl_summary[[#This Row],[GMV Filtered]]*100/K1) - 100,"-")</f>
        <v>-</v>
      </c>
      <c r="R2" t="s">
        <v>12</v>
      </c>
      <c r="S2" t="s">
        <v>18</v>
      </c>
      <c r="T2" t="s">
        <v>19</v>
      </c>
    </row>
    <row r="3" spans="1:20" x14ac:dyDescent="0.25">
      <c r="A3">
        <v>2018</v>
      </c>
      <c r="B3" t="s">
        <v>12</v>
      </c>
      <c r="C3" t="str">
        <f>RIGHT(tbl_summary[[#This Row],[Year]],2) &amp; " " &amp; tbl_summary[[#This Row],[Quarter]]</f>
        <v>18 Q1</v>
      </c>
      <c r="D3" s="2" t="str">
        <f>VLOOKUP(tbl_summary[[#This Row],[Quarter]],tbl_Criteria[],2,FALSE)</f>
        <v>&gt;=1</v>
      </c>
      <c r="E3" s="2" t="str">
        <f>VLOOKUP(tbl_summary[[#This Row],[Quarter]],tbl_Criteria[],3,FALSE)</f>
        <v>&lt;=3</v>
      </c>
      <c r="F3" s="3">
        <f>SUMIFS(tbl_data[New Business],tbl_data[Year],tbl_summary[[#This Row],[Year]],tbl_data[Month],tbl_summary[[#This Row],[Criteria 1]],tbl_data[Month],tbl_summary[[#This Row],[Criteria 2]])</f>
        <v>4</v>
      </c>
      <c r="G3" s="3">
        <f>SUMIFS(tbl_data[New Product],tbl_data[Year],tbl_summary[[#This Row],[Year]],tbl_data[Month],tbl_summary[[#This Row],[Criteria 1]],tbl_data[Month],tbl_summary[[#This Row],[Criteria 2]])</f>
        <v>1010</v>
      </c>
      <c r="H3" s="3">
        <f>SUMIFS(tbl_data[New Factor],tbl_data[Year],tbl_summary[[#This Row],[Year]],tbl_data[Month],tbl_summary[[#This Row],[Criteria 1]],tbl_data[Month],tbl_summary[[#This Row],[Criteria 2]])</f>
        <v>24482</v>
      </c>
      <c r="I3" s="3">
        <f>SUMIFS(tbl_data[Filtered Factor],tbl_data[Year],tbl_summary[[#This Row],[Year]],tbl_data[Month],tbl_summary[[#This Row],[Criteria 1]],tbl_data[Month],tbl_summary[[#This Row],[Criteria 2]])</f>
        <v>24482</v>
      </c>
      <c r="J3" s="3">
        <f>SUMIFS(tbl_data[GMV],tbl_data[Year],tbl_summary[[#This Row],[Year]],tbl_data[Month],tbl_summary[[#This Row],[Criteria 1]],tbl_data[Month],tbl_summary[[#This Row],[Criteria 2]])</f>
        <v>203215527</v>
      </c>
      <c r="K3" s="3">
        <f>SUMIFS(tbl_data[GMV Filtered],tbl_data[Year],tbl_summary[[#This Row],[Year]],tbl_data[Month],tbl_summary[[#This Row],[Criteria 1]],tbl_data[Month],tbl_summary[[#This Row],[Criteria 2]])</f>
        <v>203215527</v>
      </c>
      <c r="L3" s="5">
        <f>IFERROR((tbl_summary[[#This Row],[GMV Filtered]]*100/K2) - 100,"-")</f>
        <v>837.98131104259369</v>
      </c>
      <c r="R3" t="s">
        <v>14</v>
      </c>
      <c r="S3" t="s">
        <v>20</v>
      </c>
      <c r="T3" t="s">
        <v>21</v>
      </c>
    </row>
    <row r="4" spans="1:20" x14ac:dyDescent="0.25">
      <c r="A4">
        <v>2018</v>
      </c>
      <c r="B4" t="s">
        <v>14</v>
      </c>
      <c r="C4" t="str">
        <f>RIGHT(tbl_summary[[#This Row],[Year]],2) &amp; " " &amp; tbl_summary[[#This Row],[Quarter]]</f>
        <v>18 Q2</v>
      </c>
      <c r="D4" s="2" t="str">
        <f>VLOOKUP(tbl_summary[[#This Row],[Quarter]],tbl_Criteria[],2,FALSE)</f>
        <v>&gt;=4</v>
      </c>
      <c r="E4" s="2" t="str">
        <f>VLOOKUP(tbl_summary[[#This Row],[Quarter]],tbl_Criteria[],3,FALSE)</f>
        <v>&lt;=6</v>
      </c>
      <c r="F4" s="3">
        <f>SUMIFS(tbl_data[New Business],tbl_data[Year],tbl_summary[[#This Row],[Year]],tbl_data[Month],tbl_summary[[#This Row],[Criteria 1]],tbl_data[Month],tbl_summary[[#This Row],[Criteria 2]])</f>
        <v>3</v>
      </c>
      <c r="G4" s="3">
        <f>SUMIFS(tbl_data[New Product],tbl_data[Year],tbl_summary[[#This Row],[Year]],tbl_data[Month],tbl_summary[[#This Row],[Criteria 1]],tbl_data[Month],tbl_summary[[#This Row],[Criteria 2]])</f>
        <v>2330</v>
      </c>
      <c r="H4" s="3">
        <f>SUMIFS(tbl_data[New Factor],tbl_data[Year],tbl_summary[[#This Row],[Year]],tbl_data[Month],tbl_summary[[#This Row],[Criteria 1]],tbl_data[Month],tbl_summary[[#This Row],[Criteria 2]])</f>
        <v>28865</v>
      </c>
      <c r="I4" s="3">
        <f>SUMIFS(tbl_data[Filtered Factor],tbl_data[Year],tbl_summary[[#This Row],[Year]],tbl_data[Month],tbl_summary[[#This Row],[Criteria 1]],tbl_data[Month],tbl_summary[[#This Row],[Criteria 2]])</f>
        <v>28865</v>
      </c>
      <c r="J4" s="3">
        <f>SUMIFS(tbl_data[GMV],tbl_data[Year],tbl_summary[[#This Row],[Year]],tbl_data[Month],tbl_summary[[#This Row],[Criteria 1]],tbl_data[Month],tbl_summary[[#This Row],[Criteria 2]])</f>
        <v>235019170</v>
      </c>
      <c r="K4" s="3">
        <f>SUMIFS(tbl_data[GMV Filtered],tbl_data[Year],tbl_summary[[#This Row],[Year]],tbl_data[Month],tbl_summary[[#This Row],[Criteria 1]],tbl_data[Month],tbl_summary[[#This Row],[Criteria 2]])</f>
        <v>235019170</v>
      </c>
      <c r="L4" s="5">
        <f>IFERROR((tbl_summary[[#This Row],[GMV Filtered]]*100/K3) - 100,"-")</f>
        <v>15.650203244558185</v>
      </c>
      <c r="R4" t="s">
        <v>15</v>
      </c>
      <c r="S4" t="s">
        <v>22</v>
      </c>
      <c r="T4" t="s">
        <v>23</v>
      </c>
    </row>
    <row r="5" spans="1:20" x14ac:dyDescent="0.25">
      <c r="A5">
        <v>2018</v>
      </c>
      <c r="B5" t="s">
        <v>15</v>
      </c>
      <c r="C5" t="str">
        <f>RIGHT(tbl_summary[[#This Row],[Year]],2) &amp; " " &amp; tbl_summary[[#This Row],[Quarter]]</f>
        <v>18 Q3</v>
      </c>
      <c r="D5" s="2" t="str">
        <f>VLOOKUP(tbl_summary[[#This Row],[Quarter]],tbl_Criteria[],2,FALSE)</f>
        <v>&gt;=7</v>
      </c>
      <c r="E5" s="2" t="str">
        <f>VLOOKUP(tbl_summary[[#This Row],[Quarter]],tbl_Criteria[],3,FALSE)</f>
        <v>&lt;=9</v>
      </c>
      <c r="F5" s="3">
        <f>SUMIFS(tbl_data[New Business],tbl_data[Year],tbl_summary[[#This Row],[Year]],tbl_data[Month],tbl_summary[[#This Row],[Criteria 1]],tbl_data[Month],tbl_summary[[#This Row],[Criteria 2]])</f>
        <v>0</v>
      </c>
      <c r="G5" s="3">
        <f>SUMIFS(tbl_data[New Product],tbl_data[Year],tbl_summary[[#This Row],[Year]],tbl_data[Month],tbl_summary[[#This Row],[Criteria 1]],tbl_data[Month],tbl_summary[[#This Row],[Criteria 2]])</f>
        <v>1018</v>
      </c>
      <c r="H5" s="3">
        <f>SUMIFS(tbl_data[New Factor],tbl_data[Year],tbl_summary[[#This Row],[Year]],tbl_data[Month],tbl_summary[[#This Row],[Criteria 1]],tbl_data[Month],tbl_summary[[#This Row],[Criteria 2]])</f>
        <v>35124</v>
      </c>
      <c r="I5" s="3">
        <f>SUMIFS(tbl_data[Filtered Factor],tbl_data[Year],tbl_summary[[#This Row],[Year]],tbl_data[Month],tbl_summary[[#This Row],[Criteria 1]],tbl_data[Month],tbl_summary[[#This Row],[Criteria 2]])</f>
        <v>35124</v>
      </c>
      <c r="J5" s="3">
        <f>SUMIFS(tbl_data[GMV],tbl_data[Year],tbl_summary[[#This Row],[Year]],tbl_data[Month],tbl_summary[[#This Row],[Criteria 1]],tbl_data[Month],tbl_summary[[#This Row],[Criteria 2]])</f>
        <v>357678372</v>
      </c>
      <c r="K5" s="3">
        <f>SUMIFS(tbl_data[GMV Filtered],tbl_data[Year],tbl_summary[[#This Row],[Year]],tbl_data[Month],tbl_summary[[#This Row],[Criteria 1]],tbl_data[Month],tbl_summary[[#This Row],[Criteria 2]])</f>
        <v>357678372</v>
      </c>
      <c r="L5" s="5">
        <f>IFERROR((tbl_summary[[#This Row],[GMV Filtered]]*100/K4) - 100,"-")</f>
        <v>52.191147641275393</v>
      </c>
      <c r="R5" t="s">
        <v>11</v>
      </c>
      <c r="S5" t="s">
        <v>24</v>
      </c>
      <c r="T5" t="s">
        <v>25</v>
      </c>
    </row>
    <row r="6" spans="1:20" x14ac:dyDescent="0.25">
      <c r="A6">
        <v>2018</v>
      </c>
      <c r="B6" t="s">
        <v>11</v>
      </c>
      <c r="C6" t="str">
        <f>RIGHT(tbl_summary[[#This Row],[Year]],2) &amp; " " &amp; tbl_summary[[#This Row],[Quarter]]</f>
        <v>18 Q4</v>
      </c>
      <c r="D6" s="2" t="str">
        <f>VLOOKUP(tbl_summary[[#This Row],[Quarter]],tbl_Criteria[],2,FALSE)</f>
        <v>&gt;=10</v>
      </c>
      <c r="E6" s="2" t="str">
        <f>VLOOKUP(tbl_summary[[#This Row],[Quarter]],tbl_Criteria[],3,FALSE)</f>
        <v>&lt;=12</v>
      </c>
      <c r="F6" s="3">
        <f>SUMIFS(tbl_data[New Business],tbl_data[Year],tbl_summary[[#This Row],[Year]],tbl_data[Month],tbl_summary[[#This Row],[Criteria 1]],tbl_data[Month],tbl_summary[[#This Row],[Criteria 2]])</f>
        <v>0</v>
      </c>
      <c r="G6" s="3">
        <f>SUMIFS(tbl_data[New Product],tbl_data[Year],tbl_summary[[#This Row],[Year]],tbl_data[Month],tbl_summary[[#This Row],[Criteria 1]],tbl_data[Month],tbl_summary[[#This Row],[Criteria 2]])</f>
        <v>905</v>
      </c>
      <c r="H6" s="3">
        <f>SUMIFS(tbl_data[New Factor],tbl_data[Year],tbl_summary[[#This Row],[Year]],tbl_data[Month],tbl_summary[[#This Row],[Criteria 1]],tbl_data[Month],tbl_summary[[#This Row],[Criteria 2]])</f>
        <v>36166</v>
      </c>
      <c r="I6" s="3">
        <f>SUMIFS(tbl_data[Filtered Factor],tbl_data[Year],tbl_summary[[#This Row],[Year]],tbl_data[Month],tbl_summary[[#This Row],[Criteria 1]],tbl_data[Month],tbl_summary[[#This Row],[Criteria 2]])</f>
        <v>36166</v>
      </c>
      <c r="J6" s="3">
        <f>SUMIFS(tbl_data[GMV],tbl_data[Year],tbl_summary[[#This Row],[Year]],tbl_data[Month],tbl_summary[[#This Row],[Criteria 1]],tbl_data[Month],tbl_summary[[#This Row],[Criteria 2]])</f>
        <v>505192094</v>
      </c>
      <c r="K6" s="3">
        <f>SUMIFS(tbl_data[GMV Filtered],tbl_data[Year],tbl_summary[[#This Row],[Year]],tbl_data[Month],tbl_summary[[#This Row],[Criteria 1]],tbl_data[Month],tbl_summary[[#This Row],[Criteria 2]])</f>
        <v>505192094</v>
      </c>
      <c r="L6" s="5">
        <f>IFERROR((tbl_summary[[#This Row],[GMV Filtered]]*100/K5) - 100,"-")</f>
        <v>41.242002186254638</v>
      </c>
    </row>
    <row r="7" spans="1:20" x14ac:dyDescent="0.25">
      <c r="A7">
        <v>2019</v>
      </c>
      <c r="B7" t="s">
        <v>12</v>
      </c>
      <c r="C7" t="str">
        <f>RIGHT(tbl_summary[[#This Row],[Year]],2) &amp; " " &amp; tbl_summary[[#This Row],[Quarter]]</f>
        <v>19 Q1</v>
      </c>
      <c r="D7" s="2" t="str">
        <f>VLOOKUP(tbl_summary[[#This Row],[Quarter]],tbl_Criteria[],2,FALSE)</f>
        <v>&gt;=1</v>
      </c>
      <c r="E7" s="2" t="str">
        <f>VLOOKUP(tbl_summary[[#This Row],[Quarter]],tbl_Criteria[],3,FALSE)</f>
        <v>&lt;=3</v>
      </c>
      <c r="F7" s="3">
        <f>SUMIFS(tbl_data[New Business],tbl_data[Year],tbl_summary[[#This Row],[Year]],tbl_data[Month],tbl_summary[[#This Row],[Criteria 1]],tbl_data[Month],tbl_summary[[#This Row],[Criteria 2]])</f>
        <v>3</v>
      </c>
      <c r="G7" s="3">
        <f>SUMIFS(tbl_data[New Product],tbl_data[Year],tbl_summary[[#This Row],[Year]],tbl_data[Month],tbl_summary[[#This Row],[Criteria 1]],tbl_data[Month],tbl_summary[[#This Row],[Criteria 2]])</f>
        <v>733</v>
      </c>
      <c r="H7" s="3">
        <f>SUMIFS(tbl_data[New Factor],tbl_data[Year],tbl_summary[[#This Row],[Year]],tbl_data[Month],tbl_summary[[#This Row],[Criteria 1]],tbl_data[Month],tbl_summary[[#This Row],[Criteria 2]])</f>
        <v>36018</v>
      </c>
      <c r="I7" s="3">
        <f>SUMIFS(tbl_data[Filtered Factor],tbl_data[Year],tbl_summary[[#This Row],[Year]],tbl_data[Month],tbl_summary[[#This Row],[Criteria 1]],tbl_data[Month],tbl_summary[[#This Row],[Criteria 2]])</f>
        <v>36018</v>
      </c>
      <c r="J7" s="3">
        <f>SUMIFS(tbl_data[GMV],tbl_data[Year],tbl_summary[[#This Row],[Year]],tbl_data[Month],tbl_summary[[#This Row],[Criteria 1]],tbl_data[Month],tbl_summary[[#This Row],[Criteria 2]])</f>
        <v>566162090</v>
      </c>
      <c r="K7" s="3">
        <f>SUMIFS(tbl_data[GMV Filtered],tbl_data[Year],tbl_summary[[#This Row],[Year]],tbl_data[Month],tbl_summary[[#This Row],[Criteria 1]],tbl_data[Month],tbl_summary[[#This Row],[Criteria 2]])</f>
        <v>566162090</v>
      </c>
      <c r="L7" s="5">
        <f>IFERROR((tbl_summary[[#This Row],[GMV Filtered]]*100/K6) - 100,"-")</f>
        <v>12.06867580156549</v>
      </c>
    </row>
    <row r="8" spans="1:20" x14ac:dyDescent="0.25">
      <c r="A8">
        <v>2019</v>
      </c>
      <c r="B8" t="s">
        <v>14</v>
      </c>
      <c r="C8" t="str">
        <f>RIGHT(tbl_summary[[#This Row],[Year]],2) &amp; " " &amp; tbl_summary[[#This Row],[Quarter]]</f>
        <v>19 Q2</v>
      </c>
      <c r="D8" s="2" t="str">
        <f>VLOOKUP(tbl_summary[[#This Row],[Quarter]],tbl_Criteria[],2,FALSE)</f>
        <v>&gt;=4</v>
      </c>
      <c r="E8" s="2" t="str">
        <f>VLOOKUP(tbl_summary[[#This Row],[Quarter]],tbl_Criteria[],3,FALSE)</f>
        <v>&lt;=6</v>
      </c>
      <c r="F8" s="3">
        <f>SUMIFS(tbl_data[New Business],tbl_data[Year],tbl_summary[[#This Row],[Year]],tbl_data[Month],tbl_summary[[#This Row],[Criteria 1]],tbl_data[Month],tbl_summary[[#This Row],[Criteria 2]])</f>
        <v>7</v>
      </c>
      <c r="G8" s="3">
        <f>SUMIFS(tbl_data[New Product],tbl_data[Year],tbl_summary[[#This Row],[Year]],tbl_data[Month],tbl_summary[[#This Row],[Criteria 1]],tbl_data[Month],tbl_summary[[#This Row],[Criteria 2]])</f>
        <v>628</v>
      </c>
      <c r="H8" s="3">
        <f>SUMIFS(tbl_data[New Factor],tbl_data[Year],tbl_summary[[#This Row],[Year]],tbl_data[Month],tbl_summary[[#This Row],[Criteria 1]],tbl_data[Month],tbl_summary[[#This Row],[Criteria 2]])</f>
        <v>33082</v>
      </c>
      <c r="I8" s="3">
        <f>SUMIFS(tbl_data[Filtered Factor],tbl_data[Year],tbl_summary[[#This Row],[Year]],tbl_data[Month],tbl_summary[[#This Row],[Criteria 1]],tbl_data[Month],tbl_summary[[#This Row],[Criteria 2]])</f>
        <v>33082</v>
      </c>
      <c r="J8" s="3">
        <f>SUMIFS(tbl_data[GMV],tbl_data[Year],tbl_summary[[#This Row],[Year]],tbl_data[Month],tbl_summary[[#This Row],[Criteria 1]],tbl_data[Month],tbl_summary[[#This Row],[Criteria 2]])</f>
        <v>554276248</v>
      </c>
      <c r="K8" s="3">
        <f>SUMIFS(tbl_data[GMV Filtered],tbl_data[Year],tbl_summary[[#This Row],[Year]],tbl_data[Month],tbl_summary[[#This Row],[Criteria 1]],tbl_data[Month],tbl_summary[[#This Row],[Criteria 2]])</f>
        <v>554276248</v>
      </c>
      <c r="L8" s="5">
        <f>IFERROR((tbl_summary[[#This Row],[GMV Filtered]]*100/K7) - 100,"-")</f>
        <v>-2.0993708709814882</v>
      </c>
      <c r="P8" s="3"/>
    </row>
    <row r="9" spans="1:20" x14ac:dyDescent="0.25">
      <c r="A9">
        <v>2019</v>
      </c>
      <c r="B9" t="s">
        <v>15</v>
      </c>
      <c r="C9" t="str">
        <f>RIGHT(tbl_summary[[#This Row],[Year]],2) &amp; " " &amp; tbl_summary[[#This Row],[Quarter]]</f>
        <v>19 Q3</v>
      </c>
      <c r="D9" s="2" t="str">
        <f>VLOOKUP(tbl_summary[[#This Row],[Quarter]],tbl_Criteria[],2,FALSE)</f>
        <v>&gt;=7</v>
      </c>
      <c r="E9" s="2" t="str">
        <f>VLOOKUP(tbl_summary[[#This Row],[Quarter]],tbl_Criteria[],3,FALSE)</f>
        <v>&lt;=9</v>
      </c>
      <c r="F9" s="3">
        <f>SUMIFS(tbl_data[New Business],tbl_data[Year],tbl_summary[[#This Row],[Year]],tbl_data[Month],tbl_summary[[#This Row],[Criteria 1]],tbl_data[Month],tbl_summary[[#This Row],[Criteria 2]])</f>
        <v>1</v>
      </c>
      <c r="G9" s="3">
        <f>SUMIFS(tbl_data[New Product],tbl_data[Year],tbl_summary[[#This Row],[Year]],tbl_data[Month],tbl_summary[[#This Row],[Criteria 1]],tbl_data[Month],tbl_summary[[#This Row],[Criteria 2]])</f>
        <v>626</v>
      </c>
      <c r="H9" s="3">
        <f>SUMIFS(tbl_data[New Factor],tbl_data[Year],tbl_summary[[#This Row],[Year]],tbl_data[Month],tbl_summary[[#This Row],[Criteria 1]],tbl_data[Month],tbl_summary[[#This Row],[Criteria 2]])</f>
        <v>30223</v>
      </c>
      <c r="I9" s="3">
        <f>SUMIFS(tbl_data[Filtered Factor],tbl_data[Year],tbl_summary[[#This Row],[Year]],tbl_data[Month],tbl_summary[[#This Row],[Criteria 1]],tbl_data[Month],tbl_summary[[#This Row],[Criteria 2]])</f>
        <v>30223</v>
      </c>
      <c r="J9" s="3">
        <f>SUMIFS(tbl_data[GMV],tbl_data[Year],tbl_summary[[#This Row],[Year]],tbl_data[Month],tbl_summary[[#This Row],[Criteria 1]],tbl_data[Month],tbl_summary[[#This Row],[Criteria 2]])</f>
        <v>531471033</v>
      </c>
      <c r="K9" s="3">
        <f>SUMIFS(tbl_data[GMV Filtered],tbl_data[Year],tbl_summary[[#This Row],[Year]],tbl_data[Month],tbl_summary[[#This Row],[Criteria 1]],tbl_data[Month],tbl_summary[[#This Row],[Criteria 2]])</f>
        <v>531471033</v>
      </c>
      <c r="L9" s="5">
        <f>IFERROR((tbl_summary[[#This Row],[GMV Filtered]]*100/K8) - 100,"-")</f>
        <v>-4.1144131797615842</v>
      </c>
    </row>
    <row r="10" spans="1:20" x14ac:dyDescent="0.25">
      <c r="A10">
        <v>2019</v>
      </c>
      <c r="B10" t="s">
        <v>11</v>
      </c>
      <c r="C10" t="str">
        <f>RIGHT(tbl_summary[[#This Row],[Year]],2) &amp; " " &amp; tbl_summary[[#This Row],[Quarter]]</f>
        <v>19 Q4</v>
      </c>
      <c r="D10" s="2" t="str">
        <f>VLOOKUP(tbl_summary[[#This Row],[Quarter]],tbl_Criteria[],2,FALSE)</f>
        <v>&gt;=10</v>
      </c>
      <c r="E10" s="2" t="str">
        <f>VLOOKUP(tbl_summary[[#This Row],[Quarter]],tbl_Criteria[],3,FALSE)</f>
        <v>&lt;=12</v>
      </c>
      <c r="F10" s="3">
        <f>SUMIFS(tbl_data[New Business],tbl_data[Year],tbl_summary[[#This Row],[Year]],tbl_data[Month],tbl_summary[[#This Row],[Criteria 1]],tbl_data[Month],tbl_summary[[#This Row],[Criteria 2]])</f>
        <v>17</v>
      </c>
      <c r="G10" s="3">
        <f>SUMIFS(tbl_data[New Product],tbl_data[Year],tbl_summary[[#This Row],[Year]],tbl_data[Month],tbl_summary[[#This Row],[Criteria 1]],tbl_data[Month],tbl_summary[[#This Row],[Criteria 2]])</f>
        <v>612</v>
      </c>
      <c r="H10" s="3">
        <f>SUMIFS(tbl_data[New Factor],tbl_data[Year],tbl_summary[[#This Row],[Year]],tbl_data[Month],tbl_summary[[#This Row],[Criteria 1]],tbl_data[Month],tbl_summary[[#This Row],[Criteria 2]])</f>
        <v>34074</v>
      </c>
      <c r="I10" s="3">
        <f>SUMIFS(tbl_data[Filtered Factor],tbl_data[Year],tbl_summary[[#This Row],[Year]],tbl_data[Month],tbl_summary[[#This Row],[Criteria 1]],tbl_data[Month],tbl_summary[[#This Row],[Criteria 2]])</f>
        <v>34074</v>
      </c>
      <c r="J10" s="3">
        <f>SUMIFS(tbl_data[GMV],tbl_data[Year],tbl_summary[[#This Row],[Year]],tbl_data[Month],tbl_summary[[#This Row],[Criteria 1]],tbl_data[Month],tbl_summary[[#This Row],[Criteria 2]])</f>
        <v>630383836</v>
      </c>
      <c r="K10" s="3">
        <f>SUMIFS(tbl_data[GMV Filtered],tbl_data[Year],tbl_summary[[#This Row],[Year]],tbl_data[Month],tbl_summary[[#This Row],[Criteria 1]],tbl_data[Month],tbl_summary[[#This Row],[Criteria 2]])</f>
        <v>630383836</v>
      </c>
      <c r="L10" s="5">
        <f>IFERROR((tbl_summary[[#This Row],[GMV Filtered]]*100/K9) - 100,"-")</f>
        <v>18.611137175560799</v>
      </c>
    </row>
    <row r="11" spans="1:20" x14ac:dyDescent="0.25">
      <c r="A11">
        <v>2020</v>
      </c>
      <c r="B11" t="s">
        <v>12</v>
      </c>
      <c r="C11" t="str">
        <f>RIGHT(tbl_summary[[#This Row],[Year]],2) &amp; " " &amp; tbl_summary[[#This Row],[Quarter]]</f>
        <v>20 Q1</v>
      </c>
      <c r="D11" s="2" t="str">
        <f>VLOOKUP(tbl_summary[[#This Row],[Quarter]],tbl_Criteria[],2,FALSE)</f>
        <v>&gt;=1</v>
      </c>
      <c r="E11" s="2" t="str">
        <f>VLOOKUP(tbl_summary[[#This Row],[Quarter]],tbl_Criteria[],3,FALSE)</f>
        <v>&lt;=3</v>
      </c>
      <c r="F11" s="3">
        <f>SUMIFS(tbl_data[New Business],tbl_data[Year],tbl_summary[[#This Row],[Year]],tbl_data[Month],tbl_summary[[#This Row],[Criteria 1]],tbl_data[Month],tbl_summary[[#This Row],[Criteria 2]])</f>
        <v>14</v>
      </c>
      <c r="G11" s="3">
        <f>SUMIFS(tbl_data[New Product],tbl_data[Year],tbl_summary[[#This Row],[Year]],tbl_data[Month],tbl_summary[[#This Row],[Criteria 1]],tbl_data[Month],tbl_summary[[#This Row],[Criteria 2]])</f>
        <v>475</v>
      </c>
      <c r="H11" s="3">
        <f>SUMIFS(tbl_data[New Factor],tbl_data[Year],tbl_summary[[#This Row],[Year]],tbl_data[Month],tbl_summary[[#This Row],[Criteria 1]],tbl_data[Month],tbl_summary[[#This Row],[Criteria 2]])</f>
        <v>34867</v>
      </c>
      <c r="I11" s="3">
        <f>SUMIFS(tbl_data[Filtered Factor],tbl_data[Year],tbl_summary[[#This Row],[Year]],tbl_data[Month],tbl_summary[[#This Row],[Criteria 1]],tbl_data[Month],tbl_summary[[#This Row],[Criteria 2]])</f>
        <v>34867</v>
      </c>
      <c r="J11" s="3">
        <f>SUMIFS(tbl_data[GMV],tbl_data[Year],tbl_summary[[#This Row],[Year]],tbl_data[Month],tbl_summary[[#This Row],[Criteria 1]],tbl_data[Month],tbl_summary[[#This Row],[Criteria 2]])</f>
        <v>730777096</v>
      </c>
      <c r="K11" s="3">
        <f>SUMIFS(tbl_data[GMV Filtered],tbl_data[Year],tbl_summary[[#This Row],[Year]],tbl_data[Month],tbl_summary[[#This Row],[Criteria 1]],tbl_data[Month],tbl_summary[[#This Row],[Criteria 2]])</f>
        <v>730777096</v>
      </c>
      <c r="L11" s="5">
        <f>IFERROR((tbl_summary[[#This Row],[GMV Filtered]]*100/K10) - 100,"-")</f>
        <v>15.925735126241406</v>
      </c>
    </row>
    <row r="12" spans="1:20" x14ac:dyDescent="0.25">
      <c r="A12">
        <v>2020</v>
      </c>
      <c r="B12" t="s">
        <v>14</v>
      </c>
      <c r="C12" t="str">
        <f>RIGHT(tbl_summary[[#This Row],[Year]],2) &amp; " " &amp; tbl_summary[[#This Row],[Quarter]]</f>
        <v>20 Q2</v>
      </c>
      <c r="D12" s="2" t="str">
        <f>VLOOKUP(tbl_summary[[#This Row],[Quarter]],tbl_Criteria[],2,FALSE)</f>
        <v>&gt;=4</v>
      </c>
      <c r="E12" s="2" t="str">
        <f>VLOOKUP(tbl_summary[[#This Row],[Quarter]],tbl_Criteria[],3,FALSE)</f>
        <v>&lt;=6</v>
      </c>
      <c r="F12" s="3">
        <f>SUMIFS(tbl_data[New Business],tbl_data[Year],tbl_summary[[#This Row],[Year]],tbl_data[Month],tbl_summary[[#This Row],[Criteria 1]],tbl_data[Month],tbl_summary[[#This Row],[Criteria 2]])</f>
        <v>8</v>
      </c>
      <c r="G12" s="3">
        <f>SUMIFS(tbl_data[New Product],tbl_data[Year],tbl_summary[[#This Row],[Year]],tbl_data[Month],tbl_summary[[#This Row],[Criteria 1]],tbl_data[Month],tbl_summary[[#This Row],[Criteria 2]])</f>
        <v>613</v>
      </c>
      <c r="H12" s="3">
        <f>SUMIFS(tbl_data[New Factor],tbl_data[Year],tbl_summary[[#This Row],[Year]],tbl_data[Month],tbl_summary[[#This Row],[Criteria 1]],tbl_data[Month],tbl_summary[[#This Row],[Criteria 2]])</f>
        <v>35278</v>
      </c>
      <c r="I12" s="3">
        <f>SUMIFS(tbl_data[Filtered Factor],tbl_data[Year],tbl_summary[[#This Row],[Year]],tbl_data[Month],tbl_summary[[#This Row],[Criteria 1]],tbl_data[Month],tbl_summary[[#This Row],[Criteria 2]])</f>
        <v>35278</v>
      </c>
      <c r="J12" s="3">
        <f>SUMIFS(tbl_data[GMV],tbl_data[Year],tbl_summary[[#This Row],[Year]],tbl_data[Month],tbl_summary[[#This Row],[Criteria 1]],tbl_data[Month],tbl_summary[[#This Row],[Criteria 2]])</f>
        <v>796791486</v>
      </c>
      <c r="K12" s="3">
        <f>SUMIFS(tbl_data[GMV Filtered],tbl_data[Year],tbl_summary[[#This Row],[Year]],tbl_data[Month],tbl_summary[[#This Row],[Criteria 1]],tbl_data[Month],tbl_summary[[#This Row],[Criteria 2]])</f>
        <v>796791486</v>
      </c>
      <c r="L12" s="5">
        <f>IFERROR((tbl_summary[[#This Row],[GMV Filtered]]*100/K11) - 100,"-")</f>
        <v>9.0334508787068017</v>
      </c>
    </row>
    <row r="13" spans="1:20" x14ac:dyDescent="0.25">
      <c r="A13">
        <v>2020</v>
      </c>
      <c r="B13" t="s">
        <v>15</v>
      </c>
      <c r="C13" t="str">
        <f>RIGHT(tbl_summary[[#This Row],[Year]],2) &amp; " " &amp; tbl_summary[[#This Row],[Quarter]]</f>
        <v>20 Q3</v>
      </c>
      <c r="D13" s="2" t="str">
        <f>VLOOKUP(tbl_summary[[#This Row],[Quarter]],tbl_Criteria[],2,FALSE)</f>
        <v>&gt;=7</v>
      </c>
      <c r="E13" s="2" t="str">
        <f>VLOOKUP(tbl_summary[[#This Row],[Quarter]],tbl_Criteria[],3,FALSE)</f>
        <v>&lt;=9</v>
      </c>
      <c r="F13" s="3">
        <f>SUMIFS(tbl_data[New Business],tbl_data[Year],tbl_summary[[#This Row],[Year]],tbl_data[Month],tbl_summary[[#This Row],[Criteria 1]],tbl_data[Month],tbl_summary[[#This Row],[Criteria 2]])</f>
        <v>41</v>
      </c>
      <c r="G13" s="3">
        <f>SUMIFS(tbl_data[New Product],tbl_data[Year],tbl_summary[[#This Row],[Year]],tbl_data[Month],tbl_summary[[#This Row],[Criteria 1]],tbl_data[Month],tbl_summary[[#This Row],[Criteria 2]])</f>
        <v>1253</v>
      </c>
      <c r="H13" s="3">
        <f>SUMIFS(tbl_data[New Factor],tbl_data[Year],tbl_summary[[#This Row],[Year]],tbl_data[Month],tbl_summary[[#This Row],[Criteria 1]],tbl_data[Month],tbl_summary[[#This Row],[Criteria 2]])</f>
        <v>37218</v>
      </c>
      <c r="I13" s="3">
        <f>SUMIFS(tbl_data[Filtered Factor],tbl_data[Year],tbl_summary[[#This Row],[Year]],tbl_data[Month],tbl_summary[[#This Row],[Criteria 1]],tbl_data[Month],tbl_summary[[#This Row],[Criteria 2]])</f>
        <v>37218</v>
      </c>
      <c r="J13" s="3">
        <f>SUMIFS(tbl_data[GMV],tbl_data[Year],tbl_summary[[#This Row],[Year]],tbl_data[Month],tbl_summary[[#This Row],[Criteria 1]],tbl_data[Month],tbl_summary[[#This Row],[Criteria 2]])</f>
        <v>1028758990</v>
      </c>
      <c r="K13" s="3">
        <f>SUMIFS(tbl_data[GMV Filtered],tbl_data[Year],tbl_summary[[#This Row],[Year]],tbl_data[Month],tbl_summary[[#This Row],[Criteria 1]],tbl_data[Month],tbl_summary[[#This Row],[Criteria 2]])</f>
        <v>1028758990</v>
      </c>
      <c r="L13" s="5">
        <f>IFERROR((tbl_summary[[#This Row],[GMV Filtered]]*100/K12) - 100,"-")</f>
        <v>29.112698626400743</v>
      </c>
    </row>
    <row r="14" spans="1:20" x14ac:dyDescent="0.25">
      <c r="A14">
        <v>2020</v>
      </c>
      <c r="B14" t="s">
        <v>11</v>
      </c>
      <c r="C14" t="str">
        <f>RIGHT(tbl_summary[[#This Row],[Year]],2) &amp; " " &amp; tbl_summary[[#This Row],[Quarter]]</f>
        <v>20 Q4</v>
      </c>
      <c r="D14" s="2" t="str">
        <f>VLOOKUP(tbl_summary[[#This Row],[Quarter]],tbl_Criteria[],2,FALSE)</f>
        <v>&gt;=10</v>
      </c>
      <c r="E14" s="2" t="str">
        <f>VLOOKUP(tbl_summary[[#This Row],[Quarter]],tbl_Criteria[],3,FALSE)</f>
        <v>&lt;=12</v>
      </c>
      <c r="F14" s="3">
        <f>SUMIFS(tbl_data[New Business],tbl_data[Year],tbl_summary[[#This Row],[Year]],tbl_data[Month],tbl_summary[[#This Row],[Criteria 1]],tbl_data[Month],tbl_summary[[#This Row],[Criteria 2]])</f>
        <v>36</v>
      </c>
      <c r="G14" s="3">
        <f>SUMIFS(tbl_data[New Product],tbl_data[Year],tbl_summary[[#This Row],[Year]],tbl_data[Month],tbl_summary[[#This Row],[Criteria 1]],tbl_data[Month],tbl_summary[[#This Row],[Criteria 2]])</f>
        <v>2131</v>
      </c>
      <c r="H14" s="3">
        <f>SUMIFS(tbl_data[New Factor],tbl_data[Year],tbl_summary[[#This Row],[Year]],tbl_data[Month],tbl_summary[[#This Row],[Criteria 1]],tbl_data[Month],tbl_summary[[#This Row],[Criteria 2]])</f>
        <v>34560</v>
      </c>
      <c r="I14" s="3">
        <f>SUMIFS(tbl_data[Filtered Factor],tbl_data[Year],tbl_summary[[#This Row],[Year]],tbl_data[Month],tbl_summary[[#This Row],[Criteria 1]],tbl_data[Month],tbl_summary[[#This Row],[Criteria 2]])</f>
        <v>34553</v>
      </c>
      <c r="J14" s="3">
        <f>SUMIFS(tbl_data[GMV],tbl_data[Year],tbl_summary[[#This Row],[Year]],tbl_data[Month],tbl_summary[[#This Row],[Criteria 1]],tbl_data[Month],tbl_summary[[#This Row],[Criteria 2]])</f>
        <v>2676489980</v>
      </c>
      <c r="K14" s="3">
        <f>SUMIFS(tbl_data[GMV Filtered],tbl_data[Year],tbl_summary[[#This Row],[Year]],tbl_data[Month],tbl_summary[[#This Row],[Criteria 1]],tbl_data[Month],tbl_summary[[#This Row],[Criteria 2]])</f>
        <v>1299989980</v>
      </c>
      <c r="L14" s="5">
        <f>IFERROR((tbl_summary[[#This Row],[GMV Filtered]]*100/K13) - 100,"-")</f>
        <v>26.364871912322243</v>
      </c>
    </row>
    <row r="15" spans="1:20" x14ac:dyDescent="0.25">
      <c r="A15">
        <v>2021</v>
      </c>
      <c r="B15" t="s">
        <v>12</v>
      </c>
      <c r="C15" t="str">
        <f>RIGHT(tbl_summary[[#This Row],[Year]],2) &amp; " " &amp; tbl_summary[[#This Row],[Quarter]]</f>
        <v>21 Q1</v>
      </c>
      <c r="D15" s="2" t="str">
        <f>VLOOKUP(tbl_summary[[#This Row],[Quarter]],tbl_Criteria[],2,FALSE)</f>
        <v>&gt;=1</v>
      </c>
      <c r="E15" s="2" t="str">
        <f>VLOOKUP(tbl_summary[[#This Row],[Quarter]],tbl_Criteria[],3,FALSE)</f>
        <v>&lt;=3</v>
      </c>
      <c r="F15" s="3">
        <f>SUMIFS(tbl_data[New Business],tbl_data[Year],tbl_summary[[#This Row],[Year]],tbl_data[Month],tbl_summary[[#This Row],[Criteria 1]],tbl_data[Month],tbl_summary[[#This Row],[Criteria 2]])</f>
        <v>328</v>
      </c>
      <c r="G15" s="3">
        <f>SUMIFS(tbl_data[New Product],tbl_data[Year],tbl_summary[[#This Row],[Year]],tbl_data[Month],tbl_summary[[#This Row],[Criteria 1]],tbl_data[Month],tbl_summary[[#This Row],[Criteria 2]])</f>
        <v>3137</v>
      </c>
      <c r="H15" s="3">
        <f>SUMIFS(tbl_data[New Factor],tbl_data[Year],tbl_summary[[#This Row],[Year]],tbl_data[Month],tbl_summary[[#This Row],[Criteria 1]],tbl_data[Month],tbl_summary[[#This Row],[Criteria 2]])</f>
        <v>34988</v>
      </c>
      <c r="I15" s="3">
        <f>SUMIFS(tbl_data[Filtered Factor],tbl_data[Year],tbl_summary[[#This Row],[Year]],tbl_data[Month],tbl_summary[[#This Row],[Criteria 1]],tbl_data[Month],tbl_summary[[#This Row],[Criteria 2]])</f>
        <v>34987</v>
      </c>
      <c r="J15" s="3">
        <f>SUMIFS(tbl_data[GMV],tbl_data[Year],tbl_summary[[#This Row],[Year]],tbl_data[Month],tbl_summary[[#This Row],[Criteria 1]],tbl_data[Month],tbl_summary[[#This Row],[Criteria 2]])</f>
        <v>1707002143</v>
      </c>
      <c r="K15" s="3">
        <f>SUMIFS(tbl_data[GMV Filtered],tbl_data[Year],tbl_summary[[#This Row],[Year]],tbl_data[Month],tbl_summary[[#This Row],[Criteria 1]],tbl_data[Month],tbl_summary[[#This Row],[Criteria 2]])</f>
        <v>1507002143</v>
      </c>
      <c r="L15" s="5">
        <f>IFERROR((tbl_summary[[#This Row],[GMV Filtered]]*100/K14) - 100,"-")</f>
        <v>15.92413527679652</v>
      </c>
    </row>
    <row r="16" spans="1:20" x14ac:dyDescent="0.25">
      <c r="A16">
        <v>2021</v>
      </c>
      <c r="B16" t="s">
        <v>14</v>
      </c>
      <c r="C16" t="str">
        <f>RIGHT(tbl_summary[[#This Row],[Year]],2) &amp; " " &amp; tbl_summary[[#This Row],[Quarter]]</f>
        <v>21 Q2</v>
      </c>
      <c r="D16" s="2" t="str">
        <f>VLOOKUP(tbl_summary[[#This Row],[Quarter]],tbl_Criteria[],2,FALSE)</f>
        <v>&gt;=4</v>
      </c>
      <c r="E16" s="2" t="str">
        <f>VLOOKUP(tbl_summary[[#This Row],[Quarter]],tbl_Criteria[],3,FALSE)</f>
        <v>&lt;=6</v>
      </c>
      <c r="F16" s="3">
        <f>SUMIFS(tbl_data[New Business],tbl_data[Year],tbl_summary[[#This Row],[Year]],tbl_data[Month],tbl_summary[[#This Row],[Criteria 1]],tbl_data[Month],tbl_summary[[#This Row],[Criteria 2]])</f>
        <v>99</v>
      </c>
      <c r="G16" s="3">
        <f>SUMIFS(tbl_data[New Product],tbl_data[Year],tbl_summary[[#This Row],[Year]],tbl_data[Month],tbl_summary[[#This Row],[Criteria 1]],tbl_data[Month],tbl_summary[[#This Row],[Criteria 2]])</f>
        <v>1188</v>
      </c>
      <c r="H16" s="3">
        <f>SUMIFS(tbl_data[New Factor],tbl_data[Year],tbl_summary[[#This Row],[Year]],tbl_data[Month],tbl_summary[[#This Row],[Criteria 1]],tbl_data[Month],tbl_summary[[#This Row],[Criteria 2]])</f>
        <v>15967</v>
      </c>
      <c r="I16" s="3">
        <f>SUMIFS(tbl_data[Filtered Factor],tbl_data[Year],tbl_summary[[#This Row],[Year]],tbl_data[Month],tbl_summary[[#This Row],[Criteria 1]],tbl_data[Month],tbl_summary[[#This Row],[Criteria 2]])</f>
        <v>15967</v>
      </c>
      <c r="J16" s="3">
        <f>SUMIFS(tbl_data[GMV],tbl_data[Year],tbl_summary[[#This Row],[Year]],tbl_data[Month],tbl_summary[[#This Row],[Criteria 1]],tbl_data[Month],tbl_summary[[#This Row],[Criteria 2]])</f>
        <v>703320397</v>
      </c>
      <c r="K16" s="3">
        <f>SUMIFS(tbl_data[GMV Filtered],tbl_data[Year],tbl_summary[[#This Row],[Year]],tbl_data[Month],tbl_summary[[#This Row],[Criteria 1]],tbl_data[Month],tbl_summary[[#This Row],[Criteria 2]])</f>
        <v>703320397</v>
      </c>
      <c r="L16" s="5">
        <f>IFERROR((tbl_summary[[#This Row],[GMV Filtered]]*100/K15) - 100,"-")</f>
        <v>-53.329834315968853</v>
      </c>
    </row>
    <row r="17" spans="1:11" x14ac:dyDescent="0.25">
      <c r="A17" t="s">
        <v>10</v>
      </c>
      <c r="D17" s="2"/>
      <c r="E17" s="2"/>
      <c r="F17" s="4">
        <f>SUBTOTAL(109,tbl_summary[New Business])</f>
        <v>566</v>
      </c>
      <c r="G17" s="4">
        <f>SUBTOTAL(109,tbl_summary[New Product])</f>
        <v>20955</v>
      </c>
      <c r="H17" s="4">
        <f>SUBTOTAL(109,tbl_summary[New Factor])</f>
        <v>453031</v>
      </c>
      <c r="I17" s="4">
        <f>SUBTOTAL(109,tbl_summary[Filtered Factor])</f>
        <v>453023</v>
      </c>
      <c r="J17" s="4">
        <f>SUBTOTAL(109,tbl_summary[GMV])</f>
        <v>11248203662</v>
      </c>
      <c r="K17" s="4">
        <f>SUBTOTAL(109,tbl_summary[GMV Filtered])</f>
        <v>9671703662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A5BF-A6F7-47AF-A98C-A286EADD88FE}">
  <dimension ref="A1:P8"/>
  <sheetViews>
    <sheetView tabSelected="1" workbookViewId="0">
      <selection activeCell="E17" sqref="E17"/>
    </sheetView>
  </sheetViews>
  <sheetFormatPr defaultRowHeight="15" x14ac:dyDescent="0.25"/>
  <cols>
    <col min="2" max="2" width="15.7109375" bestFit="1" customWidth="1"/>
    <col min="3" max="3" width="14.7109375" bestFit="1" customWidth="1"/>
    <col min="4" max="4" width="13.28515625" bestFit="1" customWidth="1"/>
    <col min="5" max="5" width="16.28515625" bestFit="1" customWidth="1"/>
    <col min="6" max="6" width="15" customWidth="1"/>
    <col min="7" max="7" width="19.28515625" customWidth="1"/>
    <col min="8" max="8" width="12.7109375" bestFit="1" customWidth="1"/>
    <col min="11" max="11" width="16.7109375" bestFit="1" customWidth="1"/>
    <col min="12" max="12" width="14.28515625" bestFit="1" customWidth="1"/>
    <col min="14" max="14" width="11" customWidth="1"/>
    <col min="15" max="15" width="11.140625" customWidth="1"/>
    <col min="16" max="16" width="12.140625" customWidth="1"/>
  </cols>
  <sheetData>
    <row r="1" spans="1:1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28</v>
      </c>
      <c r="N1" t="s">
        <v>2</v>
      </c>
      <c r="O1" t="s">
        <v>16</v>
      </c>
      <c r="P1" t="s">
        <v>26</v>
      </c>
    </row>
    <row r="2" spans="1:16" x14ac:dyDescent="0.25">
      <c r="A2">
        <v>2017</v>
      </c>
      <c r="B2" s="3">
        <f>SUMIFS(tbl_data[New Business],tbl_data[Year],tbl_summary6[[#This Row],[Year]])</f>
        <v>5</v>
      </c>
      <c r="C2" s="3">
        <f>SUMIFS(tbl_data[New Product],tbl_data[Year],tbl_summary6[[#This Row],[Year]])</f>
        <v>4296</v>
      </c>
      <c r="D2" s="3">
        <f>SUMIFS(tbl_data[New Factor],tbl_data[Year],tbl_summary6[[#This Row],[Year]])</f>
        <v>2119</v>
      </c>
      <c r="E2" s="3">
        <f>SUMIFS(tbl_data[Filtered Factor],tbl_data[Year],tbl_summary6[[#This Row],[Year]])</f>
        <v>2119</v>
      </c>
      <c r="F2" s="3">
        <f>SUMIFS(tbl_data[GMV],tbl_data[Year],tbl_summary6[[#This Row],[Year]])</f>
        <v>21665200</v>
      </c>
      <c r="G2" s="3">
        <f>SUMIFS(tbl_data[GMV Filtered],tbl_data[Year],tbl_summary6[[#This Row],[Year]])</f>
        <v>21665200</v>
      </c>
      <c r="H2" s="5" t="str">
        <f>IFERROR((tbl_summary6[[#This Row],[GMV Filtered]]*100/G1) - 100,"-")</f>
        <v>-</v>
      </c>
      <c r="N2" t="s">
        <v>12</v>
      </c>
      <c r="O2" t="s">
        <v>18</v>
      </c>
      <c r="P2" t="s">
        <v>19</v>
      </c>
    </row>
    <row r="3" spans="1:16" x14ac:dyDescent="0.25">
      <c r="A3">
        <v>2018</v>
      </c>
      <c r="B3" s="3">
        <f>SUMIFS(tbl_data[New Business],tbl_data[Year],tbl_summary6[[#This Row],[Year]])</f>
        <v>7</v>
      </c>
      <c r="C3" s="3">
        <f>SUMIFS(tbl_data[New Product],tbl_data[Year],tbl_summary6[[#This Row],[Year]])</f>
        <v>5263</v>
      </c>
      <c r="D3" s="3">
        <f>SUMIFS(tbl_data[New Factor],tbl_data[Year],tbl_summary6[[#This Row],[Year]])</f>
        <v>124637</v>
      </c>
      <c r="E3" s="3">
        <f>SUMIFS(tbl_data[Filtered Factor],tbl_data[Year],tbl_summary6[[#This Row],[Year]])</f>
        <v>124637</v>
      </c>
      <c r="F3" s="3">
        <f>SUMIFS(tbl_data[GMV],tbl_data[Year],tbl_summary6[[#This Row],[Year]])</f>
        <v>1301105163</v>
      </c>
      <c r="G3" s="3">
        <f>SUMIFS(tbl_data[GMV Filtered],tbl_data[Year],tbl_summary6[[#This Row],[Year]])</f>
        <v>1301105163</v>
      </c>
      <c r="H3" s="5">
        <f>IFERROR((tbl_summary6[[#This Row],[GMV Filtered]]*100/G2) - 100,"-")</f>
        <v>5905.5072789542673</v>
      </c>
      <c r="N3" t="s">
        <v>14</v>
      </c>
      <c r="O3" t="s">
        <v>20</v>
      </c>
      <c r="P3" t="s">
        <v>21</v>
      </c>
    </row>
    <row r="4" spans="1:16" x14ac:dyDescent="0.25">
      <c r="A4">
        <v>2019</v>
      </c>
      <c r="B4" s="3">
        <f>SUMIFS(tbl_data[New Business],tbl_data[Year],tbl_summary6[[#This Row],[Year]])</f>
        <v>28</v>
      </c>
      <c r="C4" s="3">
        <f>SUMIFS(tbl_data[New Product],tbl_data[Year],tbl_summary6[[#This Row],[Year]])</f>
        <v>2599</v>
      </c>
      <c r="D4" s="3">
        <f>SUMIFS(tbl_data[New Factor],tbl_data[Year],tbl_summary6[[#This Row],[Year]])</f>
        <v>133397</v>
      </c>
      <c r="E4" s="3">
        <f>SUMIFS(tbl_data[Filtered Factor],tbl_data[Year],tbl_summary6[[#This Row],[Year]])</f>
        <v>133397</v>
      </c>
      <c r="F4" s="3">
        <f>SUMIFS(tbl_data[GMV],tbl_data[Year],tbl_summary6[[#This Row],[Year]])</f>
        <v>2282293207</v>
      </c>
      <c r="G4" s="3">
        <f>SUMIFS(tbl_data[GMV Filtered],tbl_data[Year],tbl_summary6[[#This Row],[Year]])</f>
        <v>2282293207</v>
      </c>
      <c r="H4" s="5">
        <f>IFERROR((tbl_summary6[[#This Row],[GMV Filtered]]*100/G3) - 100,"-")</f>
        <v>75.41189381937761</v>
      </c>
      <c r="N4" t="s">
        <v>15</v>
      </c>
      <c r="O4" t="s">
        <v>22</v>
      </c>
      <c r="P4" t="s">
        <v>23</v>
      </c>
    </row>
    <row r="5" spans="1:16" x14ac:dyDescent="0.25">
      <c r="A5">
        <v>2020</v>
      </c>
      <c r="B5" s="3">
        <f>SUMIFS(tbl_data[New Business],tbl_data[Year],tbl_summary6[[#This Row],[Year]])</f>
        <v>99</v>
      </c>
      <c r="C5" s="3">
        <f>SUMIFS(tbl_data[New Product],tbl_data[Year],tbl_summary6[[#This Row],[Year]])</f>
        <v>4472</v>
      </c>
      <c r="D5" s="3">
        <f>SUMIFS(tbl_data[New Factor],tbl_data[Year],tbl_summary6[[#This Row],[Year]])</f>
        <v>141923</v>
      </c>
      <c r="E5" s="3">
        <f>SUMIFS(tbl_data[Filtered Factor],tbl_data[Year],tbl_summary6[[#This Row],[Year]])</f>
        <v>141916</v>
      </c>
      <c r="F5" s="3">
        <f>SUMIFS(tbl_data[GMV],tbl_data[Year],tbl_summary6[[#This Row],[Year]])</f>
        <v>5232817552</v>
      </c>
      <c r="G5" s="3">
        <f>SUMIFS(tbl_data[GMV Filtered],tbl_data[Year],tbl_summary6[[#This Row],[Year]])</f>
        <v>3856317552</v>
      </c>
      <c r="H5" s="5">
        <f>IFERROR((tbl_summary6[[#This Row],[GMV Filtered]]*100/G4) - 100,"-")</f>
        <v>68.966789200104728</v>
      </c>
      <c r="N5" t="s">
        <v>11</v>
      </c>
      <c r="O5" t="s">
        <v>24</v>
      </c>
      <c r="P5" t="s">
        <v>25</v>
      </c>
    </row>
    <row r="6" spans="1:16" x14ac:dyDescent="0.25">
      <c r="A6">
        <v>2021</v>
      </c>
      <c r="B6" s="3">
        <f>SUMIFS(tbl_data[New Business],tbl_data[Year],tbl_summary6[[#This Row],[Year]])</f>
        <v>427</v>
      </c>
      <c r="C6" s="3">
        <f>SUMIFS(tbl_data[New Product],tbl_data[Year],tbl_summary6[[#This Row],[Year]])</f>
        <v>4325</v>
      </c>
      <c r="D6" s="3">
        <f>SUMIFS(tbl_data[New Factor],tbl_data[Year],tbl_summary6[[#This Row],[Year]])</f>
        <v>50955</v>
      </c>
      <c r="E6" s="3">
        <f>SUMIFS(tbl_data[Filtered Factor],tbl_data[Year],tbl_summary6[[#This Row],[Year]])</f>
        <v>50954</v>
      </c>
      <c r="F6" s="3">
        <f>SUMIFS(tbl_data[GMV],tbl_data[Year],tbl_summary6[[#This Row],[Year]])</f>
        <v>2410322540</v>
      </c>
      <c r="G6" s="3">
        <f>SUMIFS(tbl_data[GMV Filtered],tbl_data[Year],tbl_summary6[[#This Row],[Year]])</f>
        <v>2210322540</v>
      </c>
      <c r="H6" s="5">
        <f>IFERROR((tbl_summary6[[#This Row],[GMV Filtered]]*100/G5) - 100,"-")</f>
        <v>-42.683077568296689</v>
      </c>
    </row>
    <row r="7" spans="1:16" x14ac:dyDescent="0.25">
      <c r="A7" t="s">
        <v>10</v>
      </c>
      <c r="B7" s="4">
        <f>SUBTOTAL(109,tbl_summary6[New Business])</f>
        <v>566</v>
      </c>
      <c r="C7" s="4">
        <f>SUBTOTAL(109,tbl_summary6[New Product])</f>
        <v>20955</v>
      </c>
      <c r="D7" s="4">
        <f>SUBTOTAL(109,tbl_summary6[New Factor])</f>
        <v>453031</v>
      </c>
      <c r="E7" s="4">
        <f>SUBTOTAL(109,tbl_summary6[Filtered Factor])</f>
        <v>453023</v>
      </c>
      <c r="F7" s="4">
        <f>SUBTOTAL(109,tbl_summary6[GMV])</f>
        <v>11248203662</v>
      </c>
      <c r="G7" s="4">
        <f>SUBTOTAL(109,tbl_summary6[GMV Filtered])</f>
        <v>9671703662</v>
      </c>
    </row>
    <row r="8" spans="1:16" x14ac:dyDescent="0.25">
      <c r="L8" s="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2081-E8C9-4A3A-A0B1-3D9B4162F56C}"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 Quarter</vt:lpstr>
      <vt:lpstr>Summary Year</vt:lpstr>
      <vt:lpstr>Chart for PitchDeck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Evazzadeh</cp:lastModifiedBy>
  <dcterms:created xsi:type="dcterms:W3CDTF">2015-06-05T18:17:20Z</dcterms:created>
  <dcterms:modified xsi:type="dcterms:W3CDTF">2021-05-10T13:58:10Z</dcterms:modified>
</cp:coreProperties>
</file>