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1BC364C0-4277-41B0-AEDF-C8CF95B901C8}" xr6:coauthVersionLast="46" xr6:coauthVersionMax="46" xr10:uidLastSave="{00000000-0000-0000-0000-000000000000}"/>
  <bookViews>
    <workbookView xWindow="-120" yWindow="-120" windowWidth="38640" windowHeight="15840" activeTab="9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" sheetId="4" r:id="rId7"/>
    <sheet name="هزینه‌های مصرفی" sheetId="5" r:id="rId8"/>
    <sheet name="جزئیات منابع درآمد" sheetId="12" r:id="rId9"/>
    <sheet name="پیش‌بینی درآمد" sheetId="13" r:id="rId10"/>
    <sheet name="خلاصه درآمد" sheetId="14" r:id="rId11"/>
  </sheets>
  <definedNames>
    <definedName name="d_AnnualSalary">فرضیات!$B$3</definedName>
    <definedName name="d_coloCost">فرضیات!$B$15</definedName>
    <definedName name="d_customerAvgRevenue">'جزئیات منابع درآمد'!$C$18</definedName>
    <definedName name="d_customerConvertRate">'جزئیات منابع درآمد'!$C$17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YOY">فرضیات!$B$20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4" l="1"/>
  <c r="A4" i="14"/>
  <c r="A5" i="14"/>
  <c r="A6" i="14"/>
  <c r="A7" i="14"/>
  <c r="A8" i="14"/>
  <c r="A9" i="14"/>
  <c r="A2" i="14"/>
  <c r="A3" i="13"/>
  <c r="A4" i="13"/>
  <c r="A5" i="13"/>
  <c r="A6" i="13"/>
  <c r="A7" i="13"/>
  <c r="A8" i="13"/>
  <c r="J3" i="13"/>
  <c r="J4" i="13"/>
  <c r="I3" i="13"/>
  <c r="I4" i="13"/>
  <c r="H3" i="13"/>
  <c r="H4" i="13"/>
  <c r="G3" i="13"/>
  <c r="G4" i="13"/>
  <c r="F3" i="13"/>
  <c r="F4" i="13"/>
  <c r="E3" i="13"/>
  <c r="E4" i="13"/>
  <c r="D3" i="13"/>
  <c r="D4" i="13"/>
  <c r="C3" i="13"/>
  <c r="C17" i="12"/>
  <c r="C4" i="13" s="1"/>
  <c r="A2" i="13"/>
  <c r="B31" i="12"/>
  <c r="K2" i="12"/>
  <c r="R2" i="12"/>
  <c r="R3" i="12"/>
  <c r="R4" i="12"/>
  <c r="R5" i="12"/>
  <c r="R6" i="12"/>
  <c r="R7" i="12"/>
  <c r="R8" i="12"/>
  <c r="R9" i="12"/>
  <c r="R10" i="12"/>
  <c r="R11" i="12"/>
  <c r="R12" i="12"/>
  <c r="Q2" i="12"/>
  <c r="Q3" i="12"/>
  <c r="Q4" i="12"/>
  <c r="Q5" i="12"/>
  <c r="Q6" i="12"/>
  <c r="Q7" i="12"/>
  <c r="Q8" i="12"/>
  <c r="Q9" i="12"/>
  <c r="Q10" i="12"/>
  <c r="Q11" i="12"/>
  <c r="Q12" i="12"/>
  <c r="P2" i="12"/>
  <c r="P3" i="12"/>
  <c r="P4" i="12"/>
  <c r="P5" i="12"/>
  <c r="P6" i="12"/>
  <c r="P7" i="12"/>
  <c r="P8" i="12"/>
  <c r="P9" i="12"/>
  <c r="P10" i="12"/>
  <c r="P11" i="12"/>
  <c r="P12" i="12"/>
  <c r="O2" i="12"/>
  <c r="O3" i="12"/>
  <c r="O4" i="12"/>
  <c r="O5" i="12"/>
  <c r="O6" i="12"/>
  <c r="O7" i="12"/>
  <c r="O8" i="12"/>
  <c r="O9" i="12"/>
  <c r="O10" i="12"/>
  <c r="O11" i="12"/>
  <c r="O12" i="12"/>
  <c r="N2" i="12"/>
  <c r="N3" i="12"/>
  <c r="N4" i="12"/>
  <c r="N5" i="12"/>
  <c r="N6" i="12"/>
  <c r="N7" i="12"/>
  <c r="N8" i="12"/>
  <c r="N9" i="12"/>
  <c r="N10" i="12"/>
  <c r="N11" i="12"/>
  <c r="N12" i="12"/>
  <c r="M2" i="12"/>
  <c r="M3" i="12"/>
  <c r="M4" i="12"/>
  <c r="M5" i="12"/>
  <c r="M6" i="12"/>
  <c r="M7" i="12"/>
  <c r="M8" i="12"/>
  <c r="M9" i="12"/>
  <c r="M10" i="12"/>
  <c r="M11" i="12"/>
  <c r="M12" i="12"/>
  <c r="L2" i="12"/>
  <c r="L3" i="12"/>
  <c r="L4" i="12"/>
  <c r="L5" i="12"/>
  <c r="L6" i="12"/>
  <c r="L7" i="12"/>
  <c r="L8" i="12"/>
  <c r="L9" i="12"/>
  <c r="L10" i="12"/>
  <c r="L11" i="12"/>
  <c r="L12" i="12"/>
  <c r="K3" i="12"/>
  <c r="K4" i="12"/>
  <c r="K5" i="12"/>
  <c r="K6" i="12"/>
  <c r="K7" i="12"/>
  <c r="K8" i="12"/>
  <c r="K9" i="12"/>
  <c r="K10" i="12"/>
  <c r="K11" i="12"/>
  <c r="K12" i="12"/>
  <c r="B23" i="12"/>
  <c r="B24" i="12"/>
  <c r="B25" i="12"/>
  <c r="B26" i="12"/>
  <c r="B27" i="12"/>
  <c r="B28" i="12"/>
  <c r="B29" i="12"/>
  <c r="B30" i="12"/>
  <c r="G13" i="12"/>
  <c r="A3" i="12"/>
  <c r="A4" i="12"/>
  <c r="A5" i="12"/>
  <c r="A6" i="12"/>
  <c r="A7" i="12"/>
  <c r="A8" i="12"/>
  <c r="A9" i="12"/>
  <c r="A10" i="12"/>
  <c r="A11" i="12"/>
  <c r="A12" i="12"/>
  <c r="F7" i="12"/>
  <c r="F12" i="12"/>
  <c r="F2" i="12"/>
  <c r="F3" i="12"/>
  <c r="F4" i="12"/>
  <c r="F5" i="12"/>
  <c r="F6" i="12"/>
  <c r="F8" i="12"/>
  <c r="F9" i="12"/>
  <c r="F10" i="12"/>
  <c r="F11" i="12"/>
  <c r="H11" i="12" l="1"/>
  <c r="J11" i="12" s="1"/>
  <c r="H10" i="12"/>
  <c r="J10" i="12" s="1"/>
  <c r="H6" i="12"/>
  <c r="J6" i="12" s="1"/>
  <c r="H9" i="12"/>
  <c r="J9" i="12" s="1"/>
  <c r="H5" i="12"/>
  <c r="J5" i="12" s="1"/>
  <c r="H12" i="12"/>
  <c r="J12" i="12" s="1"/>
  <c r="H8" i="12"/>
  <c r="J8" i="12" s="1"/>
  <c r="H4" i="12"/>
  <c r="J4" i="12" s="1"/>
  <c r="H7" i="12"/>
  <c r="J7" i="12" s="1"/>
  <c r="H3" i="12"/>
  <c r="J3" i="12" s="1"/>
  <c r="H2" i="12"/>
  <c r="J5" i="13" l="1"/>
  <c r="J6" i="13" s="1"/>
  <c r="I5" i="13"/>
  <c r="I6" i="13" s="1"/>
  <c r="H5" i="13"/>
  <c r="H6" i="13" s="1"/>
  <c r="G5" i="13"/>
  <c r="G6" i="13" s="1"/>
  <c r="F5" i="13"/>
  <c r="F6" i="13" s="1"/>
  <c r="E5" i="13"/>
  <c r="E6" i="13" s="1"/>
  <c r="D5" i="13"/>
  <c r="D6" i="13" s="1"/>
  <c r="C5" i="13"/>
  <c r="C6" i="13" s="1"/>
  <c r="C18" i="12"/>
  <c r="J2" i="12"/>
  <c r="H13" i="12"/>
  <c r="C7" i="13" l="1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1" i="12"/>
  <c r="D31" i="12" s="1"/>
  <c r="C23" i="12"/>
  <c r="D23" i="12" s="1"/>
  <c r="C27" i="12"/>
  <c r="D27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I2" i="12"/>
  <c r="I8" i="12"/>
  <c r="I11" i="12"/>
  <c r="I5" i="12"/>
  <c r="I3" i="12"/>
  <c r="I7" i="12"/>
  <c r="I12" i="12"/>
  <c r="I9" i="12"/>
  <c r="I10" i="12"/>
  <c r="I6" i="12"/>
  <c r="C2" i="14" l="1"/>
  <c r="D2" i="14"/>
  <c r="E2" i="14" l="1"/>
  <c r="A2" i="12"/>
  <c r="F2" i="14" l="1"/>
  <c r="A3" i="2"/>
  <c r="A4" i="2"/>
  <c r="A5" i="2"/>
  <c r="G2" i="14" l="1"/>
  <c r="H2" i="14" s="1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B14" i="3"/>
  <c r="D3" i="6" s="1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C6" i="5" l="1"/>
  <c r="E6" i="5" s="1"/>
  <c r="E6" i="1"/>
  <c r="C2" i="8"/>
  <c r="D3" i="1" s="1"/>
  <c r="D2" i="8"/>
  <c r="D9" i="5"/>
  <c r="E4" i="6"/>
  <c r="E2" i="5"/>
  <c r="C3" i="6"/>
  <c r="D2" i="6"/>
  <c r="C9" i="5" l="1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D3" i="14" l="1"/>
  <c r="E3" i="14" s="1"/>
  <c r="F3" i="14" s="1"/>
  <c r="G3" i="14" s="1"/>
  <c r="H3" i="14" s="1"/>
  <c r="C3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F13" i="1" l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C4" i="14" s="1"/>
  <c r="C5" i="14" s="1"/>
  <c r="C6" i="14" s="1"/>
  <c r="E4" i="1"/>
  <c r="E15" i="2"/>
  <c r="C7" i="14" l="1"/>
  <c r="D14" i="1"/>
  <c r="E8" i="1"/>
  <c r="D4" i="14" s="1"/>
  <c r="F3" i="1"/>
  <c r="F4" i="1"/>
  <c r="D9" i="1"/>
  <c r="E4" i="14" l="1"/>
  <c r="D5" i="14"/>
  <c r="E9" i="1"/>
  <c r="E14" i="1"/>
  <c r="F14" i="1" s="1"/>
  <c r="F8" i="1"/>
  <c r="G3" i="1" s="1"/>
  <c r="D7" i="14" l="1"/>
  <c r="D6" i="14"/>
  <c r="F4" i="14"/>
  <c r="E5" i="14"/>
  <c r="F9" i="1"/>
  <c r="G4" i="1"/>
  <c r="G5" i="1"/>
  <c r="G2" i="1"/>
  <c r="G8" i="1"/>
  <c r="G7" i="1"/>
  <c r="G6" i="1"/>
  <c r="E7" i="14" l="1"/>
  <c r="E6" i="14"/>
  <c r="G4" i="14"/>
  <c r="F5" i="14"/>
  <c r="G9" i="1"/>
  <c r="G5" i="14" l="1"/>
  <c r="G6" i="14" s="1"/>
  <c r="H4" i="14"/>
  <c r="H5" i="14" s="1"/>
  <c r="F7" i="14"/>
  <c r="F6" i="14"/>
  <c r="G7" i="14" l="1"/>
  <c r="H6" i="14"/>
  <c r="H7" i="14"/>
</calcChain>
</file>

<file path=xl/sharedStrings.xml><?xml version="1.0" encoding="utf-8"?>
<sst xmlns="http://schemas.openxmlformats.org/spreadsheetml/2006/main" count="202" uniqueCount="128">
  <si>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</si>
  <si>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</si>
  <si>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</si>
  <si>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</si>
  <si>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</si>
  <si>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</si>
  <si>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</si>
  <si>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</si>
  <si>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</si>
  <si>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</si>
  <si>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</si>
  <si>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</si>
  <si>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</si>
  <si>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</si>
  <si>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</si>
  <si>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</si>
  <si>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</si>
  <si>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</si>
  <si>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</si>
  <si>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</si>
  <si>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</si>
  <si>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</si>
  <si>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</si>
  <si>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</si>
  <si>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</si>
  <si>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</si>
  <si>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</si>
  <si>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</si>
  <si>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</si>
  <si>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</si>
  <si>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</si>
  <si>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</si>
  <si>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بازاریابی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</si>
  <si>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</si>
  <si>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</si>
  <si>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</si>
  <si>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</si>
  <si>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</si>
  <si>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</si>
  <si>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</si>
  <si>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</si>
  <si>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</si>
  <si>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</si>
  <si>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</si>
  <si>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</si>
  <si>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</si>
  <si>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هزینه‌های مصرفی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</si>
  <si>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</si>
  <si>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</si>
  <si>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</si>
  <si>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</si>
  <si>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</si>
  <si>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</si>
  <si>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</si>
  <si>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</si>
  <si>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</si>
  <si>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</si>
  <si>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</si>
  <si>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</si>
  <si>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</si>
  <si>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</si>
  <si>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</si>
  <si>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</si>
  <si>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</si>
  <si>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</si>
  <si>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</si>
  <si>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</si>
  <si>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</si>
  <si>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</si>
  <si>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</si>
  <si>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</si>
  <si>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</si>
  <si>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</si>
  <si>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</si>
  <si>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</si>
  <si>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</si>
  <si>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پشتیبانی ویژه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</si>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</sst>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168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52"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1872000000</c:v>
                </c:pt>
                <c:pt idx="1">
                  <c:v>240000000</c:v>
                </c:pt>
                <c:pt idx="2">
                  <c:v>1121400000</c:v>
                </c:pt>
                <c:pt idx="3">
                  <c:v>800000000</c:v>
                </c:pt>
                <c:pt idx="4">
                  <c:v>240000000</c:v>
                </c:pt>
                <c:pt idx="5">
                  <c:v>422400000</c:v>
                </c:pt>
                <c:pt idx="6">
                  <c:v>469580000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3060000000</c:v>
                </c:pt>
                <c:pt idx="1">
                  <c:v>510000000</c:v>
                </c:pt>
                <c:pt idx="2">
                  <c:v>8207580000</c:v>
                </c:pt>
                <c:pt idx="3">
                  <c:v>3000000000</c:v>
                </c:pt>
                <c:pt idx="4">
                  <c:v>750000000</c:v>
                </c:pt>
                <c:pt idx="5">
                  <c:v>1164000000</c:v>
                </c:pt>
                <c:pt idx="6">
                  <c:v>1669158000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750000000</c:v>
                </c:pt>
                <c:pt idx="2">
                  <c:v>9328980000</c:v>
                </c:pt>
                <c:pt idx="3">
                  <c:v>3800000000</c:v>
                </c:pt>
                <c:pt idx="4">
                  <c:v>990000000</c:v>
                </c:pt>
                <c:pt idx="5">
                  <c:v>1586400000</c:v>
                </c:pt>
                <c:pt idx="6">
                  <c:v>2138738000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2112000000</c:v>
                </c:pt>
                <c:pt idx="1">
                  <c:v>3570000000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3053380000</c:v>
                </c:pt>
                <c:pt idx="1">
                  <c:v>14790738000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5165380000</c:v>
                </c:pt>
                <c:pt idx="1">
                  <c:v>18360738000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151" dataDxfId="150" totalsRowDxfId="149">
  <autoFilter ref="A1:G8" xr:uid="{5810A676-66BF-4EA4-B586-C6E90025121D}"/>
  <tableColumns count="7">
    <tableColumn id="5" xr3:uid="{47369FE7-678F-4F87-AB99-EE1EDC617F1A}" name="#" totalsRowLabel="Total" dataDxfId="148" totalsRowDxfId="147">
      <calculatedColumnFormula>ROW(A1)</calculatedColumnFormula>
    </tableColumn>
    <tableColumn id="1" xr3:uid="{3037BF7E-6F17-4FD9-B0BA-2603DBE3AA73}" name="نوع" dataDxfId="146" totalsRowDxfId="145"/>
    <tableColumn id="2" xr3:uid="{5543AAC9-D97A-4AF1-B9C8-BCB750FF9446}" name="عنوان" dataDxfId="144" totalsRowDxfId="143"/>
    <tableColumn id="4" xr3:uid="{363204E2-D323-45E0-8740-F6AAC858616C}" name="1400" totalsRowFunction="sum" totalsRowDxfId="142" dataCellStyle="Currency"/>
    <tableColumn id="6" xr3:uid="{0C5EF792-05B7-4EDA-BEF7-3C660D2AFD4B}" name="1401" totalsRowFunction="sum" totalsRowDxfId="141" dataCellStyle="Currency"/>
    <tableColumn id="8" xr3:uid="{29FAD03A-69B3-4207-A748-8BD45D15D581}" name="مجموع" totalsRowFunction="sum" totalsRowDxfId="140" dataCellStyle="Currency">
      <calculatedColumnFormula>SUM(tbl_sumary[[#This Row],[1400]:[1401]])</calculatedColumnFormula>
    </tableColumn>
    <tableColumn id="3" xr3:uid="{CDA3691F-C5E7-4ED9-A080-98FD93E74B52}" name="درصد" totalsRowFunction="sum" dataDxfId="139" totalsRowDxfId="138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3" totalsRowCount="1" headerRowDxfId="65" dataDxfId="64">
  <autoFilter ref="A1:R12" xr:uid="{11174E64-8CFF-4722-BD71-DA8D32366E61}"/>
  <tableColumns count="18">
    <tableColumn id="1" xr3:uid="{9A53D445-08A1-4BD8-A9B1-36B149B75784}" name="ردیف" totalsRowLabel="Total" dataDxfId="63" totalsRowDxfId="62">
      <calculatedColumnFormula>ROW(A1)</calculatedColumnFormula>
    </tableColumn>
    <tableColumn id="2" xr3:uid="{A097EA43-7198-43D4-A945-9788D7E650A6}" name="عنوان" dataDxfId="61" totalsRowDxfId="60"/>
    <tableColumn id="5" xr3:uid="{EEC712EC-61BA-44C7-A77F-FC5EE5CA47F3}" name="مدل پرداخت" dataDxfId="59" totalsRowDxfId="58"/>
    <tableColumn id="3" xr3:uid="{B9F7695D-2433-4D21-A6B5-58ABCCFB2FEF}" name="مبلغ پرداختی" dataDxfId="57" totalsRowDxfId="56"/>
    <tableColumn id="6" xr3:uid="{EC802C2A-E591-4D77-926A-410A0C0BDAA0}" name="بهای تمام شده" dataDxfId="55" totalsRowDxfId="54"/>
    <tableColumn id="7" xr3:uid="{A37BFF77-E27B-448B-B94A-F9B63A90085C}" name="سود" dataDxfId="53" totalsRowDxfId="52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51" totalsRowDxfId="50" dataCellStyle="Percent"/>
    <tableColumn id="21" xr3:uid="{30514F62-ED70-4E43-940C-9DBD8F3236F7}" name="سود به ازای هر بیزینس" totalsRowFunction="sum" dataDxfId="49" totalsRowDxfId="48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47" totalsRowDxfId="46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45" totalsRowDxfId="44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43" totalsRowDxfId="42">
      <calculatedColumnFormula>tbl_pricing[[#Headers],[500]]*tbl_pricing[[#This Row],[درصد خرید]]</calculatedColumnFormula>
    </tableColumn>
    <tableColumn id="10" xr3:uid="{9AB94E1B-34ED-4589-8806-1371AF0006CE}" name="1000" dataDxfId="41" totalsRowDxfId="40">
      <calculatedColumnFormula>tbl_pricing[[#Headers],[1000]]*tbl_pricing[[#This Row],[درصد خرید]]</calculatedColumnFormula>
    </tableColumn>
    <tableColumn id="11" xr3:uid="{73D11ABE-3FE2-4354-9B4D-6A48992B395A}" name="2000" dataDxfId="39" totalsRowDxfId="38">
      <calculatedColumnFormula>tbl_pricing[[#Headers],[2000]]*tbl_pricing[[#This Row],[درصد خرید]]</calculatedColumnFormula>
    </tableColumn>
    <tableColumn id="12" xr3:uid="{C88D635E-46CD-44BB-9844-EBB575A727B1}" name="5000" dataDxfId="37" totalsRowDxfId="36">
      <calculatedColumnFormula>tbl_pricing[[#Headers],[5000]]*tbl_pricing[[#This Row],[درصد خرید]]</calculatedColumnFormula>
    </tableColumn>
    <tableColumn id="13" xr3:uid="{159DCBCC-07DD-484D-8F87-B26CA28EFF29}" name="10000" dataDxfId="35" totalsRowDxfId="34">
      <calculatedColumnFormula>tbl_pricing[[#Headers],[10000]]*tbl_pricing[[#This Row],[درصد خرید]]</calculatedColumnFormula>
    </tableColumn>
    <tableColumn id="14" xr3:uid="{1A3D8FD2-70CB-4665-975C-2114464348DB}" name="20000" dataDxfId="33" totalsRowDxfId="32">
      <calculatedColumnFormula>tbl_pricing[[#Headers],[20000]]*tbl_pricing[[#This Row],[درصد خرید]]</calculatedColumnFormula>
    </tableColumn>
    <tableColumn id="15" xr3:uid="{8854EC08-9308-4944-BDA8-75596BFE727B}" name="50000" dataDxfId="31" totalsRowDxfId="30">
      <calculatedColumnFormula>tbl_pricing[[#Headers],[50000]]*tbl_pricing[[#This Row],[درصد خرید]]</calculatedColumnFormula>
    </tableColumn>
    <tableColumn id="16" xr3:uid="{AA928AC4-CF96-4BA2-8936-8A643A7DDAA6}" name="100000" dataDxfId="29" totalsRowDxfId="28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2:D31" totalsRowShown="0" headerRowDxfId="27" dataDxfId="26">
  <autoFilter ref="A22:D31" xr:uid="{652F814E-9275-4FA3-8E84-CADC4414840E}"/>
  <tableColumns count="4">
    <tableColumn id="1" xr3:uid="{1DE062CE-5BF5-4FEA-A98A-704F2735EAA7}" name="تعداد بیزینس" dataDxfId="25" dataCellStyle="Comma"/>
    <tableColumn id="2" xr3:uid="{9A3B5D26-797A-4D19-9504-750237C50E47}" name="تعداد بیزینس‌هایی که پرداخت دارند" dataDxfId="24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23">
      <calculatedColumnFormula>d_customerAvgRevenue*tbl_pricing_predict[[#This Row],[تعداد بیزینس]]</calculatedColumnFormula>
    </tableColumn>
    <tableColumn id="4" xr3:uid="{16B0B2F6-77AB-4BCF-B967-97D476246151}" name="درآمد سالیانه" dataDxfId="22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21" dataDxfId="20">
  <autoFilter ref="A1:J8" xr:uid="{4B45EF50-D07B-4462-B4EB-CF690CB4B7A8}"/>
  <tableColumns count="10">
    <tableColumn id="1" xr3:uid="{3233B9C7-9724-4673-B9F1-EAE50D2C9670}" name="ردیف" dataDxfId="19">
      <calculatedColumnFormula>ROW(A1)</calculatedColumnFormula>
    </tableColumn>
    <tableColumn id="10" xr3:uid="{60819422-87DD-4CFF-AB10-DB3E961E5555}" name="عنوان" dataDxfId="18"/>
    <tableColumn id="2" xr3:uid="{18B29F41-DC81-4467-BD19-639C5E40AC0E}" name="1400-Q1" dataDxfId="17"/>
    <tableColumn id="3" xr3:uid="{75B9AC7C-0C9A-4EBB-A21B-9103F31171A5}" name="1400-Q2" dataDxfId="16">
      <calculatedColumnFormula>AVERAGE(tbl_pricing[درصد خرید])</calculatedColumnFormula>
    </tableColumn>
    <tableColumn id="4" xr3:uid="{A6A37BC8-F105-4BC7-BBA5-7CD986675C7E}" name="1400-Q3" dataDxfId="15">
      <calculatedColumnFormula>AVERAGE(tbl_pricing[درصد خرید])</calculatedColumnFormula>
    </tableColumn>
    <tableColumn id="5" xr3:uid="{7CD9CE2A-0982-402E-90BB-A37955F9417B}" name="1400-Q4" dataDxfId="14">
      <calculatedColumnFormula>AVERAGE(tbl_pricing[درصد خرید])</calculatedColumnFormula>
    </tableColumn>
    <tableColumn id="6" xr3:uid="{F574DA15-52E0-46FF-8058-3626E90ADCD3}" name="1401-Q1" dataDxfId="13">
      <calculatedColumnFormula>AVERAGE(tbl_pricing[درصد خرید])</calculatedColumnFormula>
    </tableColumn>
    <tableColumn id="7" xr3:uid="{265E39CF-C0D3-42D3-BE97-6DA6F758CCBB}" name="1401-Q2" dataDxfId="12">
      <calculatedColumnFormula>AVERAGE(tbl_pricing[درصد خرید])</calculatedColumnFormula>
    </tableColumn>
    <tableColumn id="8" xr3:uid="{491DB0FE-9C40-4DCA-8643-B5E810C0361E}" name="1401-Q3" dataDxfId="11">
      <calculatedColumnFormula>AVERAGE(tbl_pricing[درصد خرید])</calculatedColumnFormula>
    </tableColumn>
    <tableColumn id="9" xr3:uid="{299BD95A-56DA-46C1-AD0F-CE6FCABD7593}" name="1401-Q4" dataDxfId="10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H9" totalsRowShown="0" headerRowDxfId="9" dataDxfId="8">
  <autoFilter ref="A1:H9" xr:uid="{0E994EE0-F0F0-4FBF-9544-F0DF02B7F5C3}"/>
  <tableColumns count="8">
    <tableColumn id="1" xr3:uid="{7CFD1D53-F749-4B43-9DD3-BE3F1C5EC98F}" name="ردیف" dataDxfId="7">
      <calculatedColumnFormula>ROW(A1)</calculatedColumnFormula>
    </tableColumn>
    <tableColumn id="11" xr3:uid="{EDB8F8AF-AD21-41D4-84B7-19B49F8D2731}" name="نوع" dataDxfId="6"/>
    <tableColumn id="3" xr3:uid="{4C28CA0D-B0C2-4EC6-9320-E20F2AA18D35}" name="1400" dataDxfId="5">
      <calculatedColumnFormula>'پیش‌بینی درآمد'!$C$8:$F$8</calculatedColumnFormula>
    </tableColumn>
    <tableColumn id="4" xr3:uid="{BE2DB32D-49B5-4174-91DB-055B8A546B01}" name="1401" dataDxfId="4">
      <calculatedColumnFormula>SUM('پیش‌بینی درآمد'!$G$8:$J$8)</calculatedColumnFormula>
    </tableColumn>
    <tableColumn id="5" xr3:uid="{200B4D8D-3290-4392-A148-F2EC03CDB0D3}" name="1402" dataDxfId="1">
      <calculatedColumnFormula>tbl_revenue_summary[[#This Row],[1401]]*(1+s_cagr)</calculatedColumnFormula>
    </tableColumn>
    <tableColumn id="6" xr3:uid="{A7A00C3C-C62A-4AFB-8F2F-961D9B70FA4E}" name="1403" dataDxfId="3"/>
    <tableColumn id="7" xr3:uid="{CD51A06F-0126-4363-82F1-83D419084E3E}" name="1404" dataDxfId="2"/>
    <tableColumn id="2" xr3:uid="{9FF3912E-8E29-4421-A4CB-E01182C34419}" name="1405" dataDxfId="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0" totalsRowShown="0" headerRowDxfId="137" dataDxfId="136">
  <autoFilter ref="A1:B20" xr:uid="{2B9E2DB8-FBB8-45B3-A4BF-A27446C1BBC1}"/>
  <tableColumns count="2">
    <tableColumn id="1" xr3:uid="{04846D46-98AF-4645-B227-FF19272102B1}" name="عنوان" dataDxfId="135"/>
    <tableColumn id="2" xr3:uid="{D4584107-29D2-4B18-94B1-795D1E01B117}" name="مقدار" dataDxfId="134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33" dataDxfId="132">
  <autoFilter ref="A1:E4" xr:uid="{6BB248A9-012D-4836-9305-5141AF978271}"/>
  <tableColumns count="5">
    <tableColumn id="1" xr3:uid="{C1D9DC5C-1F85-426E-959C-3165A99CD6EC}" name="ردیف" totalsRowLabel="Total" dataDxfId="131" totalsRowDxfId="130">
      <calculatedColumnFormula>ROW(A1)</calculatedColumnFormula>
    </tableColumn>
    <tableColumn id="2" xr3:uid="{23A7CE2D-4EC2-4F59-9E8C-744F0E351954}" name="عنوان" dataDxfId="129" totalsRowDxfId="128"/>
    <tableColumn id="3" xr3:uid="{C5D9D589-B23B-4019-B4E1-A8A2308C3099}" name="1400" totalsRowFunction="sum" dataDxfId="127" totalsRowDxfId="126"/>
    <tableColumn id="4" xr3:uid="{A20DFB1D-E3C4-4F6A-9CE1-76537256DDA0}" name="1401" totalsRowFunction="sum" dataDxfId="125" totalsRowDxfId="124"/>
    <tableColumn id="5" xr3:uid="{7320D442-6698-4FA5-BB88-10D126434BE0}" name="جمع" totalsRowFunction="sum" dataDxfId="123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22" dataDxfId="121">
  <autoFilter ref="A9:D10" xr:uid="{939160DD-2EDF-4878-9A71-0E47E271CD17}"/>
  <tableColumns count="4">
    <tableColumn id="1" xr3:uid="{7CFB71D1-2F91-4886-8D95-C562400CF4F7}" name="9" dataDxfId="120">
      <calculatedColumnFormula>ROW(A1)</calculatedColumnFormula>
    </tableColumn>
    <tableColumn id="2" xr3:uid="{EBEBDCFA-6F86-4BB9-A4E1-CFAC0B6394D2}" name="عنوان" dataDxfId="119"/>
    <tableColumn id="3" xr3:uid="{9FF7CA43-0705-4E77-85EC-B371DC78ACA4}" name="1400" dataDxfId="118"/>
    <tableColumn id="4" xr3:uid="{B14BB7F9-8746-4829-AA07-C639400E814F}" name="1401" dataDxfId="117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16" dataDxfId="115">
  <autoFilter ref="A1:E2" xr:uid="{CA8A4239-364E-4650-9E13-6B35831DAABA}"/>
  <tableColumns count="5">
    <tableColumn id="1" xr3:uid="{276EA653-F6EB-43D8-A8E6-02705C4FC3C6}" name="ردیف" dataDxfId="114">
      <calculatedColumnFormula>ROW(A1)</calculatedColumnFormula>
    </tableColumn>
    <tableColumn id="2" xr3:uid="{C917D43E-3C18-4ECC-857D-F6E368E7D1DD}" name="عنوان" dataDxfId="113"/>
    <tableColumn id="3" xr3:uid="{936C2C7C-5EB9-4B64-BF32-AA11DA4CFE26}" name="1400" dataDxfId="112"/>
    <tableColumn id="4" xr3:uid="{81F72F41-D8FD-4195-ABBB-05037CE3698B}" name="1401" dataDxfId="111"/>
    <tableColumn id="5" xr3:uid="{C0453677-E159-4921-9E18-2A6C08C14999}" name="جمع" dataDxfId="110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09" dataDxfId="108" totalsRowDxfId="107">
  <autoFilter ref="A1:D5" xr:uid="{0FEAC4E8-3C92-4ECC-A20C-80059709130D}"/>
  <tableColumns count="4">
    <tableColumn id="1" xr3:uid="{DA73BFFA-A796-4432-914A-1F59F00537F5}" name="#" totalsRowLabel="جمع" dataDxfId="106" totalsRowDxfId="105">
      <calculatedColumnFormula>ROW(A1)</calculatedColumnFormula>
    </tableColumn>
    <tableColumn id="2" xr3:uid="{32ED334C-D261-4D20-8958-087C27AD9FBF}" name="عنوان شغلی" dataDxfId="104" totalsRowDxfId="103"/>
    <tableColumn id="4" xr3:uid="{0925C41E-9619-42E8-8F24-EDDF62C48C09}" name="1400" totalsRowFunction="sum" dataDxfId="102" totalsRowDxfId="101"/>
    <tableColumn id="5" xr3:uid="{0BE3F0C5-39C2-4F5C-A4BB-D96C51FFD2B1}" name="1401" totalsRowFunction="sum" dataDxfId="100" totalsRowDxfId="9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98" dataDxfId="97">
  <autoFilter ref="A22:F26" xr:uid="{C45356D1-9A71-4483-8364-A8B472AE846A}"/>
  <tableColumns count="6">
    <tableColumn id="3" xr3:uid="{EAA5B31A-763B-44E2-8C7F-741E10086C03}" name="#" dataDxfId="96"/>
    <tableColumn id="1" xr3:uid="{0C7B43BD-CDE0-4542-994E-07BECC378178}" name="عنوان شغلی" dataDxfId="95"/>
    <tableColumn id="2" xr3:uid="{23FA6089-E4D9-4C9C-9ADF-69E1A5FBE988}" name="میانگین پرداختی ۱۴۰۰" dataDxfId="94" dataCellStyle="Currency"/>
    <tableColumn id="4" xr3:uid="{FCAB3AB9-4281-4E61-A996-650242F1C298}" name="میانگین پرداختی ۱۴۰۱" dataDxfId="93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92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91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90" dataDxfId="89" totalsRowDxfId="88">
  <autoFilter ref="A1:E10" xr:uid="{387B4E0D-6F55-44DA-9344-EB9622378522}"/>
  <tableColumns count="5">
    <tableColumn id="1" xr3:uid="{A7835E4F-01BA-4B39-9B47-77E68912210A}" name="#" totalsRowLabel="Total" dataDxfId="87" totalsRowDxfId="86">
      <calculatedColumnFormula>ROW(A1)</calculatedColumnFormula>
    </tableColumn>
    <tableColumn id="2" xr3:uid="{915237E7-1F0F-42A4-A7C8-041DBDA02143}" name="عنوان" dataDxfId="85" totalsRowDxfId="84"/>
    <tableColumn id="4" xr3:uid="{50081311-D116-4A8B-B3B1-362E4B876409}" name="1400" totalsRowFunction="sum" dataDxfId="83" totalsRowDxfId="82" dataCellStyle="Currency"/>
    <tableColumn id="5" xr3:uid="{4B242BB3-1333-418C-A07C-49DAE81876BA}" name="1401" totalsRowFunction="sum" dataDxfId="81" totalsRowDxfId="80" dataCellStyle="Currency"/>
    <tableColumn id="6" xr3:uid="{E1DE5B6C-E01B-4554-A846-06AB203F9C1A}" name="جمع" totalsRowFunction="sum" dataDxfId="79" totalsRowDxfId="78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77" dataDxfId="76">
  <autoFilter ref="A1:E9" xr:uid="{CA8A4239-364E-4650-9E13-6B35831DAABA}"/>
  <tableColumns count="5">
    <tableColumn id="1" xr3:uid="{54E6554F-B297-4533-AD8D-E06FC372FA4D}" name="ردیف" totalsRowLabel="Total" dataDxfId="75" totalsRowDxfId="74">
      <calculatedColumnFormula>ROW(A1)</calculatedColumnFormula>
    </tableColumn>
    <tableColumn id="2" xr3:uid="{C8AD3364-8867-4058-B64B-986B3858CF42}" name="عنوان" dataDxfId="73" totalsRowDxfId="72"/>
    <tableColumn id="3" xr3:uid="{7080C68D-A903-46EB-AC1E-5D0963B807EC}" name="1400" totalsRowFunction="sum" dataDxfId="71" totalsRowDxfId="70"/>
    <tableColumn id="4" xr3:uid="{B0566FF8-F510-4A8F-8E54-F68246E5F0A7}" name="1401" totalsRowFunction="sum" dataDxfId="69" totalsRowDxfId="68"/>
    <tableColumn id="5" xr3:uid="{192D38EC-CF7E-4D9A-99C8-24B0818C5DCC}" name="جمع" totalsRowFunction="sum" dataDxfId="67" totalsRowDxfId="66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D14" sqref="D14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48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58</v>
      </c>
    </row>
    <row r="2" spans="1:7" x14ac:dyDescent="0.4">
      <c r="A2" s="1">
        <f>ROW(A1)</f>
        <v>1</v>
      </c>
      <c r="B2" s="1" t="s">
        <v>59</v>
      </c>
      <c r="C2" s="1" t="s">
        <v>33</v>
      </c>
      <c r="D2" s="19">
        <f>SUM(tbl_servers[1400])</f>
        <v>1872000000</v>
      </c>
      <c r="E2" s="19">
        <f>SUM(tbl_servers[1401])</f>
        <v>3060000000</v>
      </c>
      <c r="F2" s="19">
        <f>SUM(tbl_sumary[[#This Row],[1400]:[1401]])</f>
        <v>4932000000</v>
      </c>
      <c r="G2" s="25">
        <f>(F2*100/SUM(tbl_sumary[مجموع])) / 100</f>
        <v>0.20963934636390075</v>
      </c>
    </row>
    <row r="3" spans="1:7" x14ac:dyDescent="0.4">
      <c r="A3" s="1">
        <f t="shared" ref="A3:A4" si="0">ROW(A2)</f>
        <v>2</v>
      </c>
      <c r="B3" s="1" t="s">
        <v>59</v>
      </c>
      <c r="C3" s="1" t="s">
        <v>38</v>
      </c>
      <c r="D3" s="19">
        <f>SUM(tbl_office12[1400])</f>
        <v>240000000</v>
      </c>
      <c r="E3" s="19">
        <f>SUM(tbl_office12[1401])</f>
        <v>510000000</v>
      </c>
      <c r="F3" s="19">
        <f>SUM(tbl_sumary[[#This Row],[1400]:[1401]])</f>
        <v>750000000</v>
      </c>
      <c r="G3" s="25">
        <f>(F3*100/SUM(tbl_sumary[مجموع])) / 100</f>
        <v>3.187946264657858E-2</v>
      </c>
    </row>
    <row r="4" spans="1:7" x14ac:dyDescent="0.4">
      <c r="A4" s="1">
        <f t="shared" si="0"/>
        <v>3</v>
      </c>
      <c r="B4" s="1" t="s">
        <v>47</v>
      </c>
      <c r="C4" s="1" t="s">
        <v>60</v>
      </c>
      <c r="D4" s="19">
        <f>'حقوق و دستمزد'!C15</f>
        <v>1121400000</v>
      </c>
      <c r="E4" s="19">
        <f>'حقوق و دستمزد'!D15</f>
        <v>8207580000</v>
      </c>
      <c r="F4" s="19">
        <f>SUM(tbl_sumary[[#This Row],[1400]:[1401]])</f>
        <v>9328980000</v>
      </c>
      <c r="G4" s="25">
        <f>(F4*100/SUM(tbl_sumary[مجموع])) / 100</f>
        <v>0.39653715925423816</v>
      </c>
    </row>
    <row r="5" spans="1:7" x14ac:dyDescent="0.4">
      <c r="A5" s="1">
        <f>ROW(A4)</f>
        <v>4</v>
      </c>
      <c r="B5" s="1" t="s">
        <v>47</v>
      </c>
      <c r="C5" s="1" t="s">
        <v>32</v>
      </c>
      <c r="D5" s="19">
        <f>SUM(tbl_marketing[1400])</f>
        <v>800000000</v>
      </c>
      <c r="E5" s="19">
        <f>SUM(tbl_marketing[1401])</f>
        <v>3000000000</v>
      </c>
      <c r="F5" s="19">
        <f>SUM(tbl_sumary[[#This Row],[1400]:[1401]])</f>
        <v>3800000000</v>
      </c>
      <c r="G5" s="25">
        <f>(F5*100/SUM(tbl_sumary[مجموع])) / 100</f>
        <v>0.1615226107426648</v>
      </c>
    </row>
    <row r="6" spans="1:7" x14ac:dyDescent="0.4">
      <c r="A6" s="1">
        <f>ROW(A5)</f>
        <v>5</v>
      </c>
      <c r="B6" s="1" t="s">
        <v>47</v>
      </c>
      <c r="C6" s="1" t="s">
        <v>34</v>
      </c>
      <c r="D6" s="19">
        <f>d_spacePricePerStaff*SUM(tbl_salaryData[1400])*12</f>
        <v>240000000</v>
      </c>
      <c r="E6" s="19">
        <f>d_spacePricePerStaff*SUM(tbl_salaryData[1401])*12</f>
        <v>750000000</v>
      </c>
      <c r="F6" s="19">
        <f>SUM(tbl_sumary[[#This Row],[1400]:[1401]])</f>
        <v>990000000</v>
      </c>
      <c r="G6" s="25">
        <f>(F6*100/SUM(tbl_sumary[مجموع])) / 100</f>
        <v>4.2080890693483725E-2</v>
      </c>
    </row>
    <row r="7" spans="1:7" x14ac:dyDescent="0.4">
      <c r="A7" s="1">
        <f>ROW(A6)</f>
        <v>6</v>
      </c>
      <c r="B7" s="1" t="s">
        <v>47</v>
      </c>
      <c r="C7" s="1" t="s">
        <v>46</v>
      </c>
      <c r="D7" s="19">
        <f>SUM(tbl_office[1400])</f>
        <v>422400000</v>
      </c>
      <c r="E7" s="19">
        <f>SUM(tbl_office[1401])</f>
        <v>1164000000</v>
      </c>
      <c r="F7" s="19">
        <f>SUM(tbl_sumary[[#This Row],[1400]:[1401]])</f>
        <v>1586400000</v>
      </c>
      <c r="G7" s="25">
        <f>(F7*100/SUM(tbl_sumary[مجموع])) / 100</f>
        <v>6.7431439390043021E-2</v>
      </c>
    </row>
    <row r="8" spans="1:7" x14ac:dyDescent="0.4">
      <c r="A8" s="1">
        <f>ROW(A7)</f>
        <v>7</v>
      </c>
      <c r="B8" s="1" t="s">
        <v>47</v>
      </c>
      <c r="C8" s="1" t="s">
        <v>61</v>
      </c>
      <c r="D8" s="19">
        <f>SUM(D2:D7) * d_unpredictedPercent</f>
        <v>469580000</v>
      </c>
      <c r="E8" s="19">
        <f>SUM(E2:E7) * d_unpredictedPercent</f>
        <v>1669158000</v>
      </c>
      <c r="F8" s="19">
        <f>SUM(tbl_sumary[[#This Row],[1400]:[1401]])</f>
        <v>2138738000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5165380000</v>
      </c>
      <c r="E9" s="12">
        <f>SUBTOTAL(109,tbl_sumary[1401])</f>
        <v>18360738000</v>
      </c>
      <c r="F9" s="17">
        <f>SUBTOTAL(109,tbl_sumary[مجموع])</f>
        <v>23526118000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48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59</v>
      </c>
      <c r="C13" s="27"/>
      <c r="D13" s="31">
        <f>SUMIFS(tbl_sumary[1400],tbl_sumary[نوع],B13)</f>
        <v>2112000000</v>
      </c>
      <c r="E13" s="31">
        <f>SUMIFS(tbl_sumary[1401],tbl_sumary[نوع],B13)</f>
        <v>3570000000</v>
      </c>
      <c r="F13" s="32">
        <f>SUM(D13:E13)</f>
        <v>5682000000</v>
      </c>
    </row>
    <row r="14" spans="1:7" x14ac:dyDescent="0.4">
      <c r="A14" s="13"/>
      <c r="B14" s="28" t="s">
        <v>47</v>
      </c>
      <c r="C14" s="28"/>
      <c r="D14" s="33">
        <f>SUMIFS(tbl_sumary[1400],tbl_sumary[نوع],B14)</f>
        <v>3053380000</v>
      </c>
      <c r="E14" s="33">
        <f>SUMIFS(tbl_sumary[1401],tbl_sumary[نوع],B14)</f>
        <v>14790738000</v>
      </c>
      <c r="F14" s="34">
        <f>SUM(D14:E14)</f>
        <v>17844118000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tabSelected="1" workbookViewId="0">
      <selection activeCell="F7" sqref="F7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36</v>
      </c>
      <c r="B1" s="1" t="s">
        <v>2</v>
      </c>
      <c r="C1" s="23" t="s">
        <v>106</v>
      </c>
      <c r="D1" s="23" t="s">
        <v>107</v>
      </c>
      <c r="E1" s="23" t="s">
        <v>108</v>
      </c>
      <c r="F1" s="23" t="s">
        <v>109</v>
      </c>
      <c r="G1" s="23" t="s">
        <v>110</v>
      </c>
      <c r="H1" s="23" t="s">
        <v>111</v>
      </c>
      <c r="I1" s="23" t="s">
        <v>112</v>
      </c>
      <c r="J1" s="23" t="s">
        <v>113</v>
      </c>
    </row>
    <row r="2" spans="1:10" x14ac:dyDescent="0.4">
      <c r="A2" s="1">
        <f>ROW(A1)</f>
        <v>1</v>
      </c>
      <c r="B2" s="1" t="s">
        <v>114</v>
      </c>
      <c r="C2" s="4">
        <v>500</v>
      </c>
      <c r="D2" s="4">
        <v>1000</v>
      </c>
      <c r="E2" s="4">
        <v>1700</v>
      </c>
      <c r="F2" s="4">
        <v>4000</v>
      </c>
      <c r="G2" s="4">
        <v>8000</v>
      </c>
      <c r="H2" s="4">
        <v>15000</v>
      </c>
      <c r="I2" s="4">
        <v>30000</v>
      </c>
      <c r="J2" s="4">
        <v>50000</v>
      </c>
    </row>
    <row r="3" spans="1:10" x14ac:dyDescent="0.4">
      <c r="A3" s="1">
        <f t="shared" ref="A3:A8" si="0">ROW(A2)</f>
        <v>2</v>
      </c>
      <c r="B3" s="1" t="s">
        <v>105</v>
      </c>
      <c r="C3" s="38">
        <f>AVERAGE(tbl_pricing[درصد خرید])</f>
        <v>2.0227272727272726E-2</v>
      </c>
      <c r="D3" s="38">
        <f>AVERAGE(tbl_pricing[درصد خرید])</f>
        <v>2.0227272727272726E-2</v>
      </c>
      <c r="E3" s="38">
        <f>AVERAGE(tbl_pricing[درصد خرید])</f>
        <v>2.0227272727272726E-2</v>
      </c>
      <c r="F3" s="38">
        <f>AVERAGE(tbl_pricing[درصد خرید])</f>
        <v>2.0227272727272726E-2</v>
      </c>
      <c r="G3" s="38">
        <f>AVERAGE(tbl_pricing[درصد خرید])</f>
        <v>2.0227272727272726E-2</v>
      </c>
      <c r="H3" s="38">
        <f>AVERAGE(tbl_pricing[درصد خرید])</f>
        <v>2.0227272727272726E-2</v>
      </c>
      <c r="I3" s="38">
        <f>AVERAGE(tbl_pricing[درصد خرید])</f>
        <v>2.0227272727272726E-2</v>
      </c>
      <c r="J3" s="38">
        <f>AVERAGE(tbl_pricing[درصد خرید])</f>
        <v>2.0227272727272726E-2</v>
      </c>
    </row>
    <row r="4" spans="1:10" x14ac:dyDescent="0.4">
      <c r="A4" s="1">
        <f t="shared" si="0"/>
        <v>3</v>
      </c>
      <c r="B4" s="1" t="s">
        <v>115</v>
      </c>
      <c r="C4" s="4">
        <f>ROUND(C2*d_customerConvertRate, 0)</f>
        <v>10</v>
      </c>
      <c r="D4" s="4">
        <f>AVERAGE(tbl_pricing[درصد خرید])</f>
        <v>2.0227272727272726E-2</v>
      </c>
      <c r="E4" s="4">
        <f>AVERAGE(tbl_pricing[درصد خرید])</f>
        <v>2.0227272727272726E-2</v>
      </c>
      <c r="F4" s="4">
        <f>AVERAGE(tbl_pricing[درصد خرید])</f>
        <v>2.0227272727272726E-2</v>
      </c>
      <c r="G4" s="4">
        <f>AVERAGE(tbl_pricing[درصد خرید])</f>
        <v>2.0227272727272726E-2</v>
      </c>
      <c r="H4" s="4">
        <f>AVERAGE(tbl_pricing[درصد خرید])</f>
        <v>2.0227272727272726E-2</v>
      </c>
      <c r="I4" s="4">
        <f>AVERAGE(tbl_pricing[درصد خرید])</f>
        <v>2.0227272727272726E-2</v>
      </c>
      <c r="J4" s="4">
        <f>AVERAGE(tbl_pricing[درصد خرید])</f>
        <v>2.0227272727272726E-2</v>
      </c>
    </row>
    <row r="5" spans="1:10" x14ac:dyDescent="0.4">
      <c r="A5" s="1">
        <f t="shared" si="0"/>
        <v>4</v>
      </c>
      <c r="B5" s="1" t="s">
        <v>116</v>
      </c>
      <c r="C5" s="22">
        <f>SUM(tbl_pricing[سود به ازای هر بیزینس])</f>
        <v>32360</v>
      </c>
      <c r="D5" s="22">
        <f>SUM(tbl_pricing[سود به ازای هر بیزینس])</f>
        <v>32360</v>
      </c>
      <c r="E5" s="22">
        <f>SUM(tbl_pricing[سود به ازای هر بیزینس])</f>
        <v>32360</v>
      </c>
      <c r="F5" s="22">
        <f>SUM(tbl_pricing[سود به ازای هر بیزینس])</f>
        <v>32360</v>
      </c>
      <c r="G5" s="22">
        <f>SUM(tbl_pricing[سود به ازای هر بیزینس])</f>
        <v>32360</v>
      </c>
      <c r="H5" s="22">
        <f>SUM(tbl_pricing[سود به ازای هر بیزینس])</f>
        <v>32360</v>
      </c>
      <c r="I5" s="22">
        <f>SUM(tbl_pricing[سود به ازای هر بیزینس])</f>
        <v>32360</v>
      </c>
      <c r="J5" s="22">
        <f>SUM(tbl_pricing[سود به ازای هر بیزینس])</f>
        <v>32360</v>
      </c>
    </row>
    <row r="6" spans="1:10" x14ac:dyDescent="0.4">
      <c r="A6" s="1">
        <f t="shared" si="0"/>
        <v>5</v>
      </c>
      <c r="B6" s="1" t="s">
        <v>117</v>
      </c>
      <c r="C6" s="22">
        <f>C5*3</f>
        <v>97080</v>
      </c>
      <c r="D6" s="22">
        <f t="shared" ref="D6:J6" si="1">D5*3</f>
        <v>97080</v>
      </c>
      <c r="E6" s="22">
        <f t="shared" si="1"/>
        <v>97080</v>
      </c>
      <c r="F6" s="22">
        <f t="shared" si="1"/>
        <v>97080</v>
      </c>
      <c r="G6" s="22">
        <f t="shared" si="1"/>
        <v>97080</v>
      </c>
      <c r="H6" s="22">
        <f t="shared" si="1"/>
        <v>97080</v>
      </c>
      <c r="I6" s="22">
        <f t="shared" si="1"/>
        <v>97080</v>
      </c>
      <c r="J6" s="22">
        <f t="shared" si="1"/>
        <v>97080</v>
      </c>
    </row>
    <row r="7" spans="1:10" x14ac:dyDescent="0.4">
      <c r="A7" s="1">
        <f t="shared" si="0"/>
        <v>6</v>
      </c>
      <c r="B7" s="1" t="s">
        <v>86</v>
      </c>
      <c r="C7" s="12">
        <f t="shared" ref="C7:J7" si="2">C2*d_customerAvgRevenue</f>
        <v>16180000</v>
      </c>
      <c r="D7" s="12">
        <f t="shared" si="2"/>
        <v>32360000</v>
      </c>
      <c r="E7" s="12">
        <f t="shared" si="2"/>
        <v>55012000</v>
      </c>
      <c r="F7" s="12">
        <f t="shared" si="2"/>
        <v>129440000</v>
      </c>
      <c r="G7" s="12">
        <f t="shared" si="2"/>
        <v>258880000</v>
      </c>
      <c r="H7" s="12">
        <f t="shared" si="2"/>
        <v>485400000</v>
      </c>
      <c r="I7" s="12">
        <f t="shared" si="2"/>
        <v>970800000</v>
      </c>
      <c r="J7" s="12">
        <f t="shared" si="2"/>
        <v>1618000000</v>
      </c>
    </row>
    <row r="8" spans="1:10" x14ac:dyDescent="0.4">
      <c r="A8" s="1">
        <f t="shared" si="0"/>
        <v>7</v>
      </c>
      <c r="B8" s="55" t="s">
        <v>118</v>
      </c>
      <c r="C8" s="16">
        <f>C7*3</f>
        <v>48540000</v>
      </c>
      <c r="D8" s="16">
        <f t="shared" ref="D8:J8" si="3">D7*3</f>
        <v>97080000</v>
      </c>
      <c r="E8" s="16">
        <f t="shared" si="3"/>
        <v>165036000</v>
      </c>
      <c r="F8" s="16">
        <f t="shared" si="3"/>
        <v>388320000</v>
      </c>
      <c r="G8" s="16">
        <f t="shared" si="3"/>
        <v>776640000</v>
      </c>
      <c r="H8" s="16">
        <f t="shared" si="3"/>
        <v>1456200000</v>
      </c>
      <c r="I8" s="16">
        <f t="shared" si="3"/>
        <v>2912400000</v>
      </c>
      <c r="J8" s="16">
        <f t="shared" si="3"/>
        <v>4854000000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dimension ref="A1:H9"/>
  <sheetViews>
    <sheetView rightToLeft="1" workbookViewId="0">
      <selection activeCell="E3" sqref="E3"/>
    </sheetView>
  </sheetViews>
  <sheetFormatPr defaultRowHeight="17.25" x14ac:dyDescent="0.4"/>
  <cols>
    <col min="1" max="1" width="9.140625" style="1"/>
    <col min="2" max="2" width="19.7109375" style="1" customWidth="1"/>
    <col min="3" max="8" width="25.7109375" style="1" customWidth="1"/>
    <col min="9" max="16384" width="9.140625" style="1"/>
  </cols>
  <sheetData>
    <row r="1" spans="1:8" x14ac:dyDescent="0.4">
      <c r="A1" s="1" t="s">
        <v>36</v>
      </c>
      <c r="B1" s="1" t="s">
        <v>48</v>
      </c>
      <c r="C1" s="23" t="s">
        <v>14</v>
      </c>
      <c r="D1" s="23" t="s">
        <v>15</v>
      </c>
      <c r="E1" s="23" t="s">
        <v>119</v>
      </c>
      <c r="F1" s="23" t="s">
        <v>120</v>
      </c>
      <c r="G1" s="23" t="s">
        <v>121</v>
      </c>
      <c r="H1" s="23" t="s">
        <v>127</v>
      </c>
    </row>
    <row r="2" spans="1:8" x14ac:dyDescent="0.4">
      <c r="A2" s="1">
        <f>ROW(A1)</f>
        <v>1</v>
      </c>
      <c r="B2" s="1" t="s">
        <v>102</v>
      </c>
      <c r="C2" s="12">
        <f>SUM('پیش‌بینی درآمد'!C8:F8)</f>
        <v>698976000</v>
      </c>
      <c r="D2" s="12">
        <f>SUM('پیش‌بینی درآمد'!$G$8:$J$8)</f>
        <v>9999240000</v>
      </c>
      <c r="E2" s="12">
        <f>tbl_revenue_summary[[#This Row],[1401]]*(1+s_cagr)</f>
        <v>19998480000</v>
      </c>
      <c r="F2" s="12">
        <f>tbl_revenue_summary[[#This Row],[1402]]*(1+s_cagr)</f>
        <v>39996960000</v>
      </c>
      <c r="G2" s="12">
        <f>tbl_revenue_summary[[#This Row],[1403]]*(1+s_cagr)</f>
        <v>79993920000</v>
      </c>
      <c r="H2" s="12">
        <f>tbl_revenue_summary[[#This Row],[1404]]*(1+s_cagr)</f>
        <v>159987840000</v>
      </c>
    </row>
    <row r="3" spans="1:8" x14ac:dyDescent="0.4">
      <c r="A3" s="1">
        <f t="shared" ref="A3:A9" si="0">ROW(A2)</f>
        <v>2</v>
      </c>
      <c r="B3" s="1" t="s">
        <v>59</v>
      </c>
      <c r="C3" s="12">
        <f>SUMIFS(tbl_sumary[1400],tbl_sumary[نوع],tbl_revenue_summary[[#This Row],[نوع]])</f>
        <v>2112000000</v>
      </c>
      <c r="D3" s="12">
        <f>SUMIFS(tbl_sumary[1401],tbl_sumary[نوع],tbl_revenue_summary[[#This Row],[نوع]])</f>
        <v>3570000000</v>
      </c>
      <c r="E3" s="12">
        <f>tbl_revenue_summary[[#This Row],[1401]]*(1+s_costsGrowthYOY)</f>
        <v>4998000000</v>
      </c>
      <c r="F3" s="12">
        <f>tbl_revenue_summary[[#This Row],[1402]]*(1+s_costsGrowthYOY)</f>
        <v>6997200000</v>
      </c>
      <c r="G3" s="12">
        <f>tbl_revenue_summary[[#This Row],[1403]]*(1+s_costsGrowthYOY)</f>
        <v>9796080000</v>
      </c>
      <c r="H3" s="12">
        <f>tbl_revenue_summary[[#This Row],[1404]]*(1+s_costsGrowthYOY)</f>
        <v>13714512000</v>
      </c>
    </row>
    <row r="4" spans="1:8" x14ac:dyDescent="0.4">
      <c r="A4" s="1">
        <f t="shared" si="0"/>
        <v>3</v>
      </c>
      <c r="B4" s="1" t="s">
        <v>47</v>
      </c>
      <c r="C4" s="12">
        <f>SUMIFS(tbl_sumary[1400],tbl_sumary[نوع],tbl_revenue_summary[[#This Row],[نوع]])</f>
        <v>3053380000</v>
      </c>
      <c r="D4" s="12">
        <f>SUMIFS(tbl_sumary[1401],tbl_sumary[نوع],tbl_revenue_summary[[#This Row],[نوع]])</f>
        <v>14790738000</v>
      </c>
      <c r="E4" s="12">
        <f>tbl_revenue_summary[[#This Row],[1401]]*(1+s_costsGrowthYOY)</f>
        <v>20707033200</v>
      </c>
      <c r="F4" s="12">
        <f>tbl_revenue_summary[[#This Row],[1402]]*(1+s_costsGrowthYOY)</f>
        <v>28989846480</v>
      </c>
      <c r="G4" s="12">
        <f>tbl_revenue_summary[[#This Row],[1403]]*(1+s_costsGrowthYOY)</f>
        <v>40585785072</v>
      </c>
      <c r="H4" s="12">
        <f>tbl_revenue_summary[[#This Row],[1404]]*(1+s_costsGrowthYOY)</f>
        <v>56820099100.799995</v>
      </c>
    </row>
    <row r="5" spans="1:8" x14ac:dyDescent="0.4">
      <c r="A5" s="1">
        <f t="shared" si="0"/>
        <v>4</v>
      </c>
      <c r="B5" s="1" t="s">
        <v>124</v>
      </c>
      <c r="C5" s="12">
        <f>C2-C4</f>
        <v>-2354404000</v>
      </c>
      <c r="D5" s="12">
        <f t="shared" ref="D5:H5" si="1">D2-D4</f>
        <v>-4791498000</v>
      </c>
      <c r="E5" s="12">
        <f t="shared" si="1"/>
        <v>-708553200</v>
      </c>
      <c r="F5" s="12">
        <f t="shared" si="1"/>
        <v>11007113520</v>
      </c>
      <c r="G5" s="12">
        <f t="shared" si="1"/>
        <v>39408134928</v>
      </c>
      <c r="H5" s="12">
        <f t="shared" si="1"/>
        <v>103167740899.20001</v>
      </c>
    </row>
    <row r="6" spans="1:8" x14ac:dyDescent="0.4">
      <c r="A6" s="1">
        <f t="shared" si="0"/>
        <v>5</v>
      </c>
      <c r="B6" s="1" t="s">
        <v>125</v>
      </c>
      <c r="C6" s="38">
        <f>C5/C2</f>
        <v>-3.3683617177127685</v>
      </c>
      <c r="D6" s="38">
        <f t="shared" ref="D6:H6" si="2">D5/D2</f>
        <v>-0.47918621815257961</v>
      </c>
      <c r="E6" s="38">
        <f t="shared" si="2"/>
        <v>-3.5430352706805716E-2</v>
      </c>
      <c r="F6" s="38">
        <f t="shared" si="2"/>
        <v>0.275198753105236</v>
      </c>
      <c r="G6" s="38">
        <f t="shared" si="2"/>
        <v>0.4926391271736652</v>
      </c>
      <c r="H6" s="38">
        <f t="shared" si="2"/>
        <v>0.64484738902156569</v>
      </c>
    </row>
    <row r="7" spans="1:8" x14ac:dyDescent="0.4">
      <c r="A7" s="1">
        <f t="shared" si="0"/>
        <v>6</v>
      </c>
      <c r="B7" s="1" t="s">
        <v>126</v>
      </c>
      <c r="C7" s="12">
        <f>C3-C5</f>
        <v>4466404000</v>
      </c>
      <c r="D7" s="12">
        <f t="shared" ref="D7:G7" si="3">D3-D5</f>
        <v>8361498000</v>
      </c>
      <c r="E7" s="12">
        <f t="shared" si="3"/>
        <v>5706553200</v>
      </c>
      <c r="F7" s="12">
        <f t="shared" si="3"/>
        <v>-4009913520</v>
      </c>
      <c r="G7" s="12">
        <f t="shared" si="3"/>
        <v>-29612054928</v>
      </c>
      <c r="H7" s="12">
        <f t="shared" ref="H7" si="4">H3-H5</f>
        <v>-89453228899.200012</v>
      </c>
    </row>
    <row r="8" spans="1:8" x14ac:dyDescent="0.4">
      <c r="A8" s="1">
        <f t="shared" si="0"/>
        <v>7</v>
      </c>
      <c r="C8" s="12"/>
      <c r="D8" s="12"/>
      <c r="E8" s="12"/>
      <c r="F8" s="12"/>
      <c r="G8" s="12"/>
      <c r="H8" s="12"/>
    </row>
    <row r="9" spans="1:8" x14ac:dyDescent="0.4">
      <c r="A9" s="1">
        <f t="shared" si="0"/>
        <v>8</v>
      </c>
      <c r="C9" s="12"/>
      <c r="D9" s="12"/>
      <c r="E9" s="12"/>
      <c r="F9" s="12"/>
      <c r="G9" s="12"/>
      <c r="H9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N26" sqref="N26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1" sqref="B21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0.45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35</v>
      </c>
      <c r="B6" s="12">
        <f>B5*B4</f>
        <v>2500000</v>
      </c>
    </row>
    <row r="7" spans="1:2" x14ac:dyDescent="0.4">
      <c r="A7" s="1" t="s">
        <v>8</v>
      </c>
      <c r="B7" s="22">
        <v>25000</v>
      </c>
    </row>
    <row r="8" spans="1:2" x14ac:dyDescent="0.4">
      <c r="A8" s="1" t="s">
        <v>40</v>
      </c>
      <c r="B8" s="12">
        <v>30000000</v>
      </c>
    </row>
    <row r="9" spans="1:2" x14ac:dyDescent="0.4">
      <c r="A9" s="1" t="s">
        <v>39</v>
      </c>
      <c r="B9" s="12">
        <v>1000000</v>
      </c>
    </row>
    <row r="10" spans="1:2" x14ac:dyDescent="0.4">
      <c r="A10" s="1" t="s">
        <v>41</v>
      </c>
      <c r="B10" s="1">
        <v>6</v>
      </c>
    </row>
    <row r="11" spans="1:2" x14ac:dyDescent="0.4">
      <c r="A11" s="1" t="s">
        <v>54</v>
      </c>
      <c r="B11" s="20">
        <v>12000</v>
      </c>
    </row>
    <row r="12" spans="1:2" x14ac:dyDescent="0.4">
      <c r="A12" s="1" t="s">
        <v>55</v>
      </c>
      <c r="B12" s="20">
        <v>500</v>
      </c>
    </row>
    <row r="13" spans="1:2" x14ac:dyDescent="0.4">
      <c r="A13" s="1" t="s">
        <v>51</v>
      </c>
      <c r="B13" s="12">
        <f>d_serverDollarCost*d_toman2dollar</f>
        <v>300000000</v>
      </c>
    </row>
    <row r="14" spans="1:2" x14ac:dyDescent="0.4">
      <c r="A14" s="1" t="s">
        <v>56</v>
      </c>
      <c r="B14" s="12">
        <f>d_ssdDollarCost*d_toman2dollar * 12</f>
        <v>150000000</v>
      </c>
    </row>
    <row r="15" spans="1:2" x14ac:dyDescent="0.4">
      <c r="A15" s="1" t="s">
        <v>52</v>
      </c>
      <c r="B15" s="12">
        <v>3000000</v>
      </c>
    </row>
    <row r="16" spans="1:2" x14ac:dyDescent="0.4">
      <c r="A16" s="1" t="s">
        <v>62</v>
      </c>
      <c r="B16" s="21">
        <v>0.1</v>
      </c>
    </row>
    <row r="17" spans="1:2" x14ac:dyDescent="0.4">
      <c r="A17" s="36" t="s">
        <v>67</v>
      </c>
      <c r="B17" s="37"/>
    </row>
    <row r="18" spans="1:2" x14ac:dyDescent="0.4">
      <c r="A18" s="35" t="s">
        <v>68</v>
      </c>
      <c r="B18" s="21">
        <v>0.4</v>
      </c>
    </row>
    <row r="19" spans="1:2" x14ac:dyDescent="0.4">
      <c r="A19" s="1" t="s">
        <v>122</v>
      </c>
      <c r="B19" s="21">
        <v>1</v>
      </c>
    </row>
    <row r="20" spans="1:2" x14ac:dyDescent="0.4">
      <c r="A20" s="1" t="s">
        <v>123</v>
      </c>
      <c r="B20" s="21">
        <v>0.4</v>
      </c>
    </row>
    <row r="21" spans="1:2" x14ac:dyDescent="0.4">
      <c r="B21" s="21"/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9" tint="0.79998168889431442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49</v>
      </c>
      <c r="C2" s="12">
        <f>tbl_serverCount[1400]*d_serverCost</f>
        <v>1200000000</v>
      </c>
      <c r="D2" s="12">
        <f>(tbl_serverCount[1401] - tbl_serverCount[1400])*d_serverCost</f>
        <v>1800000000</v>
      </c>
      <c r="E2" s="12">
        <f>SUM(tbl_servers[[#This Row],[1400]:[1401]])</f>
        <v>3000000000</v>
      </c>
    </row>
    <row r="3" spans="1:5" x14ac:dyDescent="0.4">
      <c r="A3" s="1">
        <f>ROW(A2)</f>
        <v>2</v>
      </c>
      <c r="B3" s="1" t="s">
        <v>57</v>
      </c>
      <c r="C3" s="12">
        <f>tbl_serverCount[1400]*d_ssdCost</f>
        <v>600000000</v>
      </c>
      <c r="D3" s="12">
        <f>(tbl_serverCount[1401] - tbl_serverCount[1400])*d_ssdCost</f>
        <v>900000000</v>
      </c>
      <c r="E3" s="12">
        <f>SUM(tbl_servers[[#This Row],[1400]:[1401]])</f>
        <v>1500000000</v>
      </c>
    </row>
    <row r="4" spans="1:5" x14ac:dyDescent="0.4">
      <c r="A4" s="1">
        <f>ROW(A3)</f>
        <v>3</v>
      </c>
      <c r="B4" s="1" t="s">
        <v>53</v>
      </c>
      <c r="C4" s="12">
        <f>tbl_serverCount[1400]*d_coloCost * d_year1400Remain</f>
        <v>72000000</v>
      </c>
      <c r="D4" s="12">
        <f>tbl_serverCount[1401]*d_coloCost * 12</f>
        <v>360000000</v>
      </c>
      <c r="E4" s="12">
        <f>SUM(tbl_servers[[#This Row],[1400]:[1401]])</f>
        <v>432000000</v>
      </c>
    </row>
    <row r="5" spans="1:5" x14ac:dyDescent="0.4">
      <c r="A5" s="1" t="s">
        <v>1</v>
      </c>
      <c r="C5" s="12">
        <f>SUBTOTAL(109,tbl_servers[1400])</f>
        <v>1872000000</v>
      </c>
      <c r="D5" s="12">
        <f>SUBTOTAL(109,tbl_servers[1401])</f>
        <v>3060000000</v>
      </c>
      <c r="E5" s="12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1" t="s">
        <v>50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33</v>
      </c>
      <c r="C10" s="3">
        <v>4</v>
      </c>
      <c r="D10" s="3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9" tint="0.79998168889431442"/>
  </sheetPr>
  <dimension ref="A1:G19"/>
  <sheetViews>
    <sheetView rightToLeft="1" workbookViewId="0">
      <selection activeCell="C2" sqref="C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38</v>
      </c>
      <c r="C2" s="12">
        <f>d_staff1400*d_systemPerPerson</f>
        <v>240000000</v>
      </c>
      <c r="D2" s="12">
        <f>d_staff1401 * d_systemPerPerson</f>
        <v>510000000</v>
      </c>
      <c r="E2" s="12">
        <f>SUM(tbl_office12[[#This Row],[1400]:[1401]])</f>
        <v>750000000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5</v>
      </c>
      <c r="D2" s="3">
        <v>10</v>
      </c>
      <c r="F2" s="4"/>
      <c r="G2" s="5"/>
    </row>
    <row r="3" spans="1:7" x14ac:dyDescent="0.4">
      <c r="A3" s="1">
        <f t="shared" ref="A3:A4" si="0">ROW(A2)</f>
        <v>2</v>
      </c>
      <c r="B3" s="1" t="s">
        <v>11</v>
      </c>
      <c r="C3" s="3">
        <v>1</v>
      </c>
      <c r="D3" s="3">
        <v>8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2</v>
      </c>
    </row>
    <row r="5" spans="1:7" x14ac:dyDescent="0.4">
      <c r="A5" s="1" t="e">
        <f>ROW(#REF!)</f>
        <v>#REF!</v>
      </c>
      <c r="B5" s="1" t="s">
        <v>13</v>
      </c>
      <c r="C5" s="3">
        <v>1</v>
      </c>
      <c r="D5" s="3">
        <v>5</v>
      </c>
    </row>
    <row r="6" spans="1:7" x14ac:dyDescent="0.4">
      <c r="A6" s="1" t="s">
        <v>21</v>
      </c>
      <c r="C6" s="3">
        <f>SUBTOTAL(109,tbl_salaryData[1400])</f>
        <v>8</v>
      </c>
      <c r="D6" s="3">
        <f>SUBTOTAL(109,tbl_salaryData[1401])</f>
        <v>25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42</v>
      </c>
      <c r="C12" s="24">
        <f>SUM(tbl_salaryData[1400])</f>
        <v>8</v>
      </c>
      <c r="D12" s="24">
        <f>SUM(tbl_salaryData[1401])-C12</f>
        <v>17</v>
      </c>
      <c r="E12" s="11">
        <f>SUM(C12:D12)</f>
        <v>25</v>
      </c>
    </row>
    <row r="13" spans="1:7" x14ac:dyDescent="0.4">
      <c r="A13" s="9"/>
      <c r="B13" s="10" t="s">
        <v>16</v>
      </c>
      <c r="C13" s="11">
        <f>C2*C$23+C3*C$24+C4*C$25+C5*C$26</f>
        <v>126000000</v>
      </c>
      <c r="D13" s="11">
        <f>D2*D$23+D3*D$24+D4*D$25+D5*D$26</f>
        <v>461100000</v>
      </c>
      <c r="E13" s="11">
        <f>SUM(C13:D13)</f>
        <v>587100000</v>
      </c>
    </row>
    <row r="14" spans="1:7" x14ac:dyDescent="0.4">
      <c r="A14" s="9"/>
      <c r="B14" s="10" t="s">
        <v>17</v>
      </c>
      <c r="C14" s="11">
        <f>C13*d_year1400Remain</f>
        <v>756000000</v>
      </c>
      <c r="D14" s="11">
        <f t="shared" ref="D14" si="1">D13*12</f>
        <v>5533200000</v>
      </c>
      <c r="E14" s="12">
        <f t="shared" ref="E14:E15" si="2">SUM(C14:D14)</f>
        <v>6289200000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1121400000</v>
      </c>
      <c r="D15" s="15">
        <f>ROUND(D13*d_AnnualSalary,0)</f>
        <v>8207580000</v>
      </c>
      <c r="E15" s="16">
        <f t="shared" si="2"/>
        <v>9328980000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29000000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516200000</v>
      </c>
    </row>
    <row r="24" spans="1:6" x14ac:dyDescent="0.4">
      <c r="A24" s="1">
        <v>2</v>
      </c>
      <c r="B24" s="1" t="s">
        <v>11</v>
      </c>
      <c r="C24" s="19">
        <v>8000000</v>
      </c>
      <c r="D24" s="12">
        <f>tbl_jobSalary[[#This Row],[میانگین پرداختی ۱۴۰۰]]*(d_salaryYOY + 1)</f>
        <v>11600000</v>
      </c>
      <c r="E24" s="12">
        <f>tbl_jobSalary[[#This Row],[میانگین پرداختی ۱۴۰۰]]*d_AnnualSalary</f>
        <v>142400000</v>
      </c>
      <c r="F24" s="12">
        <f>tbl_jobSalary[[#This Row],[میانگین پرداختی ۱۴۰۱]]*d_AnnualSalary</f>
        <v>206480000</v>
      </c>
    </row>
    <row r="25" spans="1:6" x14ac:dyDescent="0.4">
      <c r="A25" s="1">
        <v>3</v>
      </c>
      <c r="B25" s="1" t="s">
        <v>12</v>
      </c>
      <c r="C25" s="19">
        <v>12000000</v>
      </c>
      <c r="D25" s="12">
        <f>tbl_jobSalary[[#This Row],[میانگین پرداختی ۱۴۰۰]]*(d_salaryYOY + 1)</f>
        <v>17400000</v>
      </c>
      <c r="E25" s="12">
        <f>tbl_jobSalary[[#This Row],[میانگین پرداختی ۱۴۰۰]]*d_AnnualSalary</f>
        <v>213600000</v>
      </c>
      <c r="F25" s="12">
        <f>tbl_jobSalary[[#This Row],[میانگین پرداختی ۱۴۰۱]]*d_AnnualSalary</f>
        <v>309720000</v>
      </c>
    </row>
    <row r="26" spans="1:6" x14ac:dyDescent="0.4">
      <c r="A26" s="1">
        <v>5</v>
      </c>
      <c r="B26" s="1" t="s">
        <v>13</v>
      </c>
      <c r="C26" s="19">
        <v>6000000</v>
      </c>
      <c r="D26" s="12">
        <f>tbl_jobSalary[[#This Row],[میانگین پرداختی ۱۴۰۰]]*(d_salaryYOY + 1)</f>
        <v>8700000</v>
      </c>
      <c r="E26" s="12">
        <f>tbl_jobSalary[[#This Row],[میانگین پرداختی ۱۴۰۰]]*d_AnnualSalary</f>
        <v>106800000</v>
      </c>
      <c r="F26" s="12">
        <f>tbl_jobSalary[[#This Row],[میانگین پرداختی ۱۴۰۱]]*d_AnnualSalary</f>
        <v>154860000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200000000</v>
      </c>
      <c r="E2" s="19">
        <f>SUM(tbl_marketing[[#This Row],[1400]:[1401]])</f>
        <v>250000000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500000000</v>
      </c>
      <c r="E3" s="19">
        <f>SUM(tbl_marketing[[#This Row],[1400]:[1401]])</f>
        <v>600000000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1000000000</v>
      </c>
      <c r="E4" s="19">
        <f>SUM(tbl_marketing[[#This Row],[1400]:[1401]])</f>
        <v>1200000000</v>
      </c>
    </row>
    <row r="5" spans="1:5" x14ac:dyDescent="0.4">
      <c r="A5" s="1">
        <f t="shared" si="0"/>
        <v>4</v>
      </c>
      <c r="B5" s="1" t="s">
        <v>65</v>
      </c>
      <c r="C5" s="19">
        <v>80000000</v>
      </c>
      <c r="D5" s="19">
        <v>500000000</v>
      </c>
      <c r="E5" s="19">
        <f>SUM(tbl_marketing[[#This Row],[1400]:[1401]])</f>
        <v>580000000</v>
      </c>
    </row>
    <row r="6" spans="1:5" x14ac:dyDescent="0.4">
      <c r="A6" s="1">
        <f t="shared" si="0"/>
        <v>5</v>
      </c>
      <c r="B6" s="1" t="s">
        <v>23</v>
      </c>
      <c r="C6" s="19">
        <v>40000000</v>
      </c>
      <c r="D6" s="19">
        <v>100000000</v>
      </c>
      <c r="E6" s="19">
        <f>SUM(tbl_marketing[[#This Row],[1400]:[1401]])</f>
        <v>140000000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50000000</v>
      </c>
      <c r="E7" s="19">
        <f>SUM(tbl_marketing[[#This Row],[1400]:[1401]])</f>
        <v>60000000</v>
      </c>
    </row>
    <row r="8" spans="1:5" x14ac:dyDescent="0.4">
      <c r="A8" s="1">
        <f t="shared" si="0"/>
        <v>7</v>
      </c>
      <c r="B8" s="1" t="s">
        <v>24</v>
      </c>
      <c r="C8" s="19">
        <v>50000000</v>
      </c>
      <c r="D8" s="19">
        <v>100000000</v>
      </c>
      <c r="E8" s="19">
        <f>SUM(tbl_marketing[[#This Row],[1400]:[1401]])</f>
        <v>150000000</v>
      </c>
    </row>
    <row r="9" spans="1:5" x14ac:dyDescent="0.4">
      <c r="A9" s="1">
        <f t="shared" si="0"/>
        <v>8</v>
      </c>
      <c r="B9" s="1" t="s">
        <v>25</v>
      </c>
      <c r="C9" s="19">
        <v>70000000</v>
      </c>
      <c r="D9" s="19">
        <v>50000000</v>
      </c>
      <c r="E9" s="19">
        <f>SUM(tbl_marketing[[#This Row],[1400]:[1401]])</f>
        <v>120000000</v>
      </c>
    </row>
    <row r="10" spans="1:5" x14ac:dyDescent="0.4">
      <c r="A10" s="1">
        <f t="shared" si="0"/>
        <v>9</v>
      </c>
      <c r="B10" s="1" t="s">
        <v>26</v>
      </c>
      <c r="C10" s="19">
        <v>200000000</v>
      </c>
      <c r="D10" s="19">
        <v>500000000</v>
      </c>
      <c r="E10" s="19">
        <f>SUM(tbl_marketing[[#This Row],[1400]:[1401]])</f>
        <v>700000000</v>
      </c>
    </row>
    <row r="11" spans="1:5" x14ac:dyDescent="0.4">
      <c r="A11" s="1" t="s">
        <v>1</v>
      </c>
      <c r="C11" s="12">
        <f>SUBTOTAL(109,tbl_marketing[1400])</f>
        <v>800000000</v>
      </c>
      <c r="D11" s="12">
        <f>SUBTOTAL(109,tbl_marketing[1401])</f>
        <v>3000000000</v>
      </c>
      <c r="E11" s="12">
        <f>SUBTOTAL(109,tbl_marketing[جمع])</f>
        <v>3800000000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53</v>
      </c>
      <c r="C2" s="12">
        <f>tbl_serverCount[1400]*d_coloCost * d_year1400Remain</f>
        <v>72000000</v>
      </c>
      <c r="D2" s="12">
        <f>tbl_serverCount[1401]*d_coloCost * 12</f>
        <v>360000000</v>
      </c>
      <c r="E2" s="12">
        <f>SUM(tbl_office[[#This Row],[1400]:[1401]])</f>
        <v>432000000</v>
      </c>
    </row>
    <row r="3" spans="1:5" x14ac:dyDescent="0.4">
      <c r="A3" s="1">
        <f t="shared" ref="A3:A9" si="0">ROW(A2)</f>
        <v>2</v>
      </c>
      <c r="B3" s="1" t="s">
        <v>64</v>
      </c>
      <c r="C3" s="12">
        <v>200000000</v>
      </c>
      <c r="D3" s="12">
        <v>80000000</v>
      </c>
      <c r="E3" s="12">
        <f>SUM(tbl_office[[#This Row],[1400]:[1401]])</f>
        <v>280000000</v>
      </c>
    </row>
    <row r="4" spans="1:5" x14ac:dyDescent="0.4">
      <c r="A4" s="1">
        <f t="shared" si="0"/>
        <v>3</v>
      </c>
      <c r="B4" s="1" t="s">
        <v>37</v>
      </c>
      <c r="C4" s="12">
        <v>10000000</v>
      </c>
      <c r="D4" s="12">
        <v>100000000</v>
      </c>
      <c r="E4" s="12">
        <f>SUM(tbl_office[[#This Row],[1400]:[1401]])</f>
        <v>110000000</v>
      </c>
    </row>
    <row r="5" spans="1:5" x14ac:dyDescent="0.4">
      <c r="A5" s="1">
        <f t="shared" si="0"/>
        <v>4</v>
      </c>
      <c r="B5" s="1" t="s">
        <v>85</v>
      </c>
      <c r="C5" s="12">
        <v>10000000</v>
      </c>
      <c r="D5" s="12">
        <v>50000000</v>
      </c>
      <c r="E5" s="12">
        <f>SUM(tbl_office[[#This Row],[1400]:[1401]])</f>
        <v>60000000</v>
      </c>
    </row>
    <row r="6" spans="1:5" x14ac:dyDescent="0.4">
      <c r="A6" s="1">
        <f t="shared" si="0"/>
        <v>5</v>
      </c>
      <c r="B6" s="1" t="s">
        <v>43</v>
      </c>
      <c r="C6" s="12">
        <f>d_staff1400*d_usagePerPersonPerMonth * d_year1400Remain</f>
        <v>48000000</v>
      </c>
      <c r="D6" s="12">
        <f>d_staffTotal * d_usagePerPersonPerMonth * 12</f>
        <v>300000000</v>
      </c>
      <c r="E6" s="12">
        <f>SUM(tbl_office[[#This Row],[1400]:[1401]])</f>
        <v>348000000</v>
      </c>
    </row>
    <row r="7" spans="1:5" x14ac:dyDescent="0.4">
      <c r="A7" s="1">
        <f t="shared" si="0"/>
        <v>6</v>
      </c>
      <c r="B7" s="1" t="s">
        <v>44</v>
      </c>
      <c r="C7" s="12">
        <v>2000000</v>
      </c>
      <c r="D7" s="12">
        <v>50000000</v>
      </c>
      <c r="E7" s="12">
        <f>SUM(tbl_office[[#This Row],[1400]:[1401]])</f>
        <v>52000000</v>
      </c>
    </row>
    <row r="8" spans="1:5" x14ac:dyDescent="0.4">
      <c r="A8" s="1">
        <f t="shared" si="0"/>
        <v>7</v>
      </c>
      <c r="B8" s="1" t="s">
        <v>45</v>
      </c>
      <c r="C8" s="12">
        <v>10000000</v>
      </c>
      <c r="D8" s="12">
        <v>30000000</v>
      </c>
      <c r="E8" s="12">
        <f>SUM(tbl_office[[#This Row],[1400]:[1401]])</f>
        <v>40000000</v>
      </c>
    </row>
    <row r="9" spans="1:5" x14ac:dyDescent="0.4">
      <c r="A9" s="1">
        <f t="shared" si="0"/>
        <v>8</v>
      </c>
      <c r="B9" s="1" t="s">
        <v>63</v>
      </c>
      <c r="C9" s="12">
        <f>SUM(C2:C8) * 20%</f>
        <v>70400000</v>
      </c>
      <c r="D9" s="12">
        <f>SUM(D2:D8) * 20%</f>
        <v>194000000</v>
      </c>
      <c r="E9" s="12">
        <f>SUM(tbl_office[[#This Row],[1400]:[1401]])</f>
        <v>264400000</v>
      </c>
    </row>
    <row r="10" spans="1:5" x14ac:dyDescent="0.4">
      <c r="A10" s="1" t="s">
        <v>1</v>
      </c>
      <c r="C10" s="12">
        <f>SUBTOTAL(109,tbl_office[1400])</f>
        <v>422400000</v>
      </c>
      <c r="D10" s="12">
        <f>SUBTOTAL(109,tbl_office[1401])</f>
        <v>1164000000</v>
      </c>
      <c r="E10" s="12">
        <f>SUBTOTAL(109,tbl_office[جمع])</f>
        <v>1586400000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dimension ref="A1:AA31"/>
  <sheetViews>
    <sheetView rightToLeft="1" zoomScaleNormal="100" workbookViewId="0">
      <selection activeCell="C25" sqref="C25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36</v>
      </c>
      <c r="B1" s="1" t="s">
        <v>2</v>
      </c>
      <c r="C1" s="1" t="s">
        <v>71</v>
      </c>
      <c r="D1" s="1" t="s">
        <v>82</v>
      </c>
      <c r="E1" s="1" t="s">
        <v>83</v>
      </c>
      <c r="F1" s="1" t="s">
        <v>81</v>
      </c>
      <c r="G1" s="1" t="s">
        <v>69</v>
      </c>
      <c r="H1" s="1" t="s">
        <v>100</v>
      </c>
      <c r="I1" s="23" t="s">
        <v>99</v>
      </c>
      <c r="J1" s="1" t="s">
        <v>89</v>
      </c>
      <c r="K1" s="41" t="s">
        <v>90</v>
      </c>
      <c r="L1" s="41" t="s">
        <v>91</v>
      </c>
      <c r="M1" s="41" t="s">
        <v>92</v>
      </c>
      <c r="N1" s="41" t="s">
        <v>93</v>
      </c>
      <c r="O1" s="41" t="s">
        <v>94</v>
      </c>
      <c r="P1" s="23" t="s">
        <v>95</v>
      </c>
      <c r="Q1" s="23" t="s">
        <v>96</v>
      </c>
      <c r="R1" s="23" t="s">
        <v>97</v>
      </c>
    </row>
    <row r="2" spans="1:18" x14ac:dyDescent="0.4">
      <c r="A2" s="1">
        <f>ROW(A1)</f>
        <v>1</v>
      </c>
      <c r="B2" s="1" t="s">
        <v>66</v>
      </c>
      <c r="C2" s="1" t="s">
        <v>88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7.5435068987034601E-2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2" si="0">ROW(A2)</f>
        <v>2</v>
      </c>
      <c r="B3" s="1" t="s">
        <v>70</v>
      </c>
      <c r="C3" s="1" t="s">
        <v>73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0.05</v>
      </c>
      <c r="H3" s="45">
        <f>tbl_pricing[[#This Row],[درصد خرید]]*tbl_pricing[[#This Row],[سود]]</f>
        <v>5000</v>
      </c>
      <c r="I3" s="44">
        <f>tbl_pricing[[#This Row],[کل بیزینس‌ها]]/ SUM(tbl_pricing[کل بیزینس‌ها])</f>
        <v>0.34666851556541634</v>
      </c>
      <c r="J3" s="50">
        <f>tbl_pricing[[#Headers],[500]]*tbl_pricing[[#This Row],[درصد خرید]]*tbl_pricing[[#This Row],[سود به ازای هر بیزینس]]</f>
        <v>125000</v>
      </c>
      <c r="K3" s="48">
        <f>tbl_pricing[[#Headers],[500]]*tbl_pricing[[#This Row],[درصد خرید]]</f>
        <v>25</v>
      </c>
      <c r="L3" s="48">
        <f>tbl_pricing[[#Headers],[1000]]*tbl_pricing[[#This Row],[درصد خرید]]</f>
        <v>50</v>
      </c>
      <c r="M3" s="48">
        <f>tbl_pricing[[#Headers],[2000]]*tbl_pricing[[#This Row],[درصد خرید]]</f>
        <v>100</v>
      </c>
      <c r="N3" s="48">
        <f>tbl_pricing[[#Headers],[5000]]*tbl_pricing[[#This Row],[درصد خرید]]</f>
        <v>250</v>
      </c>
      <c r="O3" s="48">
        <f>tbl_pricing[[#Headers],[10000]]*tbl_pricing[[#This Row],[درصد خرید]]</f>
        <v>500</v>
      </c>
      <c r="P3" s="48">
        <f>tbl_pricing[[#Headers],[20000]]*tbl_pricing[[#This Row],[درصد خرید]]</f>
        <v>1000</v>
      </c>
      <c r="Q3" s="48">
        <f>tbl_pricing[[#Headers],[50000]]*tbl_pricing[[#This Row],[درصد خرید]]</f>
        <v>2500</v>
      </c>
      <c r="R3" s="48">
        <f>tbl_pricing[[#Headers],[100000]]*tbl_pricing[[#This Row],[درصد خرید]]</f>
        <v>5000</v>
      </c>
    </row>
    <row r="4" spans="1:18" x14ac:dyDescent="0.4">
      <c r="A4" s="1">
        <f t="shared" si="0"/>
        <v>3</v>
      </c>
      <c r="B4" s="1" t="s">
        <v>74</v>
      </c>
      <c r="C4" s="1" t="s">
        <v>72</v>
      </c>
      <c r="D4" s="12">
        <v>50000</v>
      </c>
      <c r="E4" s="12"/>
      <c r="F4" s="12">
        <f>tbl_pricing[[#This Row],[مبلغ پرداختی]]-tbl_pricing[[#This Row],[بهای تمام شده]]</f>
        <v>50000</v>
      </c>
      <c r="G4" s="38">
        <v>0.06</v>
      </c>
      <c r="H4" s="45">
        <f>tbl_pricing[[#This Row],[درصد خرید]]*tbl_pricing[[#This Row],[سود]]</f>
        <v>3000</v>
      </c>
      <c r="I4" s="44">
        <f>tbl_pricing[[#This Row],[کل بیزینس‌ها]]/ SUM(tbl_pricing[کل بیزینس‌ها])</f>
        <v>0.24960133120709976</v>
      </c>
      <c r="J4" s="50">
        <f>tbl_pricing[[#Headers],[500]]*tbl_pricing[[#This Row],[درصد خرید]]*tbl_pricing[[#This Row],[سود به ازای هر بیزینس]]</f>
        <v>90000</v>
      </c>
      <c r="K4" s="48">
        <f>tbl_pricing[[#Headers],[500]]*tbl_pricing[[#This Row],[درصد خرید]]</f>
        <v>30</v>
      </c>
      <c r="L4" s="48">
        <f>tbl_pricing[[#Headers],[1000]]*tbl_pricing[[#This Row],[درصد خرید]]</f>
        <v>60</v>
      </c>
      <c r="M4" s="48">
        <f>tbl_pricing[[#Headers],[2000]]*tbl_pricing[[#This Row],[درصد خرید]]</f>
        <v>120</v>
      </c>
      <c r="N4" s="48">
        <f>tbl_pricing[[#Headers],[5000]]*tbl_pricing[[#This Row],[درصد خرید]]</f>
        <v>300</v>
      </c>
      <c r="O4" s="48">
        <f>tbl_pricing[[#Headers],[10000]]*tbl_pricing[[#This Row],[درصد خرید]]</f>
        <v>600</v>
      </c>
      <c r="P4" s="48">
        <f>tbl_pricing[[#Headers],[20000]]*tbl_pricing[[#This Row],[درصد خرید]]</f>
        <v>1200</v>
      </c>
      <c r="Q4" s="48">
        <f>tbl_pricing[[#Headers],[50000]]*tbl_pricing[[#This Row],[درصد خرید]]</f>
        <v>3000</v>
      </c>
      <c r="R4" s="48">
        <f>tbl_pricing[[#Headers],[100000]]*tbl_pricing[[#This Row],[درصد خرید]]</f>
        <v>6000</v>
      </c>
    </row>
    <row r="5" spans="1:18" x14ac:dyDescent="0.4">
      <c r="A5" s="1">
        <f t="shared" si="0"/>
        <v>4</v>
      </c>
      <c r="B5" s="1" t="s">
        <v>75</v>
      </c>
      <c r="C5" s="1" t="s">
        <v>73</v>
      </c>
      <c r="D5" s="12">
        <v>5000000</v>
      </c>
      <c r="E5" s="12"/>
      <c r="F5" s="12">
        <f>tbl_pricing[[#This Row],[مبلغ پرداختی]]-tbl_pricing[[#This Row],[بهای تمام شده]]</f>
        <v>5000000</v>
      </c>
      <c r="G5" s="39">
        <v>1E-3</v>
      </c>
      <c r="H5" s="45">
        <f>tbl_pricing[[#This Row],[درصد خرید]]*tbl_pricing[[#This Row],[سود]]</f>
        <v>5000</v>
      </c>
      <c r="I5" s="44">
        <f>tbl_pricing[[#This Row],[کل بیزینس‌ها]]/ SUM(tbl_pricing[کل بیزینس‌ها])</f>
        <v>6.9333703113083267E-3</v>
      </c>
      <c r="J5" s="50">
        <f>tbl_pricing[[#Headers],[500]]*tbl_pricing[[#This Row],[درصد خرید]]*tbl_pricing[[#This Row],[سود به ازای هر بیزینس]]</f>
        <v>2500</v>
      </c>
      <c r="K5" s="48">
        <f>tbl_pricing[[#Headers],[500]]*tbl_pricing[[#This Row],[درصد خرید]]</f>
        <v>0.5</v>
      </c>
      <c r="L5" s="48">
        <f>tbl_pricing[[#Headers],[1000]]*tbl_pricing[[#This Row],[درصد خرید]]</f>
        <v>1</v>
      </c>
      <c r="M5" s="48">
        <f>tbl_pricing[[#Headers],[2000]]*tbl_pricing[[#This Row],[درصد خرید]]</f>
        <v>2</v>
      </c>
      <c r="N5" s="48">
        <f>tbl_pricing[[#Headers],[5000]]*tbl_pricing[[#This Row],[درصد خرید]]</f>
        <v>5</v>
      </c>
      <c r="O5" s="48">
        <f>tbl_pricing[[#Headers],[10000]]*tbl_pricing[[#This Row],[درصد خرید]]</f>
        <v>10</v>
      </c>
      <c r="P5" s="48">
        <f>tbl_pricing[[#Headers],[20000]]*tbl_pricing[[#This Row],[درصد خرید]]</f>
        <v>20</v>
      </c>
      <c r="Q5" s="48">
        <f>tbl_pricing[[#Headers],[50000]]*tbl_pricing[[#This Row],[درصد خرید]]</f>
        <v>50</v>
      </c>
      <c r="R5" s="48">
        <f>tbl_pricing[[#Headers],[100000]]*tbl_pricing[[#This Row],[درصد خرید]]</f>
        <v>100</v>
      </c>
    </row>
    <row r="6" spans="1:18" x14ac:dyDescent="0.4">
      <c r="A6" s="1">
        <f t="shared" si="0"/>
        <v>5</v>
      </c>
      <c r="B6" s="1" t="s">
        <v>76</v>
      </c>
      <c r="C6" s="1" t="s">
        <v>73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1.7333425778270817E-3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98</v>
      </c>
      <c r="C7" s="1" t="s">
        <v>73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3.4666851556541633E-3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 t="shared" si="0"/>
        <v>7</v>
      </c>
      <c r="B8" s="1" t="s">
        <v>78</v>
      </c>
      <c r="C8" s="1" t="s">
        <v>73</v>
      </c>
      <c r="D8" s="12">
        <v>50000</v>
      </c>
      <c r="E8" s="12"/>
      <c r="F8" s="12">
        <f>tbl_pricing[[#This Row],[مبلغ پرداختی]]-tbl_pricing[[#This Row],[بهای تمام شده]]</f>
        <v>50000</v>
      </c>
      <c r="G8" s="38">
        <v>0.02</v>
      </c>
      <c r="H8" s="45">
        <f>tbl_pricing[[#This Row],[درصد خرید]]*tbl_pricing[[#This Row],[سود]]</f>
        <v>1000</v>
      </c>
      <c r="I8" s="44">
        <f>tbl_pricing[[#This Row],[کل بیزینس‌ها]]/ SUM(tbl_pricing[کل بیزینس‌ها])</f>
        <v>2.7733481245233307E-2</v>
      </c>
      <c r="J8" s="50">
        <f>tbl_pricing[[#Headers],[500]]*tbl_pricing[[#This Row],[درصد خرید]]*tbl_pricing[[#This Row],[سود به ازای هر بیزینس]]</f>
        <v>10000</v>
      </c>
      <c r="K8" s="48">
        <f>tbl_pricing[[#Headers],[500]]*tbl_pricing[[#This Row],[درصد خرید]]</f>
        <v>10</v>
      </c>
      <c r="L8" s="48">
        <f>tbl_pricing[[#Headers],[1000]]*tbl_pricing[[#This Row],[درصد خرید]]</f>
        <v>20</v>
      </c>
      <c r="M8" s="48">
        <f>tbl_pricing[[#Headers],[2000]]*tbl_pricing[[#This Row],[درصد خرید]]</f>
        <v>40</v>
      </c>
      <c r="N8" s="48">
        <f>tbl_pricing[[#Headers],[5000]]*tbl_pricing[[#This Row],[درصد خرید]]</f>
        <v>100</v>
      </c>
      <c r="O8" s="48">
        <f>tbl_pricing[[#Headers],[10000]]*tbl_pricing[[#This Row],[درصد خرید]]</f>
        <v>200</v>
      </c>
      <c r="P8" s="48">
        <f>tbl_pricing[[#Headers],[20000]]*tbl_pricing[[#This Row],[درصد خرید]]</f>
        <v>400</v>
      </c>
      <c r="Q8" s="48">
        <f>tbl_pricing[[#Headers],[50000]]*tbl_pricing[[#This Row],[درصد خرید]]</f>
        <v>1000</v>
      </c>
      <c r="R8" s="48">
        <f>tbl_pricing[[#Headers],[100000]]*tbl_pricing[[#This Row],[درصد خرید]]</f>
        <v>2000</v>
      </c>
    </row>
    <row r="9" spans="1:18" x14ac:dyDescent="0.4">
      <c r="A9" s="1">
        <f t="shared" si="0"/>
        <v>8</v>
      </c>
      <c r="B9" s="1" t="s">
        <v>77</v>
      </c>
      <c r="C9" s="1" t="s">
        <v>73</v>
      </c>
      <c r="D9" s="12">
        <v>200000</v>
      </c>
      <c r="E9" s="12"/>
      <c r="F9" s="12">
        <f>tbl_pricing[[#This Row],[مبلغ پرداختی]]-tbl_pricing[[#This Row],[بهای تمام شده]]</f>
        <v>200000</v>
      </c>
      <c r="G9" s="38">
        <v>5.0000000000000001E-3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6.9333703113083267E-3</v>
      </c>
      <c r="J9" s="50">
        <f>tbl_pricing[[#Headers],[500]]*tbl_pricing[[#This Row],[درصد خرید]]*tbl_pricing[[#This Row],[سود به ازای هر بیزینس]]</f>
        <v>2500</v>
      </c>
      <c r="K9" s="48">
        <f>tbl_pricing[[#Headers],[500]]*tbl_pricing[[#This Row],[درصد خرید]]</f>
        <v>2.5</v>
      </c>
      <c r="L9" s="48">
        <f>tbl_pricing[[#Headers],[1000]]*tbl_pricing[[#This Row],[درصد خرید]]</f>
        <v>5</v>
      </c>
      <c r="M9" s="48">
        <f>tbl_pricing[[#Headers],[2000]]*tbl_pricing[[#This Row],[درصد خرید]]</f>
        <v>10</v>
      </c>
      <c r="N9" s="48">
        <f>tbl_pricing[[#Headers],[5000]]*tbl_pricing[[#This Row],[درصد خرید]]</f>
        <v>25</v>
      </c>
      <c r="O9" s="48">
        <f>tbl_pricing[[#Headers],[10000]]*tbl_pricing[[#This Row],[درصد خرید]]</f>
        <v>50</v>
      </c>
      <c r="P9" s="48">
        <f>tbl_pricing[[#Headers],[20000]]*tbl_pricing[[#This Row],[درصد خرید]]</f>
        <v>100</v>
      </c>
      <c r="Q9" s="48">
        <f>tbl_pricing[[#Headers],[50000]]*tbl_pricing[[#This Row],[درصد خرید]]</f>
        <v>250</v>
      </c>
      <c r="R9" s="48">
        <f>tbl_pricing[[#Headers],[100000]]*tbl_pricing[[#This Row],[درصد خرید]]</f>
        <v>500</v>
      </c>
    </row>
    <row r="10" spans="1:18" x14ac:dyDescent="0.4">
      <c r="A10" s="1">
        <f t="shared" si="0"/>
        <v>9</v>
      </c>
      <c r="B10" s="1" t="s">
        <v>79</v>
      </c>
      <c r="C10" s="1" t="s">
        <v>73</v>
      </c>
      <c r="D10" s="12">
        <v>400000</v>
      </c>
      <c r="E10" s="12"/>
      <c r="F10" s="12">
        <f>tbl_pricing[[#This Row],[مبلغ پرداختی]]-tbl_pricing[[#This Row],[بهای تمام شده]]</f>
        <v>400000</v>
      </c>
      <c r="G10" s="38">
        <v>0.02</v>
      </c>
      <c r="H10" s="45">
        <f>tbl_pricing[[#This Row],[درصد خرید]]*tbl_pricing[[#This Row],[سود]]</f>
        <v>8000</v>
      </c>
      <c r="I10" s="44">
        <f>tbl_pricing[[#This Row],[کل بیزینس‌ها]]/ SUM(tbl_pricing[کل بیزینس‌ها])</f>
        <v>0.22186784996186645</v>
      </c>
      <c r="J10" s="50">
        <f>tbl_pricing[[#Headers],[500]]*tbl_pricing[[#This Row],[درصد خرید]]*tbl_pricing[[#This Row],[سود به ازای هر بیزینس]]</f>
        <v>80000</v>
      </c>
      <c r="K10" s="48">
        <f>tbl_pricing[[#Headers],[500]]*tbl_pricing[[#This Row],[درصد خرید]]</f>
        <v>10</v>
      </c>
      <c r="L10" s="48">
        <f>tbl_pricing[[#Headers],[1000]]*tbl_pricing[[#This Row],[درصد خرید]]</f>
        <v>20</v>
      </c>
      <c r="M10" s="48">
        <f>tbl_pricing[[#Headers],[2000]]*tbl_pricing[[#This Row],[درصد خرید]]</f>
        <v>40</v>
      </c>
      <c r="N10" s="48">
        <f>tbl_pricing[[#Headers],[5000]]*tbl_pricing[[#This Row],[درصد خرید]]</f>
        <v>100</v>
      </c>
      <c r="O10" s="48">
        <f>tbl_pricing[[#Headers],[10000]]*tbl_pricing[[#This Row],[درصد خرید]]</f>
        <v>200</v>
      </c>
      <c r="P10" s="48">
        <f>tbl_pricing[[#Headers],[20000]]*tbl_pricing[[#This Row],[درصد خرید]]</f>
        <v>400</v>
      </c>
      <c r="Q10" s="48">
        <f>tbl_pricing[[#Headers],[50000]]*tbl_pricing[[#This Row],[درصد خرید]]</f>
        <v>1000</v>
      </c>
      <c r="R10" s="48">
        <f>tbl_pricing[[#Headers],[100000]]*tbl_pricing[[#This Row],[درصد خرید]]</f>
        <v>2000</v>
      </c>
    </row>
    <row r="11" spans="1:18" x14ac:dyDescent="0.4">
      <c r="A11" s="1">
        <f t="shared" si="0"/>
        <v>10</v>
      </c>
      <c r="B11" s="1" t="s">
        <v>80</v>
      </c>
      <c r="C11" s="1" t="s">
        <v>73</v>
      </c>
      <c r="D11" s="12">
        <v>100000</v>
      </c>
      <c r="E11" s="12"/>
      <c r="F11" s="12">
        <f>tbl_pricing[[#This Row],[مبلغ پرداختی]]-tbl_pricing[[#This Row],[بهای تمام شده]]</f>
        <v>100000</v>
      </c>
      <c r="G11" s="38">
        <v>0.02</v>
      </c>
      <c r="H11" s="45">
        <f>tbl_pricing[[#This Row],[درصد خرید]]*tbl_pricing[[#This Row],[سود]]</f>
        <v>2000</v>
      </c>
      <c r="I11" s="44">
        <f>tbl_pricing[[#This Row],[کل بیزینس‌ها]]/ SUM(tbl_pricing[کل بیزینس‌ها])</f>
        <v>5.5466962490466613E-2</v>
      </c>
      <c r="J11" s="50">
        <f>tbl_pricing[[#Headers],[500]]*tbl_pricing[[#This Row],[درصد خرید]]*tbl_pricing[[#This Row],[سود به ازای هر بیزینس]]</f>
        <v>20000</v>
      </c>
      <c r="K11" s="48">
        <f>tbl_pricing[[#Headers],[500]]*tbl_pricing[[#This Row],[درصد خرید]]</f>
        <v>10</v>
      </c>
      <c r="L11" s="48">
        <f>tbl_pricing[[#Headers],[1000]]*tbl_pricing[[#This Row],[درصد خرید]]</f>
        <v>20</v>
      </c>
      <c r="M11" s="48">
        <f>tbl_pricing[[#Headers],[2000]]*tbl_pricing[[#This Row],[درصد خرید]]</f>
        <v>40</v>
      </c>
      <c r="N11" s="48">
        <f>tbl_pricing[[#Headers],[5000]]*tbl_pricing[[#This Row],[درصد خرید]]</f>
        <v>100</v>
      </c>
      <c r="O11" s="48">
        <f>tbl_pricing[[#Headers],[10000]]*tbl_pricing[[#This Row],[درصد خرید]]</f>
        <v>200</v>
      </c>
      <c r="P11" s="48">
        <f>tbl_pricing[[#Headers],[20000]]*tbl_pricing[[#This Row],[درصد خرید]]</f>
        <v>400</v>
      </c>
      <c r="Q11" s="48">
        <f>tbl_pricing[[#Headers],[50000]]*tbl_pricing[[#This Row],[درصد خرید]]</f>
        <v>1000</v>
      </c>
      <c r="R11" s="48">
        <f>tbl_pricing[[#Headers],[100000]]*tbl_pricing[[#This Row],[درصد خرید]]</f>
        <v>2000</v>
      </c>
    </row>
    <row r="12" spans="1:18" x14ac:dyDescent="0.4">
      <c r="A12" s="1">
        <f t="shared" si="0"/>
        <v>11</v>
      </c>
      <c r="B12" s="1" t="s">
        <v>84</v>
      </c>
      <c r="C12" s="1" t="s">
        <v>73</v>
      </c>
      <c r="D12" s="12">
        <v>3000000</v>
      </c>
      <c r="E12" s="12"/>
      <c r="F12" s="12">
        <f>tbl_pricing[[#This Row],[مبلغ پرداختی]]-tbl_pricing[[#This Row],[بهای تمام شده]]</f>
        <v>3000000</v>
      </c>
      <c r="G12" s="39">
        <v>1E-3</v>
      </c>
      <c r="H12" s="45">
        <f>tbl_pricing[[#This Row],[درصد خرید]]*tbl_pricing[[#This Row],[سود]]</f>
        <v>3000</v>
      </c>
      <c r="I12" s="44">
        <f>tbl_pricing[[#This Row],[کل بیزینس‌ها]]/ SUM(tbl_pricing[کل بیزینس‌ها])</f>
        <v>4.1600221867849965E-3</v>
      </c>
      <c r="J12" s="50">
        <f>tbl_pricing[[#Headers],[500]]*tbl_pricing[[#This Row],[درصد خرید]]*tbl_pricing[[#This Row],[سود به ازای هر بیزینس]]</f>
        <v>1500</v>
      </c>
      <c r="K12" s="48">
        <f>tbl_pricing[[#Headers],[500]]*tbl_pricing[[#This Row],[درصد خرید]]</f>
        <v>0.5</v>
      </c>
      <c r="L12" s="48">
        <f>tbl_pricing[[#Headers],[1000]]*tbl_pricing[[#This Row],[درصد خرید]]</f>
        <v>1</v>
      </c>
      <c r="M12" s="48">
        <f>tbl_pricing[[#Headers],[2000]]*tbl_pricing[[#This Row],[درصد خرید]]</f>
        <v>2</v>
      </c>
      <c r="N12" s="48">
        <f>tbl_pricing[[#Headers],[5000]]*tbl_pricing[[#This Row],[درصد خرید]]</f>
        <v>5</v>
      </c>
      <c r="O12" s="48">
        <f>tbl_pricing[[#Headers],[10000]]*tbl_pricing[[#This Row],[درصد خرید]]</f>
        <v>10</v>
      </c>
      <c r="P12" s="48">
        <f>tbl_pricing[[#Headers],[20000]]*tbl_pricing[[#This Row],[درصد خرید]]</f>
        <v>20</v>
      </c>
      <c r="Q12" s="48">
        <f>tbl_pricing[[#Headers],[50000]]*tbl_pricing[[#This Row],[درصد خرید]]</f>
        <v>50</v>
      </c>
      <c r="R12" s="48">
        <f>tbl_pricing[[#Headers],[100000]]*tbl_pricing[[#This Row],[درصد خرید]]</f>
        <v>100</v>
      </c>
    </row>
    <row r="13" spans="1:18" x14ac:dyDescent="0.4">
      <c r="A13" s="1" t="s">
        <v>1</v>
      </c>
      <c r="D13" s="12"/>
      <c r="F13" s="12"/>
      <c r="G13" s="46">
        <f>SUBTOTAL(101,tbl_pricing[درصد خرید])</f>
        <v>2.0227272727272726E-2</v>
      </c>
      <c r="H13" s="45">
        <f>SUBTOTAL(109,tbl_pricing[سود به ازای هر بیزینس])</f>
        <v>32360</v>
      </c>
      <c r="I13" s="42"/>
      <c r="J13" s="1"/>
      <c r="K13" s="3"/>
      <c r="L13" s="3"/>
      <c r="M13" s="3"/>
      <c r="N13" s="3"/>
      <c r="O13" s="3"/>
      <c r="P13" s="3"/>
      <c r="Q13" s="49"/>
      <c r="R13" s="3"/>
    </row>
    <row r="16" spans="1:18" x14ac:dyDescent="0.4">
      <c r="A16" s="6" t="s">
        <v>36</v>
      </c>
      <c r="B16" s="7" t="s">
        <v>2</v>
      </c>
      <c r="C16" s="51" t="s">
        <v>3</v>
      </c>
    </row>
    <row r="17" spans="1:17" x14ac:dyDescent="0.4">
      <c r="A17" s="26">
        <v>1</v>
      </c>
      <c r="B17" s="27" t="s">
        <v>105</v>
      </c>
      <c r="C17" s="52">
        <f>AVERAGE(tbl_pricing[درصد خرید])</f>
        <v>2.0227272727272726E-2</v>
      </c>
    </row>
    <row r="18" spans="1:17" x14ac:dyDescent="0.4">
      <c r="A18" s="13">
        <v>2</v>
      </c>
      <c r="B18" s="28" t="s">
        <v>104</v>
      </c>
      <c r="C18" s="53">
        <f>SUM(tbl_pricing[سود به ازای هر بیزینس])</f>
        <v>32360</v>
      </c>
    </row>
    <row r="19" spans="1:17" x14ac:dyDescent="0.4">
      <c r="C19" s="53"/>
      <c r="E19" s="54"/>
    </row>
    <row r="22" spans="1:17" x14ac:dyDescent="0.4">
      <c r="A22" s="47" t="s">
        <v>101</v>
      </c>
      <c r="B22" s="47" t="s">
        <v>103</v>
      </c>
      <c r="C22" s="47" t="s">
        <v>86</v>
      </c>
      <c r="D22" s="47" t="s">
        <v>87</v>
      </c>
      <c r="P22" s="40"/>
      <c r="Q22" s="40"/>
    </row>
    <row r="23" spans="1:17" x14ac:dyDescent="0.4">
      <c r="A23" s="4">
        <v>500</v>
      </c>
      <c r="B23" s="5">
        <f>tbl_pricing_predict[[#This Row],[تعداد بیزینس]]*AVERAGE(tbl_pricing[درصد خرید])</f>
        <v>10.113636363636363</v>
      </c>
      <c r="C23" s="12">
        <f>d_customerAvgRevenue*tbl_pricing_predict[[#This Row],[تعداد بیزینس]]</f>
        <v>16180000</v>
      </c>
      <c r="D23" s="12">
        <f>tbl_pricing_predict[[#This Row],[درآمد ماهیانه]]*12</f>
        <v>194160000</v>
      </c>
      <c r="G23" s="35"/>
      <c r="H23" s="12"/>
    </row>
    <row r="24" spans="1:17" x14ac:dyDescent="0.4">
      <c r="A24" s="4">
        <v>1000</v>
      </c>
      <c r="B24" s="5">
        <f>tbl_pricing_predict[[#This Row],[تعداد بیزینس]]*AVERAGE(tbl_pricing[درصد خرید])</f>
        <v>20.227272727272727</v>
      </c>
      <c r="C24" s="12">
        <f>d_customerAvgRevenue*tbl_pricing_predict[[#This Row],[تعداد بیزینس]]</f>
        <v>32360000</v>
      </c>
      <c r="D24" s="12">
        <f>tbl_pricing_predict[[#This Row],[درآمد ماهیانه]]*12</f>
        <v>388320000</v>
      </c>
    </row>
    <row r="25" spans="1:17" x14ac:dyDescent="0.4">
      <c r="A25" s="4">
        <v>2000</v>
      </c>
      <c r="B25" s="5">
        <f>tbl_pricing_predict[[#This Row],[تعداد بیزینس]]*AVERAGE(tbl_pricing[درصد خرید])</f>
        <v>40.454545454545453</v>
      </c>
      <c r="C25" s="12">
        <f>d_customerAvgRevenue*tbl_pricing_predict[[#This Row],[تعداد بیزینس]]</f>
        <v>64720000</v>
      </c>
      <c r="D25" s="12">
        <f>tbl_pricing_predict[[#This Row],[درآمد ماهیانه]]*12</f>
        <v>776640000</v>
      </c>
    </row>
    <row r="26" spans="1:17" x14ac:dyDescent="0.4">
      <c r="A26" s="4">
        <v>5000</v>
      </c>
      <c r="B26" s="5">
        <f>tbl_pricing_predict[[#This Row],[تعداد بیزینس]]*AVERAGE(tbl_pricing[درصد خرید])</f>
        <v>101.13636363636363</v>
      </c>
      <c r="C26" s="12">
        <f>d_customerAvgRevenue*tbl_pricing_predict[[#This Row],[تعداد بیزینس]]</f>
        <v>161800000</v>
      </c>
      <c r="D26" s="12">
        <f>tbl_pricing_predict[[#This Row],[درآمد ماهیانه]]*12</f>
        <v>1941600000</v>
      </c>
    </row>
    <row r="27" spans="1:17" x14ac:dyDescent="0.4">
      <c r="A27" s="4">
        <v>10000</v>
      </c>
      <c r="B27" s="5">
        <f>tbl_pricing_predict[[#This Row],[تعداد بیزینس]]*AVERAGE(tbl_pricing[درصد خرید])</f>
        <v>202.27272727272725</v>
      </c>
      <c r="C27" s="12">
        <f>d_customerAvgRevenue*tbl_pricing_predict[[#This Row],[تعداد بیزینس]]</f>
        <v>323600000</v>
      </c>
      <c r="D27" s="12">
        <f>tbl_pricing_predict[[#This Row],[درآمد ماهیانه]]*12</f>
        <v>3883200000</v>
      </c>
    </row>
    <row r="28" spans="1:17" x14ac:dyDescent="0.4">
      <c r="A28" s="4">
        <v>20000</v>
      </c>
      <c r="B28" s="5">
        <f>tbl_pricing_predict[[#This Row],[تعداد بیزینس]]*AVERAGE(tbl_pricing[درصد خرید])</f>
        <v>404.5454545454545</v>
      </c>
      <c r="C28" s="12">
        <f>d_customerAvgRevenue*tbl_pricing_predict[[#This Row],[تعداد بیزینس]]</f>
        <v>647200000</v>
      </c>
      <c r="D28" s="12">
        <f>tbl_pricing_predict[[#This Row],[درآمد ماهیانه]]*12</f>
        <v>7766400000</v>
      </c>
    </row>
    <row r="29" spans="1:17" x14ac:dyDescent="0.4">
      <c r="A29" s="4">
        <v>50000</v>
      </c>
      <c r="B29" s="5">
        <f>tbl_pricing_predict[[#This Row],[تعداد بیزینس]]*AVERAGE(tbl_pricing[درصد خرید])</f>
        <v>1011.3636363636363</v>
      </c>
      <c r="C29" s="12">
        <f>d_customerAvgRevenue*tbl_pricing_predict[[#This Row],[تعداد بیزینس]]</f>
        <v>1618000000</v>
      </c>
      <c r="D29" s="12">
        <f>tbl_pricing_predict[[#This Row],[درآمد ماهیانه]]*12</f>
        <v>19416000000</v>
      </c>
    </row>
    <row r="30" spans="1:17" x14ac:dyDescent="0.4">
      <c r="A30" s="4">
        <v>100000</v>
      </c>
      <c r="B30" s="5">
        <f>tbl_pricing_predict[[#This Row],[تعداد بیزینس]]*AVERAGE(tbl_pricing[درصد خرید])</f>
        <v>2022.7272727272725</v>
      </c>
      <c r="C30" s="12">
        <f>d_customerAvgRevenue*tbl_pricing_predict[[#This Row],[تعداد بیزینس]]</f>
        <v>3236000000</v>
      </c>
      <c r="D30" s="12">
        <f>tbl_pricing_predict[[#This Row],[درآمد ماهیانه]]*12</f>
        <v>38832000000</v>
      </c>
    </row>
    <row r="31" spans="1:17" x14ac:dyDescent="0.4">
      <c r="A31" s="4">
        <v>1000000</v>
      </c>
      <c r="B31" s="5">
        <f>tbl_pricing_predict[[#This Row],[تعداد بیزینس]]*AVERAGE(tbl_pricing[درصد خرید])</f>
        <v>20227.272727272724</v>
      </c>
      <c r="C31" s="12">
        <f>d_customerAvgRevenue*tbl_pricing_predict[[#This Row],[تعداد بیزینس]]</f>
        <v>32360000000</v>
      </c>
      <c r="D31" s="12">
        <f>tbl_pricing_predict[[#This Row],[درآمد ماهیانه]]*12</f>
        <v>388320000000</v>
      </c>
    </row>
  </sheetData>
  <phoneticPr fontId="5" type="noConversion"/>
  <conditionalFormatting sqref="I2:I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</vt:lpstr>
      <vt:lpstr>هزینه‌های مصرفی</vt:lpstr>
      <vt:lpstr>جزئیات منابع درآمد</vt:lpstr>
      <vt:lpstr>پیش‌بینی درآمد</vt:lpstr>
      <vt:lpstr>خلاصه درآمد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cp:lastPrinted>2021-05-15T13:21:20Z</cp:lastPrinted>
  <dcterms:created xsi:type="dcterms:W3CDTF">2021-05-14T11:36:15Z</dcterms:created>
  <dcterms:modified xsi:type="dcterms:W3CDTF">2021-05-15T17:01:51Z</dcterms:modified>
</cp:coreProperties>
</file>