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financial\"/>
    </mc:Choice>
  </mc:AlternateContent>
  <xr:revisionPtr revIDLastSave="0" documentId="13_ncr:1_{7269E886-AD22-441B-863C-92542B398C92}" xr6:coauthVersionLast="46" xr6:coauthVersionMax="46" xr10:uidLastSave="{00000000-0000-0000-0000-000000000000}"/>
  <bookViews>
    <workbookView xWindow="38280" yWindow="-120" windowWidth="29040" windowHeight="15840" tabRatio="865" activeTab="10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81029"/>
  <webPublishing allowPng="1" targetScreenSize="1800x1440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3" i="16"/>
  <c r="D18" i="16" l="1"/>
  <c r="E18" i="16"/>
  <c r="F18" i="16" s="1"/>
  <c r="A18" i="16"/>
  <c r="A17" i="16"/>
  <c r="D17" i="16"/>
  <c r="E17" i="16"/>
  <c r="F17" i="16" s="1"/>
  <c r="A3" i="16"/>
  <c r="A2" i="16"/>
  <c r="D3" i="16"/>
  <c r="D2" i="16"/>
  <c r="E3" i="16"/>
  <c r="F3" i="16" s="1"/>
  <c r="E2" i="16"/>
  <c r="F2" i="16" s="1"/>
  <c r="P6" i="16"/>
  <c r="P2" i="16"/>
  <c r="P3" i="16"/>
  <c r="P4" i="16"/>
  <c r="P5" i="16"/>
  <c r="D4" i="16"/>
  <c r="D16" i="16"/>
  <c r="D15" i="16"/>
  <c r="D14" i="16"/>
  <c r="D13" i="16"/>
  <c r="D12" i="16"/>
  <c r="D11" i="16"/>
  <c r="D10" i="16"/>
  <c r="D9" i="16"/>
  <c r="D8" i="16"/>
  <c r="D7" i="16"/>
  <c r="D6" i="16"/>
  <c r="D5" i="16"/>
  <c r="E4" i="16"/>
  <c r="F4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A15" i="16"/>
  <c r="A14" i="16"/>
  <c r="A13" i="16"/>
  <c r="A12" i="16"/>
  <c r="A11" i="16"/>
  <c r="A10" i="16"/>
  <c r="A9" i="16"/>
  <c r="A8" i="16"/>
  <c r="A7" i="16"/>
  <c r="A6" i="16"/>
  <c r="A5" i="16"/>
  <c r="A16" i="16"/>
  <c r="A4" i="16"/>
  <c r="A13" i="14"/>
  <c r="A12" i="14"/>
  <c r="A6" i="14"/>
  <c r="B32" i="12"/>
  <c r="B33" i="12"/>
  <c r="Q6" i="16" l="1"/>
  <c r="Q5" i="16"/>
  <c r="Q4" i="16"/>
  <c r="Q3" i="16"/>
  <c r="Q2" i="16"/>
  <c r="K2" i="16"/>
  <c r="K3" i="16"/>
  <c r="A5" i="2"/>
  <c r="B14" i="3"/>
  <c r="R6" i="16" l="1"/>
  <c r="R2" i="16"/>
  <c r="R4" i="16"/>
  <c r="R5" i="16"/>
  <c r="R3" i="16"/>
  <c r="K4" i="16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R7" i="16" l="1"/>
  <c r="F27" i="15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31" i="14"/>
  <c r="F11" i="14"/>
  <c r="F10" i="14"/>
  <c r="G9" i="14"/>
  <c r="G11" i="14" s="1"/>
  <c r="G9" i="1"/>
  <c r="F24" i="14" l="1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26" i="14" s="1"/>
  <c r="G27" i="14" s="1"/>
  <c r="G10" i="14"/>
  <c r="H10" i="14" l="1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  <family val="2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  <family val="2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<sst xmlns="http://schemas.openxmlformats.org/spreadsheetml/2006/main" count="374" uniqueCount="224">
  <si>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</si>
  <si>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</si>
  <si>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</si>
  <si>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</si>
  <si>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</si>
  <si>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</si>
  <si>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</si>
  <si>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</si>
  <si>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</si>
  <si>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</si>
  <si>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</si>
  <si>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</si>
  <si>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</si>
  <si>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</si>
  <si>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</si>
  <si>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</si>
  <si>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</si>
  <si>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</si>
  <si>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</si>
  <si>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</si>
  <si>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</si>
  <si>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</si>
  <si>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</si>
  <si>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</si>
  <si>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</si>
  <si>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</si>
  <si>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</si>
  <si>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</si>
  <si>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</si>
  <si>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</si>
  <si>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</si>
  <si>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</si>
  <si>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</si>
  <si>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</si>
  <si>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</si>
  <si>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</si>
  <si>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</si>
  <si>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</si>
  <si>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</si>
  <si>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</si>
  <si>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</si>
  <si>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</si>
  <si>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</si>
  <si>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</si>
  <si>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</si>
  <si>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</si>
  <si>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</si>
  <si>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</si>
  <si>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</si>
  <si>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</si>
  <si>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</si>
  <si>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</si>
  <si>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</si>
  <si>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</si>
  <si>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</si>
  <si>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</si>
  <si>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</si>
  <si>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</si>
  <si>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</si>
  <si>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</si>
  <si>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</si>
  <si>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</si>
  <si>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</si>
  <si>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</si>
  <si>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</si>
  <si>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</si>
  <si>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</si>
  <si>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</si>
  <si>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</si>
  <si>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</si>
  <si>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</si>
  <si>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</si>
  <si>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</si>
  <si>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</si>
  <si>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</si>
  <si>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</si>
  <si>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</si>
  <si>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</si>
  <si>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</si>
  <si>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</si>
  <si>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</si>
  <si>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</si>
  <si>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</si>
  <si>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</si>
  <si>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</si>
  <si>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</si>
  <si>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</si>
  <si>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</si>
  <si>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</si>
  <si>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</si>
  <si>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</si>
  <si>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</si>
  <si>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</si>
  <si>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</si>
  <si>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</si>
  <si>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</si>
  <si>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</si>
  <si>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</si>
  <si>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</si>
  <si>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</si>
  <si>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</si>
  <si>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</si>
  <si>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</si>
  <si>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</si>
  <si>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</si>
  <si>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</si>
  <si>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</si>
  <si>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</si>
  <si>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</si>
  <si>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</si>
  <si>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</si>
  <si>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</si>
  <si>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</si>
  <si>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</si>
  <si>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</si>
  <si>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</si>
  <si>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</si>
  <si>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</si>
  <si>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</si>
  <si>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</si>
  <si>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</si>
  <si>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</si>
  <si>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</si>
  <si>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</si>
  <si>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</si>
  <si>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</si>
  <si>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</si>
  <si>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</si>
  <si>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</si>
  <si>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</si>
  <si>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</si>
  <si>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</si>
  <si>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</si>
  <si>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</si>
  <si>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</si>
  <si>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</si>
  <si>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</si>
  <si>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</si>
  <si>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</si>
  <si>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</si>
  <si>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</si>
  <si>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</si>
  <si>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</si>
  <si>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</si>
  <si>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</si>
  <si>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</si>
  <si>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</si>
  <si>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</si>
  <si>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</si>
  <si>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</si>
  <si>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</si>
  <si>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</si>
  <si>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</si>
  <si>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</si>
  <si>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</si>
  <si>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</si>
  <si>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</si>
  <si>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</si>
  <si>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</si>
  <si>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</si>
  <si>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</si>
  <si>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</si>
  <si>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</si>
  <si>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</si>
  <si>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</si>
  <si>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</si>
  <si>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</si>
  <si>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</si>
  <si>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</si>
  <si>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</si>
  <si>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</si>
  <si>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</si>
  <si>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</si>
  <si>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</si>
  <si>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</si>
  <si>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</si>
  <si>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</si>
  <si>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</si>
  <si>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</si>
  <si>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</si>
  <si>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</si>
  <si>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</si>
  <si>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</si>
  <si>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</si>
  <si>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</si>
  <si>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</si>
  <si>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</si>
  <si>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</si>
  <si>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</si>
  <si>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</si>
  <si>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</si>
  <si>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</si>
  <si>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</si>
  <si>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</si>
  <si>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</si>
  <si>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</si>
  <si>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</si>
  <si>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</si>
  <si>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</si>
  <si>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</si>
  <si>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</si>
  <si>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</si>
  <si>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</si>
  <si>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</si>
  <si>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</si>
  <si>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</si>
  <si>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</si>
  <si>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</si>
  <si>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</si>
  <si>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</si>
  <si>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</si>
  <si>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سال و ماه</t>
  </si>
  <si>
    <t>مبلغ درآمد کسب شده</t>
  </si>
  <si>
    <t>به تفکیک سال</t>
  </si>
  <si>
    <t>جمع درآمد</t>
  </si>
  <si>
    <t>فصل</t>
  </si>
  <si>
    <t>1399-08</t>
  </si>
  <si>
    <t>درصد رشد نسبت به فصل قبل</t>
  </si>
  <si>
    <t>رشد نسبت به ماه قبل</t>
  </si>
  <si>
    <t>1399-01</t>
  </si>
  <si>
    <t>1398-12</t>
  </si>
  <si>
    <t>1400-03</t>
  </si>
  <si>
    <t>1400-04</t>
  </si>
  <si>
    <t>نسخه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</si>
</sst>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  <xf numFmtId="0" fontId="2" fillId="8" borderId="0" xfId="0" applyFont="1" applyFill="1" applyAlignment="1">
      <alignment horizontal="right" vertical="center"/>
    </xf>
    <xf numFmtId="166" fontId="1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42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2883840000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479418000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1681920000</c:v>
                </c:pt>
                <c:pt idx="1">
                  <c:v>240000000</c:v>
                </c:pt>
                <c:pt idx="2">
                  <c:v>4959080000</c:v>
                </c:pt>
                <c:pt idx="3">
                  <c:v>2550000000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1064212000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4565760000</c:v>
                </c:pt>
                <c:pt idx="1">
                  <c:v>420000000</c:v>
                </c:pt>
                <c:pt idx="2">
                  <c:v>5751180000</c:v>
                </c:pt>
                <c:pt idx="3">
                  <c:v>3090000000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1543630000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3063840000</c:v>
                </c:pt>
                <c:pt idx="1">
                  <c:v>1921920000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2209758000</c:v>
                </c:pt>
                <c:pt idx="1">
                  <c:v>9784412000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5273598000</c:v>
                </c:pt>
                <c:pt idx="1">
                  <c:v>11706332000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 baseline="0">
                <a:latin typeface="IRANSansX Black" pitchFamily="2" charset="-78"/>
                <a:cs typeface="IRANSansX Black" pitchFamily="2" charset="-78"/>
              </a:rPr>
              <a:t>درآمد</a:t>
            </a:r>
            <a:r>
              <a:rPr lang="en-US" baseline="0">
                <a:latin typeface="IRANSansX Black" pitchFamily="2" charset="-78"/>
                <a:cs typeface="IRANSansX Black" pitchFamily="2" charset="-78"/>
              </a:rPr>
              <a:t> </a:t>
            </a:r>
            <a:r>
              <a:rPr lang="fa-IR" baseline="0">
                <a:latin typeface="IRANSansX Black" pitchFamily="2" charset="-78"/>
                <a:cs typeface="IRANSansX Black" pitchFamily="2" charset="-78"/>
              </a:rPr>
              <a:t>جیبرس به تفکیک فصل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ماه'!$P$2:$P$6</c:f>
              <c:strCache>
                <c:ptCount val="5"/>
                <c:pt idx="0">
                  <c:v>1399-Q1</c:v>
                </c:pt>
                <c:pt idx="1">
                  <c:v>1399-Q2</c:v>
                </c:pt>
                <c:pt idx="2">
                  <c:v>1399-Q3</c:v>
                </c:pt>
                <c:pt idx="3">
                  <c:v>1399-Q4</c:v>
                </c:pt>
                <c:pt idx="4">
                  <c:v>1400-Q1</c:v>
                </c:pt>
              </c:strCache>
            </c:strRef>
          </c:cat>
          <c:val>
            <c:numRef>
              <c:f>'درآمد جیبرس به تفکیک ماه'!$Q$2:$Q$6</c:f>
              <c:numCache>
                <c:formatCode>_(\I\R\T\ * #,##0_);[Red]_(\I\R\T\ * "-"#,##0_)</c:formatCode>
                <c:ptCount val="5"/>
                <c:pt idx="0">
                  <c:v>24623965</c:v>
                </c:pt>
                <c:pt idx="1">
                  <c:v>50851000</c:v>
                </c:pt>
                <c:pt idx="2">
                  <c:v>118281000</c:v>
                </c:pt>
                <c:pt idx="3">
                  <c:v>101304600</c:v>
                </c:pt>
                <c:pt idx="4">
                  <c:v>140387520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9DD-83A8-67690419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61552"/>
        <c:axId val="1042064464"/>
      </c:barChart>
      <c:catAx>
        <c:axId val="10420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4464"/>
        <c:crosses val="autoZero"/>
        <c:auto val="1"/>
        <c:lblAlgn val="ctr"/>
        <c:lblOffset val="100"/>
        <c:noMultiLvlLbl val="0"/>
      </c:catAx>
      <c:valAx>
        <c:axId val="104206446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15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1"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>
                <a:latin typeface="IRANSansX Black" pitchFamily="2" charset="-78"/>
                <a:cs typeface="IRANSansX Black" pitchFamily="2" charset="-78"/>
              </a:rPr>
              <a:t>مقایسه درآمد فصل اول ۱۳۹۹ با فصل اول ۱۴۰۰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('درآمد جیبرس به تفکیک ماه'!$P$2,'درآمد جیبرس به تفکیک ماه'!$P$6)</c:f>
              <c:strCache>
                <c:ptCount val="2"/>
                <c:pt idx="0">
                  <c:v>1399-Q1</c:v>
                </c:pt>
                <c:pt idx="1">
                  <c:v>1400-Q1</c:v>
                </c:pt>
              </c:strCache>
            </c:strRef>
          </c:cat>
          <c:val>
            <c:numRef>
              <c:f>('درآمد جیبرس به تفکیک ماه'!$Q$2,'درآمد جیبرس به تفکیک ماه'!$Q$6)</c:f>
              <c:numCache>
                <c:formatCode>_(\I\R\T\ * #,##0_);[Red]_(\I\R\T\ * "-"#,##0_)</c:formatCode>
                <c:ptCount val="2"/>
                <c:pt idx="0">
                  <c:v>24623965</c:v>
                </c:pt>
                <c:pt idx="1">
                  <c:v>140387520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8-4601-8103-AC2654F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6749520"/>
        <c:axId val="1286749104"/>
      </c:barChart>
      <c:catAx>
        <c:axId val="12867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104"/>
        <c:crosses val="autoZero"/>
        <c:auto val="1"/>
        <c:lblAlgn val="ctr"/>
        <c:lblOffset val="100"/>
        <c:noMultiLvlLbl val="0"/>
      </c:catAx>
      <c:valAx>
        <c:axId val="128674910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j-ea"/>
                <a:cs typeface="IRANSansX Black" pitchFamily="2" charset="-78"/>
              </a:defRPr>
            </a:pPr>
            <a:r>
              <a:rPr lang="fa-IR" spc="0" baseline="0">
                <a:latin typeface="IRANSansX Black" pitchFamily="2" charset="-78"/>
                <a:cs typeface="IRANSansX Black" pitchFamily="2" charset="-78"/>
              </a:rPr>
              <a:t>درآمد جیبرس به تفکیک ماه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j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ماه'!$C$1</c:f>
              <c:strCache>
                <c:ptCount val="1"/>
                <c:pt idx="0">
                  <c:v>مبلغ درآمد کسب شده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C80A5A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ماه'!$B$2:$B$18</c:f>
              <c:strCache>
                <c:ptCount val="17"/>
                <c:pt idx="0">
                  <c:v>1398-12</c:v>
                </c:pt>
                <c:pt idx="1">
                  <c:v>1399-01</c:v>
                </c:pt>
                <c:pt idx="2">
                  <c:v>1399-02</c:v>
                </c:pt>
                <c:pt idx="3">
                  <c:v>1399-03</c:v>
                </c:pt>
                <c:pt idx="4">
                  <c:v>1399-04</c:v>
                </c:pt>
                <c:pt idx="5">
                  <c:v>1399-05</c:v>
                </c:pt>
                <c:pt idx="6">
                  <c:v>1399-06</c:v>
                </c:pt>
                <c:pt idx="7">
                  <c:v>1399-07</c:v>
                </c:pt>
                <c:pt idx="8">
                  <c:v>1399-08</c:v>
                </c:pt>
                <c:pt idx="9">
                  <c:v>1399-09</c:v>
                </c:pt>
                <c:pt idx="10">
                  <c:v>1399-10</c:v>
                </c:pt>
                <c:pt idx="11">
                  <c:v>1399-11</c:v>
                </c:pt>
                <c:pt idx="12">
                  <c:v>1399-12</c:v>
                </c:pt>
                <c:pt idx="13">
                  <c:v>1400-01</c:v>
                </c:pt>
                <c:pt idx="14">
                  <c:v>1400-02</c:v>
                </c:pt>
                <c:pt idx="15">
                  <c:v>1400-03</c:v>
                </c:pt>
                <c:pt idx="16">
                  <c:v>1400-04</c:v>
                </c:pt>
              </c:strCache>
            </c:strRef>
          </c:cat>
          <c:val>
            <c:numRef>
              <c:f>'درآمد جیبرس به تفکیک ماه'!$C$2:$C$18</c:f>
              <c:numCache>
                <c:formatCode>_(\I\R\T\ * #,##0_);[Red]_(\I\R\T\ * "-"#,##0_)</c:formatCode>
                <c:ptCount val="17"/>
                <c:pt idx="0">
                  <c:v>170200</c:v>
                </c:pt>
                <c:pt idx="1">
                  <c:v>7492000</c:v>
                </c:pt>
                <c:pt idx="2">
                  <c:v>5101965</c:v>
                </c:pt>
                <c:pt idx="3">
                  <c:v>12030000</c:v>
                </c:pt>
                <c:pt idx="4">
                  <c:v>19502000</c:v>
                </c:pt>
                <c:pt idx="5">
                  <c:v>14265000</c:v>
                </c:pt>
                <c:pt idx="6">
                  <c:v>17084000</c:v>
                </c:pt>
                <c:pt idx="7">
                  <c:v>35616000</c:v>
                </c:pt>
                <c:pt idx="8">
                  <c:v>35513000</c:v>
                </c:pt>
                <c:pt idx="9">
                  <c:v>47152000</c:v>
                </c:pt>
                <c:pt idx="10">
                  <c:v>21826000</c:v>
                </c:pt>
                <c:pt idx="11">
                  <c:v>43726000</c:v>
                </c:pt>
                <c:pt idx="12">
                  <c:v>35752600</c:v>
                </c:pt>
                <c:pt idx="13">
                  <c:v>55762300</c:v>
                </c:pt>
                <c:pt idx="14">
                  <c:v>66167220</c:v>
                </c:pt>
                <c:pt idx="15">
                  <c:v>18458000</c:v>
                </c:pt>
                <c:pt idx="16">
                  <c:v>51226500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12F-BBA1-C6943516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5134176"/>
        <c:axId val="1215112128"/>
      </c:barChart>
      <c:catAx>
        <c:axId val="1215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12128"/>
        <c:crosses val="autoZero"/>
        <c:auto val="1"/>
        <c:lblAlgn val="ctr"/>
        <c:lblOffset val="100"/>
        <c:noMultiLvlLbl val="0"/>
      </c:catAx>
      <c:valAx>
        <c:axId val="1215112128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3417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IRANSansX" pitchFamily="2" charset="-78"/>
                      <a:ea typeface="+mn-ea"/>
                      <a:cs typeface="IRANSansX" pitchFamily="2" charset="-78"/>
                    </a:defRPr>
                  </a:pPr>
                  <a:r>
                    <a:rPr lang="en-US"/>
                    <a:t>IRT</a:t>
                  </a:r>
                  <a:r>
                    <a:rPr lang="en-US" baseline="0"/>
                    <a:t> </a:t>
                  </a: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8</xdr:row>
      <xdr:rowOff>166687</xdr:rowOff>
    </xdr:from>
    <xdr:to>
      <xdr:col>17</xdr:col>
      <xdr:colOff>1952625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A7F29-7B93-4EAF-80A1-EF942093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604838</xdr:colOff>
      <xdr:row>23</xdr:row>
      <xdr:rowOff>138112</xdr:rowOff>
    </xdr:from>
    <xdr:to>
      <xdr:col>17</xdr:col>
      <xdr:colOff>1952625</xdr:colOff>
      <xdr:row>36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34988-AFF6-4CF4-BD9F-C7A78D64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61913</xdr:colOff>
      <xdr:row>19</xdr:row>
      <xdr:rowOff>100012</xdr:rowOff>
    </xdr:from>
    <xdr:to>
      <xdr:col>6</xdr:col>
      <xdr:colOff>1447800</xdr:colOff>
      <xdr:row>31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36738-F5A9-4020-B7FD-0963594D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41" dataDxfId="240" totalsRowDxfId="239">
  <autoFilter ref="A1:G8" xr:uid="{5810A676-66BF-4EA4-B586-C6E90025121D}"/>
  <tableColumns count="7">
    <tableColumn id="5" xr3:uid="{47369FE7-678F-4F87-AB99-EE1EDC617F1A}" name="#" totalsRowLabel="Total" dataDxfId="238" totalsRowDxfId="237">
      <calculatedColumnFormula>ROW(A1)</calculatedColumnFormula>
    </tableColumn>
    <tableColumn id="1" xr3:uid="{3037BF7E-6F17-4FD9-B0BA-2603DBE3AA73}" name="نوع" dataDxfId="236" totalsRowDxfId="235"/>
    <tableColumn id="2" xr3:uid="{5543AAC9-D97A-4AF1-B9C8-BCB750FF9446}" name="عنوان" dataDxfId="234" totalsRowDxfId="233"/>
    <tableColumn id="4" xr3:uid="{363204E2-D323-45E0-8740-F6AAC858616C}" name="1400" totalsRowFunction="sum" totalsRowDxfId="232" dataCellStyle="Currency"/>
    <tableColumn id="6" xr3:uid="{0C5EF792-05B7-4EDA-BEF7-3C660D2AFD4B}" name="1401" totalsRowFunction="sum" totalsRowDxfId="231" dataCellStyle="Currency"/>
    <tableColumn id="8" xr3:uid="{29FAD03A-69B3-4207-A748-8BD45D15D581}" name="مجموع" totalsRowFunction="sum" totalsRowDxfId="230" dataCellStyle="Currency">
      <calculatedColumnFormula>SUM(tbl_sumary[[#This Row],[1400]:[1401]])</calculatedColumnFormula>
    </tableColumn>
    <tableColumn id="3" xr3:uid="{CDA3691F-C5E7-4ED9-A080-98FD93E74B52}" name="درصد" totalsRowFunction="sum" dataDxfId="229" totalsRowDxfId="228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55" dataDxfId="154">
  <autoFilter ref="A1:R13" xr:uid="{11174E64-8CFF-4722-BD71-DA8D32366E61}"/>
  <tableColumns count="18">
    <tableColumn id="1" xr3:uid="{9A53D445-08A1-4BD8-A9B1-36B149B75784}" name="ردیف" totalsRowLabel="Total" dataDxfId="153" totalsRowDxfId="152">
      <calculatedColumnFormula>ROW(A1)</calculatedColumnFormula>
    </tableColumn>
    <tableColumn id="2" xr3:uid="{A097EA43-7198-43D4-A945-9788D7E650A6}" name="عنوان" dataDxfId="151" totalsRowDxfId="150"/>
    <tableColumn id="5" xr3:uid="{EEC712EC-61BA-44C7-A77F-FC5EE5CA47F3}" name="مدل پرداخت" dataDxfId="149" totalsRowDxfId="148"/>
    <tableColumn id="3" xr3:uid="{B9F7695D-2433-4D21-A6B5-58ABCCFB2FEF}" name="مبلغ پرداختی" dataDxfId="147" totalsRowDxfId="146"/>
    <tableColumn id="6" xr3:uid="{EC802C2A-E591-4D77-926A-410A0C0BDAA0}" name="بهای تمام شده" dataDxfId="145" totalsRowDxfId="144"/>
    <tableColumn id="7" xr3:uid="{A37BFF77-E27B-448B-B94A-F9B63A90085C}" name="سود" dataDxfId="143" totalsRowDxfId="142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41" totalsRowDxfId="140" dataCellStyle="Percent"/>
    <tableColumn id="21" xr3:uid="{30514F62-ED70-4E43-940C-9DBD8F3236F7}" name="سود به ازای هر بیزینس" totalsRowFunction="sum" dataDxfId="139" totalsRowDxfId="138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37" totalsRowDxfId="136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35" totalsRowDxfId="134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33" totalsRowDxfId="132">
      <calculatedColumnFormula>tbl_pricing[[#Headers],[500]]*tbl_pricing[[#This Row],[درصد خرید]]</calculatedColumnFormula>
    </tableColumn>
    <tableColumn id="10" xr3:uid="{9AB94E1B-34ED-4589-8806-1371AF0006CE}" name="1000" dataDxfId="131" totalsRowDxfId="130">
      <calculatedColumnFormula>tbl_pricing[[#Headers],[1000]]*tbl_pricing[[#This Row],[درصد خرید]]</calculatedColumnFormula>
    </tableColumn>
    <tableColumn id="11" xr3:uid="{73D11ABE-3FE2-4354-9B4D-6A48992B395A}" name="2000" dataDxfId="129" totalsRowDxfId="128">
      <calculatedColumnFormula>tbl_pricing[[#Headers],[2000]]*tbl_pricing[[#This Row],[درصد خرید]]</calculatedColumnFormula>
    </tableColumn>
    <tableColumn id="12" xr3:uid="{C88D635E-46CD-44BB-9844-EBB575A727B1}" name="5000" dataDxfId="127" totalsRowDxfId="126">
      <calculatedColumnFormula>tbl_pricing[[#Headers],[5000]]*tbl_pricing[[#This Row],[درصد خرید]]</calculatedColumnFormula>
    </tableColumn>
    <tableColumn id="13" xr3:uid="{159DCBCC-07DD-484D-8F87-B26CA28EFF29}" name="10000" dataDxfId="125" totalsRowDxfId="124">
      <calculatedColumnFormula>tbl_pricing[[#Headers],[10000]]*tbl_pricing[[#This Row],[درصد خرید]]</calculatedColumnFormula>
    </tableColumn>
    <tableColumn id="14" xr3:uid="{1A3D8FD2-70CB-4665-975C-2114464348DB}" name="20000" dataDxfId="123" totalsRowDxfId="122">
      <calculatedColumnFormula>tbl_pricing[[#Headers],[20000]]*tbl_pricing[[#This Row],[درصد خرید]]</calculatedColumnFormula>
    </tableColumn>
    <tableColumn id="15" xr3:uid="{8854EC08-9308-4944-BDA8-75596BFE727B}" name="50000" dataDxfId="121" totalsRowDxfId="120">
      <calculatedColumnFormula>tbl_pricing[[#Headers],[50000]]*tbl_pricing[[#This Row],[درصد خرید]]</calculatedColumnFormula>
    </tableColumn>
    <tableColumn id="16" xr3:uid="{AA928AC4-CF96-4BA2-8936-8A643A7DDAA6}" name="100000" dataDxfId="119" totalsRowDxfId="118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17" dataDxfId="116">
  <autoFilter ref="A23:D34" xr:uid="{652F814E-9275-4FA3-8E84-CADC4414840E}"/>
  <tableColumns count="4">
    <tableColumn id="1" xr3:uid="{1DE062CE-5BF5-4FEA-A98A-704F2735EAA7}" name="تعداد بیزینس" dataDxfId="115" dataCellStyle="Comma"/>
    <tableColumn id="2" xr3:uid="{9A3B5D26-797A-4D19-9504-750237C50E47}" name="تعداد بیزینس‌هایی که پرداخت دارند" dataDxfId="114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13">
      <calculatedColumnFormula>d_customerAvgRevenue*tbl_pricing_predict[[#This Row],[تعداد بیزینس]]</calculatedColumnFormula>
    </tableColumn>
    <tableColumn id="4" xr3:uid="{16B0B2F6-77AB-4BCF-B967-97D476246151}" name="درآمد سالیانه" dataDxfId="112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11" dataDxfId="110">
  <autoFilter ref="A1:J8" xr:uid="{4B45EF50-D07B-4462-B4EB-CF690CB4B7A8}"/>
  <tableColumns count="10">
    <tableColumn id="1" xr3:uid="{3233B9C7-9724-4673-B9F1-EAE50D2C9670}" name="ردیف" dataDxfId="109">
      <calculatedColumnFormula>ROW(A1)</calculatedColumnFormula>
    </tableColumn>
    <tableColumn id="10" xr3:uid="{60819422-87DD-4CFF-AB10-DB3E961E5555}" name="عنوان" dataDxfId="108"/>
    <tableColumn id="2" xr3:uid="{18B29F41-DC81-4467-BD19-639C5E40AC0E}" name="1400-Q1" dataDxfId="107"/>
    <tableColumn id="3" xr3:uid="{75B9AC7C-0C9A-4EBB-A21B-9103F31171A5}" name="1400-Q2" dataDxfId="106">
      <calculatedColumnFormula>AVERAGE(tbl_pricing[درصد خرید])</calculatedColumnFormula>
    </tableColumn>
    <tableColumn id="4" xr3:uid="{A6A37BC8-F105-4BC7-BBA5-7CD986675C7E}" name="1400-Q3" dataDxfId="105">
      <calculatedColumnFormula>AVERAGE(tbl_pricing[درصد خرید])</calculatedColumnFormula>
    </tableColumn>
    <tableColumn id="5" xr3:uid="{7CD9CE2A-0982-402E-90BB-A37955F9417B}" name="1400-Q4" dataDxfId="104">
      <calculatedColumnFormula>AVERAGE(tbl_pricing[درصد خرید])</calculatedColumnFormula>
    </tableColumn>
    <tableColumn id="6" xr3:uid="{F574DA15-52E0-46FF-8058-3626E90ADCD3}" name="1401-Q1" dataDxfId="103">
      <calculatedColumnFormula>AVERAGE(tbl_pricing[درصد خرید])</calculatedColumnFormula>
    </tableColumn>
    <tableColumn id="7" xr3:uid="{265E39CF-C0D3-42D3-BE97-6DA6F758CCBB}" name="1401-Q2" dataDxfId="102">
      <calculatedColumnFormula>AVERAGE(tbl_pricing[درصد خرید])</calculatedColumnFormula>
    </tableColumn>
    <tableColumn id="8" xr3:uid="{491DB0FE-9C40-4DCA-8643-B5E810C0361E}" name="1401-Q3" dataDxfId="101">
      <calculatedColumnFormula>AVERAGE(tbl_pricing[درصد خرید])</calculatedColumnFormula>
    </tableColumn>
    <tableColumn id="9" xr3:uid="{299BD95A-56DA-46C1-AD0F-CE6FCABD7593}" name="1401-Q4" dataDxfId="100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99" dataDxfId="98">
  <autoFilter ref="A1:J13" xr:uid="{0E994EE0-F0F0-4FBF-9544-F0DF02B7F5C3}"/>
  <tableColumns count="10">
    <tableColumn id="1" xr3:uid="{7CFD1D53-F749-4B43-9DD3-BE3F1C5EC98F}" name="#" dataDxfId="97">
      <calculatedColumnFormula>ROW(A1)</calculatedColumnFormula>
    </tableColumn>
    <tableColumn id="11" xr3:uid="{EDB8F8AF-AD21-41D4-84B7-19B49F8D2731}" name="نوع" dataDxfId="96"/>
    <tableColumn id="8" xr3:uid="{54E69985-F797-4A1D-810B-CD4B14DE4247}" name="Title" dataDxfId="95"/>
    <tableColumn id="3" xr3:uid="{4C28CA0D-B0C2-4EC6-9320-E20F2AA18D35}" name="1400" dataDxfId="94">
      <calculatedColumnFormula>'پیش‌بینی درآمد'!$C$8:$F$8</calculatedColumnFormula>
    </tableColumn>
    <tableColumn id="4" xr3:uid="{BE2DB32D-49B5-4174-91DB-055B8A546B01}" name="1401" dataDxfId="93">
      <calculatedColumnFormula>SUM('پیش‌بینی درآمد'!$G$8:$J$8)</calculatedColumnFormula>
    </tableColumn>
    <tableColumn id="5" xr3:uid="{200B4D8D-3290-4392-A148-F2EC03CDB0D3}" name="1402" dataDxfId="92">
      <calculatedColumnFormula>tbl_revenue_summary[[#This Row],[1401]]*(1+s_cagr)</calculatedColumnFormula>
    </tableColumn>
    <tableColumn id="6" xr3:uid="{A7A00C3C-C62A-4AFB-8F2F-961D9B70FA4E}" name="1403" dataDxfId="91"/>
    <tableColumn id="7" xr3:uid="{CD51A06F-0126-4363-82F1-83D419084E3E}" name="1404" dataDxfId="90"/>
    <tableColumn id="2" xr3:uid="{9FF3912E-8E29-4421-A4CB-E01182C34419}" name="1405" dataDxfId="89"/>
    <tableColumn id="9" xr3:uid="{A95B37EE-B672-4C1F-B96C-91C026F696D6}" name="جمع" dataDxfId="88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G18" totalsRowShown="0" headerRowDxfId="87" dataDxfId="86">
  <autoFilter ref="A1:G18" xr:uid="{EE4F9C7E-D73A-483B-AEAE-E5896E779AA1}"/>
  <sortState xmlns:xlrd2="http://schemas.microsoft.com/office/spreadsheetml/2017/richdata2" ref="A2:G16">
    <sortCondition ref="B1:B16"/>
  </sortState>
  <tableColumns count="7">
    <tableColumn id="1" xr3:uid="{DABB7D62-BF6E-41DD-95A2-6CFC3034A844}" name="ردیف" dataDxfId="85">
      <calculatedColumnFormula>ROW(A1)</calculatedColumnFormula>
    </tableColumn>
    <tableColumn id="2" xr3:uid="{168739EF-6C06-4113-BBDD-AAF168610AA5}" name="سال و ماه" dataDxfId="84"/>
    <tableColumn id="3" xr3:uid="{66F66387-A8B5-43AA-87B7-3D0CC9168F60}" name="مبلغ درآمد کسب شده" dataDxfId="83" dataCellStyle="Comma"/>
    <tableColumn id="4" xr3:uid="{52595ECE-74E2-4FC3-B5B6-FA33D7AC0B25}" name="سال" dataDxfId="82">
      <calculatedColumnFormula>_xlfn.NUMBERVALUE(LEFT(tbl_jibres_revenue[[#This Row],[سال و ماه]],4))</calculatedColumnFormula>
    </tableColumn>
    <tableColumn id="5" xr3:uid="{76A94C10-B40B-457E-B3BA-12ED3056AC3C}" name="ماه" dataDxfId="81">
      <calculatedColumnFormula>_xlfn.NUMBERVALUE(RIGHT(tbl_jibres_revenue[[#This Row],[سال و ماه]],2))</calculatedColumnFormula>
    </tableColumn>
    <tableColumn id="6" xr3:uid="{788D8E6A-2106-4F14-AE9E-6B9F33B3D9AA}" name="فصل" dataDxfId="80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  <tableColumn id="7" xr3:uid="{2A89C0FC-8202-43C3-9C20-98C973C49A39}" name="رشد نسبت به ماه قبل" dataDxfId="79" dataCellStyle="Percent">
      <calculatedColumnFormula>IFERROR(tbl_jibres_revenue[[#This Row],[مبلغ درآمد کسب شده]]/C3, "-")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78" dataDxfId="77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76" totalsRowDxfId="75"/>
    <tableColumn id="2" xr3:uid="{76BD64A1-CD1F-41A3-B845-76B7D5F43482}" name="جمع درآمد" totalsRowFunction="sum" dataDxfId="74" totalsRowDxfId="73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R7" totalsRowCount="1" headerRowDxfId="72" dataDxfId="71">
  <autoFilter ref="N1:R6" xr:uid="{ED95FAF6-F062-4349-8D2D-F4A023A88753}"/>
  <sortState xmlns:xlrd2="http://schemas.microsoft.com/office/spreadsheetml/2017/richdata2" ref="N2:R6">
    <sortCondition ref="N2:N6"/>
    <sortCondition ref="O2:O6"/>
  </sortState>
  <tableColumns count="5">
    <tableColumn id="1" xr3:uid="{C7E05CC4-3546-4718-9C4B-0391377B8E6F}" name="سال" totalsRowLabel="Total" dataDxfId="70" totalsRowDxfId="69"/>
    <tableColumn id="2" xr3:uid="{A46F4F4D-DEED-4FF6-AA41-10D2448BC299}" name="فصل" dataDxfId="68" totalsRowDxfId="67"/>
    <tableColumn id="4" xr3:uid="{FB4496C4-A8EE-4D44-8763-AB435C002C0F}" name="عنوان" dataDxfId="66" totalsRowDxfId="65">
      <calculatedColumnFormula>Table18[[#This Row],[سال]]&amp; "-Q"&amp;Table18[[#This Row],[فصل]]</calculatedColumnFormula>
    </tableColumn>
    <tableColumn id="3" xr3:uid="{EF262220-04D4-41A3-9C08-5E8E750EDD38}" name="جمع درآمد" dataDxfId="64" totalsRowDxfId="63">
      <calculatedColumnFormula>SUMIFS(tbl_jibres_revenue[مبلغ درآمد کسب شده],tbl_jibres_revenue[سال],Table18[[#This Row],[سال]],tbl_jibres_revenue[فصل],Table18[[#This Row],[فصل]])</calculatedColumnFormula>
    </tableColumn>
    <tableColumn id="5" xr3:uid="{E5D77664-930E-4958-A111-6FA4AEA13344}" name="درصد رشد نسبت به فصل قبل" totalsRowFunction="average" dataDxfId="62" totalsRowDxfId="61" dataCellStyle="Percent">
      <calculatedColumnFormula>IFERROR(Table18[[#This Row],[جمع درآمد]]/Q3, "-")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60" dataDxfId="59" totalsRowDxfId="58">
  <autoFilter ref="A1:M13" xr:uid="{7E87C80A-E7EE-4352-81C0-E925498C3A9A}"/>
  <tableColumns count="13">
    <tableColumn id="1" xr3:uid="{12E2DB3F-C608-4C14-BC50-2BC1F2A76D86}" name="نوع سهام‌دار" totalsRowLabel="Total" dataDxfId="26" totalsRowDxfId="25"/>
    <tableColumn id="8" xr3:uid="{879A5D2D-8CD3-4CD8-9A10-ACEBF45244A1}" name="نام به تفکیک" dataDxfId="24" totalsRowDxfId="23"/>
    <tableColumn id="9" xr3:uid="{504C5ECB-7E69-4D58-88F2-F2EE7BF3AF63}" name="Start 1394" totalsRowFunction="sum" dataDxfId="22" totalsRowDxfId="21" dataCellStyle="Percent"/>
    <tableColumn id="10" xr3:uid="{489B3961-F0BB-4DBA-9569-4B6F9D2C8136}" name="Seed Angel 1395" totalsRowFunction="sum" dataDxfId="20" totalsRowDxfId="19" dataCellStyle="Percent"/>
    <tableColumn id="12" xr3:uid="{2F49346B-42D1-4A05-A022-49E685B8F677}" name="Angel Out 1397/2/22" totalsRowFunction="sum" dataDxfId="18" totalsRowDxfId="17" dataCellStyle="Percent"/>
    <tableColumn id="11" xr3:uid="{D7B34FBB-1249-4A52-BC71-F4F4C353E9FF}" name="1397/5/1" totalsRowFunction="sum" dataDxfId="16" totalsRowDxfId="15" dataCellStyle="Percent"/>
    <tableColumn id="7" xr3:uid="{D017C8F8-D15A-4768-9250-191C7C3FBCAD}" name="1399" totalsRowFunction="sum" dataDxfId="14" totalsRowDxfId="13" dataCellStyle="Percent"/>
    <tableColumn id="2" xr3:uid="{CC921348-160B-4F0D-9BE4-5DDA1AD69B16}" name="Series A" totalsRowFunction="sum" dataDxfId="12" totalsRowDxfId="11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10" totalsRowDxfId="9" dataCellStyle="Percent"/>
    <tableColumn id="4" xr3:uid="{077EF452-6558-4AC1-8073-331A97F79010}" name="Series C" totalsRowFunction="sum" dataDxfId="8" totalsRowDxfId="7" dataCellStyle="Percent"/>
    <tableColumn id="5" xr3:uid="{4EBDA36A-837C-4D6F-8F61-A05A0A68122A}" name="Series D" totalsRowFunction="sum" dataDxfId="6" totalsRowDxfId="5" dataCellStyle="Percent"/>
    <tableColumn id="6" xr3:uid="{8993C8BA-E6C1-4341-9D63-25AE19DA5FDB}" name="Series E" totalsRowFunction="sum" dataDxfId="4" totalsRowDxfId="3" dataCellStyle="Percent"/>
    <tableColumn id="13" xr3:uid="{8B46D6B7-B794-4A24-8CAA-5733D667F553}" name="Series F" totalsRowFunction="sum" dataDxfId="2" totalsRowDxfId="1" dataCellStyle="Percent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57" dataDxfId="56">
  <autoFilter ref="A23:M26" xr:uid="{65851948-34D5-432A-B8FB-4FA5D425C4F9}"/>
  <tableColumns count="13">
    <tableColumn id="1" xr3:uid="{34E46D92-A5C7-4723-8F0E-96589EB1AEC2}" name="نوع سهام‌دار" totalsRowLabel="Total" dataDxfId="55" totalsRowDxfId="54"/>
    <tableColumn id="2" xr3:uid="{A5B597FC-720C-447A-9F66-CBDB8836AFA2}" name="جمع سهام" dataDxfId="53" totalsRowDxfId="52"/>
    <tableColumn id="3" xr3:uid="{9D64E6C7-4D6D-46C0-921E-CD57FADBCEA8}" name="Start 1394" totalsRowFunction="sum" dataDxfId="51" totalsRowDxfId="50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49" totalsRowDxfId="48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47" totalsRowDxfId="46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45" totalsRowDxfId="44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43" totalsRowDxfId="4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41" totalsRowDxfId="40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39" totalsRowDxfId="3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37" totalsRowDxfId="36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35" totalsRowDxfId="34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33" totalsRowDxfId="32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31" totalsRowDxfId="30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2" totalsRowShown="0" headerRowDxfId="227" dataDxfId="226">
  <autoFilter ref="A1:B22" xr:uid="{2B9E2DB8-FBB8-45B3-A4BF-A27446C1BBC1}"/>
  <tableColumns count="2">
    <tableColumn id="1" xr3:uid="{04846D46-98AF-4645-B227-FF19272102B1}" name="عنوان" dataDxfId="225"/>
    <tableColumn id="2" xr3:uid="{D4584107-29D2-4B18-94B1-795D1E01B117}" name="مقدار" dataDxfId="224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23" dataDxfId="222">
  <autoFilter ref="A1:E4" xr:uid="{6BB248A9-012D-4836-9305-5141AF978271}"/>
  <tableColumns count="5">
    <tableColumn id="1" xr3:uid="{C1D9DC5C-1F85-426E-959C-3165A99CD6EC}" name="ردیف" totalsRowLabel="Total" dataDxfId="221" totalsRowDxfId="220">
      <calculatedColumnFormula>ROW(A1)</calculatedColumnFormula>
    </tableColumn>
    <tableColumn id="2" xr3:uid="{23A7CE2D-4EC2-4F59-9E8C-744F0E351954}" name="عنوان" dataDxfId="219" totalsRowDxfId="218"/>
    <tableColumn id="3" xr3:uid="{C5D9D589-B23B-4019-B4E1-A8A2308C3099}" name="1400" totalsRowFunction="sum" dataDxfId="217" totalsRowDxfId="216"/>
    <tableColumn id="4" xr3:uid="{A20DFB1D-E3C4-4F6A-9CE1-76537256DDA0}" name="1401" totalsRowFunction="sum" dataDxfId="215" totalsRowDxfId="214"/>
    <tableColumn id="5" xr3:uid="{7320D442-6698-4FA5-BB88-10D126434BE0}" name="جمع" totalsRowFunction="sum" dataDxfId="213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12" dataDxfId="211">
  <autoFilter ref="A9:D10" xr:uid="{939160DD-2EDF-4878-9A71-0E47E271CD17}"/>
  <tableColumns count="4">
    <tableColumn id="1" xr3:uid="{7CFB71D1-2F91-4886-8D95-C562400CF4F7}" name="9" dataDxfId="210">
      <calculatedColumnFormula>ROW(A1)</calculatedColumnFormula>
    </tableColumn>
    <tableColumn id="2" xr3:uid="{EBEBDCFA-6F86-4BB9-A4E1-CFAC0B6394D2}" name="عنوان" dataDxfId="209"/>
    <tableColumn id="3" xr3:uid="{9FF7CA43-0705-4E77-85EC-B371DC78ACA4}" name="1400" dataDxfId="208"/>
    <tableColumn id="4" xr3:uid="{B14BB7F9-8746-4829-AA07-C639400E814F}" name="1401" dataDxfId="207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206" dataDxfId="205">
  <autoFilter ref="A1:E2" xr:uid="{CA8A4239-364E-4650-9E13-6B35831DAABA}"/>
  <tableColumns count="5">
    <tableColumn id="1" xr3:uid="{276EA653-F6EB-43D8-A8E6-02705C4FC3C6}" name="ردیف" dataDxfId="204">
      <calculatedColumnFormula>ROW(A1)</calculatedColumnFormula>
    </tableColumn>
    <tableColumn id="2" xr3:uid="{C917D43E-3C18-4ECC-857D-F6E368E7D1DD}" name="عنوان" dataDxfId="203"/>
    <tableColumn id="3" xr3:uid="{936C2C7C-5EB9-4B64-BF32-AA11DA4CFE26}" name="1400" dataDxfId="202"/>
    <tableColumn id="4" xr3:uid="{81F72F41-D8FD-4195-ABBB-05037CE3698B}" name="1401" dataDxfId="201"/>
    <tableColumn id="5" xr3:uid="{C0453677-E159-4921-9E18-2A6C08C14999}" name="جمع" dataDxfId="200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99" dataDxfId="198" totalsRowDxfId="197">
  <autoFilter ref="A1:D5" xr:uid="{0FEAC4E8-3C92-4ECC-A20C-80059709130D}"/>
  <tableColumns count="4">
    <tableColumn id="1" xr3:uid="{DA73BFFA-A796-4432-914A-1F59F00537F5}" name="#" totalsRowLabel="جمع" dataDxfId="196" totalsRowDxfId="195">
      <calculatedColumnFormula>ROW(A1)</calculatedColumnFormula>
    </tableColumn>
    <tableColumn id="2" xr3:uid="{32ED334C-D261-4D20-8958-087C27AD9FBF}" name="عنوان شغلی" dataDxfId="194" totalsRowDxfId="193"/>
    <tableColumn id="4" xr3:uid="{0925C41E-9619-42E8-8F24-EDDF62C48C09}" name="1400" totalsRowFunction="sum" dataDxfId="192" totalsRowDxfId="191"/>
    <tableColumn id="5" xr3:uid="{0BE3F0C5-39C2-4F5C-A4BB-D96C51FFD2B1}" name="1401" totalsRowFunction="sum" dataDxfId="190" totalsRowDxfId="18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88" dataDxfId="187">
  <autoFilter ref="A22:F26" xr:uid="{C45356D1-9A71-4483-8364-A8B472AE846A}"/>
  <tableColumns count="6">
    <tableColumn id="3" xr3:uid="{EAA5B31A-763B-44E2-8C7F-741E10086C03}" name="#" dataDxfId="186"/>
    <tableColumn id="1" xr3:uid="{0C7B43BD-CDE0-4542-994E-07BECC378178}" name="عنوان شغلی" dataDxfId="185"/>
    <tableColumn id="2" xr3:uid="{23FA6089-E4D9-4C9C-9ADF-69E1A5FBE988}" name="میانگین پرداختی ۱۴۰۰" dataDxfId="184" dataCellStyle="Currency"/>
    <tableColumn id="4" xr3:uid="{FCAB3AB9-4281-4E61-A996-650242F1C298}" name="میانگین پرداختی ۱۴۰۱" dataDxfId="183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82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81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80" dataDxfId="179" totalsRowDxfId="178">
  <autoFilter ref="A1:E10" xr:uid="{387B4E0D-6F55-44DA-9344-EB9622378522}"/>
  <tableColumns count="5">
    <tableColumn id="1" xr3:uid="{A7835E4F-01BA-4B39-9B47-77E68912210A}" name="#" totalsRowLabel="Total" dataDxfId="177" totalsRowDxfId="176">
      <calculatedColumnFormula>ROW(A1)</calculatedColumnFormula>
    </tableColumn>
    <tableColumn id="2" xr3:uid="{915237E7-1F0F-42A4-A7C8-041DBDA02143}" name="عنوان" dataDxfId="175" totalsRowDxfId="174"/>
    <tableColumn id="4" xr3:uid="{50081311-D116-4A8B-B3B1-362E4B876409}" name="1400" totalsRowFunction="sum" dataDxfId="173" totalsRowDxfId="172" dataCellStyle="Currency"/>
    <tableColumn id="5" xr3:uid="{4B242BB3-1333-418C-A07C-49DAE81876BA}" name="1401" totalsRowFunction="sum" dataDxfId="171" totalsRowDxfId="170" dataCellStyle="Currency"/>
    <tableColumn id="6" xr3:uid="{E1DE5B6C-E01B-4554-A846-06AB203F9C1A}" name="جمع" totalsRowFunction="sum" dataDxfId="169" totalsRowDxfId="168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67" dataDxfId="166">
  <autoFilter ref="A1:E9" xr:uid="{CA8A4239-364E-4650-9E13-6B35831DAABA}"/>
  <tableColumns count="5">
    <tableColumn id="1" xr3:uid="{54E6554F-B297-4533-AD8D-E06FC372FA4D}" name="ردیف" totalsRowLabel="Total" dataDxfId="165" totalsRowDxfId="164">
      <calculatedColumnFormula>ROW(A1)</calculatedColumnFormula>
    </tableColumn>
    <tableColumn id="2" xr3:uid="{C8AD3364-8867-4058-B64B-986B3858CF42}" name="عنوان" dataDxfId="163" totalsRowDxfId="162"/>
    <tableColumn id="3" xr3:uid="{7080C68D-A903-46EB-AC1E-5D0963B807EC}" name="1400" totalsRowFunction="sum" dataDxfId="161" totalsRowDxfId="160"/>
    <tableColumn id="4" xr3:uid="{B0566FF8-F510-4A8F-8E54-F68246E5F0A7}" name="1401" totalsRowFunction="sum" dataDxfId="159" totalsRowDxfId="158"/>
    <tableColumn id="5" xr3:uid="{192D38EC-CF7E-4D9A-99C8-24B0818C5DCC}" name="جمع" totalsRowFunction="sum" dataDxfId="157" totalsRowDxfId="156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C3" sqref="C3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2883840000</v>
      </c>
      <c r="E2" s="19">
        <f>SUM(tbl_servers[1401])</f>
        <v>1681920000</v>
      </c>
      <c r="F2" s="19">
        <f>SUM(tbl_sumary[[#This Row],[1400]:[1401]])</f>
        <v>4565760000</v>
      </c>
      <c r="G2" s="25">
        <f>(F2*100/SUM(tbl_sumary[مجموع])) / 100</f>
        <v>0.26889156786865437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2.4735084302467677E-2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0.33870457652063352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2550000000</v>
      </c>
      <c r="F5" s="19">
        <f>SUM(tbl_sumary[[#This Row],[1400]:[1401]])</f>
        <v>3090000000</v>
      </c>
      <c r="G5" s="25">
        <f>(F5*100/SUM(tbl_sumary[مجموع])) / 100</f>
        <v>0.18197954879672651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3.5335834717810967E-2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5.9444296884616138E-2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479418000</v>
      </c>
      <c r="E8" s="19">
        <f>SUM(E2:E7) * d_unpredictedPercent</f>
        <v>1064212000</v>
      </c>
      <c r="F8" s="19">
        <f>SUM(tbl_sumary[[#This Row],[1400]:[1401]])</f>
        <v>1543630000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5273598000</v>
      </c>
      <c r="E9" s="12">
        <f>SUBTOTAL(109,tbl_sumary[1401])</f>
        <v>11706332000</v>
      </c>
      <c r="F9" s="17">
        <f>SUBTOTAL(109,tbl_sumary[مجموع])</f>
        <v>16979930000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3063840000</v>
      </c>
      <c r="E13" s="31">
        <f>SUMIFS(tbl_sumary[1401],tbl_sumary[نوع],B13)</f>
        <v>1921920000</v>
      </c>
      <c r="F13" s="32">
        <f>SUM(D13:E13)</f>
        <v>4985760000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2209758000</v>
      </c>
      <c r="E14" s="33">
        <f>SUMIFS(tbl_sumary[1401],tbl_sumary[نوع],B14)</f>
        <v>9784412000</v>
      </c>
      <c r="F14" s="34">
        <f>SUM(D14:E14)</f>
        <v>11994170000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C4" sqref="C4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2.1125000000000001E-2</v>
      </c>
      <c r="D3" s="39">
        <f t="shared" si="1"/>
        <v>2.1125000000000001E-2</v>
      </c>
      <c r="E3" s="39">
        <f t="shared" si="1"/>
        <v>2.1125000000000001E-2</v>
      </c>
      <c r="F3" s="39">
        <f t="shared" si="1"/>
        <v>2.1125000000000001E-2</v>
      </c>
      <c r="G3" s="39">
        <f t="shared" si="1"/>
        <v>2.1125000000000001E-2</v>
      </c>
      <c r="H3" s="39">
        <f t="shared" si="1"/>
        <v>2.1125000000000001E-2</v>
      </c>
      <c r="I3" s="39">
        <f t="shared" si="1"/>
        <v>2.1125000000000001E-2</v>
      </c>
      <c r="J3" s="39">
        <f t="shared" si="1"/>
        <v>2.1125000000000001E-2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11</v>
      </c>
      <c r="D4" s="4">
        <f t="shared" si="2"/>
        <v>17</v>
      </c>
      <c r="E4" s="4">
        <f t="shared" si="2"/>
        <v>25</v>
      </c>
      <c r="F4" s="4">
        <f t="shared" si="2"/>
        <v>42</v>
      </c>
      <c r="G4" s="4">
        <f t="shared" si="2"/>
        <v>85</v>
      </c>
      <c r="H4" s="4">
        <f t="shared" si="2"/>
        <v>148</v>
      </c>
      <c r="I4" s="4">
        <f t="shared" si="2"/>
        <v>254</v>
      </c>
      <c r="J4" s="4">
        <f t="shared" si="2"/>
        <v>423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tabSelected="1" workbookViewId="0">
      <selection activeCell="F8" sqref="F8"/>
    </sheetView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24034.090909090908</v>
      </c>
      <c r="E5" s="76">
        <f t="shared" si="0"/>
        <v>229659.09090909091</v>
      </c>
      <c r="F5" s="76">
        <f t="shared" si="0"/>
        <v>723426.13636363635</v>
      </c>
      <c r="G5" s="76">
        <f t="shared" si="0"/>
        <v>2278792.3295454541</v>
      </c>
      <c r="H5" s="76">
        <f t="shared" si="0"/>
        <v>7178195.8380681807</v>
      </c>
      <c r="I5" s="76">
        <f t="shared" si="0"/>
        <v>22611316.88991477</v>
      </c>
      <c r="J5" s="58">
        <f>SUM(tbl_revenue_summary[[#This Row],[1400]:[1405]])</f>
        <v>33045424.375710223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3063840000</v>
      </c>
      <c r="E7" s="61">
        <f>SUMIFS(tbl_sumary[1401],tbl_sumary[نوع],tbl_revenue_summary[[#This Row],[نوع]])</f>
        <v>1921920000</v>
      </c>
      <c r="F7" s="61">
        <f>tbl_revenue_summary[[#This Row],[1401]]*(1+s_costsGrowthCapexYOY)</f>
        <v>2306304000</v>
      </c>
      <c r="G7" s="61">
        <f>tbl_revenue_summary[[#This Row],[1402]]*(1+s_costsGrowthCapexYOY)</f>
        <v>2767564800</v>
      </c>
      <c r="H7" s="61">
        <f>tbl_revenue_summary[[#This Row],[1403]]*(1+s_costsGrowthCapexYOY)</f>
        <v>3321077760</v>
      </c>
      <c r="I7" s="61">
        <f>tbl_revenue_summary[[#This Row],[1404]]*(1+s_costsGrowthCapexYOY)</f>
        <v>3985293312</v>
      </c>
      <c r="J7" s="61">
        <f>SUM(tbl_revenue_summary[[#This Row],[1400]:[1405]])</f>
        <v>17365999872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2209758000</v>
      </c>
      <c r="E8" s="61">
        <f>SUMIFS(tbl_sumary[1401],tbl_sumary[نوع],tbl_revenue_summary[[#This Row],[نوع]])</f>
        <v>9784412000</v>
      </c>
      <c r="F8" s="61">
        <f>tbl_revenue_summary[[#This Row],[1401]]*(1+s_costsGrowthYOY)</f>
        <v>13698176800</v>
      </c>
      <c r="G8" s="61">
        <f>tbl_revenue_summary[[#This Row],[1402]]*(1+s_costsGrowthYOY)</f>
        <v>19177447520</v>
      </c>
      <c r="H8" s="61">
        <f>tbl_revenue_summary[[#This Row],[1403]]*(1+s_costsGrowthYOY)</f>
        <v>26848426528</v>
      </c>
      <c r="I8" s="61">
        <f>tbl_revenue_summary[[#This Row],[1404]]*(1+s_costsGrowthYOY)</f>
        <v>37587797139.199997</v>
      </c>
      <c r="J8" s="61">
        <f>SUM(tbl_revenue_summary[[#This Row],[1400]:[1405]])</f>
        <v>109306017987.2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-1575258000</v>
      </c>
      <c r="E9" s="61">
        <f t="shared" si="3"/>
        <v>-3721412000</v>
      </c>
      <c r="F9" s="61">
        <f t="shared" si="3"/>
        <v>5400273200</v>
      </c>
      <c r="G9" s="61">
        <f t="shared" si="3"/>
        <v>40982669979.999992</v>
      </c>
      <c r="H9" s="61">
        <f t="shared" si="3"/>
        <v>162655943596.99997</v>
      </c>
      <c r="I9" s="61">
        <f t="shared" si="3"/>
        <v>559350968754.54993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-2.482676122931442</v>
      </c>
      <c r="E10" s="59">
        <f t="shared" si="4"/>
        <v>-0.61379053273956785</v>
      </c>
      <c r="F10" s="59">
        <f t="shared" si="4"/>
        <v>0.28275976322685875</v>
      </c>
      <c r="G10" s="59">
        <f t="shared" si="4"/>
        <v>0.68122656143415938</v>
      </c>
      <c r="H10" s="59">
        <f t="shared" si="4"/>
        <v>0.85832291619295975</v>
      </c>
      <c r="I10" s="59">
        <f t="shared" si="4"/>
        <v>0.93703240719687109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-4639098000</v>
      </c>
      <c r="E11" s="61">
        <f t="shared" si="5"/>
        <v>-5643332000</v>
      </c>
      <c r="F11" s="61">
        <f t="shared" si="5"/>
        <v>3093969200</v>
      </c>
      <c r="G11" s="61">
        <f t="shared" si="5"/>
        <v>38215105179.999992</v>
      </c>
      <c r="H11" s="61">
        <f t="shared" si="5"/>
        <v>159334865836.99997</v>
      </c>
      <c r="I11" s="61">
        <f t="shared" si="5"/>
        <v>555365675442.54993</v>
      </c>
      <c r="J11" s="61">
        <f>SUM(tbl_revenue_summary[[#This Row],[1400]:[1405]])</f>
        <v>745727185659.54993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-4639098000</v>
      </c>
      <c r="E12" s="61">
        <f>SUM($D$11:E11)</f>
        <v>-10282430000</v>
      </c>
      <c r="F12" s="61">
        <f>SUM($D$11:F11)</f>
        <v>-7188460800</v>
      </c>
      <c r="G12" s="61">
        <f>SUM($D$11:G11)</f>
        <v>31026644379.999992</v>
      </c>
      <c r="H12" s="61">
        <f>SUM($D$11:H11)</f>
        <v>190361510216.99997</v>
      </c>
      <c r="I12" s="61">
        <f>SUM($D$11:I11)</f>
        <v>745727185659.54993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 t="shared" ref="D13:I13" si="6">D12/v_totalFund</f>
        <v>-0.23195489999999999</v>
      </c>
      <c r="E13" s="59">
        <f t="shared" si="6"/>
        <v>-0.51412150000000001</v>
      </c>
      <c r="F13" s="59">
        <f t="shared" si="6"/>
        <v>-0.35942304000000003</v>
      </c>
      <c r="G13" s="59">
        <f t="shared" si="6"/>
        <v>1.5513322189999996</v>
      </c>
      <c r="H13" s="59">
        <f t="shared" si="6"/>
        <v>9.5180755108499984</v>
      </c>
      <c r="I13" s="59">
        <f t="shared" si="6"/>
        <v>37.286359282977493</v>
      </c>
      <c r="J13" s="59"/>
    </row>
    <row r="14" spans="1:10" x14ac:dyDescent="0.25">
      <c r="D14" s="59"/>
      <c r="E14" s="59"/>
      <c r="F14" s="59"/>
      <c r="G14" s="59"/>
      <c r="H14" s="59"/>
      <c r="I14" s="59"/>
      <c r="J14" s="59"/>
    </row>
    <row r="15" spans="1:10" x14ac:dyDescent="0.25">
      <c r="D15" s="61"/>
      <c r="E15" s="61"/>
      <c r="F15" s="61"/>
      <c r="G15" s="61"/>
      <c r="H15" s="61"/>
      <c r="I15" s="61"/>
    </row>
    <row r="16" spans="1:10" x14ac:dyDescent="0.25">
      <c r="B16" s="55" t="s">
        <v>190</v>
      </c>
      <c r="C16" s="61">
        <v>20000000000</v>
      </c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>
      <c r="C19" s="61"/>
      <c r="D19" s="61"/>
      <c r="E19" s="61"/>
      <c r="F19" s="61"/>
      <c r="G19" s="61"/>
      <c r="H19" s="61"/>
      <c r="I19" s="61"/>
    </row>
    <row r="20" spans="2:9" x14ac:dyDescent="0.25"/>
    <row r="21" spans="2:9" x14ac:dyDescent="0.25">
      <c r="B21" s="81" t="s">
        <v>177</v>
      </c>
      <c r="C21" s="81"/>
      <c r="D21" s="81"/>
      <c r="E21" s="81"/>
      <c r="F21" s="81"/>
      <c r="G21" s="81"/>
      <c r="H21" s="81"/>
      <c r="I21" s="81"/>
    </row>
    <row r="22" spans="2:9" x14ac:dyDescent="0.25">
      <c r="B22" s="55" t="s">
        <v>141</v>
      </c>
      <c r="C22" s="55" t="s">
        <v>133</v>
      </c>
      <c r="D22" s="60">
        <v>0.3</v>
      </c>
    </row>
    <row r="23" spans="2:9" x14ac:dyDescent="0.25">
      <c r="B23" s="55" t="s">
        <v>183</v>
      </c>
      <c r="C23" s="55" t="s">
        <v>134</v>
      </c>
      <c r="D23" s="55">
        <v>2</v>
      </c>
    </row>
    <row r="24" spans="2:9" x14ac:dyDescent="0.25">
      <c r="B24" s="55" t="s">
        <v>182</v>
      </c>
      <c r="C24" s="55" t="s">
        <v>135</v>
      </c>
      <c r="D24" s="61">
        <f t="shared" ref="D24:I24" si="7">D11/(1+v_DiscountRate)^D2</f>
        <v>-3568536923.0769229</v>
      </c>
      <c r="E24" s="61">
        <f t="shared" si="7"/>
        <v>-3339249704.1420116</v>
      </c>
      <c r="F24" s="61">
        <f t="shared" si="7"/>
        <v>1408270004.551661</v>
      </c>
      <c r="G24" s="61">
        <f t="shared" si="7"/>
        <v>13380170575.259964</v>
      </c>
      <c r="H24" s="61">
        <f t="shared" si="7"/>
        <v>42913511926.430054</v>
      </c>
      <c r="I24" s="61">
        <f t="shared" si="7"/>
        <v>115058556375.97214</v>
      </c>
    </row>
    <row r="25" spans="2:9" x14ac:dyDescent="0.25">
      <c r="B25" s="55" t="s">
        <v>180</v>
      </c>
      <c r="C25" s="55" t="s">
        <v>179</v>
      </c>
      <c r="D25" s="61">
        <f t="shared" ref="D25:I25" si="8">D4*v_ExitRevenueMultiple/(1+v_DiscountRate)^D2</f>
        <v>976153846.15384614</v>
      </c>
      <c r="E25" s="61">
        <f t="shared" si="8"/>
        <v>7175147928.9940825</v>
      </c>
      <c r="F25" s="61">
        <f t="shared" si="8"/>
        <v>17385935366.408733</v>
      </c>
      <c r="G25" s="61">
        <f t="shared" si="8"/>
        <v>42127458772.451935</v>
      </c>
      <c r="H25" s="61">
        <f t="shared" si="8"/>
        <v>102078073179.40274</v>
      </c>
      <c r="I25" s="61">
        <f t="shared" si="8"/>
        <v>247343023473.16815</v>
      </c>
    </row>
    <row r="26" spans="2:9" x14ac:dyDescent="0.25">
      <c r="B26" s="55" t="s">
        <v>181</v>
      </c>
      <c r="C26" s="55" t="s">
        <v>174</v>
      </c>
      <c r="D26" s="61" t="str">
        <f>IF(SUM($D$24:D24) + D25 &gt; 0, SUM($D$24:D24) + D25, "-")</f>
        <v>-</v>
      </c>
      <c r="E26" s="61">
        <f>IF(SUM($D$24:E24) + E25 &gt; 0, SUM($D$24:E24) + E25, "-")</f>
        <v>267361301.77514744</v>
      </c>
      <c r="F26" s="61">
        <f>IF(SUM($D$24:F24) + F25 &gt; 0, SUM($D$24:F24) + F25, "-")</f>
        <v>11886418743.741459</v>
      </c>
      <c r="G26" s="61">
        <f>IF(SUM($D$24:G24) + G25 &gt; 0, SUM($D$24:G24) + G25, "-")</f>
        <v>50008112725.044624</v>
      </c>
      <c r="H26" s="61">
        <f>IF(SUM($D$24:H24) + H25 &gt; 0, SUM($D$24:H24) + H25, "-")</f>
        <v>152872239058.42548</v>
      </c>
      <c r="I26" s="61">
        <f>IF(SUM($D$24:I24) + I25 &gt; 0, SUM($D$24:I24) + I25, "-")</f>
        <v>413195745728.16302</v>
      </c>
    </row>
    <row r="27" spans="2:9" x14ac:dyDescent="0.25">
      <c r="B27" s="55" t="s">
        <v>189</v>
      </c>
      <c r="D27" s="76" t="str">
        <f t="shared" ref="D27:I27" si="9">IFERROR(D26/d_toman2dollar, "-")</f>
        <v>-</v>
      </c>
      <c r="E27" s="76">
        <f t="shared" si="9"/>
        <v>10127.322036937403</v>
      </c>
      <c r="F27" s="76">
        <f t="shared" si="9"/>
        <v>450243.13423263101</v>
      </c>
      <c r="G27" s="76">
        <f t="shared" si="9"/>
        <v>1894246.6941304782</v>
      </c>
      <c r="H27" s="76">
        <f t="shared" si="9"/>
        <v>5790615.1158494502</v>
      </c>
      <c r="I27" s="76">
        <f t="shared" si="9"/>
        <v>15651354.00485466</v>
      </c>
    </row>
    <row r="28" spans="2:9" x14ac:dyDescent="0.25">
      <c r="D28" s="76"/>
      <c r="E28" s="76"/>
      <c r="F28" s="76"/>
      <c r="G28" s="76"/>
      <c r="H28" s="76"/>
      <c r="I28" s="76"/>
    </row>
    <row r="29" spans="2:9" x14ac:dyDescent="0.25">
      <c r="D29" s="61"/>
      <c r="E29" s="61"/>
      <c r="F29" s="61"/>
      <c r="G29" s="61"/>
      <c r="H29" s="61"/>
      <c r="I29" s="61"/>
    </row>
    <row r="30" spans="2:9" x14ac:dyDescent="0.25">
      <c r="B30" s="81" t="s">
        <v>178</v>
      </c>
      <c r="C30" s="81"/>
      <c r="D30" s="81"/>
      <c r="E30" s="81"/>
      <c r="F30" s="81"/>
      <c r="G30" s="81"/>
      <c r="H30" s="81"/>
      <c r="I30" s="81"/>
    </row>
    <row r="31" spans="2:9" x14ac:dyDescent="0.25">
      <c r="B31" s="55" t="s">
        <v>194</v>
      </c>
      <c r="C31" s="55" t="s">
        <v>138</v>
      </c>
      <c r="D31" s="59" t="str">
        <f>IFERROR(IRR($D$9:D9), "-")</f>
        <v>-</v>
      </c>
      <c r="E31" s="59" t="str">
        <f>IFERROR(IRR($D$9:E9), "-")</f>
        <v>-</v>
      </c>
      <c r="F31" s="59">
        <f>IFERROR(IRR($D$9:F9), "-")</f>
        <v>1.5024547108170472E-2</v>
      </c>
      <c r="G31" s="59">
        <f>IFERROR(IRR($D$9:G9), "-")</f>
        <v>1.6467300305340165</v>
      </c>
      <c r="H31" s="59">
        <f>IFERROR(IRR($D$9:H9), "-")</f>
        <v>2.4252812980097564</v>
      </c>
      <c r="I31" s="59">
        <f>IFERROR(IRR($D$9:I9), "-")</f>
        <v>2.8233233193549272</v>
      </c>
    </row>
    <row r="32" spans="2:9" x14ac:dyDescent="0.25">
      <c r="B32" s="55" t="s">
        <v>187</v>
      </c>
      <c r="C32" s="55" t="s">
        <v>139</v>
      </c>
      <c r="D32" s="59" t="str">
        <f>IFERROR(IRR($D$11:D11), "-")</f>
        <v>-</v>
      </c>
      <c r="E32" s="59" t="str">
        <f>IFERROR(IRR($D$11:E11), "-")</f>
        <v>-</v>
      </c>
      <c r="F32" s="59">
        <f>IFERROR(IRR($D$11:F11), "-")</f>
        <v>-0.58996076175908274</v>
      </c>
      <c r="G32" s="59">
        <f>IFERROR(IRR($D$11:G11), "-")</f>
        <v>0.77472646203823636</v>
      </c>
      <c r="H32" s="59">
        <f>IFERROR(IRR($D$11:H11), "-")</f>
        <v>1.5139631747183135</v>
      </c>
      <c r="I32" s="59">
        <f>IFERROR(IRR($D$11:I11), "-")</f>
        <v>1.9357178361620533</v>
      </c>
    </row>
    <row r="33" spans="2:9" x14ac:dyDescent="0.25">
      <c r="B33" s="55" t="s">
        <v>184</v>
      </c>
      <c r="C33" s="55" t="s">
        <v>140</v>
      </c>
      <c r="D33" s="61">
        <f>NPV(v_DiscountRate,D11)</f>
        <v>-3568536923.0769229</v>
      </c>
      <c r="E33" s="61">
        <f>NPV(v_DiscountRate,D11,E11)</f>
        <v>-6907786627.2189341</v>
      </c>
      <c r="F33" s="61">
        <f>NPV(v_DiscountRate,D11,E11,F11)</f>
        <v>-5499516622.6672726</v>
      </c>
      <c r="G33" s="61">
        <v>3</v>
      </c>
      <c r="H33" s="61">
        <f>NPV(v_DiscountRate,D11,E11,F11,G11,H11)</f>
        <v>50794165879.022736</v>
      </c>
      <c r="I33" s="61">
        <f>NPV(v_DiscountRate,D11,E11,F11,G11,H11,I11)</f>
        <v>165852722254.99487</v>
      </c>
    </row>
    <row r="34" spans="2:9" x14ac:dyDescent="0.25">
      <c r="D34" s="76"/>
      <c r="E34" s="76"/>
      <c r="F34" s="76"/>
      <c r="G34" s="76"/>
      <c r="H34" s="76"/>
      <c r="I34" s="76"/>
    </row>
    <row r="35" spans="2:9" x14ac:dyDescent="0.25">
      <c r="E35" s="74"/>
    </row>
    <row r="36" spans="2:9" x14ac:dyDescent="0.25">
      <c r="B36" s="81"/>
      <c r="C36" s="81"/>
      <c r="D36" s="81"/>
      <c r="E36" s="81"/>
      <c r="F36" s="81"/>
      <c r="G36" s="81"/>
      <c r="H36" s="81"/>
      <c r="I36" s="81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61"/>
      <c r="E40" s="61"/>
      <c r="F40" s="61"/>
      <c r="G40" s="61"/>
      <c r="H40" s="61"/>
      <c r="I40" s="61"/>
    </row>
    <row r="41" spans="2:9" x14ac:dyDescent="0.25">
      <c r="D41" s="59"/>
      <c r="E41" s="59"/>
      <c r="F41" s="59"/>
      <c r="G41" s="59"/>
      <c r="H41" s="59"/>
      <c r="I41" s="59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R32"/>
  <sheetViews>
    <sheetView rightToLeft="1" workbookViewId="0">
      <selection activeCell="P7" sqref="P7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7" width="22.140625" style="1" bestFit="1" customWidth="1"/>
    <col min="8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8" width="29.42578125" style="1" bestFit="1" customWidth="1"/>
    <col min="19" max="16384" width="9.140625" style="1"/>
  </cols>
  <sheetData>
    <row r="1" spans="1:18" x14ac:dyDescent="0.4">
      <c r="A1" s="1" t="s">
        <v>35</v>
      </c>
      <c r="B1" s="1" t="s">
        <v>211</v>
      </c>
      <c r="C1" s="1" t="s">
        <v>212</v>
      </c>
      <c r="D1" s="1" t="s">
        <v>197</v>
      </c>
      <c r="E1" s="1" t="s">
        <v>198</v>
      </c>
      <c r="F1" s="1" t="s">
        <v>215</v>
      </c>
      <c r="G1" s="1" t="s">
        <v>218</v>
      </c>
      <c r="J1" s="1" t="s">
        <v>213</v>
      </c>
      <c r="K1" s="1" t="s">
        <v>214</v>
      </c>
      <c r="N1" s="1" t="s">
        <v>197</v>
      </c>
      <c r="O1" s="1" t="s">
        <v>215</v>
      </c>
      <c r="P1" s="1" t="s">
        <v>2</v>
      </c>
      <c r="Q1" s="1" t="s">
        <v>214</v>
      </c>
      <c r="R1" s="1" t="s">
        <v>217</v>
      </c>
    </row>
    <row r="2" spans="1:18" x14ac:dyDescent="0.4">
      <c r="A2" s="1">
        <f t="shared" ref="A2:A18" si="0">ROW(A1)</f>
        <v>1</v>
      </c>
      <c r="B2" s="1" t="s">
        <v>220</v>
      </c>
      <c r="C2" s="79">
        <v>170200</v>
      </c>
      <c r="D2" s="18">
        <f>_xlfn.NUMBERVALUE(LEFT(tbl_jibres_revenue[[#This Row],[سال و ماه]],4))</f>
        <v>1398</v>
      </c>
      <c r="E2" s="18">
        <f>_xlfn.NUMBERVALUE(RIGHT(tbl_jibres_revenue[[#This Row],[سال و ماه]],2))</f>
        <v>12</v>
      </c>
      <c r="F2" s="18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2" s="38"/>
      <c r="J2" s="1">
        <v>1400</v>
      </c>
      <c r="K2" s="80">
        <f>SUMIFS(tbl_jibres_revenue[مبلغ درآمد کسب شده],tbl_jibres_revenue[سال],tbl_jibres_revenue_year[[#This Row],[به تفکیک سال]])</f>
        <v>191614020</v>
      </c>
      <c r="N2" s="1">
        <v>1399</v>
      </c>
      <c r="O2" s="1">
        <v>1</v>
      </c>
      <c r="P2" s="1" t="str">
        <f>Table18[[#This Row],[سال]]&amp; "-Q"&amp;Table18[[#This Row],[فصل]]</f>
        <v>1399-Q1</v>
      </c>
      <c r="Q2" s="80">
        <f>SUMIFS(tbl_jibres_revenue[مبلغ درآمد کسب شده],tbl_jibres_revenue[سال],Table18[[#This Row],[سال]],tbl_jibres_revenue[فصل],Table18[[#This Row],[فصل]])</f>
        <v>24623965</v>
      </c>
      <c r="R2" s="38">
        <f>IFERROR(Table18[[#This Row],[جمع درآمد]]/Q3, "-")</f>
        <v>0.48423757644884075</v>
      </c>
    </row>
    <row r="3" spans="1:18" x14ac:dyDescent="0.4">
      <c r="A3" s="1">
        <f t="shared" si="0"/>
        <v>2</v>
      </c>
      <c r="B3" s="1" t="s">
        <v>219</v>
      </c>
      <c r="C3" s="79">
        <v>7492000</v>
      </c>
      <c r="D3" s="18">
        <f>_xlfn.NUMBERVALUE(LEFT(tbl_jibres_revenue[[#This Row],[سال و ماه]],4))</f>
        <v>1399</v>
      </c>
      <c r="E3" s="18">
        <f>_xlfn.NUMBERVALUE(RIGHT(tbl_jibres_revenue[[#This Row],[سال و ماه]],2))</f>
        <v>1</v>
      </c>
      <c r="F3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3" s="38">
        <f>IFERROR(tbl_jibres_revenue[[#This Row],[مبلغ درآمد کسب شده]]/C2, "-")</f>
        <v>44.018801410105759</v>
      </c>
      <c r="J3" s="1">
        <v>1399</v>
      </c>
      <c r="K3" s="80">
        <f>SUMIFS(tbl_jibres_revenue[مبلغ درآمد کسب شده],tbl_jibres_revenue[سال],tbl_jibres_revenue_year[[#This Row],[به تفکیک سال]])</f>
        <v>295060565</v>
      </c>
      <c r="N3" s="1">
        <v>1399</v>
      </c>
      <c r="O3" s="1">
        <v>2</v>
      </c>
      <c r="P3" s="1" t="str">
        <f>Table18[[#This Row],[سال]]&amp; "-Q"&amp;Table18[[#This Row],[فصل]]</f>
        <v>1399-Q2</v>
      </c>
      <c r="Q3" s="80">
        <f>SUMIFS(tbl_jibres_revenue[مبلغ درآمد کسب شده],tbl_jibres_revenue[سال],Table18[[#This Row],[سال]],tbl_jibres_revenue[فصل],Table18[[#This Row],[فصل]])</f>
        <v>50851000</v>
      </c>
      <c r="R3" s="38">
        <f>IFERROR(Table18[[#This Row],[جمع درآمد]]/Q4, "-")</f>
        <v>0.42991689282302314</v>
      </c>
    </row>
    <row r="4" spans="1:18" x14ac:dyDescent="0.4">
      <c r="A4" s="1">
        <f t="shared" si="0"/>
        <v>3</v>
      </c>
      <c r="B4" s="1" t="s">
        <v>210</v>
      </c>
      <c r="C4" s="79">
        <v>5101965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2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4" s="38">
        <f>IFERROR(tbl_jibres_revenue[[#This Row],[مبلغ درآمد کسب شده]]/C3, "-")</f>
        <v>0.68098838761345437</v>
      </c>
      <c r="J4" s="1" t="s">
        <v>1</v>
      </c>
      <c r="K4" s="80">
        <f>SUBTOTAL(109,tbl_jibres_revenue_year[جمع درآمد])</f>
        <v>486674585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80">
        <f>SUMIFS(tbl_jibres_revenue[مبلغ درآمد کسب شده],tbl_jibres_revenue[سال],Table18[[#This Row],[سال]],tbl_jibres_revenue[فصل],Table18[[#This Row],[فصل]])</f>
        <v>118281000</v>
      </c>
      <c r="R4" s="38">
        <f>IFERROR(Table18[[#This Row],[جمع درآمد]]/Q5, "-")</f>
        <v>1.1675777802784868</v>
      </c>
    </row>
    <row r="5" spans="1:18" x14ac:dyDescent="0.4">
      <c r="A5" s="1">
        <f t="shared" si="0"/>
        <v>4</v>
      </c>
      <c r="B5" s="1" t="s">
        <v>209</v>
      </c>
      <c r="C5" s="79">
        <v>12030000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3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5" s="38">
        <f>IFERROR(tbl_jibres_revenue[[#This Row],[مبلغ درآمد کسب شده]]/C4, "-")</f>
        <v>2.3579150386174739</v>
      </c>
      <c r="N5" s="1">
        <v>1399</v>
      </c>
      <c r="O5" s="1">
        <v>4</v>
      </c>
      <c r="P5" s="1" t="str">
        <f>Table18[[#This Row],[سال]]&amp; "-Q"&amp;Table18[[#This Row],[فصل]]</f>
        <v>1399-Q4</v>
      </c>
      <c r="Q5" s="80">
        <f>SUMIFS(tbl_jibres_revenue[مبلغ درآمد کسب شده],tbl_jibres_revenue[سال],Table18[[#This Row],[سال]],tbl_jibres_revenue[فصل],Table18[[#This Row],[فصل]])</f>
        <v>101304600</v>
      </c>
      <c r="R5" s="38">
        <f>IFERROR(Table18[[#This Row],[جمع درآمد]]/Q6, "-")</f>
        <v>0.72160687787632405</v>
      </c>
    </row>
    <row r="6" spans="1:18" x14ac:dyDescent="0.4">
      <c r="A6" s="1">
        <f t="shared" si="0"/>
        <v>5</v>
      </c>
      <c r="B6" s="1" t="s">
        <v>208</v>
      </c>
      <c r="C6" s="79">
        <v>19502000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4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6" s="38">
        <f>IFERROR(tbl_jibres_revenue[[#This Row],[مبلغ درآمد کسب شده]]/C5, "-")</f>
        <v>1.6211138819617623</v>
      </c>
      <c r="N6" s="1">
        <v>1400</v>
      </c>
      <c r="O6" s="1">
        <v>1</v>
      </c>
      <c r="P6" s="1" t="str">
        <f>Table18[[#This Row],[سال]]&amp; "-Q"&amp;Table18[[#This Row],[فصل]]</f>
        <v>1400-Q1</v>
      </c>
      <c r="Q6" s="80">
        <f>SUMIFS(tbl_jibres_revenue[مبلغ درآمد کسب شده],tbl_jibres_revenue[سال],Table18[[#This Row],[سال]],tbl_jibres_revenue[فصل],Table18[[#This Row],[فصل]])</f>
        <v>140387520</v>
      </c>
      <c r="R6" s="38" t="str">
        <f>IFERROR(Table18[[#This Row],[جمع درآمد]]/#REF!, "-")</f>
        <v>-</v>
      </c>
    </row>
    <row r="7" spans="1:18" x14ac:dyDescent="0.4">
      <c r="A7" s="1">
        <f t="shared" si="0"/>
        <v>6</v>
      </c>
      <c r="B7" s="1" t="s">
        <v>207</v>
      </c>
      <c r="C7" s="79">
        <v>14265000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5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7" s="38">
        <f>IFERROR(tbl_jibres_revenue[[#This Row],[مبلغ درآمد کسب شده]]/C6, "-")</f>
        <v>0.73146343964721572</v>
      </c>
      <c r="N7" s="1" t="s">
        <v>1</v>
      </c>
      <c r="Q7" s="80"/>
      <c r="R7" s="21">
        <f>SUBTOTAL(101,Table18[درصد رشد نسبت به فصل قبل])</f>
        <v>0.7008347818566687</v>
      </c>
    </row>
    <row r="8" spans="1:18" x14ac:dyDescent="0.4">
      <c r="A8" s="1">
        <f t="shared" si="0"/>
        <v>7</v>
      </c>
      <c r="B8" s="1" t="s">
        <v>206</v>
      </c>
      <c r="C8" s="79">
        <v>17084000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6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8" s="38">
        <f>IFERROR(tbl_jibres_revenue[[#This Row],[مبلغ درآمد کسب شده]]/C7, "-")</f>
        <v>1.1976165439887838</v>
      </c>
    </row>
    <row r="9" spans="1:18" x14ac:dyDescent="0.4">
      <c r="A9" s="1">
        <f t="shared" si="0"/>
        <v>8</v>
      </c>
      <c r="B9" s="1" t="s">
        <v>205</v>
      </c>
      <c r="C9" s="79">
        <v>35616000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7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9" s="38">
        <f>IFERROR(tbl_jibres_revenue[[#This Row],[مبلغ درآمد کسب شده]]/C8, "-")</f>
        <v>2.0847576679934443</v>
      </c>
    </row>
    <row r="10" spans="1:18" x14ac:dyDescent="0.4">
      <c r="A10" s="1">
        <f t="shared" si="0"/>
        <v>9</v>
      </c>
      <c r="B10" s="1" t="s">
        <v>216</v>
      </c>
      <c r="C10" s="79">
        <v>35513000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8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0" s="38">
        <f>IFERROR(tbl_jibres_revenue[[#This Row],[مبلغ درآمد کسب شده]]/C9, "-")</f>
        <v>0.9971080413297394</v>
      </c>
    </row>
    <row r="11" spans="1:18" x14ac:dyDescent="0.4">
      <c r="A11" s="1">
        <f t="shared" si="0"/>
        <v>10</v>
      </c>
      <c r="B11" s="1" t="s">
        <v>204</v>
      </c>
      <c r="C11" s="79">
        <v>47152000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9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1" s="38">
        <f>IFERROR(tbl_jibres_revenue[[#This Row],[مبلغ درآمد کسب شده]]/C10, "-")</f>
        <v>1.327739137780531</v>
      </c>
    </row>
    <row r="12" spans="1:18" x14ac:dyDescent="0.4">
      <c r="A12" s="1">
        <f t="shared" si="0"/>
        <v>11</v>
      </c>
      <c r="B12" s="1" t="s">
        <v>203</v>
      </c>
      <c r="C12" s="79">
        <v>21826000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10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2" s="38">
        <f>IFERROR(tbl_jibres_revenue[[#This Row],[مبلغ درآمد کسب شده]]/C11, "-")</f>
        <v>0.46288598574821854</v>
      </c>
    </row>
    <row r="13" spans="1:18" x14ac:dyDescent="0.4">
      <c r="A13" s="1">
        <f t="shared" si="0"/>
        <v>12</v>
      </c>
      <c r="B13" s="1" t="s">
        <v>202</v>
      </c>
      <c r="C13" s="79">
        <v>43726000</v>
      </c>
      <c r="D13" s="1">
        <f>_xlfn.NUMBERVALUE(LEFT(tbl_jibres_revenue[[#This Row],[سال و ماه]],4))</f>
        <v>1399</v>
      </c>
      <c r="E13" s="1">
        <f>_xlfn.NUMBERVALUE(RIGHT(tbl_jibres_revenue[[#This Row],[سال و ماه]],2))</f>
        <v>11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3" s="38">
        <f>IFERROR(tbl_jibres_revenue[[#This Row],[مبلغ درآمد کسب شده]]/C12, "-")</f>
        <v>2.0033904517547878</v>
      </c>
    </row>
    <row r="14" spans="1:18" x14ac:dyDescent="0.4">
      <c r="A14" s="1">
        <f t="shared" si="0"/>
        <v>13</v>
      </c>
      <c r="B14" s="1" t="s">
        <v>201</v>
      </c>
      <c r="C14" s="79">
        <v>35752600</v>
      </c>
      <c r="D14" s="1">
        <f>_xlfn.NUMBERVALUE(LEFT(tbl_jibres_revenue[[#This Row],[سال و ماه]],4))</f>
        <v>1399</v>
      </c>
      <c r="E14" s="1">
        <f>_xlfn.NUMBERVALUE(RIGHT(tbl_jibres_revenue[[#This Row],[سال و ماه]],2))</f>
        <v>12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4" s="38">
        <f>IFERROR(tbl_jibres_revenue[[#This Row],[مبلغ درآمد کسب شده]]/C13, "-")</f>
        <v>0.81765082559575541</v>
      </c>
      <c r="J14" s="21"/>
    </row>
    <row r="15" spans="1:18" x14ac:dyDescent="0.4">
      <c r="A15" s="1">
        <f t="shared" si="0"/>
        <v>14</v>
      </c>
      <c r="B15" s="1" t="s">
        <v>200</v>
      </c>
      <c r="C15" s="79">
        <v>55762300</v>
      </c>
      <c r="D15" s="1">
        <f>_xlfn.NUMBERVALUE(LEFT(tbl_jibres_revenue[[#This Row],[سال و ماه]],4))</f>
        <v>1400</v>
      </c>
      <c r="E15" s="1">
        <f>_xlfn.NUMBERVALUE(RIGHT(tbl_jibres_revenue[[#This Row],[سال و ماه]],2))</f>
        <v>1</v>
      </c>
      <c r="F1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5" s="38">
        <f>IFERROR(tbl_jibres_revenue[[#This Row],[مبلغ درآمد کسب شده]]/C14, "-")</f>
        <v>1.5596711847529969</v>
      </c>
    </row>
    <row r="16" spans="1:18" x14ac:dyDescent="0.4">
      <c r="A16" s="1">
        <f t="shared" si="0"/>
        <v>15</v>
      </c>
      <c r="B16" s="1" t="s">
        <v>199</v>
      </c>
      <c r="C16" s="79">
        <v>66167220</v>
      </c>
      <c r="D16" s="1">
        <f>_xlfn.NUMBERVALUE(LEFT(tbl_jibres_revenue[[#This Row],[سال و ماه]],4))</f>
        <v>1400</v>
      </c>
      <c r="E16" s="1">
        <f>_xlfn.NUMBERVALUE(RIGHT(tbl_jibres_revenue[[#This Row],[سال و ماه]],2))</f>
        <v>2</v>
      </c>
      <c r="F16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6" s="38">
        <f>IFERROR(tbl_jibres_revenue[[#This Row],[مبلغ درآمد کسب شده]]/C15, "-")</f>
        <v>1.1865941684614874</v>
      </c>
    </row>
    <row r="17" spans="1:7" x14ac:dyDescent="0.4">
      <c r="A17" s="1">
        <f t="shared" si="0"/>
        <v>16</v>
      </c>
      <c r="B17" s="1" t="s">
        <v>221</v>
      </c>
      <c r="C17" s="79">
        <v>18458000</v>
      </c>
      <c r="D17" s="18">
        <f>_xlfn.NUMBERVALUE(LEFT(tbl_jibres_revenue[[#This Row],[سال و ماه]],4))</f>
        <v>1400</v>
      </c>
      <c r="E17" s="18">
        <f>_xlfn.NUMBERVALUE(RIGHT(tbl_jibres_revenue[[#This Row],[سال و ماه]],2))</f>
        <v>3</v>
      </c>
      <c r="F17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7" s="38">
        <f>IFERROR(tbl_jibres_revenue[[#This Row],[مبلغ درآمد کسب شده]]/C16, "-")</f>
        <v>0.27895988376117359</v>
      </c>
    </row>
    <row r="18" spans="1:7" x14ac:dyDescent="0.4">
      <c r="A18" s="1">
        <f t="shared" si="0"/>
        <v>17</v>
      </c>
      <c r="B18" s="1" t="s">
        <v>222</v>
      </c>
      <c r="C18" s="79">
        <v>51226500</v>
      </c>
      <c r="D18" s="18">
        <f>_xlfn.NUMBERVALUE(LEFT(tbl_jibres_revenue[[#This Row],[سال و ماه]],4))</f>
        <v>1400</v>
      </c>
      <c r="E18" s="18">
        <f>_xlfn.NUMBERVALUE(RIGHT(tbl_jibres_revenue[[#This Row],[سال و ماه]],2))</f>
        <v>4</v>
      </c>
      <c r="F18" s="18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18" s="38">
        <f>IFERROR(tbl_jibres_revenue[[#This Row],[مبلغ درآمد کسب شده]]/C17, "-")</f>
        <v>2.7753006826308377</v>
      </c>
    </row>
    <row r="19" spans="1:7" x14ac:dyDescent="0.4">
      <c r="B19" s="78"/>
    </row>
    <row r="20" spans="1:7" x14ac:dyDescent="0.4">
      <c r="B20" s="78"/>
    </row>
    <row r="21" spans="1:7" x14ac:dyDescent="0.4">
      <c r="B21" s="78"/>
    </row>
    <row r="22" spans="1:7" x14ac:dyDescent="0.4">
      <c r="B22" s="78"/>
    </row>
    <row r="23" spans="1:7" x14ac:dyDescent="0.4">
      <c r="B23" s="78"/>
    </row>
    <row r="24" spans="1:7" x14ac:dyDescent="0.4">
      <c r="B24" s="78"/>
    </row>
    <row r="25" spans="1:7" x14ac:dyDescent="0.4">
      <c r="B25" s="78"/>
    </row>
    <row r="26" spans="1:7" x14ac:dyDescent="0.4">
      <c r="B26" s="78"/>
    </row>
    <row r="27" spans="1:7" x14ac:dyDescent="0.4">
      <c r="B27" s="78"/>
    </row>
    <row r="28" spans="1:7" x14ac:dyDescent="0.4">
      <c r="B28" s="78"/>
    </row>
    <row r="29" spans="1:7" x14ac:dyDescent="0.4">
      <c r="B29" s="78"/>
    </row>
    <row r="30" spans="1:7" x14ac:dyDescent="0.4">
      <c r="B30" s="78"/>
    </row>
    <row r="31" spans="1:7" x14ac:dyDescent="0.4">
      <c r="B31" s="78"/>
    </row>
    <row r="32" spans="1:7" x14ac:dyDescent="0.4">
      <c r="B32" s="78"/>
    </row>
  </sheetData>
  <phoneticPr fontId="5" type="noConversion"/>
  <conditionalFormatting sqref="G2:G18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A2" sqref="A2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H27" sqref="H27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7" sqref="B7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82">
        <v>26400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316800000</v>
      </c>
    </row>
    <row r="14" spans="1:2" x14ac:dyDescent="0.4">
      <c r="A14" s="1" t="s">
        <v>54</v>
      </c>
      <c r="B14" s="12">
        <f>d_ssdDollarCost*d_toman2dollar * 24</f>
        <v>380160000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A22" s="1" t="s">
        <v>223</v>
      </c>
      <c r="B22" s="18">
        <v>2</v>
      </c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1267200000</v>
      </c>
      <c r="D2" s="12">
        <f>(tbl_serverCount[1401] - tbl_serverCount[1400])*d_serverCost</f>
        <v>633600000</v>
      </c>
      <c r="E2" s="12">
        <f>SUM(tbl_servers[[#This Row],[1400]:[1401]])</f>
        <v>1900800000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1520640000</v>
      </c>
      <c r="D3" s="12">
        <f>(tbl_serverCount[1401] - tbl_serverCount[1400])*d_ssdCost</f>
        <v>760320000</v>
      </c>
      <c r="E3" s="12">
        <f>SUM(tbl_servers[[#This Row],[1400]:[1401]])</f>
        <v>2280960000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2883840000</v>
      </c>
      <c r="D5" s="12">
        <f>SUBTOTAL(109,tbl_servers[1401])</f>
        <v>1681920000</v>
      </c>
      <c r="E5" s="12">
        <f>SUBTOTAL(109,tbl_servers[جمع])</f>
        <v>4565760000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1500000000</v>
      </c>
      <c r="E4" s="19">
        <f>SUM(tbl_marketing[[#This Row],[1400]:[1401]])</f>
        <v>1700000000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400000000</v>
      </c>
      <c r="E5" s="19">
        <f>SUM(tbl_marketing[[#This Row],[1400]:[1401]])</f>
        <v>480000000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2550000000</v>
      </c>
      <c r="E11" s="12">
        <f>SUBTOTAL(109,tbl_marketing[جمع])</f>
        <v>3090000000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C18" sqref="C18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0.06</v>
      </c>
      <c r="H2" s="45">
        <f>tbl_pricing[[#This Row],[درصد خرید]]*tbl_pricing[[#This Row],[سود]]</f>
        <v>2040</v>
      </c>
      <c r="I2" s="44">
        <f>tbl_pricing[[#This Row],[کل بیزینس‌ها]]/ SUM(tbl_pricing[کل بیزینس‌ها])</f>
        <v>0.18360459011475286</v>
      </c>
      <c r="J2" s="49">
        <f>tbl_pricing[[#Headers],[500]]*tbl_pricing[[#This Row],[درصد خرید]]*tbl_pricing[[#This Row],[سود به ازای هر بیزینس]]</f>
        <v>61200</v>
      </c>
      <c r="K2" s="47">
        <f>tbl_pricing[[#Headers],[500]]*tbl_pricing[[#This Row],[درصد خرید]]</f>
        <v>30</v>
      </c>
      <c r="L2" s="47">
        <f>tbl_pricing[[#Headers],[1000]]*tbl_pricing[[#This Row],[درصد خرید]]</f>
        <v>60</v>
      </c>
      <c r="M2" s="47">
        <f>tbl_pricing[[#Headers],[2000]]*tbl_pricing[[#This Row],[درصد خرید]]</f>
        <v>120</v>
      </c>
      <c r="N2" s="47">
        <f>tbl_pricing[[#Headers],[5000]]*tbl_pricing[[#This Row],[درصد خرید]]</f>
        <v>300</v>
      </c>
      <c r="O2" s="47">
        <f>tbl_pricing[[#Headers],[10000]]*tbl_pricing[[#This Row],[درصد خرید]]</f>
        <v>600</v>
      </c>
      <c r="P2" s="47">
        <f>tbl_pricing[[#Headers],[20000]]*tbl_pricing[[#This Row],[درصد خرید]]</f>
        <v>1200</v>
      </c>
      <c r="Q2" s="47">
        <f>tbl_pricing[[#Headers],[50000]]*tbl_pricing[[#This Row],[درصد خرید]]</f>
        <v>3000</v>
      </c>
      <c r="R2" s="47">
        <f>tbl_pricing[[#Headers],[100000]]*tbl_pricing[[#This Row],[درصد خرید]]</f>
        <v>6000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0.1350033750843771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0.19200480012000301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0.16200405010125254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1.8750468761719043E-3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3.7500937523438087E-3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3.7500937523438083E-2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3.000075001875047E-2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7.5001875046876174E-3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0.1687542188554714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6.0001500037500939E-2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1.800045001125028E-2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2.1125000000000001E-2</v>
      </c>
      <c r="H14" s="45">
        <f>SUBTOTAL(109,tbl_pricing[سود به ازای هر بیزینس])</f>
        <v>47240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2.1125000000000001E-2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10.5625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21.125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42.25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105.625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211.25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422.5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1056.25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2112.5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4225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10562.5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21125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31</vt:i4>
      </vt:variant>
    </vt:vector>
  </HeadingPairs>
  <TitlesOfParts>
    <vt:vector size="44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Mr.Javad.Adib@gmail.com</dc:creator>
  <cp:keywords>Keywords</cp:keywords>
  <cp:lastModifiedBy>Javad Evazzadeh</cp:lastModifiedBy>
  <cp:lastPrinted>2021-05-15T13:21:20Z</cp:lastPrinted>
  <dcterms:created xsi:type="dcterms:W3CDTF">2021-05-14T11:36:15Z</dcterms:created>
  <dcterms:modified xsi:type="dcterms:W3CDTF">2021-08-15T08:08:20Z</dcterms:modified>
</cp:coreProperties>
</file>