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filterPrivacy="1" codeName="ThisWorkbook" defaultThemeVersion="166925"/>
  <xr:revisionPtr revIDLastSave="101" documentId="8_{E873552B-07B8-432B-90C8-EBE0BD96E4CF}" xr6:coauthVersionLast="45" xr6:coauthVersionMax="45" xr10:uidLastSave="{77A3AB99-3B8F-49FF-A5AC-C57C1A8DA2BE}"/>
  <bookViews>
    <workbookView xWindow="-110" yWindow="-110" windowWidth="19420" windowHeight="10420" tabRatio="583" xr2:uid="{8EE72449-8F53-455E-8DF3-E931AA098E26}"/>
  </bookViews>
  <sheets>
    <sheet name="Summary" sheetId="1" r:id="rId1"/>
    <sheet name="cd" sheetId="4" state="hidden" r:id="rId2"/>
    <sheet name="uc" sheetId="5" state="hidden" r:id="rId3"/>
  </sheets>
  <definedNames>
    <definedName name="Cap._Volt._Rating_SBB0">Summary!$G$9</definedName>
    <definedName name="Cap._Volt._Rating_SBB1">Summary!$H$9</definedName>
    <definedName name="Cap._Volt._Rating_SBB2">Summary!$I$9</definedName>
    <definedName name="COUT_EFF_SBB0">cd!$G$22</definedName>
    <definedName name="COUT_EFF_SBB1">cd!$H$22</definedName>
    <definedName name="COUT_EFF_SBB2">cd!$I$22</definedName>
    <definedName name="COUT_SBB0">cd!$G$15</definedName>
    <definedName name="COUT_SBB1">cd!$H$15</definedName>
    <definedName name="COUT_SBB2">cd!$I$15</definedName>
    <definedName name="dVOUT_dtss">cd!$C$10</definedName>
    <definedName name="EC_OUT_Deliver_SBB0">cd!$G$55</definedName>
    <definedName name="EC_OUT_Deliver_SBB0_MAX">cd!$M$55</definedName>
    <definedName name="EC_OUT_Deliver_SBB0_MIN">cd!$K$55</definedName>
    <definedName name="EC_OUT_Deliver_SBB1">cd!$H$55</definedName>
    <definedName name="EC_OUT_Deliver_SBB1_MAX">cd!$P$55</definedName>
    <definedName name="EC_OUT_Deliver_SBB1_MIN">cd!$N$55</definedName>
    <definedName name="EC_OUT_Deliver_SBB2">cd!$I$55</definedName>
    <definedName name="EC_OUT_Deliver_SBB2_MAX">cd!$S$55</definedName>
    <definedName name="EC_OUT_Deliver_SBB2_MIN">cd!$Q$55</definedName>
    <definedName name="EC_OUT_Peak_SBB0">cd!$G$57</definedName>
    <definedName name="EC_OUT_Peak_SBB0_MAX">cd!$M$57</definedName>
    <definedName name="EC_OUT_Peak_SBB0_MIN">cd!$K$57</definedName>
    <definedName name="EC_OUT_Peak_SBB1">cd!$H$57</definedName>
    <definedName name="EC_OUT_Peak_SBB1_MAX">cd!$P$57</definedName>
    <definedName name="EC_OUT_Peak_SBB1_MIN">cd!$N$57</definedName>
    <definedName name="EC_OUT_Peak_SBB2">cd!$I$57</definedName>
    <definedName name="EC_OUT_Peak_SBB2_MAX">cd!$S$57</definedName>
    <definedName name="EC_OUT_Peak_SBB2_MIN">cd!$Q$57</definedName>
    <definedName name="EC_OUT_SBB0">cd!$G$56</definedName>
    <definedName name="EC_OUT_SBB0_MAX">cd!$M$56</definedName>
    <definedName name="EC_OUT_SBB0_MIN">cd!$K$56</definedName>
    <definedName name="EC_OUT_SBB1">cd!$H$56</definedName>
    <definedName name="EC_OUT_SBB1_MAX">cd!$P$56</definedName>
    <definedName name="EC_OUT_SBB1_MIN">cd!$N$56</definedName>
    <definedName name="EC_OUT_SBB2">cd!$I$56</definedName>
    <definedName name="EC_OUT_SBB2_MAX">cd!$S$56</definedName>
    <definedName name="EC_OUT_SBB2_MIN">cd!$Q$56</definedName>
    <definedName name="EL_peak_SBB0">cd!$G$41</definedName>
    <definedName name="EL_peak_SBB1">cd!$H$41</definedName>
    <definedName name="EL_peak_SBB2">cd!$I$41</definedName>
    <definedName name="Eload_SBB0">cd!$G$42</definedName>
    <definedName name="Eload_SBB0_MAX">cd!$M$42</definedName>
    <definedName name="Eload_SBB0_MIN">cd!$K$42</definedName>
    <definedName name="Eload_SBB1">cd!$H$42</definedName>
    <definedName name="Eload_SBB1_MAX">cd!$P$42</definedName>
    <definedName name="Eload_SBB1_MIN">cd!$N$42</definedName>
    <definedName name="Eload_SBB2">cd!$I$42</definedName>
    <definedName name="Eload_SBB2_MAX">cd!$S$42</definedName>
    <definedName name="Eload_SBB2_MIN">cd!$Q$42</definedName>
    <definedName name="Eloss_cond_SBB0">cd!$G$43</definedName>
    <definedName name="Eloss_cond_SBB0_MAX">cd!$M$43</definedName>
    <definedName name="Eloss_cond_SBB0_MIN">cd!$K$43</definedName>
    <definedName name="Eloss_cond_SBB1">cd!$H$43</definedName>
    <definedName name="Eloss_cond_SBB1_MAX">cd!$P$43</definedName>
    <definedName name="Eloss_cond_SBB1_MIN">cd!$N$43</definedName>
    <definedName name="Eloss_cond_SBB2">cd!$I$43</definedName>
    <definedName name="Eloss_cond_SBB2_MAX">cd!$S$43</definedName>
    <definedName name="Eloss_cond_SBB2_MIN">cd!$Q$43</definedName>
    <definedName name="EN_SBB0">cd!$G$5</definedName>
    <definedName name="EN_SBB1">cd!$H$5</definedName>
    <definedName name="EN_SBB2">cd!$I$5</definedName>
    <definedName name="EOUT_CHG_BB_SBB0">cd!$G$45</definedName>
    <definedName name="EOUT_CHG_BB_SBB0_MAX">cd!$M$45</definedName>
    <definedName name="EOUT_CHG_BB_SBB0_MIN">cd!$K$45</definedName>
    <definedName name="EOUT_CHG_BB_SBB1">cd!$H$45</definedName>
    <definedName name="EOUT_CHG_BB_SBB1_MAX">cd!$P$45</definedName>
    <definedName name="EOUT_CHG_BB_SBB1_MIN">cd!$N$45</definedName>
    <definedName name="EOUT_CHG_BB_SBB2">cd!$I$45</definedName>
    <definedName name="EOUT_CHG_BB_SBB2_MAX">cd!$S$45</definedName>
    <definedName name="EOUT_CHG_BB_SBB2_MIN">cd!$Q$45</definedName>
    <definedName name="EOUT_CHG_Buck_SBB0">cd!$G$48</definedName>
    <definedName name="EOUT_CHG_BUCK_SBB0_MAX">cd!$M$48</definedName>
    <definedName name="EOUT_CHG_BUCK_SBB0_MIN">cd!$K$48</definedName>
    <definedName name="EOUT_CHG_Buck_SBB1">cd!$H$48</definedName>
    <definedName name="EOUT_CHG_BUCK_SBB1_MAX">cd!$P$48</definedName>
    <definedName name="EOUT_CHG_BUCK_SBB1_MIN">cd!$N$48</definedName>
    <definedName name="EOUT_CHG_Buck_SBB2">cd!$I$48</definedName>
    <definedName name="EOUT_CHG_BUCK_SBB2_MAX">cd!$S$48</definedName>
    <definedName name="EOUT_CHG_BUCK_SBB2_MIN">cd!$Q$48</definedName>
    <definedName name="EOUT_CHG_SBB0">cd!$G$52</definedName>
    <definedName name="EOUT_CHG_SBB0_MAX">cd!$M$52</definedName>
    <definedName name="EOUT_CHG_SBB0_MIN">cd!$K$52</definedName>
    <definedName name="EOUT_CHG_SBB1">cd!$H$52</definedName>
    <definedName name="EOUT_CHG_SBB1_MAX">cd!$P$52</definedName>
    <definedName name="EOUT_CHG_SBB1_MIN">cd!$N$52</definedName>
    <definedName name="EOUT_CHG_SBB2">cd!$I$52</definedName>
    <definedName name="EOUT_CHG_SBB2_MAX">cd!$S$52</definedName>
    <definedName name="EOUT_CHG_SBB2_MIN">cd!$Q$52</definedName>
    <definedName name="EOUT_DIS_BB_SBB0">cd!$G$44</definedName>
    <definedName name="EOUT_DIS_BB_SBB0_MAX">cd!$M$44</definedName>
    <definedName name="EOUT_DIS_BB_SBB0_MIN">cd!$K$44</definedName>
    <definedName name="EOUT_DIS_BB_SBB1">cd!$H$44</definedName>
    <definedName name="EOUT_DIS_BB_SBB1_MAX">cd!$P$44</definedName>
    <definedName name="EOUT_DIS_BB_SBB1_MIN">cd!$N$44</definedName>
    <definedName name="EOUT_DIS_BB_SBB2">cd!$I$44</definedName>
    <definedName name="EOUT_DIS_BB_SBB2_MAX">cd!$S$44</definedName>
    <definedName name="EOUT_DIS_BB_SBB2_MIN">cd!$Q$44</definedName>
    <definedName name="EOUT_DIS_Buck_SBB0">cd!$G$46</definedName>
    <definedName name="EOUT_DIS_BUCK_SBB0_MAX">cd!$M$46</definedName>
    <definedName name="EOUT_DIS_BUCK_SBB0_MIN">cd!$K$46</definedName>
    <definedName name="EOUT_DIS_Buck_SBB1">cd!$H$46</definedName>
    <definedName name="EOUT_DIS_BUCK_SBB1_MAX">cd!$P$46</definedName>
    <definedName name="EOUT_DIS_BUCK_SBB1_MIN">cd!$N$46</definedName>
    <definedName name="EOUT_DIS_Buck_SBB2">cd!$I$46</definedName>
    <definedName name="EOUT_DIS_BUCK_SBB2_MAX">cd!$S$46</definedName>
    <definedName name="EOUT_DIS_BUCK_SBB2_MIN">cd!$Q$46</definedName>
    <definedName name="EOUT_DIS_SBB0">cd!$G$53</definedName>
    <definedName name="EOUT_DIS_SBB0_MAX">cd!$M$53</definedName>
    <definedName name="EOUT_DIS_SBB0_MIN">cd!$K$53</definedName>
    <definedName name="EOUT_DIS_SBB1">cd!$H$53</definedName>
    <definedName name="EOUT_DIS_SBB1_MAX">cd!$P$53</definedName>
    <definedName name="EOUT_DIS_SBB1_MIN">cd!$N$53</definedName>
    <definedName name="EOUT_DIS_SBB2">cd!$I$53</definedName>
    <definedName name="EOUT_DIS_SBB2_MAX">cd!$S$53</definedName>
    <definedName name="EOUT_DIS_SBB2_MIN">cd!$Q$53</definedName>
    <definedName name="EOUT_SBB0">cd!$G$54</definedName>
    <definedName name="EOUT_SBB0_MAX">cd!$M$54</definedName>
    <definedName name="EOUT_SBB0_MIN">cd!$K$54</definedName>
    <definedName name="EOUT_SBB1">cd!$H$54</definedName>
    <definedName name="EOUT_SBB1_MAX">cd!$P$54</definedName>
    <definedName name="EOUT_SBB1_MIN">cd!$N$54</definedName>
    <definedName name="EOUT_SBB2">cd!$I$54</definedName>
    <definedName name="EOUT_SBB2_MAX">cd!$S$54</definedName>
    <definedName name="EOUT_SBB2_MIN">cd!$Q$54</definedName>
    <definedName name="ESR_SBB0">cd!$G$16</definedName>
    <definedName name="ESR_SBB1">cd!$H$16</definedName>
    <definedName name="ESR_SBB2">cd!$I$16</definedName>
    <definedName name="fOUT_ripple_SBB0">Summary!$G$24</definedName>
    <definedName name="fOUT_ripple_SBB1">Summary!$H$24</definedName>
    <definedName name="fOUT_ripple_SBB2">Summary!$I$24</definedName>
    <definedName name="IL_dis_rms_SBB0">cd!$G$39</definedName>
    <definedName name="IL_dis_rms_SBB1">cd!$H$39</definedName>
    <definedName name="IL_dis_rms_SBB2">cd!$I$39</definedName>
    <definedName name="IL_Peak_SBB0">Summary!$G$11</definedName>
    <definedName name="IL_Peak_SBB1">Summary!$H$11</definedName>
    <definedName name="IL_Peak_SBB2">Summary!$I$11</definedName>
    <definedName name="IOUT_Max_SBB0">Summary!$G$17</definedName>
    <definedName name="IOUT_Max_SBB0_MAX">Summary!$M$17</definedName>
    <definedName name="IOUT_Max_SBB0_MIN">Summary!$K$17</definedName>
    <definedName name="IOUT_Max_SBB1">Summary!$H$17</definedName>
    <definedName name="IOUT_Max_SBB1_MAX">Summary!$P$17</definedName>
    <definedName name="IOUT_Max_SBB1_MIN">Summary!$N$17</definedName>
    <definedName name="IOUT_Max_SBB2">Summary!$I$17</definedName>
    <definedName name="IOUT_Max_SBB2_MAX">Summary!$S$17</definedName>
    <definedName name="IOUT_Max_SBB2_MIN">Summary!$Q$17</definedName>
    <definedName name="IOUT_SBB0">cd!$G$14</definedName>
    <definedName name="IOUT_SBB1">cd!$H$14</definedName>
    <definedName name="IOUT_SBB2">cd!$I$14</definedName>
    <definedName name="L">cd!$C$14</definedName>
    <definedName name="POUT_MAX_SBB0">Summary!$G$18</definedName>
    <definedName name="POUT_MAX_SBB0_MAX">Summary!$M$18</definedName>
    <definedName name="POUT_MAX_SBB0_MIN">Summary!$K$18</definedName>
    <definedName name="POUT_MAX_SBB1">Summary!$H$18</definedName>
    <definedName name="POUT_MAX_SBB1_MAX">Summary!$P$18</definedName>
    <definedName name="POUT_MAX_SBB1_MIN">Summary!$N$18</definedName>
    <definedName name="POUT_MAX_SBB2">Summary!$I$18</definedName>
    <definedName name="POUT_MAX_SBB2_MAX">Summary!$S$18</definedName>
    <definedName name="POUT_MAX_SBB2_MIN">Summary!$Q$18</definedName>
    <definedName name="rCHG_BB">cd!$C$26</definedName>
    <definedName name="rCHG_Buck_SBB0">cd!$G$24</definedName>
    <definedName name="rCHG_Buck_SBB1">cd!$H$24</definedName>
    <definedName name="rCHG_Buck_SBB2">cd!$I$24</definedName>
    <definedName name="rCHG_SBB0">cd!$G$27</definedName>
    <definedName name="rCHG_SBB1">cd!$H$27</definedName>
    <definedName name="rCHG_SBB2">cd!$I$27</definedName>
    <definedName name="rDIS_BB_SBB0">cd!$G$26</definedName>
    <definedName name="rDIS_BB_SBB1">cd!$H$26</definedName>
    <definedName name="rDIS_BB_SBB2">cd!$I$26</definedName>
    <definedName name="rDIS_Buck_SBB0">cd!$G$25</definedName>
    <definedName name="rDIS_Buck_SBB1">cd!$H$25</definedName>
    <definedName name="rDIS_Buck_SBB2">cd!$I$25</definedName>
    <definedName name="rDIS_SBB0">cd!$G$28</definedName>
    <definedName name="rDIS_SBB1">cd!$H$28</definedName>
    <definedName name="rDIS_SBB2">cd!$I$28</definedName>
    <definedName name="rL_DCR">cd!$C$15</definedName>
    <definedName name="rM1_">cd!$C$6</definedName>
    <definedName name="rM2_">cd!$C$7</definedName>
    <definedName name="rM3_SBB0">cd!$G$8</definedName>
    <definedName name="rM3_SBB1">cd!$H$8</definedName>
    <definedName name="rM3_SBB2">cd!$I$8</definedName>
    <definedName name="rM4_">cd!$C$9</definedName>
    <definedName name="terror_comp">cd!$C$5</definedName>
    <definedName name="tL_CHG_SBB0">cd!$G$34</definedName>
    <definedName name="tL_CHG_SBB0_MAX">cd!$M$34</definedName>
    <definedName name="tL_CHG_SBB0_MIN">cd!$K$34</definedName>
    <definedName name="tL_CHG_SBB1">cd!$H$34</definedName>
    <definedName name="tL_CHG_SBB1_MAX">cd!$P$34</definedName>
    <definedName name="tL_CHG_SBB1_MIN">cd!$N$34</definedName>
    <definedName name="tL_CHG_SBB2">cd!$I$34</definedName>
    <definedName name="tL_CHG_SBB2_MAX">cd!$S$34</definedName>
    <definedName name="tL_CHG_SBB2_MIN">cd!$Q$34</definedName>
    <definedName name="tL_DIS_SBB0">cd!$G$35</definedName>
    <definedName name="tL_DIS_SBB0_MAX">cd!$M$35</definedName>
    <definedName name="tL_DIS_SBB0_MIN">cd!$K$35</definedName>
    <definedName name="tL_DIS_SBB1">cd!$H$35</definedName>
    <definedName name="tL_DIS_SBB1_MAX">cd!$P$35</definedName>
    <definedName name="tL_DIS_SBB1_MIN">cd!$N$35</definedName>
    <definedName name="tL_DIS_SBB2">cd!$I$35</definedName>
    <definedName name="tL_DIS_SBB2_MAX">cd!$S$35</definedName>
    <definedName name="tL_DIS_SBB2_MIN">cd!$Q$35</definedName>
    <definedName name="tservice_SBB0">cd!$G$36</definedName>
    <definedName name="tservice_SBB0_MAX">cd!$M$36</definedName>
    <definedName name="tservice_SBB0_MIN">cd!$K$36</definedName>
    <definedName name="tservice_SBB1">cd!$H$36</definedName>
    <definedName name="tservice_SBB1_MAX">cd!$P$36</definedName>
    <definedName name="tservice_SBB1_MIN">cd!$N$36</definedName>
    <definedName name="tservice_SBB2">cd!$I$36</definedName>
    <definedName name="tservice_SBB2_MAX">cd!$S$36</definedName>
    <definedName name="tservice_SBB2_MIN">cd!$Q$36</definedName>
    <definedName name="tss_SBB0">Summary!$L$31</definedName>
    <definedName name="tss_SBB0_MAX">Summary!$M$31</definedName>
    <definedName name="tss_SBB0_MIN">Summary!$K$31</definedName>
    <definedName name="tss_SBB1">Summary!$O$31</definedName>
    <definedName name="tss_SBB1_MAX">Summary!$P$31</definedName>
    <definedName name="tss_SBB1_MIN">Summary!$N$31</definedName>
    <definedName name="tss_SBB2">Summary!$R$31</definedName>
    <definedName name="tss_SBB2_MAX">Summary!$S$31</definedName>
    <definedName name="tss_SBB2_MIN">Summary!$Q$31</definedName>
    <definedName name="tundershoot_SBB0">cd!$G$37</definedName>
    <definedName name="tundershoot_SBB0_MAX">cd!$M$37</definedName>
    <definedName name="tundershoot_SBB0_MIN">cd!$K$37</definedName>
    <definedName name="tundershoot_SBB1">cd!$H$37</definedName>
    <definedName name="tundershoot_SBB1_MAX">cd!$P$37</definedName>
    <definedName name="tundershoot_SBB1_MIN">cd!$N$37</definedName>
    <definedName name="tundershoot_SBB2">cd!$I$37</definedName>
    <definedName name="tundershoot_SBB2_MAX">cd!$S$37</definedName>
    <definedName name="tundershoot_SBB2_MIN">cd!$Q$37</definedName>
    <definedName name="ULPM_max">uc!$E$36</definedName>
    <definedName name="ULPM_min">uc!$E$34</definedName>
    <definedName name="ULPM_typ">uc!$E$35</definedName>
    <definedName name="Vdroop_wait_SBB0_1">cd!$I$62</definedName>
    <definedName name="Vdroop_wait_SBB0_1_MAX">cd!$S$62</definedName>
    <definedName name="Vdroop_wait_SBB0_1_MIN">cd!$Q$62</definedName>
    <definedName name="Vdroop_wait_SBB0_2">cd!$H$63</definedName>
    <definedName name="Vdroop_wait_SBB0_2_MAX">cd!$P$63</definedName>
    <definedName name="Vdroop_wait_SBB0_2_MIN">cd!$N$63</definedName>
    <definedName name="Vdroop_wait_SBB1_2">cd!$G$64</definedName>
    <definedName name="Vdroop_wait_SBB1_2_MAX">cd!$M$64</definedName>
    <definedName name="Vdroop_wait_SBB1_2_MIN">cd!$K$64</definedName>
    <definedName name="VIN">Summary!$C$5</definedName>
    <definedName name="VOUT_Accuracy">cd!$C$18</definedName>
    <definedName name="VOUT_ERROR_SBB0">cd!$G$18</definedName>
    <definedName name="VOUT_ERROR_SBB1">cd!$H$18</definedName>
    <definedName name="VOUT_ERROR_SBB2">cd!$I$18</definedName>
    <definedName name="VOUT_Max_Error_Neg_SBB0">Summary!#REF!</definedName>
    <definedName name="VOUT_Max_Error_Neg_SBB1">Summary!#REF!</definedName>
    <definedName name="VOUT_Max_Error_Neg_SBB2">Summary!#REF!</definedName>
    <definedName name="VOUT_Max_Error_Pos_SBB0">Summary!#REF!</definedName>
    <definedName name="VOUT_Max_Error_Pos_SBB1">Summary!#REF!</definedName>
    <definedName name="VOUT_Max_Error_Pos_SBB2">Summary!#REF!</definedName>
    <definedName name="VOUT_max_SBB0">Summary!$G$25</definedName>
    <definedName name="VOUT_max_SBB0_MAX">Summary!$M$25</definedName>
    <definedName name="VOUT_max_SBB0_MIN">Summary!$K$25</definedName>
    <definedName name="VOUT_max_SBB1">Summary!$H$25</definedName>
    <definedName name="VOUT_max_SBB1_MAX">Summary!$P$25</definedName>
    <definedName name="VOUT_max_SBB1_MIN">Summary!$N$25</definedName>
    <definedName name="VOUT_max_SBB2">Summary!$I$25</definedName>
    <definedName name="VOUT_max_SBB2_MAX">Summary!$S$25</definedName>
    <definedName name="VOUT_max_SBB2_MIN">Summary!$Q$25</definedName>
    <definedName name="VOUT_min_SBB0">Summary!$G$26</definedName>
    <definedName name="VOUT_min_SBB0_MAX">Summary!$M$26</definedName>
    <definedName name="VOUT_min_SBB0_MIN">Summary!$K$26</definedName>
    <definedName name="VOUT_min_SBB1">Summary!$H$26</definedName>
    <definedName name="VOUT_min_SBB1_MAX">Summary!$P$26</definedName>
    <definedName name="VOUT_min_SBB1_MIN">Summary!$N$26</definedName>
    <definedName name="VOUT_min_SBB2">Summary!$I$26</definedName>
    <definedName name="VOUT_min_SBB2_MAX">Summary!$S$26</definedName>
    <definedName name="VOUT_min_SBB2_MIN">Summary!$Q$26</definedName>
    <definedName name="VOUT_SBB0">Summary!$G$5</definedName>
    <definedName name="VOUT_SBB0_MAX">Summary!$M$5</definedName>
    <definedName name="VOUT_SBB0_MIN">Summary!$K$5</definedName>
    <definedName name="VOUT_SBB1">Summary!$H$5</definedName>
    <definedName name="VOUT_SBB1_MAX">Summary!$P$5</definedName>
    <definedName name="VOUT_SBB1_MIN">Summary!$N$5</definedName>
    <definedName name="VOUT_SBB2">Summary!$I$5</definedName>
    <definedName name="VOUT_SBB2_MAX">Summary!$S$5</definedName>
    <definedName name="VOUT_SBB2_MIN">Summary!$Q$5</definedName>
    <definedName name="η_SBB0">cd!$G$11</definedName>
    <definedName name="η_SBB1">cd!$H$11</definedName>
    <definedName name="η_SBB2">cd!$I$11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4" i="5" l="1"/>
  <c r="E43" i="5"/>
  <c r="E42" i="5"/>
  <c r="E41" i="5"/>
  <c r="E40" i="5"/>
  <c r="E39" i="5"/>
  <c r="E36" i="5"/>
  <c r="E35" i="5"/>
  <c r="E34" i="5"/>
  <c r="E31" i="5"/>
  <c r="E30" i="5"/>
  <c r="C18" i="4" s="1"/>
  <c r="E27" i="5"/>
  <c r="E26" i="5"/>
  <c r="E25" i="5"/>
  <c r="E24" i="5"/>
  <c r="E19" i="5"/>
  <c r="E18" i="5"/>
  <c r="E15" i="5"/>
  <c r="E14" i="5"/>
  <c r="E13" i="5"/>
  <c r="E9" i="5"/>
  <c r="E8" i="5"/>
  <c r="E7" i="5"/>
  <c r="E6" i="5"/>
  <c r="H38" i="5" l="1"/>
  <c r="G38" i="5"/>
  <c r="F38" i="5"/>
  <c r="H33" i="5"/>
  <c r="G33" i="5"/>
  <c r="F33" i="5"/>
  <c r="E33" i="5"/>
  <c r="O45" i="4" l="1"/>
  <c r="R45" i="4"/>
  <c r="L45" i="4"/>
  <c r="H29" i="5" l="1"/>
  <c r="G29" i="5"/>
  <c r="F29" i="5"/>
  <c r="E29" i="5"/>
  <c r="D27" i="5"/>
  <c r="D24" i="5"/>
  <c r="H23" i="5"/>
  <c r="G23" i="5"/>
  <c r="F23" i="5"/>
  <c r="E23" i="5"/>
  <c r="H19" i="5"/>
  <c r="C10" i="4"/>
  <c r="C9" i="4"/>
  <c r="H17" i="5"/>
  <c r="H16" i="5"/>
  <c r="G16" i="5"/>
  <c r="G8" i="4"/>
  <c r="C7" i="4"/>
  <c r="C6" i="4"/>
  <c r="H12" i="5"/>
  <c r="G12" i="5"/>
  <c r="H11" i="5"/>
  <c r="G11" i="5"/>
  <c r="F11" i="5"/>
  <c r="E11" i="5"/>
  <c r="I39" i="4"/>
  <c r="H39" i="4"/>
  <c r="G39" i="4"/>
  <c r="I20" i="4"/>
  <c r="H20" i="4"/>
  <c r="G20" i="4"/>
  <c r="I16" i="4"/>
  <c r="H16" i="4"/>
  <c r="G16" i="4"/>
  <c r="I15" i="4"/>
  <c r="I22" i="4" s="1"/>
  <c r="H15" i="4"/>
  <c r="H22" i="4" s="1"/>
  <c r="G15" i="4"/>
  <c r="G22" i="4" s="1"/>
  <c r="C15" i="4"/>
  <c r="C14" i="4"/>
  <c r="I5" i="4"/>
  <c r="H5" i="4"/>
  <c r="G5" i="4"/>
  <c r="E12" i="5" l="1"/>
  <c r="C5" i="4" s="1"/>
  <c r="Q52" i="4"/>
  <c r="I52" i="4"/>
  <c r="S34" i="4"/>
  <c r="S52" i="4"/>
  <c r="Q34" i="4"/>
  <c r="G17" i="5"/>
  <c r="E16" i="5"/>
  <c r="D25" i="5"/>
  <c r="D26" i="5" s="1"/>
  <c r="G47" i="4"/>
  <c r="L47" i="4" s="1"/>
  <c r="I47" i="4"/>
  <c r="R47" i="4" s="1"/>
  <c r="G24" i="4"/>
  <c r="G27" i="4" s="1"/>
  <c r="G25" i="4"/>
  <c r="G28" i="4" s="1"/>
  <c r="G26" i="4"/>
  <c r="H47" i="4"/>
  <c r="O47" i="4" s="1"/>
  <c r="G18" i="4"/>
  <c r="I18" i="4"/>
  <c r="H18" i="4"/>
  <c r="I41" i="4"/>
  <c r="C26" i="4"/>
  <c r="I27" i="4" s="1"/>
  <c r="G30" i="4"/>
  <c r="G41" i="4"/>
  <c r="H41" i="4"/>
  <c r="H8" i="4"/>
  <c r="H25" i="4" s="1"/>
  <c r="H28" i="4" s="1"/>
  <c r="E17" i="5" l="1"/>
  <c r="I8" i="4" s="1"/>
  <c r="L30" i="4"/>
  <c r="G34" i="4"/>
  <c r="C27" i="5"/>
  <c r="C26" i="5"/>
  <c r="C25" i="5"/>
  <c r="C24" i="5"/>
  <c r="H24" i="4"/>
  <c r="I32" i="4"/>
  <c r="I34" i="4" s="1"/>
  <c r="G32" i="4"/>
  <c r="H32" i="4"/>
  <c r="O32" i="4" s="1"/>
  <c r="G33" i="4"/>
  <c r="L33" i="4" s="1"/>
  <c r="H26" i="4"/>
  <c r="I26" i="4" l="1"/>
  <c r="I24" i="4"/>
  <c r="I30" i="4" s="1"/>
  <c r="R30" i="4" s="1"/>
  <c r="I25" i="4"/>
  <c r="H30" i="4"/>
  <c r="H27" i="4"/>
  <c r="L34" i="4"/>
  <c r="L32" i="4"/>
  <c r="G31" i="4"/>
  <c r="G35" i="4" s="1"/>
  <c r="H33" i="4"/>
  <c r="O33" i="4" s="1"/>
  <c r="R32" i="4"/>
  <c r="L5" i="1"/>
  <c r="O5" i="1"/>
  <c r="R5" i="1"/>
  <c r="I28" i="4" l="1"/>
  <c r="I33" i="4"/>
  <c r="O30" i="4"/>
  <c r="H34" i="4"/>
  <c r="O34" i="4" s="1"/>
  <c r="G48" i="4"/>
  <c r="I48" i="4"/>
  <c r="R34" i="4"/>
  <c r="I49" i="4"/>
  <c r="R49" i="4" s="1"/>
  <c r="G37" i="4"/>
  <c r="L37" i="4" s="1"/>
  <c r="G49" i="4"/>
  <c r="L49" i="4" s="1"/>
  <c r="I37" i="4"/>
  <c r="R37" i="4" s="1"/>
  <c r="H31" i="4"/>
  <c r="L31" i="4"/>
  <c r="L35" i="4"/>
  <c r="I35" i="4" l="1"/>
  <c r="R33" i="4"/>
  <c r="I31" i="4"/>
  <c r="R31" i="4" s="1"/>
  <c r="H49" i="4"/>
  <c r="O49" i="4" s="1"/>
  <c r="H48" i="4"/>
  <c r="H52" i="4" s="1"/>
  <c r="O52" i="4" s="1"/>
  <c r="H37" i="4"/>
  <c r="O37" i="4" s="1"/>
  <c r="O31" i="4"/>
  <c r="H35" i="4"/>
  <c r="O35" i="4" s="1"/>
  <c r="L48" i="4"/>
  <c r="G52" i="4"/>
  <c r="L52" i="4" s="1"/>
  <c r="I43" i="4"/>
  <c r="I44" i="4" s="1"/>
  <c r="I53" i="4" s="1"/>
  <c r="R35" i="4"/>
  <c r="R52" i="4"/>
  <c r="R48" i="4"/>
  <c r="I36" i="4"/>
  <c r="R36" i="4" s="1"/>
  <c r="G36" i="4"/>
  <c r="L36" i="4" s="1"/>
  <c r="G43" i="4"/>
  <c r="G44" i="4" s="1"/>
  <c r="L44" i="4" s="1"/>
  <c r="O31" i="1"/>
  <c r="R31" i="1"/>
  <c r="G31" i="1"/>
  <c r="L31" i="1"/>
  <c r="G32" i="1"/>
  <c r="I32" i="1"/>
  <c r="H31" i="1"/>
  <c r="H32" i="1"/>
  <c r="I31" i="1"/>
  <c r="S5" i="1"/>
  <c r="Q5" i="1"/>
  <c r="P5" i="1"/>
  <c r="N5" i="1"/>
  <c r="K5" i="1"/>
  <c r="M5" i="1"/>
  <c r="O48" i="4" l="1"/>
  <c r="N47" i="4"/>
  <c r="N30" i="4"/>
  <c r="N34" i="4" s="1"/>
  <c r="P47" i="4"/>
  <c r="P30" i="4"/>
  <c r="P34" i="4" s="1"/>
  <c r="R43" i="4"/>
  <c r="S47" i="4"/>
  <c r="S30" i="4"/>
  <c r="S49" i="4" s="1"/>
  <c r="Q30" i="4"/>
  <c r="Q49" i="4" s="1"/>
  <c r="Q47" i="4"/>
  <c r="I46" i="4"/>
  <c r="R44" i="4"/>
  <c r="K47" i="4"/>
  <c r="K30" i="4"/>
  <c r="M30" i="4"/>
  <c r="M47" i="4"/>
  <c r="G46" i="4"/>
  <c r="O53" i="4"/>
  <c r="Q33" i="4"/>
  <c r="Q31" i="4" s="1"/>
  <c r="Q35" i="4" s="1"/>
  <c r="L43" i="4"/>
  <c r="S33" i="4"/>
  <c r="S31" i="4" s="1"/>
  <c r="S35" i="4" s="1"/>
  <c r="N33" i="4"/>
  <c r="N31" i="4" s="1"/>
  <c r="N35" i="4" s="1"/>
  <c r="M33" i="4"/>
  <c r="M31" i="4" s="1"/>
  <c r="M35" i="4" s="1"/>
  <c r="K33" i="4"/>
  <c r="K31" i="4" s="1"/>
  <c r="K35" i="4" s="1"/>
  <c r="P33" i="4"/>
  <c r="P31" i="4" s="1"/>
  <c r="P35" i="4" s="1"/>
  <c r="H36" i="4"/>
  <c r="O36" i="4" s="1"/>
  <c r="H43" i="4"/>
  <c r="N31" i="1"/>
  <c r="K31" i="1"/>
  <c r="S31" i="1"/>
  <c r="P31" i="1"/>
  <c r="M31" i="1"/>
  <c r="Q31" i="1"/>
  <c r="L46" i="4" l="1"/>
  <c r="G53" i="4"/>
  <c r="L53" i="4" s="1"/>
  <c r="M34" i="4"/>
  <c r="M37" i="4" s="1"/>
  <c r="K34" i="4"/>
  <c r="K49" i="4" s="1"/>
  <c r="P48" i="4"/>
  <c r="P52" i="4" s="1"/>
  <c r="P49" i="4"/>
  <c r="N48" i="4"/>
  <c r="N52" i="4" s="1"/>
  <c r="N49" i="4"/>
  <c r="P37" i="4"/>
  <c r="N37" i="4"/>
  <c r="Q48" i="4"/>
  <c r="Q37" i="4"/>
  <c r="S37" i="4"/>
  <c r="S48" i="4"/>
  <c r="R46" i="4"/>
  <c r="H44" i="4"/>
  <c r="O43" i="4"/>
  <c r="Q36" i="4"/>
  <c r="Q43" i="4"/>
  <c r="Q44" i="4" s="1"/>
  <c r="N36" i="4"/>
  <c r="N43" i="4"/>
  <c r="N44" i="4" s="1"/>
  <c r="N46" i="4" s="1"/>
  <c r="N53" i="4" s="1"/>
  <c r="P36" i="4"/>
  <c r="P43" i="4"/>
  <c r="P44" i="4" s="1"/>
  <c r="P46" i="4" s="1"/>
  <c r="P53" i="4" s="1"/>
  <c r="K43" i="4"/>
  <c r="K44" i="4" s="1"/>
  <c r="K46" i="4" s="1"/>
  <c r="K53" i="4" s="1"/>
  <c r="M43" i="4"/>
  <c r="M44" i="4" s="1"/>
  <c r="M46" i="4" s="1"/>
  <c r="M53" i="4" s="1"/>
  <c r="S36" i="4"/>
  <c r="S43" i="4"/>
  <c r="S44" i="4" s="1"/>
  <c r="M48" i="4" l="1"/>
  <c r="M52" i="4" s="1"/>
  <c r="M54" i="4" s="1"/>
  <c r="K36" i="4"/>
  <c r="K48" i="4"/>
  <c r="K52" i="4" s="1"/>
  <c r="K54" i="4" s="1"/>
  <c r="M36" i="4"/>
  <c r="M49" i="4"/>
  <c r="Q46" i="4"/>
  <c r="Q53" i="4"/>
  <c r="Q54" i="4" s="1"/>
  <c r="S46" i="4"/>
  <c r="S53" i="4"/>
  <c r="S54" i="4" s="1"/>
  <c r="K37" i="4"/>
  <c r="G54" i="4"/>
  <c r="N54" i="4"/>
  <c r="P54" i="4"/>
  <c r="H46" i="4"/>
  <c r="H53" i="4" s="1"/>
  <c r="O44" i="4"/>
  <c r="R53" i="4"/>
  <c r="I54" i="4"/>
  <c r="R54" i="4" l="1"/>
  <c r="L54" i="4"/>
  <c r="H54" i="4"/>
  <c r="O46" i="4"/>
  <c r="K18" i="1"/>
  <c r="K17" i="1" s="1"/>
  <c r="N18" i="1"/>
  <c r="N17" i="1" s="1"/>
  <c r="P18" i="1"/>
  <c r="P17" i="1" s="1"/>
  <c r="Q18" i="1" l="1"/>
  <c r="Q17" i="1" s="1"/>
  <c r="M18" i="1"/>
  <c r="M17" i="1" s="1"/>
  <c r="P33" i="1"/>
  <c r="S18" i="1"/>
  <c r="S17" i="1" s="1"/>
  <c r="N33" i="1" l="1"/>
  <c r="K33" i="1"/>
  <c r="M33" i="1"/>
  <c r="S33" i="1"/>
  <c r="Q33" i="1" l="1"/>
  <c r="I18" i="1" l="1"/>
  <c r="I17" i="1" s="1"/>
  <c r="O54" i="4" l="1"/>
  <c r="H18" i="1"/>
  <c r="H17" i="1" s="1"/>
  <c r="G18" i="1"/>
  <c r="G17" i="1" s="1"/>
  <c r="R18" i="1"/>
  <c r="R17" i="1"/>
  <c r="I33" i="1"/>
  <c r="R33" i="1" s="1"/>
  <c r="L18" i="1" l="1"/>
  <c r="O18" i="1"/>
  <c r="H14" i="4" l="1"/>
  <c r="I14" i="4"/>
  <c r="G14" i="4"/>
  <c r="G33" i="1"/>
  <c r="L33" i="1" s="1"/>
  <c r="L17" i="1"/>
  <c r="H33" i="1"/>
  <c r="O33" i="1" s="1"/>
  <c r="O17" i="1"/>
  <c r="I15" i="1" l="1"/>
  <c r="R15" i="1" s="1"/>
  <c r="S50" i="4"/>
  <c r="S51" i="4" s="1"/>
  <c r="Q50" i="4"/>
  <c r="Q51" i="4" s="1"/>
  <c r="H15" i="1"/>
  <c r="H24" i="1" s="1"/>
  <c r="O24" i="1" s="1"/>
  <c r="N50" i="4"/>
  <c r="N51" i="4" s="1"/>
  <c r="P50" i="4"/>
  <c r="P51" i="4" s="1"/>
  <c r="K50" i="4"/>
  <c r="K51" i="4" s="1"/>
  <c r="M50" i="4"/>
  <c r="M51" i="4" s="1"/>
  <c r="G50" i="4"/>
  <c r="G42" i="4"/>
  <c r="G61" i="4"/>
  <c r="K42" i="4"/>
  <c r="K55" i="4" s="1"/>
  <c r="M42" i="4"/>
  <c r="M55" i="4" s="1"/>
  <c r="G60" i="4"/>
  <c r="L60" i="4" s="1"/>
  <c r="M28" i="1"/>
  <c r="K28" i="1"/>
  <c r="M61" i="4"/>
  <c r="K61" i="4"/>
  <c r="M60" i="4"/>
  <c r="K60" i="4"/>
  <c r="G28" i="1"/>
  <c r="M15" i="1"/>
  <c r="M24" i="1" s="1"/>
  <c r="K15" i="1"/>
  <c r="K24" i="1" s="1"/>
  <c r="G15" i="1"/>
  <c r="I50" i="4"/>
  <c r="I42" i="4"/>
  <c r="I59" i="4"/>
  <c r="R59" i="4" s="1"/>
  <c r="Q42" i="4"/>
  <c r="Q55" i="4" s="1"/>
  <c r="S42" i="4"/>
  <c r="S55" i="4" s="1"/>
  <c r="I60" i="4"/>
  <c r="S60" i="4"/>
  <c r="Q60" i="4"/>
  <c r="Q59" i="4"/>
  <c r="S59" i="4"/>
  <c r="Q28" i="1"/>
  <c r="S28" i="1"/>
  <c r="S15" i="1"/>
  <c r="S24" i="1" s="1"/>
  <c r="I28" i="1"/>
  <c r="Q15" i="1"/>
  <c r="Q24" i="1" s="1"/>
  <c r="H50" i="4"/>
  <c r="H61" i="4"/>
  <c r="H59" i="4"/>
  <c r="O59" i="4" s="1"/>
  <c r="H42" i="4"/>
  <c r="N42" i="4"/>
  <c r="N55" i="4" s="1"/>
  <c r="P42" i="4"/>
  <c r="P55" i="4" s="1"/>
  <c r="N28" i="1"/>
  <c r="P28" i="1"/>
  <c r="N61" i="4"/>
  <c r="P59" i="4"/>
  <c r="N59" i="4"/>
  <c r="P61" i="4"/>
  <c r="H28" i="1"/>
  <c r="N15" i="1"/>
  <c r="N24" i="1" s="1"/>
  <c r="P15" i="1"/>
  <c r="P24" i="1" s="1"/>
  <c r="I24" i="1" l="1"/>
  <c r="O15" i="1"/>
  <c r="H51" i="4"/>
  <c r="O51" i="4" s="1"/>
  <c r="O50" i="4"/>
  <c r="I51" i="4"/>
  <c r="R51" i="4" s="1"/>
  <c r="R50" i="4"/>
  <c r="G51" i="4"/>
  <c r="L51" i="4" s="1"/>
  <c r="L50" i="4"/>
  <c r="R24" i="1"/>
  <c r="C15" i="1"/>
  <c r="G24" i="1"/>
  <c r="M64" i="4"/>
  <c r="M29" i="1" s="1"/>
  <c r="M26" i="1" s="1"/>
  <c r="M56" i="4" s="1"/>
  <c r="M20" i="1" s="1"/>
  <c r="L15" i="1"/>
  <c r="P63" i="4"/>
  <c r="P29" i="1" s="1"/>
  <c r="P26" i="1" s="1"/>
  <c r="Q62" i="4"/>
  <c r="Q29" i="1" s="1"/>
  <c r="Q26" i="1" s="1"/>
  <c r="Q56" i="4" s="1"/>
  <c r="Q20" i="1" s="1"/>
  <c r="N63" i="4"/>
  <c r="N29" i="1" s="1"/>
  <c r="N26" i="1" s="1"/>
  <c r="O28" i="1"/>
  <c r="R60" i="4"/>
  <c r="I62" i="4"/>
  <c r="R62" i="4" s="1"/>
  <c r="R42" i="4"/>
  <c r="I55" i="4"/>
  <c r="R55" i="4" s="1"/>
  <c r="L28" i="1"/>
  <c r="O42" i="4"/>
  <c r="H55" i="4"/>
  <c r="O55" i="4" s="1"/>
  <c r="L61" i="4"/>
  <c r="G64" i="4"/>
  <c r="L64" i="4" s="1"/>
  <c r="O61" i="4"/>
  <c r="H63" i="4"/>
  <c r="O63" i="4" s="1"/>
  <c r="R28" i="1"/>
  <c r="S62" i="4"/>
  <c r="S29" i="1" s="1"/>
  <c r="S26" i="1" s="1"/>
  <c r="S56" i="4" s="1"/>
  <c r="S20" i="1" s="1"/>
  <c r="K64" i="4"/>
  <c r="K29" i="1" s="1"/>
  <c r="K26" i="1" s="1"/>
  <c r="K56" i="4" s="1"/>
  <c r="K20" i="1" s="1"/>
  <c r="L42" i="4"/>
  <c r="G55" i="4"/>
  <c r="L55" i="4" s="1"/>
  <c r="P56" i="4" l="1"/>
  <c r="P20" i="1" s="1"/>
  <c r="N56" i="4"/>
  <c r="N20" i="1" s="1"/>
  <c r="I29" i="1"/>
  <c r="R29" i="1" s="1"/>
  <c r="K57" i="4"/>
  <c r="K25" i="1" s="1"/>
  <c r="K22" i="1" s="1"/>
  <c r="K23" i="1" s="1"/>
  <c r="K21" i="1"/>
  <c r="S57" i="4"/>
  <c r="S25" i="1" s="1"/>
  <c r="S22" i="1" s="1"/>
  <c r="S23" i="1" s="1"/>
  <c r="S21" i="1"/>
  <c r="G29" i="1"/>
  <c r="M57" i="4"/>
  <c r="M25" i="1" s="1"/>
  <c r="M22" i="1" s="1"/>
  <c r="Q57" i="4"/>
  <c r="Q25" i="1" s="1"/>
  <c r="Q22" i="1" s="1"/>
  <c r="Q23" i="1" s="1"/>
  <c r="Q21" i="1"/>
  <c r="H29" i="1"/>
  <c r="N57" i="4" l="1"/>
  <c r="N25" i="1" s="1"/>
  <c r="N22" i="1" s="1"/>
  <c r="N23" i="1" s="1"/>
  <c r="N21" i="1"/>
  <c r="P57" i="4"/>
  <c r="P25" i="1" s="1"/>
  <c r="P22" i="1" s="1"/>
  <c r="P23" i="1" s="1"/>
  <c r="P21" i="1"/>
  <c r="M21" i="1"/>
  <c r="M23" i="1"/>
  <c r="R23" i="1" s="1"/>
  <c r="I26" i="1"/>
  <c r="R26" i="1" s="1"/>
  <c r="O29" i="1"/>
  <c r="H26" i="1"/>
  <c r="O26" i="1" s="1"/>
  <c r="L24" i="1"/>
  <c r="G26" i="1"/>
  <c r="L29" i="1"/>
  <c r="I56" i="4" l="1"/>
  <c r="I20" i="1" s="1"/>
  <c r="G56" i="4"/>
  <c r="G20" i="1" s="1"/>
  <c r="L26" i="1"/>
  <c r="H56" i="4"/>
  <c r="H20" i="1" s="1"/>
  <c r="L56" i="4" l="1"/>
  <c r="I21" i="1"/>
  <c r="R21" i="1" s="1"/>
  <c r="R56" i="4"/>
  <c r="I57" i="4"/>
  <c r="R57" i="4" s="1"/>
  <c r="O56" i="4"/>
  <c r="H57" i="4"/>
  <c r="H25" i="1" s="1"/>
  <c r="G57" i="4"/>
  <c r="L57" i="4" s="1"/>
  <c r="I25" i="1" l="1"/>
  <c r="R20" i="1"/>
  <c r="O57" i="4"/>
  <c r="O25" i="1"/>
  <c r="G25" i="1"/>
  <c r="H21" i="1"/>
  <c r="O21" i="1" s="1"/>
  <c r="O20" i="1"/>
  <c r="G21" i="1"/>
  <c r="L21" i="1" s="1"/>
  <c r="L20" i="1"/>
  <c r="I22" i="1" l="1"/>
  <c r="I23" i="1" s="1"/>
  <c r="R25" i="1"/>
  <c r="G22" i="1"/>
  <c r="L25" i="1"/>
  <c r="H22" i="1"/>
  <c r="O22" i="1" s="1"/>
  <c r="R22" i="1" l="1"/>
  <c r="H23" i="1"/>
  <c r="O23" i="1" s="1"/>
  <c r="G23" i="1"/>
  <c r="L23" i="1" s="1"/>
  <c r="L22" i="1"/>
</calcChain>
</file>

<file path=xl/sharedStrings.xml><?xml version="1.0" encoding="utf-8"?>
<sst xmlns="http://schemas.openxmlformats.org/spreadsheetml/2006/main" count="311" uniqueCount="193">
  <si>
    <t>Symbol</t>
  </si>
  <si>
    <t>Value</t>
  </si>
  <si>
    <t>Unit</t>
  </si>
  <si>
    <t>Per Channel Symbol</t>
  </si>
  <si>
    <t>Per Channel Value</t>
  </si>
  <si>
    <t>Per Channel Value with Min, Typical, and Max</t>
  </si>
  <si>
    <t>SBB0</t>
  </si>
  <si>
    <t>SBB1</t>
  </si>
  <si>
    <t>SBB2</t>
  </si>
  <si>
    <t>SBB0 Min.</t>
  </si>
  <si>
    <t>SBB0 Typ.</t>
  </si>
  <si>
    <t>SBB0 Max.</t>
  </si>
  <si>
    <t>SBB1 Min.</t>
  </si>
  <si>
    <t>SBB1 Typ.</t>
  </si>
  <si>
    <t>SBB1 Max.</t>
  </si>
  <si>
    <t>SBB2 Min.</t>
  </si>
  <si>
    <t>SBB2 Typ.</t>
  </si>
  <si>
    <t>SBB2 Max.</t>
  </si>
  <si>
    <t>Input Section</t>
  </si>
  <si>
    <r>
      <t>V</t>
    </r>
    <r>
      <rPr>
        <vertAlign val="subscript"/>
        <sz val="11"/>
        <rFont val="Calibri"/>
        <family val="2"/>
        <scheme val="minor"/>
      </rPr>
      <t>IN</t>
    </r>
  </si>
  <si>
    <t>V</t>
  </si>
  <si>
    <r>
      <t>V</t>
    </r>
    <r>
      <rPr>
        <vertAlign val="subscript"/>
        <sz val="11"/>
        <rFont val="Calibri"/>
        <family val="2"/>
        <scheme val="minor"/>
      </rPr>
      <t>OUT</t>
    </r>
  </si>
  <si>
    <t>L</t>
  </si>
  <si>
    <r>
      <rPr>
        <sz val="11"/>
        <color theme="1"/>
        <rFont val="Calibri"/>
        <family val="2"/>
      </rPr>
      <t>μ</t>
    </r>
    <r>
      <rPr>
        <sz val="11"/>
        <color theme="1"/>
        <rFont val="Calibri"/>
        <family val="2"/>
        <scheme val="minor"/>
      </rPr>
      <t>H</t>
    </r>
  </si>
  <si>
    <r>
      <t>I</t>
    </r>
    <r>
      <rPr>
        <vertAlign val="subscript"/>
        <sz val="11"/>
        <color theme="1"/>
        <rFont val="Calibri"/>
        <family val="2"/>
        <scheme val="minor"/>
      </rPr>
      <t>OUT</t>
    </r>
  </si>
  <si>
    <t>mA</t>
  </si>
  <si>
    <r>
      <t>r</t>
    </r>
    <r>
      <rPr>
        <vertAlign val="subscript"/>
        <sz val="11"/>
        <rFont val="Calibri"/>
        <family val="2"/>
        <scheme val="minor"/>
      </rPr>
      <t>L_DCR</t>
    </r>
  </si>
  <si>
    <t>mΩ</t>
  </si>
  <si>
    <t>μF</t>
  </si>
  <si>
    <r>
      <t>r</t>
    </r>
    <r>
      <rPr>
        <vertAlign val="subscript"/>
        <sz val="11"/>
        <color theme="1"/>
        <rFont val="Calibri"/>
        <family val="2"/>
        <scheme val="minor"/>
      </rPr>
      <t>C_ESR</t>
    </r>
  </si>
  <si>
    <r>
      <t>T</t>
    </r>
    <r>
      <rPr>
        <vertAlign val="subscript"/>
        <sz val="11"/>
        <rFont val="Calibri"/>
        <family val="2"/>
        <scheme val="minor"/>
      </rPr>
      <t>OPERATING</t>
    </r>
  </si>
  <si>
    <t>°C</t>
  </si>
  <si>
    <t>Yes</t>
  </si>
  <si>
    <t>Other Inputs</t>
  </si>
  <si>
    <t>Device</t>
  </si>
  <si>
    <t>MAX77654</t>
  </si>
  <si>
    <r>
      <t>I</t>
    </r>
    <r>
      <rPr>
        <vertAlign val="subscript"/>
        <sz val="11"/>
        <color theme="1"/>
        <rFont val="Calibri"/>
        <family val="2"/>
        <scheme val="minor"/>
      </rPr>
      <t>L_Peak</t>
    </r>
  </si>
  <si>
    <t>A</t>
  </si>
  <si>
    <t>Operating Mode</t>
  </si>
  <si>
    <t>Buck-Boost</t>
  </si>
  <si>
    <t>Buck</t>
  </si>
  <si>
    <t>Calculation Results</t>
  </si>
  <si>
    <t>Inductor Utilization</t>
  </si>
  <si>
    <t>Total Utilization</t>
  </si>
  <si>
    <t>%</t>
  </si>
  <si>
    <t>Utilization</t>
  </si>
  <si>
    <t>Current and Power</t>
  </si>
  <si>
    <r>
      <t>I</t>
    </r>
    <r>
      <rPr>
        <vertAlign val="subscript"/>
        <sz val="11"/>
        <color theme="1"/>
        <rFont val="Calibri"/>
        <family val="2"/>
        <scheme val="minor"/>
      </rPr>
      <t>OUT_Max</t>
    </r>
  </si>
  <si>
    <r>
      <t>P</t>
    </r>
    <r>
      <rPr>
        <vertAlign val="subscript"/>
        <sz val="11"/>
        <color theme="1"/>
        <rFont val="Calibri"/>
        <family val="2"/>
        <scheme val="minor"/>
      </rPr>
      <t>OUT_Max</t>
    </r>
  </si>
  <si>
    <t>W</t>
  </si>
  <si>
    <t>Output Voltage Ripple</t>
  </si>
  <si>
    <r>
      <t>V</t>
    </r>
    <r>
      <rPr>
        <vertAlign val="subscript"/>
        <sz val="11"/>
        <color theme="1"/>
        <rFont val="Calibri"/>
        <family val="2"/>
        <scheme val="minor"/>
      </rPr>
      <t>OUT_ripple_no_load</t>
    </r>
  </si>
  <si>
    <r>
      <t>mV</t>
    </r>
    <r>
      <rPr>
        <vertAlign val="subscript"/>
        <sz val="11"/>
        <color theme="1"/>
        <rFont val="Calibri"/>
        <family val="2"/>
      </rPr>
      <t>pp</t>
    </r>
  </si>
  <si>
    <r>
      <t>V</t>
    </r>
    <r>
      <rPr>
        <vertAlign val="subscript"/>
        <sz val="11"/>
        <color theme="1"/>
        <rFont val="Calibri"/>
        <family val="2"/>
        <scheme val="minor"/>
      </rPr>
      <t>OUT_ripple_w_load</t>
    </r>
  </si>
  <si>
    <r>
      <t>mV</t>
    </r>
    <r>
      <rPr>
        <vertAlign val="subscript"/>
        <sz val="11"/>
        <color theme="1"/>
        <rFont val="Calibri"/>
        <family val="2"/>
        <scheme val="minor"/>
      </rPr>
      <t>pp</t>
    </r>
  </si>
  <si>
    <r>
      <t>f</t>
    </r>
    <r>
      <rPr>
        <vertAlign val="subscript"/>
        <sz val="11"/>
        <color theme="1"/>
        <rFont val="Calibri"/>
        <family val="2"/>
        <scheme val="minor"/>
      </rPr>
      <t>OUT_ripple</t>
    </r>
  </si>
  <si>
    <t>kHz</t>
  </si>
  <si>
    <t>Output Voltage Soar and Droop</t>
  </si>
  <si>
    <r>
      <t>V</t>
    </r>
    <r>
      <rPr>
        <vertAlign val="subscript"/>
        <sz val="11"/>
        <color theme="1"/>
        <rFont val="Calibri"/>
        <family val="2"/>
        <scheme val="minor"/>
      </rPr>
      <t>OUT_Load_Reg</t>
    </r>
  </si>
  <si>
    <r>
      <t>V</t>
    </r>
    <r>
      <rPr>
        <vertAlign val="subscript"/>
        <sz val="11"/>
        <color theme="1"/>
        <rFont val="Calibri"/>
        <family val="2"/>
        <scheme val="minor"/>
      </rPr>
      <t>OUT_unserviced_droop</t>
    </r>
  </si>
  <si>
    <t>Soft Start and Maximum Capacitance</t>
  </si>
  <si>
    <r>
      <t>t</t>
    </r>
    <r>
      <rPr>
        <vertAlign val="subscript"/>
        <sz val="11"/>
        <color theme="1"/>
        <rFont val="Calibri"/>
        <family val="2"/>
        <scheme val="minor"/>
      </rPr>
      <t>ss</t>
    </r>
  </si>
  <si>
    <t>μs</t>
  </si>
  <si>
    <r>
      <t>I</t>
    </r>
    <r>
      <rPr>
        <vertAlign val="subscript"/>
        <sz val="11"/>
        <color theme="1"/>
        <rFont val="Calibri"/>
        <family val="2"/>
        <scheme val="minor"/>
      </rPr>
      <t>COUT_tss</t>
    </r>
  </si>
  <si>
    <r>
      <t>C</t>
    </r>
    <r>
      <rPr>
        <vertAlign val="subscript"/>
        <sz val="11"/>
        <color theme="1"/>
        <rFont val="Calibri"/>
        <family val="2"/>
        <scheme val="minor"/>
      </rPr>
      <t>OUT_Max_tss</t>
    </r>
  </si>
  <si>
    <r>
      <rPr>
        <sz val="11"/>
        <color theme="1"/>
        <rFont val="Calibri"/>
        <family val="2"/>
      </rPr>
      <t>μ</t>
    </r>
    <r>
      <rPr>
        <sz val="11"/>
        <color theme="1"/>
        <rFont val="Calibri"/>
        <family val="2"/>
        <scheme val="minor"/>
      </rPr>
      <t>F</t>
    </r>
  </si>
  <si>
    <t>Device Characteristics</t>
  </si>
  <si>
    <r>
      <t>t</t>
    </r>
    <r>
      <rPr>
        <vertAlign val="subscript"/>
        <sz val="11"/>
        <color theme="1"/>
        <rFont val="Calibri"/>
        <family val="2"/>
        <scheme val="minor"/>
      </rPr>
      <t>error_comp</t>
    </r>
  </si>
  <si>
    <t>s</t>
  </si>
  <si>
    <t>Channel enabled</t>
  </si>
  <si>
    <r>
      <t>r</t>
    </r>
    <r>
      <rPr>
        <vertAlign val="subscript"/>
        <sz val="11"/>
        <color theme="1"/>
        <rFont val="Calibri"/>
        <family val="2"/>
        <scheme val="minor"/>
      </rPr>
      <t>M1</t>
    </r>
  </si>
  <si>
    <t>Ω</t>
  </si>
  <si>
    <r>
      <t>r</t>
    </r>
    <r>
      <rPr>
        <vertAlign val="subscript"/>
        <sz val="11"/>
        <color theme="1"/>
        <rFont val="Calibri"/>
        <family val="2"/>
        <scheme val="minor"/>
      </rPr>
      <t>M2</t>
    </r>
  </si>
  <si>
    <r>
      <t>r</t>
    </r>
    <r>
      <rPr>
        <vertAlign val="subscript"/>
        <sz val="11"/>
        <color theme="1"/>
        <rFont val="Calibri"/>
        <family val="2"/>
        <scheme val="minor"/>
      </rPr>
      <t>M3</t>
    </r>
  </si>
  <si>
    <r>
      <t>r</t>
    </r>
    <r>
      <rPr>
        <vertAlign val="subscript"/>
        <sz val="11"/>
        <color theme="1"/>
        <rFont val="Calibri"/>
        <family val="2"/>
        <scheme val="minor"/>
      </rPr>
      <t>M4</t>
    </r>
  </si>
  <si>
    <r>
      <t>dV</t>
    </r>
    <r>
      <rPr>
        <vertAlign val="subscript"/>
        <sz val="11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>/dt</t>
    </r>
    <r>
      <rPr>
        <vertAlign val="subscript"/>
        <sz val="11"/>
        <color theme="1"/>
        <rFont val="Calibri"/>
        <family val="2"/>
        <scheme val="minor"/>
      </rPr>
      <t>ss</t>
    </r>
  </si>
  <si>
    <t>V/s</t>
  </si>
  <si>
    <t>Calculation Details</t>
  </si>
  <si>
    <t>Unit Conversion</t>
  </si>
  <si>
    <t>H</t>
  </si>
  <si>
    <r>
      <t>r</t>
    </r>
    <r>
      <rPr>
        <vertAlign val="subscript"/>
        <sz val="11"/>
        <color theme="1"/>
        <rFont val="Calibri"/>
        <family val="2"/>
        <scheme val="minor"/>
      </rPr>
      <t>L_DCR</t>
    </r>
  </si>
  <si>
    <r>
      <t>C</t>
    </r>
    <r>
      <rPr>
        <vertAlign val="subscript"/>
        <sz val="11"/>
        <color theme="1"/>
        <rFont val="Calibri"/>
        <family val="2"/>
        <scheme val="minor"/>
      </rPr>
      <t>OUT</t>
    </r>
  </si>
  <si>
    <t>F</t>
  </si>
  <si>
    <t>Output Voltage</t>
  </si>
  <si>
    <r>
      <t>V</t>
    </r>
    <r>
      <rPr>
        <vertAlign val="subscript"/>
        <sz val="11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 xml:space="preserve"> Accuracy</t>
    </r>
  </si>
  <si>
    <r>
      <t>V</t>
    </r>
    <r>
      <rPr>
        <vertAlign val="subscript"/>
        <sz val="11"/>
        <color theme="1"/>
        <rFont val="Calibri"/>
        <family val="2"/>
        <scheme val="minor"/>
      </rPr>
      <t>OUT_ERROR</t>
    </r>
  </si>
  <si>
    <t>Device Operating Mode</t>
  </si>
  <si>
    <t>Effective Capacitance</t>
  </si>
  <si>
    <r>
      <t>C</t>
    </r>
    <r>
      <rPr>
        <vertAlign val="subscript"/>
        <sz val="11"/>
        <color theme="1"/>
        <rFont val="Calibri"/>
        <family val="2"/>
        <scheme val="minor"/>
      </rPr>
      <t>OUT_EFF</t>
    </r>
  </si>
  <si>
    <t>Resistances</t>
  </si>
  <si>
    <r>
      <t>r</t>
    </r>
    <r>
      <rPr>
        <vertAlign val="subscript"/>
        <sz val="11"/>
        <color theme="1"/>
        <rFont val="Calibri"/>
        <family val="2"/>
        <scheme val="minor"/>
      </rPr>
      <t>CHG_Buck</t>
    </r>
  </si>
  <si>
    <r>
      <t>r</t>
    </r>
    <r>
      <rPr>
        <vertAlign val="subscript"/>
        <sz val="11"/>
        <color theme="1"/>
        <rFont val="Calibri"/>
        <family val="2"/>
        <scheme val="minor"/>
      </rPr>
      <t>DIS_Buck</t>
    </r>
  </si>
  <si>
    <r>
      <t>r</t>
    </r>
    <r>
      <rPr>
        <vertAlign val="subscript"/>
        <sz val="11"/>
        <color theme="1"/>
        <rFont val="Calibri"/>
        <family val="2"/>
        <scheme val="minor"/>
      </rPr>
      <t>CHG_BB</t>
    </r>
  </si>
  <si>
    <r>
      <t>r</t>
    </r>
    <r>
      <rPr>
        <vertAlign val="subscript"/>
        <sz val="11"/>
        <color theme="1"/>
        <rFont val="Calibri"/>
        <family val="2"/>
        <scheme val="minor"/>
      </rPr>
      <t>DIS_BB</t>
    </r>
  </si>
  <si>
    <r>
      <t>r</t>
    </r>
    <r>
      <rPr>
        <vertAlign val="subscript"/>
        <sz val="11"/>
        <color theme="1"/>
        <rFont val="Calibri"/>
        <family val="2"/>
        <scheme val="minor"/>
      </rPr>
      <t>CHG</t>
    </r>
  </si>
  <si>
    <r>
      <t>r</t>
    </r>
    <r>
      <rPr>
        <vertAlign val="subscript"/>
        <sz val="11"/>
        <color theme="1"/>
        <rFont val="Calibri"/>
        <family val="2"/>
        <scheme val="minor"/>
      </rPr>
      <t>DIS</t>
    </r>
  </si>
  <si>
    <t>Timing</t>
  </si>
  <si>
    <r>
      <t>t</t>
    </r>
    <r>
      <rPr>
        <vertAlign val="subscript"/>
        <sz val="11"/>
        <color theme="1"/>
        <rFont val="Calibri"/>
        <family val="2"/>
        <scheme val="minor"/>
      </rPr>
      <t>L_CHG_Buck</t>
    </r>
  </si>
  <si>
    <r>
      <t>t</t>
    </r>
    <r>
      <rPr>
        <vertAlign val="subscript"/>
        <sz val="11"/>
        <color theme="1"/>
        <rFont val="Calibri"/>
        <family val="2"/>
        <scheme val="minor"/>
      </rPr>
      <t>L_DIS_Buck</t>
    </r>
  </si>
  <si>
    <r>
      <t>t</t>
    </r>
    <r>
      <rPr>
        <vertAlign val="subscript"/>
        <sz val="11"/>
        <color theme="1"/>
        <rFont val="Calibri"/>
        <family val="2"/>
        <scheme val="minor"/>
      </rPr>
      <t>L_CHG_BB</t>
    </r>
  </si>
  <si>
    <r>
      <t>t</t>
    </r>
    <r>
      <rPr>
        <vertAlign val="subscript"/>
        <sz val="11"/>
        <color theme="1"/>
        <rFont val="Calibri"/>
        <family val="2"/>
        <scheme val="minor"/>
      </rPr>
      <t>L_DIS_BB</t>
    </r>
  </si>
  <si>
    <r>
      <t>t</t>
    </r>
    <r>
      <rPr>
        <vertAlign val="subscript"/>
        <sz val="11"/>
        <color theme="1"/>
        <rFont val="Calibri"/>
        <family val="2"/>
        <scheme val="minor"/>
      </rPr>
      <t>L_CHG</t>
    </r>
  </si>
  <si>
    <r>
      <t>t</t>
    </r>
    <r>
      <rPr>
        <vertAlign val="subscript"/>
        <sz val="11"/>
        <color theme="1"/>
        <rFont val="Calibri"/>
        <family val="2"/>
        <scheme val="minor"/>
      </rPr>
      <t>L_DIS</t>
    </r>
  </si>
  <si>
    <r>
      <t>t</t>
    </r>
    <r>
      <rPr>
        <vertAlign val="subscript"/>
        <sz val="11"/>
        <color theme="1"/>
        <rFont val="Calibri"/>
        <family val="2"/>
        <scheme val="minor"/>
      </rPr>
      <t>service</t>
    </r>
  </si>
  <si>
    <r>
      <t>t</t>
    </r>
    <r>
      <rPr>
        <vertAlign val="subscript"/>
        <sz val="11"/>
        <color theme="1"/>
        <rFont val="Calibri"/>
        <family val="2"/>
        <scheme val="minor"/>
      </rPr>
      <t>undershoot</t>
    </r>
  </si>
  <si>
    <t>Inductor Current</t>
  </si>
  <si>
    <r>
      <t>I</t>
    </r>
    <r>
      <rPr>
        <vertAlign val="subscript"/>
        <sz val="11"/>
        <color theme="1"/>
        <rFont val="Calibri"/>
        <family val="2"/>
        <scheme val="minor"/>
      </rPr>
      <t>L_dis_rms</t>
    </r>
  </si>
  <si>
    <t>Energy Transfer</t>
  </si>
  <si>
    <r>
      <t>E</t>
    </r>
    <r>
      <rPr>
        <vertAlign val="subscript"/>
        <sz val="11"/>
        <color theme="1"/>
        <rFont val="Calibri"/>
        <family val="2"/>
        <scheme val="minor"/>
      </rPr>
      <t>L_peak</t>
    </r>
  </si>
  <si>
    <t>J</t>
  </si>
  <si>
    <r>
      <t>E</t>
    </r>
    <r>
      <rPr>
        <vertAlign val="subscript"/>
        <sz val="11"/>
        <color theme="1"/>
        <rFont val="Calibri"/>
        <family val="2"/>
        <scheme val="minor"/>
      </rPr>
      <t>loss_cond_DIS</t>
    </r>
  </si>
  <si>
    <r>
      <t>E</t>
    </r>
    <r>
      <rPr>
        <vertAlign val="subscript"/>
        <sz val="11"/>
        <color theme="1"/>
        <rFont val="Calibri"/>
        <family val="2"/>
        <scheme val="minor"/>
      </rPr>
      <t>C_OUT_CHG_BUCK</t>
    </r>
  </si>
  <si>
    <r>
      <t>E</t>
    </r>
    <r>
      <rPr>
        <vertAlign val="subscript"/>
        <sz val="11"/>
        <color theme="1"/>
        <rFont val="Calibri"/>
        <family val="2"/>
        <scheme val="minor"/>
      </rPr>
      <t>OUT_CHG</t>
    </r>
  </si>
  <si>
    <r>
      <t>E</t>
    </r>
    <r>
      <rPr>
        <vertAlign val="subscript"/>
        <sz val="11"/>
        <color theme="1"/>
        <rFont val="Calibri"/>
        <family val="2"/>
        <scheme val="minor"/>
      </rPr>
      <t>load_DIS</t>
    </r>
  </si>
  <si>
    <r>
      <t>E</t>
    </r>
    <r>
      <rPr>
        <vertAlign val="subscript"/>
        <sz val="11"/>
        <color theme="1"/>
        <rFont val="Calibri"/>
        <family val="2"/>
        <scheme val="minor"/>
      </rPr>
      <t>OUT</t>
    </r>
  </si>
  <si>
    <r>
      <t>E</t>
    </r>
    <r>
      <rPr>
        <vertAlign val="subscript"/>
        <sz val="11"/>
        <color theme="1"/>
        <rFont val="Calibri"/>
        <family val="2"/>
        <scheme val="minor"/>
      </rPr>
      <t>C_OUT_Deliver</t>
    </r>
  </si>
  <si>
    <r>
      <t>E</t>
    </r>
    <r>
      <rPr>
        <vertAlign val="subscript"/>
        <sz val="11"/>
        <color theme="1"/>
        <rFont val="Calibri"/>
        <family val="2"/>
        <scheme val="minor"/>
      </rPr>
      <t>C_OUT</t>
    </r>
  </si>
  <si>
    <r>
      <t>E</t>
    </r>
    <r>
      <rPr>
        <vertAlign val="subscript"/>
        <sz val="11"/>
        <color theme="1"/>
        <rFont val="Calibri"/>
        <family val="2"/>
        <scheme val="minor"/>
      </rPr>
      <t>C_OUT_Peak</t>
    </r>
  </si>
  <si>
    <t>Unserviced Voltage Droop</t>
  </si>
  <si>
    <r>
      <t>V</t>
    </r>
    <r>
      <rPr>
        <vertAlign val="subscript"/>
        <sz val="11"/>
        <color theme="1"/>
        <rFont val="Calibri"/>
        <family val="2"/>
        <scheme val="minor"/>
      </rPr>
      <t>droop_wait_SBB0</t>
    </r>
  </si>
  <si>
    <r>
      <t>V</t>
    </r>
    <r>
      <rPr>
        <vertAlign val="subscript"/>
        <sz val="11"/>
        <color theme="1"/>
        <rFont val="Calibri"/>
        <family val="2"/>
        <scheme val="minor"/>
      </rPr>
      <t>droop_wait_SBB1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</si>
  <si>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11"/>
        <color theme="1"/>
        <rFont val="Calibri"/>
        <family val="2"/>
        <scheme val="minor"/>
      </rPr>
      <t>droop_wait_SBB2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</si>
  <si>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11"/>
        <color theme="1"/>
        <rFont val="Calibri"/>
        <family val="2"/>
        <scheme val="minor"/>
      </rPr>
      <t>droop_wait_SBB0-1</t>
    </r>
  </si>
  <si>
    <r>
      <t>V</t>
    </r>
    <r>
      <rPr>
        <vertAlign val="subscript"/>
        <sz val="11"/>
        <color theme="1"/>
        <rFont val="Calibri"/>
        <family val="2"/>
        <scheme val="minor"/>
      </rPr>
      <t>droop_wait_SBB0-2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</si>
  <si>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11"/>
        <color theme="1"/>
        <rFont val="Calibri"/>
        <family val="2"/>
        <scheme val="minor"/>
      </rPr>
      <t>droop_wait_SBB1-2</t>
    </r>
  </si>
  <si>
    <t>Part #'s</t>
  </si>
  <si>
    <t>MAX77650/1</t>
  </si>
  <si>
    <t>I peaks [A]</t>
  </si>
  <si>
    <t>User</t>
  </si>
  <si>
    <t>1727x</t>
  </si>
  <si>
    <t>MAX1727x</t>
  </si>
  <si>
    <r>
      <t>r</t>
    </r>
    <r>
      <rPr>
        <vertAlign val="subscript"/>
        <sz val="11"/>
        <color theme="1"/>
        <rFont val="Calibri"/>
        <family val="2"/>
        <scheme val="minor"/>
      </rPr>
      <t>M3_SBB0</t>
    </r>
  </si>
  <si>
    <r>
      <t>r</t>
    </r>
    <r>
      <rPr>
        <vertAlign val="subscript"/>
        <sz val="11"/>
        <color theme="1"/>
        <rFont val="Calibri"/>
        <family val="2"/>
        <scheme val="minor"/>
      </rPr>
      <t>M3_SBB1</t>
    </r>
    <r>
      <rPr>
        <sz val="11"/>
        <color theme="1"/>
        <rFont val="Calibri"/>
        <family val="2"/>
        <scheme val="minor"/>
      </rPr>
      <t/>
    </r>
  </si>
  <si>
    <r>
      <t>r</t>
    </r>
    <r>
      <rPr>
        <vertAlign val="subscript"/>
        <sz val="11"/>
        <color theme="1"/>
        <rFont val="Calibri"/>
        <family val="2"/>
        <scheme val="minor"/>
      </rPr>
      <t>M3_SBB2</t>
    </r>
    <r>
      <rPr>
        <sz val="11"/>
        <color theme="1"/>
        <rFont val="Calibri"/>
        <family val="2"/>
        <scheme val="minor"/>
      </rPr>
      <t/>
    </r>
  </si>
  <si>
    <t>Capacitor</t>
  </si>
  <si>
    <t>Possible</t>
  </si>
  <si>
    <t>Volt Rating</t>
  </si>
  <si>
    <t>Case Code</t>
  </si>
  <si>
    <t>Automatic</t>
  </si>
  <si>
    <t>0201</t>
  </si>
  <si>
    <t>0402</t>
  </si>
  <si>
    <t>0603</t>
  </si>
  <si>
    <t>Boost</t>
  </si>
  <si>
    <t>0805</t>
  </si>
  <si>
    <t>Static Output Voltage Accuracy [%]</t>
  </si>
  <si>
    <t>1005</t>
  </si>
  <si>
    <t>Temp</t>
  </si>
  <si>
    <t>-40 to 85</t>
  </si>
  <si>
    <t>alpha</t>
  </si>
  <si>
    <r>
      <t>V/s</t>
    </r>
    <r>
      <rPr>
        <vertAlign val="superscript"/>
        <sz val="11"/>
        <color theme="1"/>
        <rFont val="Calibri"/>
        <family val="2"/>
      </rPr>
      <t>2</t>
    </r>
  </si>
  <si>
    <r>
      <t>E</t>
    </r>
    <r>
      <rPr>
        <vertAlign val="subscript"/>
        <sz val="11"/>
        <color theme="1"/>
        <rFont val="Calibri"/>
        <family val="2"/>
        <scheme val="minor"/>
      </rPr>
      <t>OUT_DIS</t>
    </r>
  </si>
  <si>
    <r>
      <t>E</t>
    </r>
    <r>
      <rPr>
        <vertAlign val="subscript"/>
        <sz val="11"/>
        <color theme="1"/>
        <rFont val="Calibri"/>
        <family val="2"/>
        <scheme val="minor"/>
      </rPr>
      <t>OUT_CHG_Buck</t>
    </r>
  </si>
  <si>
    <r>
      <t>E</t>
    </r>
    <r>
      <rPr>
        <vertAlign val="subscript"/>
        <sz val="11"/>
        <color theme="1"/>
        <rFont val="Calibri"/>
        <family val="2"/>
        <scheme val="minor"/>
      </rPr>
      <t>OUT_CHG_BB</t>
    </r>
  </si>
  <si>
    <r>
      <t>E</t>
    </r>
    <r>
      <rPr>
        <vertAlign val="subscript"/>
        <sz val="11"/>
        <color theme="1"/>
        <rFont val="Calibri"/>
        <family val="2"/>
        <scheme val="minor"/>
      </rPr>
      <t>OUT_DIS_BB</t>
    </r>
  </si>
  <si>
    <r>
      <t>E</t>
    </r>
    <r>
      <rPr>
        <vertAlign val="subscript"/>
        <sz val="11"/>
        <color theme="1"/>
        <rFont val="Calibri"/>
        <family val="2"/>
        <scheme val="minor"/>
      </rPr>
      <t>OUT_DIS_Buck</t>
    </r>
  </si>
  <si>
    <r>
      <t>E</t>
    </r>
    <r>
      <rPr>
        <vertAlign val="subscript"/>
        <sz val="11"/>
        <color theme="1"/>
        <rFont val="Calibri"/>
        <family val="2"/>
        <scheme val="minor"/>
      </rPr>
      <t>loss_cond_CHG_Buck</t>
    </r>
  </si>
  <si>
    <r>
      <t>E</t>
    </r>
    <r>
      <rPr>
        <vertAlign val="subscript"/>
        <sz val="11"/>
        <color theme="1"/>
        <rFont val="Calibri"/>
        <family val="2"/>
        <scheme val="minor"/>
      </rPr>
      <t>load_CHG_Buck</t>
    </r>
  </si>
  <si>
    <r>
      <t>V</t>
    </r>
    <r>
      <rPr>
        <vertAlign val="subscript"/>
        <sz val="11"/>
        <color theme="1"/>
        <rFont val="Calibri"/>
        <family val="2"/>
        <scheme val="minor"/>
      </rPr>
      <t>OUT_peak</t>
    </r>
  </si>
  <si>
    <r>
      <t>V</t>
    </r>
    <r>
      <rPr>
        <vertAlign val="subscript"/>
        <sz val="11"/>
        <color theme="1"/>
        <rFont val="Calibri"/>
        <family val="2"/>
        <scheme val="minor"/>
      </rPr>
      <t>OUT_valley</t>
    </r>
  </si>
  <si>
    <t>Legend</t>
  </si>
  <si>
    <t>User Input</t>
  </si>
  <si>
    <t>Calculator Output</t>
  </si>
  <si>
    <t>For Drop-down</t>
  </si>
  <si>
    <t>Details about what each symbol means can be found by clicking on the symbol cells or the value cells (the cell with user input or calculated output).</t>
  </si>
  <si>
    <r>
      <t>C</t>
    </r>
    <r>
      <rPr>
        <vertAlign val="subscript"/>
        <sz val="11"/>
        <rFont val="Calibri"/>
        <family val="2"/>
        <scheme val="minor"/>
      </rPr>
      <t>OUT</t>
    </r>
    <r>
      <rPr>
        <sz val="11"/>
        <rFont val="Calibri"/>
        <family val="2"/>
        <scheme val="minor"/>
      </rPr>
      <t xml:space="preserve"> Effective</t>
    </r>
  </si>
  <si>
    <t>Channel Enabled?</t>
  </si>
  <si>
    <t>ULPM Output Voltage Accuracy</t>
  </si>
  <si>
    <t>min</t>
  </si>
  <si>
    <t>typ</t>
  </si>
  <si>
    <t>max</t>
  </si>
  <si>
    <t>650/1, 640/1, 680/1, 278</t>
  </si>
  <si>
    <t>Programmable Output Voltage Range</t>
  </si>
  <si>
    <t>SBB0 min</t>
  </si>
  <si>
    <t>SBB0 max</t>
  </si>
  <si>
    <t>SBB1 min</t>
  </si>
  <si>
    <t>SBB1 max</t>
  </si>
  <si>
    <t>SBB2 min</t>
  </si>
  <si>
    <t>SBB2 max</t>
  </si>
  <si>
    <t>MAX77650/640/680</t>
  </si>
  <si>
    <t>MAX77651/641/681</t>
  </si>
  <si>
    <t>MAX77278</t>
  </si>
  <si>
    <t>1.412V - 2.200V</t>
  </si>
  <si>
    <t>0.850V - 4.000V</t>
  </si>
  <si>
    <t>2.350V - 5.500V</t>
  </si>
  <si>
    <t>0.800V - 5.500V</t>
  </si>
  <si>
    <t>MAX17270</t>
  </si>
  <si>
    <t>MAX17271</t>
  </si>
  <si>
    <t>0.800V - 4.600V</t>
  </si>
  <si>
    <t>0.800V - 5.175V</t>
  </si>
  <si>
    <t>2.400V - 5.250V</t>
  </si>
  <si>
    <t>0.800V - 3.950V</t>
  </si>
  <si>
    <t>0.800V - 1.588V</t>
  </si>
  <si>
    <t>0.800V - 2.375V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</si>
</sst>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"/>
    <numFmt numFmtId="165" formatCode="0.0%"/>
    <numFmt numFmtId="166" formatCode="0.00000"/>
    <numFmt numFmtId="167" formatCode="0.0000"/>
    <numFmt numFmtId="168" formatCode="0.0"/>
    <numFmt numFmtId="169" formatCode="0.000%"/>
    <numFmt numFmtId="170" formatCode="0.00000000"/>
    <numFmt numFmtId="171" formatCode="0.000E+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3"/>
      <color theme="0" tint="-4.9989318521683403E-2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sz val="11"/>
      <name val="Calibri"/>
      <family val="2"/>
    </font>
    <font>
      <vertAlign val="superscript"/>
      <sz val="11"/>
      <color theme="1"/>
      <name val="Calibri"/>
      <family val="2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C6E0B4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ck">
        <color theme="4"/>
      </bottom>
      <diagonal/>
    </border>
    <border>
      <left/>
      <right style="medium">
        <color indexed="64"/>
      </right>
      <top/>
      <bottom style="thick">
        <color theme="4"/>
      </bottom>
      <diagonal/>
    </border>
    <border>
      <left style="medium">
        <color indexed="64"/>
      </left>
      <right/>
      <top/>
      <bottom style="thick">
        <color theme="4" tint="0.499984740745262"/>
      </bottom>
      <diagonal/>
    </border>
    <border>
      <left/>
      <right style="medium">
        <color indexed="64"/>
      </right>
      <top/>
      <bottom style="thick">
        <color theme="4" tint="0.499984740745262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/>
      <right style="medium">
        <color indexed="64"/>
      </right>
      <top/>
      <bottom style="medium">
        <color theme="4" tint="0.39997558519241921"/>
      </bottom>
      <diagonal/>
    </border>
    <border>
      <left style="medium">
        <color indexed="64"/>
      </left>
      <right/>
      <top style="thick">
        <color theme="4" tint="0.499984740745262"/>
      </top>
      <bottom style="medium">
        <color theme="4" tint="0.39997558519241921"/>
      </bottom>
      <diagonal/>
    </border>
    <border>
      <left/>
      <right/>
      <top style="thick">
        <color theme="4" tint="0.499984740745262"/>
      </top>
      <bottom style="medium">
        <color theme="4" tint="0.39997558519241921"/>
      </bottom>
      <diagonal/>
    </border>
    <border>
      <left/>
      <right style="medium">
        <color indexed="64"/>
      </right>
      <top style="thick">
        <color theme="4" tint="0.499984740745262"/>
      </top>
      <bottom style="medium">
        <color theme="4" tint="0.39997558519241921"/>
      </bottom>
      <diagonal/>
    </border>
    <border>
      <left/>
      <right style="thin">
        <color rgb="FF7F7F7F"/>
      </right>
      <top style="medium">
        <color theme="4" tint="0.39997558519241921"/>
      </top>
      <bottom/>
      <diagonal/>
    </border>
    <border>
      <left/>
      <right style="thin">
        <color rgb="FF7F7F7F"/>
      </right>
      <top/>
      <bottom/>
      <diagonal/>
    </border>
    <border>
      <left/>
      <right/>
      <top style="medium">
        <color indexed="64"/>
      </top>
      <bottom style="thin">
        <color theme="4" tint="0.39997558519241921"/>
      </bottom>
      <diagonal/>
    </border>
    <border>
      <left/>
      <right style="thin">
        <color rgb="FFB2B2B2"/>
      </right>
      <top style="medium">
        <color theme="4" tint="0.3999755851924192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medium">
        <color theme="4" tint="0.39997558519241921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medium">
        <color indexed="64"/>
      </right>
      <top style="medium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theme="4" tint="0.39997558519241921"/>
      </top>
      <bottom/>
      <diagonal/>
    </border>
    <border>
      <left/>
      <right/>
      <top style="medium">
        <color theme="4" tint="0.3999755851924192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5" fillId="0" borderId="15" applyNumberFormat="0" applyFill="0" applyAlignment="0" applyProtection="0"/>
    <xf numFmtId="0" fontId="6" fillId="0" borderId="16" applyNumberFormat="0" applyFill="0" applyAlignment="0" applyProtection="0"/>
    <xf numFmtId="0" fontId="7" fillId="0" borderId="17" applyNumberFormat="0" applyFill="0" applyAlignment="0" applyProtection="0"/>
    <xf numFmtId="0" fontId="8" fillId="4" borderId="18" applyNumberFormat="0" applyAlignment="0" applyProtection="0"/>
    <xf numFmtId="0" fontId="9" fillId="5" borderId="19" applyNumberFormat="0" applyAlignment="0" applyProtection="0"/>
    <xf numFmtId="0" fontId="10" fillId="5" borderId="18" applyNumberFormat="0" applyAlignment="0" applyProtection="0"/>
    <xf numFmtId="0" fontId="1" fillId="6" borderId="20" applyNumberFormat="0" applyFont="0" applyAlignment="0" applyProtection="0"/>
    <xf numFmtId="0" fontId="11" fillId="0" borderId="0" applyNumberFormat="0" applyFill="0" applyBorder="0" applyAlignment="0" applyProtection="0"/>
  </cellStyleXfs>
  <cellXfs count="224">
    <xf numFmtId="0" fontId="0" fillId="0" borderId="0" xfId="0"/>
    <xf numFmtId="0" fontId="0" fillId="3" borderId="0" xfId="0" applyFill="1"/>
    <xf numFmtId="0" fontId="0" fillId="3" borderId="0" xfId="0" applyFill="1" applyAlignment="1">
      <alignment horizontal="left" vertical="center"/>
    </xf>
    <xf numFmtId="0" fontId="0" fillId="2" borderId="0" xfId="0" applyFill="1"/>
    <xf numFmtId="0" fontId="0" fillId="2" borderId="7" xfId="0" applyFill="1" applyBorder="1"/>
    <xf numFmtId="164" fontId="0" fillId="3" borderId="9" xfId="0" applyNumberFormat="1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164" fontId="0" fillId="3" borderId="10" xfId="0" applyNumberFormat="1" applyFill="1" applyBorder="1"/>
    <xf numFmtId="164" fontId="0" fillId="3" borderId="11" xfId="0" applyNumberFormat="1" applyFill="1" applyBorder="1"/>
    <xf numFmtId="164" fontId="0" fillId="3" borderId="13" xfId="0" applyNumberFormat="1" applyFill="1" applyBorder="1"/>
    <xf numFmtId="164" fontId="0" fillId="3" borderId="14" xfId="0" applyNumberFormat="1" applyFill="1" applyBorder="1"/>
    <xf numFmtId="0" fontId="0" fillId="3" borderId="11" xfId="0" quotePrefix="1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quotePrefix="1" applyFill="1" applyBorder="1"/>
    <xf numFmtId="0" fontId="0" fillId="3" borderId="14" xfId="0" applyFill="1" applyBorder="1"/>
    <xf numFmtId="0" fontId="0" fillId="2" borderId="0" xfId="0" applyFill="1" applyAlignment="1">
      <alignment horizontal="left"/>
    </xf>
    <xf numFmtId="10" fontId="0" fillId="2" borderId="0" xfId="1" applyNumberFormat="1" applyFont="1" applyFill="1"/>
    <xf numFmtId="11" fontId="0" fillId="3" borderId="9" xfId="0" applyNumberFormat="1" applyFill="1" applyBorder="1"/>
    <xf numFmtId="0" fontId="3" fillId="3" borderId="10" xfId="0" applyFont="1" applyFill="1" applyBorder="1"/>
    <xf numFmtId="0" fontId="0" fillId="3" borderId="12" xfId="0" quotePrefix="1" applyFill="1" applyBorder="1"/>
    <xf numFmtId="10" fontId="0" fillId="3" borderId="9" xfId="1" applyNumberFormat="1" applyFont="1" applyFill="1" applyBorder="1"/>
    <xf numFmtId="169" fontId="0" fillId="3" borderId="0" xfId="1" applyNumberFormat="1" applyFont="1" applyFill="1"/>
    <xf numFmtId="168" fontId="0" fillId="2" borderId="0" xfId="0" applyNumberFormat="1" applyFill="1"/>
    <xf numFmtId="164" fontId="0" fillId="6" borderId="20" xfId="8" applyNumberFormat="1" applyFont="1"/>
    <xf numFmtId="0" fontId="0" fillId="6" borderId="20" xfId="8" applyFont="1"/>
    <xf numFmtId="170" fontId="0" fillId="6" borderId="20" xfId="8" applyNumberFormat="1" applyFont="1"/>
    <xf numFmtId="167" fontId="0" fillId="6" borderId="20" xfId="8" applyNumberFormat="1" applyFont="1"/>
    <xf numFmtId="10" fontId="0" fillId="6" borderId="20" xfId="8" applyNumberFormat="1" applyFont="1"/>
    <xf numFmtId="0" fontId="0" fillId="6" borderId="20" xfId="8" applyFont="1" applyAlignment="1">
      <alignment horizontal="right"/>
    </xf>
    <xf numFmtId="171" fontId="0" fillId="6" borderId="20" xfId="8" applyNumberFormat="1" applyFont="1"/>
    <xf numFmtId="0" fontId="12" fillId="7" borderId="2" xfId="0" applyFont="1" applyFill="1" applyBorder="1" applyAlignment="1">
      <alignment vertical="center"/>
    </xf>
    <xf numFmtId="0" fontId="12" fillId="7" borderId="0" xfId="0" applyFont="1" applyFill="1" applyAlignment="1">
      <alignment vertical="center"/>
    </xf>
    <xf numFmtId="0" fontId="13" fillId="7" borderId="15" xfId="2" applyFont="1" applyFill="1"/>
    <xf numFmtId="0" fontId="0" fillId="10" borderId="4" xfId="0" applyFill="1" applyBorder="1"/>
    <xf numFmtId="0" fontId="0" fillId="10" borderId="0" xfId="0" applyFill="1"/>
    <xf numFmtId="0" fontId="0" fillId="10" borderId="0" xfId="0" applyFill="1" applyAlignment="1">
      <alignment horizontal="left" vertical="center"/>
    </xf>
    <xf numFmtId="0" fontId="0" fillId="10" borderId="5" xfId="0" applyFill="1" applyBorder="1"/>
    <xf numFmtId="0" fontId="3" fillId="10" borderId="5" xfId="0" applyFont="1" applyFill="1" applyBorder="1"/>
    <xf numFmtId="0" fontId="0" fillId="11" borderId="4" xfId="0" applyFill="1" applyBorder="1"/>
    <xf numFmtId="0" fontId="0" fillId="11" borderId="0" xfId="0" applyFill="1"/>
    <xf numFmtId="0" fontId="0" fillId="11" borderId="0" xfId="0" applyFill="1" applyAlignment="1">
      <alignment horizontal="left" vertical="center"/>
    </xf>
    <xf numFmtId="0" fontId="0" fillId="11" borderId="5" xfId="0" applyFill="1" applyBorder="1"/>
    <xf numFmtId="0" fontId="3" fillId="11" borderId="5" xfId="0" applyFont="1" applyFill="1" applyBorder="1"/>
    <xf numFmtId="0" fontId="2" fillId="10" borderId="4" xfId="0" applyFont="1" applyFill="1" applyBorder="1"/>
    <xf numFmtId="0" fontId="3" fillId="10" borderId="0" xfId="0" applyFont="1" applyFill="1"/>
    <xf numFmtId="0" fontId="16" fillId="11" borderId="0" xfId="0" applyFont="1" applyFill="1"/>
    <xf numFmtId="0" fontId="16" fillId="11" borderId="4" xfId="0" applyFont="1" applyFill="1" applyBorder="1"/>
    <xf numFmtId="0" fontId="18" fillId="11" borderId="0" xfId="0" applyFont="1" applyFill="1"/>
    <xf numFmtId="0" fontId="16" fillId="11" borderId="0" xfId="0" applyFont="1" applyFill="1" applyAlignment="1">
      <alignment horizontal="left" vertical="center"/>
    </xf>
    <xf numFmtId="0" fontId="12" fillId="11" borderId="0" xfId="0" applyFont="1" applyFill="1"/>
    <xf numFmtId="0" fontId="18" fillId="11" borderId="5" xfId="0" applyFont="1" applyFill="1" applyBorder="1"/>
    <xf numFmtId="0" fontId="16" fillId="10" borderId="5" xfId="0" applyFont="1" applyFill="1" applyBorder="1"/>
    <xf numFmtId="0" fontId="16" fillId="11" borderId="5" xfId="0" applyFont="1" applyFill="1" applyBorder="1"/>
    <xf numFmtId="0" fontId="18" fillId="10" borderId="5" xfId="0" applyFont="1" applyFill="1" applyBorder="1"/>
    <xf numFmtId="0" fontId="3" fillId="11" borderId="0" xfId="0" applyFont="1" applyFill="1"/>
    <xf numFmtId="0" fontId="0" fillId="10" borderId="0" xfId="0" applyFill="1" applyAlignment="1">
      <alignment horizontal="left"/>
    </xf>
    <xf numFmtId="164" fontId="0" fillId="10" borderId="0" xfId="0" applyNumberFormat="1" applyFill="1"/>
    <xf numFmtId="164" fontId="0" fillId="11" borderId="0" xfId="0" applyNumberFormat="1" applyFill="1"/>
    <xf numFmtId="171" fontId="0" fillId="11" borderId="0" xfId="0" applyNumberFormat="1" applyFill="1"/>
    <xf numFmtId="0" fontId="0" fillId="11" borderId="4" xfId="0" applyFill="1" applyBorder="1" applyAlignment="1">
      <alignment horizontal="left"/>
    </xf>
    <xf numFmtId="0" fontId="0" fillId="11" borderId="0" xfId="0" applyFill="1" applyAlignment="1">
      <alignment horizontal="left"/>
    </xf>
    <xf numFmtId="0" fontId="0" fillId="11" borderId="4" xfId="0" applyFill="1" applyBorder="1" applyAlignment="1">
      <alignment horizontal="left" vertical="center"/>
    </xf>
    <xf numFmtId="0" fontId="3" fillId="11" borderId="0" xfId="0" applyFont="1" applyFill="1" applyAlignment="1">
      <alignment horizontal="left" vertical="center"/>
    </xf>
    <xf numFmtId="0" fontId="3" fillId="11" borderId="4" xfId="0" applyFont="1" applyFill="1" applyBorder="1"/>
    <xf numFmtId="11" fontId="0" fillId="10" borderId="0" xfId="0" applyNumberFormat="1" applyFill="1"/>
    <xf numFmtId="11" fontId="11" fillId="11" borderId="20" xfId="9" applyNumberFormat="1" applyFill="1" applyBorder="1"/>
    <xf numFmtId="9" fontId="11" fillId="11" borderId="20" xfId="9" applyNumberFormat="1" applyFill="1" applyBorder="1"/>
    <xf numFmtId="11" fontId="11" fillId="10" borderId="20" xfId="9" applyNumberFormat="1" applyFill="1" applyBorder="1"/>
    <xf numFmtId="166" fontId="11" fillId="10" borderId="20" xfId="9" applyNumberFormat="1" applyFill="1" applyBorder="1"/>
    <xf numFmtId="169" fontId="0" fillId="3" borderId="9" xfId="1" applyNumberFormat="1" applyFont="1" applyFill="1" applyBorder="1"/>
    <xf numFmtId="169" fontId="0" fillId="6" borderId="9" xfId="8" applyNumberFormat="1" applyFont="1" applyBorder="1"/>
    <xf numFmtId="0" fontId="10" fillId="5" borderId="9" xfId="7" applyBorder="1"/>
    <xf numFmtId="169" fontId="10" fillId="5" borderId="9" xfId="7" applyNumberFormat="1" applyBorder="1"/>
    <xf numFmtId="0" fontId="0" fillId="6" borderId="9" xfId="8" applyFont="1" applyBorder="1"/>
    <xf numFmtId="169" fontId="0" fillId="3" borderId="11" xfId="1" applyNumberFormat="1" applyFont="1" applyFill="1" applyBorder="1"/>
    <xf numFmtId="169" fontId="0" fillId="6" borderId="11" xfId="8" applyNumberFormat="1" applyFont="1" applyBorder="1"/>
    <xf numFmtId="0" fontId="10" fillId="5" borderId="11" xfId="7" applyBorder="1"/>
    <xf numFmtId="169" fontId="10" fillId="5" borderId="11" xfId="7" applyNumberFormat="1" applyBorder="1"/>
    <xf numFmtId="0" fontId="0" fillId="6" borderId="11" xfId="8" applyFont="1" applyBorder="1"/>
    <xf numFmtId="0" fontId="10" fillId="5" borderId="13" xfId="7" applyBorder="1"/>
    <xf numFmtId="0" fontId="10" fillId="5" borderId="14" xfId="7" applyBorder="1"/>
    <xf numFmtId="168" fontId="8" fillId="2" borderId="0" xfId="5" applyNumberFormat="1" applyFill="1" applyBorder="1" applyProtection="1">
      <protection locked="0"/>
    </xf>
    <xf numFmtId="0" fontId="0" fillId="12" borderId="0" xfId="0" applyFill="1"/>
    <xf numFmtId="0" fontId="0" fillId="12" borderId="4" xfId="0" applyFill="1" applyBorder="1"/>
    <xf numFmtId="0" fontId="0" fillId="12" borderId="0" xfId="0" applyFill="1" applyAlignment="1">
      <alignment horizontal="left" vertical="center"/>
    </xf>
    <xf numFmtId="0" fontId="3" fillId="12" borderId="5" xfId="0" applyFont="1" applyFill="1" applyBorder="1"/>
    <xf numFmtId="0" fontId="0" fillId="13" borderId="0" xfId="0" applyFill="1"/>
    <xf numFmtId="0" fontId="0" fillId="13" borderId="0" xfId="0" applyFill="1" applyAlignment="1">
      <alignment horizontal="left" vertical="center"/>
    </xf>
    <xf numFmtId="0" fontId="3" fillId="13" borderId="5" xfId="0" applyFont="1" applyFill="1" applyBorder="1"/>
    <xf numFmtId="167" fontId="8" fillId="4" borderId="18" xfId="5" applyNumberFormat="1" applyProtection="1">
      <protection locked="0"/>
    </xf>
    <xf numFmtId="164" fontId="8" fillId="4" borderId="18" xfId="5" applyNumberFormat="1" applyProtection="1">
      <protection locked="0"/>
    </xf>
    <xf numFmtId="164" fontId="16" fillId="6" borderId="20" xfId="8" applyNumberFormat="1" applyFont="1"/>
    <xf numFmtId="2" fontId="8" fillId="4" borderId="18" xfId="5" applyNumberFormat="1" applyProtection="1">
      <protection locked="0"/>
    </xf>
    <xf numFmtId="0" fontId="8" fillId="4" borderId="18" xfId="5" applyProtection="1">
      <protection locked="0"/>
    </xf>
    <xf numFmtId="168" fontId="8" fillId="4" borderId="18" xfId="5" applyNumberFormat="1" applyProtection="1">
      <protection locked="0"/>
    </xf>
    <xf numFmtId="165" fontId="9" fillId="5" borderId="19" xfId="6" applyNumberFormat="1"/>
    <xf numFmtId="164" fontId="9" fillId="5" borderId="19" xfId="6" applyNumberFormat="1"/>
    <xf numFmtId="165" fontId="9" fillId="5" borderId="19" xfId="6" applyNumberFormat="1" applyAlignment="1">
      <alignment horizontal="right"/>
    </xf>
    <xf numFmtId="164" fontId="9" fillId="5" borderId="19" xfId="6" applyNumberFormat="1" applyAlignment="1">
      <alignment horizontal="right"/>
    </xf>
    <xf numFmtId="168" fontId="9" fillId="5" borderId="19" xfId="6" applyNumberFormat="1"/>
    <xf numFmtId="168" fontId="9" fillId="5" borderId="19" xfId="6" applyNumberFormat="1" applyAlignment="1">
      <alignment horizontal="right"/>
    </xf>
    <xf numFmtId="0" fontId="0" fillId="11" borderId="6" xfId="0" applyFill="1" applyBorder="1"/>
    <xf numFmtId="0" fontId="0" fillId="11" borderId="7" xfId="0" applyFill="1" applyBorder="1"/>
    <xf numFmtId="0" fontId="0" fillId="11" borderId="7" xfId="0" applyFill="1" applyBorder="1" applyAlignment="1">
      <alignment horizontal="left" vertical="center"/>
    </xf>
    <xf numFmtId="0" fontId="0" fillId="11" borderId="8" xfId="0" applyFill="1" applyBorder="1"/>
    <xf numFmtId="168" fontId="8" fillId="13" borderId="0" xfId="5" applyNumberFormat="1" applyFill="1" applyBorder="1" applyProtection="1">
      <protection locked="0"/>
    </xf>
    <xf numFmtId="0" fontId="0" fillId="11" borderId="36" xfId="0" applyFill="1" applyBorder="1"/>
    <xf numFmtId="0" fontId="0" fillId="10" borderId="34" xfId="0" applyFill="1" applyBorder="1"/>
    <xf numFmtId="0" fontId="0" fillId="3" borderId="37" xfId="0" applyFill="1" applyBorder="1"/>
    <xf numFmtId="0" fontId="0" fillId="3" borderId="38" xfId="0" applyFill="1" applyBorder="1"/>
    <xf numFmtId="0" fontId="0" fillId="3" borderId="39" xfId="0" applyFill="1" applyBorder="1"/>
    <xf numFmtId="0" fontId="3" fillId="11" borderId="43" xfId="0" applyFont="1" applyFill="1" applyBorder="1"/>
    <xf numFmtId="164" fontId="0" fillId="13" borderId="40" xfId="8" applyNumberFormat="1" applyFont="1" applyFill="1" applyBorder="1"/>
    <xf numFmtId="164" fontId="0" fillId="13" borderId="41" xfId="8" applyNumberFormat="1" applyFont="1" applyFill="1" applyBorder="1"/>
    <xf numFmtId="164" fontId="0" fillId="13" borderId="42" xfId="8" applyNumberFormat="1" applyFont="1" applyFill="1" applyBorder="1"/>
    <xf numFmtId="164" fontId="0" fillId="3" borderId="0" xfId="0" applyNumberFormat="1" applyFill="1"/>
    <xf numFmtId="0" fontId="0" fillId="3" borderId="44" xfId="0" applyFill="1" applyBorder="1"/>
    <xf numFmtId="0" fontId="0" fillId="3" borderId="47" xfId="0" applyFill="1" applyBorder="1"/>
    <xf numFmtId="0" fontId="16" fillId="3" borderId="0" xfId="0" applyFont="1" applyFill="1"/>
    <xf numFmtId="9" fontId="0" fillId="3" borderId="9" xfId="0" applyNumberFormat="1" applyFill="1" applyBorder="1"/>
    <xf numFmtId="0" fontId="13" fillId="7" borderId="35" xfId="2" applyFont="1" applyFill="1" applyBorder="1" applyAlignment="1">
      <alignment horizontal="center"/>
    </xf>
    <xf numFmtId="168" fontId="9" fillId="5" borderId="52" xfId="6" applyNumberFormat="1" applyBorder="1"/>
    <xf numFmtId="0" fontId="8" fillId="4" borderId="9" xfId="5" applyBorder="1"/>
    <xf numFmtId="0" fontId="9" fillId="5" borderId="9" xfId="6" applyBorder="1"/>
    <xf numFmtId="0" fontId="0" fillId="3" borderId="55" xfId="0" applyFill="1" applyBorder="1"/>
    <xf numFmtId="0" fontId="0" fillId="3" borderId="45" xfId="0" applyFill="1" applyBorder="1"/>
    <xf numFmtId="0" fontId="0" fillId="3" borderId="53" xfId="0" applyFill="1" applyBorder="1"/>
    <xf numFmtId="0" fontId="3" fillId="3" borderId="54" xfId="0" applyFont="1" applyFill="1" applyBorder="1"/>
    <xf numFmtId="0" fontId="0" fillId="3" borderId="59" xfId="0" applyFill="1" applyBorder="1"/>
    <xf numFmtId="0" fontId="0" fillId="3" borderId="57" xfId="0" applyFill="1" applyBorder="1"/>
    <xf numFmtId="0" fontId="0" fillId="3" borderId="54" xfId="0" quotePrefix="1" applyFill="1" applyBorder="1"/>
    <xf numFmtId="10" fontId="0" fillId="3" borderId="55" xfId="1" applyNumberFormat="1" applyFont="1" applyFill="1" applyBorder="1"/>
    <xf numFmtId="9" fontId="0" fillId="3" borderId="55" xfId="0" applyNumberFormat="1" applyFill="1" applyBorder="1"/>
    <xf numFmtId="165" fontId="16" fillId="3" borderId="9" xfId="1" applyNumberFormat="1" applyFont="1" applyFill="1" applyBorder="1"/>
    <xf numFmtId="165" fontId="0" fillId="3" borderId="9" xfId="1" applyNumberFormat="1" applyFont="1" applyFill="1" applyBorder="1"/>
    <xf numFmtId="165" fontId="16" fillId="3" borderId="11" xfId="1" applyNumberFormat="1" applyFont="1" applyFill="1" applyBorder="1"/>
    <xf numFmtId="0" fontId="0" fillId="3" borderId="10" xfId="0" quotePrefix="1" applyFill="1" applyBorder="1"/>
    <xf numFmtId="165" fontId="0" fillId="3" borderId="11" xfId="1" applyNumberFormat="1" applyFont="1" applyFill="1" applyBorder="1"/>
    <xf numFmtId="165" fontId="16" fillId="3" borderId="13" xfId="1" applyNumberFormat="1" applyFont="1" applyFill="1" applyBorder="1"/>
    <xf numFmtId="165" fontId="0" fillId="3" borderId="13" xfId="1" applyNumberFormat="1" applyFont="1" applyFill="1" applyBorder="1"/>
    <xf numFmtId="165" fontId="0" fillId="3" borderId="14" xfId="1" applyNumberFormat="1" applyFont="1" applyFill="1" applyBorder="1"/>
    <xf numFmtId="164" fontId="16" fillId="3" borderId="9" xfId="1" applyNumberFormat="1" applyFont="1" applyFill="1" applyBorder="1"/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Border="1"/>
    <xf numFmtId="0" fontId="0" fillId="3" borderId="5" xfId="0" applyFill="1" applyBorder="1" applyAlignment="1">
      <alignment horizontal="center" vertical="center"/>
    </xf>
    <xf numFmtId="0" fontId="0" fillId="3" borderId="4" xfId="0" applyFill="1" applyBorder="1"/>
    <xf numFmtId="0" fontId="15" fillId="8" borderId="0" xfId="0" applyFont="1" applyFill="1" applyBorder="1" applyAlignment="1">
      <alignment horizontal="center" vertical="center"/>
    </xf>
    <xf numFmtId="0" fontId="15" fillId="8" borderId="5" xfId="0" applyFont="1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1" borderId="67" xfId="0" applyFill="1" applyBorder="1" applyAlignment="1">
      <alignment horizontal="center" vertical="center"/>
    </xf>
    <xf numFmtId="0" fontId="0" fillId="3" borderId="67" xfId="0" applyFill="1" applyBorder="1" applyAlignment="1">
      <alignment horizontal="center" vertical="center"/>
    </xf>
    <xf numFmtId="0" fontId="0" fillId="10" borderId="67" xfId="0" applyFill="1" applyBorder="1" applyAlignment="1">
      <alignment horizontal="center" vertical="center"/>
    </xf>
    <xf numFmtId="0" fontId="0" fillId="10" borderId="66" xfId="0" applyFill="1" applyBorder="1" applyAlignment="1">
      <alignment horizontal="center" vertical="center"/>
    </xf>
    <xf numFmtId="0" fontId="0" fillId="11" borderId="69" xfId="0" applyFill="1" applyBorder="1" applyAlignment="1">
      <alignment horizontal="center" vertical="center"/>
    </xf>
    <xf numFmtId="0" fontId="0" fillId="3" borderId="69" xfId="0" applyFill="1" applyBorder="1" applyAlignment="1">
      <alignment horizontal="center" vertical="center"/>
    </xf>
    <xf numFmtId="0" fontId="0" fillId="10" borderId="69" xfId="0" applyFill="1" applyBorder="1" applyAlignment="1">
      <alignment horizontal="center" vertical="center"/>
    </xf>
    <xf numFmtId="0" fontId="0" fillId="10" borderId="6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13" fillId="7" borderId="1" xfId="2" applyFont="1" applyFill="1" applyBorder="1" applyAlignment="1">
      <alignment horizontal="center" vertical="center"/>
    </xf>
    <xf numFmtId="0" fontId="13" fillId="7" borderId="24" xfId="2" applyFont="1" applyFill="1" applyBorder="1" applyAlignment="1">
      <alignment horizontal="center" vertical="center"/>
    </xf>
    <xf numFmtId="0" fontId="14" fillId="9" borderId="26" xfId="3" applyFont="1" applyFill="1" applyBorder="1" applyAlignment="1">
      <alignment horizontal="center"/>
    </xf>
    <xf numFmtId="0" fontId="14" fillId="9" borderId="16" xfId="3" applyFont="1" applyFill="1" applyAlignment="1">
      <alignment horizontal="center"/>
    </xf>
    <xf numFmtId="0" fontId="14" fillId="9" borderId="27" xfId="3" applyFont="1" applyFill="1" applyBorder="1" applyAlignment="1">
      <alignment horizontal="center"/>
    </xf>
    <xf numFmtId="0" fontId="14" fillId="9" borderId="26" xfId="3" applyFont="1" applyFill="1" applyBorder="1" applyAlignment="1">
      <alignment horizontal="center" vertical="center"/>
    </xf>
    <xf numFmtId="0" fontId="14" fillId="9" borderId="16" xfId="3" applyFont="1" applyFill="1" applyAlignment="1">
      <alignment horizontal="center" vertical="center"/>
    </xf>
    <xf numFmtId="0" fontId="14" fillId="9" borderId="27" xfId="3" applyFont="1" applyFill="1" applyBorder="1" applyAlignment="1">
      <alignment horizontal="center" vertical="center"/>
    </xf>
    <xf numFmtId="0" fontId="13" fillId="7" borderId="35" xfId="2" applyFont="1" applyFill="1" applyBorder="1" applyAlignment="1">
      <alignment horizontal="center" vertical="center"/>
    </xf>
    <xf numFmtId="0" fontId="13" fillId="7" borderId="35" xfId="2" applyFont="1" applyFill="1" applyBorder="1" applyAlignment="1">
      <alignment horizontal="center"/>
    </xf>
    <xf numFmtId="0" fontId="13" fillId="7" borderId="2" xfId="2" applyFont="1" applyFill="1" applyBorder="1" applyAlignment="1">
      <alignment horizontal="center" vertical="center"/>
    </xf>
    <xf numFmtId="0" fontId="13" fillId="7" borderId="15" xfId="2" applyFont="1" applyFill="1" applyAlignment="1">
      <alignment horizontal="center" vertical="center"/>
    </xf>
    <xf numFmtId="0" fontId="13" fillId="7" borderId="3" xfId="2" applyFont="1" applyFill="1" applyBorder="1" applyAlignment="1">
      <alignment horizontal="center" vertical="center"/>
    </xf>
    <xf numFmtId="0" fontId="13" fillId="7" borderId="25" xfId="2" applyFont="1" applyFill="1" applyBorder="1" applyAlignment="1">
      <alignment horizontal="center" vertical="center"/>
    </xf>
    <xf numFmtId="0" fontId="0" fillId="3" borderId="0" xfId="0" applyFill="1" applyBorder="1" applyAlignment="1">
      <alignment horizontal="left"/>
    </xf>
    <xf numFmtId="0" fontId="0" fillId="3" borderId="9" xfId="0" applyFill="1" applyBorder="1" applyAlignment="1">
      <alignment horizontal="left" vertical="top" wrapText="1"/>
    </xf>
    <xf numFmtId="0" fontId="15" fillId="8" borderId="28" xfId="4" applyFont="1" applyFill="1" applyBorder="1" applyAlignment="1">
      <alignment horizontal="center"/>
    </xf>
    <xf numFmtId="0" fontId="15" fillId="8" borderId="17" xfId="4" applyFont="1" applyFill="1" applyAlignment="1">
      <alignment horizontal="center"/>
    </xf>
    <xf numFmtId="0" fontId="15" fillId="8" borderId="29" xfId="4" applyFont="1" applyFill="1" applyBorder="1" applyAlignment="1">
      <alignment horizontal="center"/>
    </xf>
    <xf numFmtId="0" fontId="15" fillId="8" borderId="30" xfId="4" applyFont="1" applyFill="1" applyBorder="1" applyAlignment="1">
      <alignment horizontal="center"/>
    </xf>
    <xf numFmtId="0" fontId="15" fillId="8" borderId="31" xfId="4" applyFont="1" applyFill="1" applyBorder="1" applyAlignment="1">
      <alignment horizontal="center"/>
    </xf>
    <xf numFmtId="0" fontId="15" fillId="8" borderId="32" xfId="4" applyFont="1" applyFill="1" applyBorder="1" applyAlignment="1">
      <alignment horizontal="center"/>
    </xf>
    <xf numFmtId="0" fontId="0" fillId="11" borderId="4" xfId="0" applyFill="1" applyBorder="1" applyAlignment="1">
      <alignment horizontal="left" vertical="center"/>
    </xf>
    <xf numFmtId="0" fontId="0" fillId="11" borderId="0" xfId="0" applyFill="1" applyBorder="1" applyAlignment="1">
      <alignment horizontal="left" vertical="center"/>
    </xf>
    <xf numFmtId="0" fontId="15" fillId="8" borderId="4" xfId="0" applyFont="1" applyFill="1" applyBorder="1" applyAlignment="1">
      <alignment horizontal="center"/>
    </xf>
    <xf numFmtId="0" fontId="15" fillId="8" borderId="0" xfId="0" applyFont="1" applyFill="1" applyBorder="1" applyAlignment="1">
      <alignment horizontal="center"/>
    </xf>
    <xf numFmtId="0" fontId="21" fillId="7" borderId="63" xfId="0" applyFont="1" applyFill="1" applyBorder="1" applyAlignment="1">
      <alignment horizontal="center" vertical="center"/>
    </xf>
    <xf numFmtId="0" fontId="21" fillId="7" borderId="64" xfId="0" applyFont="1" applyFill="1" applyBorder="1" applyAlignment="1">
      <alignment horizontal="center" vertical="center"/>
    </xf>
    <xf numFmtId="0" fontId="21" fillId="7" borderId="65" xfId="0" applyFont="1" applyFill="1" applyBorder="1" applyAlignment="1">
      <alignment horizontal="center" vertical="center"/>
    </xf>
    <xf numFmtId="0" fontId="0" fillId="10" borderId="34" xfId="0" applyFill="1" applyBorder="1" applyAlignment="1">
      <alignment horizontal="left" vertical="center"/>
    </xf>
    <xf numFmtId="0" fontId="0" fillId="11" borderId="33" xfId="0" applyFill="1" applyBorder="1" applyAlignment="1">
      <alignment horizontal="left" vertical="center"/>
    </xf>
    <xf numFmtId="0" fontId="0" fillId="11" borderId="34" xfId="0" applyFill="1" applyBorder="1" applyAlignment="1">
      <alignment horizontal="left" vertical="center"/>
    </xf>
    <xf numFmtId="0" fontId="0" fillId="10" borderId="6" xfId="0" applyFill="1" applyBorder="1" applyAlignment="1">
      <alignment horizontal="left" vertical="center"/>
    </xf>
    <xf numFmtId="0" fontId="0" fillId="10" borderId="7" xfId="0" applyFill="1" applyBorder="1" applyAlignment="1">
      <alignment horizontal="left" vertical="center"/>
    </xf>
    <xf numFmtId="0" fontId="0" fillId="10" borderId="4" xfId="0" applyFill="1" applyBorder="1" applyAlignment="1">
      <alignment horizontal="left" vertical="center"/>
    </xf>
    <xf numFmtId="0" fontId="0" fillId="10" borderId="0" xfId="0" applyFill="1" applyBorder="1" applyAlignment="1">
      <alignment horizontal="left" vertical="center"/>
    </xf>
    <xf numFmtId="0" fontId="14" fillId="9" borderId="16" xfId="3" applyFont="1" applyFill="1" applyBorder="1" applyAlignment="1">
      <alignment horizontal="center"/>
    </xf>
    <xf numFmtId="0" fontId="0" fillId="11" borderId="50" xfId="0" applyFill="1" applyBorder="1" applyAlignment="1">
      <alignment horizontal="right" vertical="center"/>
    </xf>
    <xf numFmtId="0" fontId="0" fillId="11" borderId="51" xfId="0" applyFill="1" applyBorder="1" applyAlignment="1">
      <alignment horizontal="right" vertical="center"/>
    </xf>
    <xf numFmtId="0" fontId="0" fillId="11" borderId="4" xfId="0" applyFill="1" applyBorder="1" applyAlignment="1">
      <alignment horizontal="right" vertical="center"/>
    </xf>
    <xf numFmtId="0" fontId="0" fillId="11" borderId="0" xfId="0" applyFill="1" applyAlignment="1">
      <alignment horizontal="right" vertical="center"/>
    </xf>
    <xf numFmtId="0" fontId="0" fillId="10" borderId="4" xfId="0" applyFill="1" applyBorder="1" applyAlignment="1">
      <alignment horizontal="right" vertical="center"/>
    </xf>
    <xf numFmtId="0" fontId="0" fillId="10" borderId="0" xfId="0" applyFill="1" applyAlignment="1">
      <alignment horizontal="right" vertical="center"/>
    </xf>
    <xf numFmtId="0" fontId="0" fillId="13" borderId="4" xfId="0" applyFill="1" applyBorder="1" applyAlignment="1">
      <alignment horizontal="right" vertical="center"/>
    </xf>
    <xf numFmtId="0" fontId="0" fillId="13" borderId="0" xfId="0" applyFill="1" applyAlignment="1">
      <alignment horizontal="right" vertical="center"/>
    </xf>
    <xf numFmtId="0" fontId="0" fillId="3" borderId="49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0" fillId="3" borderId="46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0" fillId="3" borderId="58" xfId="0" applyFill="1" applyBorder="1" applyAlignment="1">
      <alignment horizontal="center"/>
    </xf>
    <xf numFmtId="0" fontId="0" fillId="3" borderId="48" xfId="0" applyFill="1" applyBorder="1" applyAlignment="1">
      <alignment horizontal="center"/>
    </xf>
    <xf numFmtId="0" fontId="0" fillId="3" borderId="56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6" fillId="3" borderId="60" xfId="0" applyFont="1" applyFill="1" applyBorder="1" applyAlignment="1">
      <alignment horizontal="center"/>
    </xf>
    <xf numFmtId="0" fontId="16" fillId="3" borderId="61" xfId="0" applyFont="1" applyFill="1" applyBorder="1" applyAlignment="1">
      <alignment horizontal="center"/>
    </xf>
    <xf numFmtId="0" fontId="16" fillId="3" borderId="62" xfId="0" applyFont="1" applyFill="1" applyBorder="1" applyAlignment="1">
      <alignment horizontal="center"/>
    </xf>
  </cellXfs>
  <cellStyles count="10">
    <cellStyle name="Calculation" xfId="7" builtinId="22"/>
    <cellStyle name="Explanatory Text" xfId="9" builtinId="53"/>
    <cellStyle name="Heading 1" xfId="2" builtinId="16"/>
    <cellStyle name="Heading 2" xfId="3" builtinId="17"/>
    <cellStyle name="Heading 3" xfId="4" builtinId="18"/>
    <cellStyle name="Input" xfId="5" builtinId="20"/>
    <cellStyle name="Normal" xfId="0" builtinId="0"/>
    <cellStyle name="Note" xfId="8" builtinId="10"/>
    <cellStyle name="Output" xfId="6" builtinId="21"/>
    <cellStyle name="Percent" xfId="1" builtinId="5"/>
  </cellStyles>
  <dxfs count="9">
    <dxf>
      <font>
        <color theme="7" tint="-0.499984740745262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70AD47"/>
      <color rgb="FFFFC7CE"/>
      <color rgb="FFC6E0B4"/>
      <color rgb="FFA9D08E"/>
      <color rgb="FFFF7D7D"/>
      <color rgb="FF365422"/>
      <color rgb="FF548235"/>
      <color rgb="FF879AB3"/>
      <color rgb="FF588838"/>
      <color rgb="FF7388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0FF87-0DBD-4801-8A7A-B9C722B284A2}">
  <sheetPr codeName="Sheet1">
    <outlinePr summaryBelow="0"/>
  </sheetPr>
  <dimension ref="B1:AD44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U8" sqref="U8"/>
    </sheetView>
  </sheetViews>
  <sheetFormatPr defaultColWidth="8.7265625" defaultRowHeight="14.5" outlineLevelRow="2" outlineLevelCol="1" x14ac:dyDescent="0.35"/>
  <cols>
    <col min="1" max="1" width="2.453125" style="1" customWidth="1"/>
    <col min="2" max="2" width="14.54296875" style="1" bestFit="1" customWidth="1"/>
    <col min="3" max="3" width="11.54296875" style="1" bestFit="1" customWidth="1"/>
    <col min="4" max="4" width="5.81640625" style="1" bestFit="1" customWidth="1"/>
    <col min="5" max="5" width="2.26953125" style="1" customWidth="1"/>
    <col min="6" max="6" width="23.81640625" style="2" bestFit="1" customWidth="1"/>
    <col min="7" max="9" width="11.81640625" style="1" bestFit="1" customWidth="1"/>
    <col min="10" max="10" width="0.81640625" style="1" hidden="1" customWidth="1" outlineLevel="1"/>
    <col min="11" max="11" width="12.54296875" style="1" hidden="1" customWidth="1" outlineLevel="1"/>
    <col min="12" max="12" width="12.1796875" style="1" hidden="1" customWidth="1" outlineLevel="1"/>
    <col min="13" max="13" width="13.1796875" style="1" hidden="1" customWidth="1" outlineLevel="1"/>
    <col min="14" max="14" width="12.54296875" style="1" hidden="1" customWidth="1" outlineLevel="1"/>
    <col min="15" max="15" width="12.1796875" style="1" hidden="1" customWidth="1" outlineLevel="1"/>
    <col min="16" max="16" width="13.1796875" style="1" hidden="1" customWidth="1" outlineLevel="1"/>
    <col min="17" max="17" width="12.54296875" style="1" hidden="1" customWidth="1" outlineLevel="1"/>
    <col min="18" max="18" width="12.1796875" style="1" hidden="1" customWidth="1" outlineLevel="1"/>
    <col min="19" max="19" width="13.1796875" style="1" hidden="1" customWidth="1" outlineLevel="1"/>
    <col min="20" max="20" width="5.81640625" style="1" bestFit="1" customWidth="1" collapsed="1"/>
    <col min="21" max="21" width="8.7265625" style="1"/>
    <col min="22" max="22" width="6.7265625" style="1" bestFit="1" customWidth="1"/>
    <col min="23" max="23" width="15.90625" style="1" bestFit="1" customWidth="1"/>
    <col min="24" max="30" width="13.7265625" style="1" bestFit="1" customWidth="1"/>
    <col min="31" max="37" width="8.7265625" style="1"/>
    <col min="38" max="40" width="11.81640625" style="1" bestFit="1" customWidth="1"/>
    <col min="41" max="16384" width="8.7265625" style="1"/>
  </cols>
  <sheetData>
    <row r="1" spans="2:30" ht="15" thickBot="1" x14ac:dyDescent="0.4"/>
    <row r="2" spans="2:30" ht="19.5" x14ac:dyDescent="0.45">
      <c r="B2" s="164" t="s">
        <v>0</v>
      </c>
      <c r="C2" s="174" t="s">
        <v>1</v>
      </c>
      <c r="D2" s="174" t="s">
        <v>2</v>
      </c>
      <c r="E2" s="33"/>
      <c r="F2" s="174" t="s">
        <v>3</v>
      </c>
      <c r="G2" s="172" t="s">
        <v>4</v>
      </c>
      <c r="H2" s="172"/>
      <c r="I2" s="172"/>
      <c r="J2" s="123"/>
      <c r="K2" s="173" t="s">
        <v>5</v>
      </c>
      <c r="L2" s="173"/>
      <c r="M2" s="173"/>
      <c r="N2" s="173"/>
      <c r="O2" s="173"/>
      <c r="P2" s="173"/>
      <c r="Q2" s="173"/>
      <c r="R2" s="173"/>
      <c r="S2" s="123"/>
      <c r="T2" s="176" t="s">
        <v>2</v>
      </c>
    </row>
    <row r="3" spans="2:30" ht="20" thickBot="1" x14ac:dyDescent="0.5">
      <c r="B3" s="165"/>
      <c r="C3" s="175"/>
      <c r="D3" s="175"/>
      <c r="E3" s="34"/>
      <c r="F3" s="175"/>
      <c r="G3" s="35" t="s">
        <v>6</v>
      </c>
      <c r="H3" s="35" t="s">
        <v>7</v>
      </c>
      <c r="I3" s="35" t="s">
        <v>8</v>
      </c>
      <c r="J3" s="35"/>
      <c r="K3" s="35" t="s">
        <v>9</v>
      </c>
      <c r="L3" s="35" t="s">
        <v>10</v>
      </c>
      <c r="M3" s="35" t="s">
        <v>11</v>
      </c>
      <c r="N3" s="35" t="s">
        <v>12</v>
      </c>
      <c r="O3" s="35" t="s">
        <v>13</v>
      </c>
      <c r="P3" s="35" t="s">
        <v>14</v>
      </c>
      <c r="Q3" s="35" t="s">
        <v>15</v>
      </c>
      <c r="R3" s="35" t="s">
        <v>16</v>
      </c>
      <c r="S3" s="35" t="s">
        <v>17</v>
      </c>
      <c r="T3" s="177"/>
    </row>
    <row r="4" spans="2:30" ht="18" thickTop="1" thickBot="1" x14ac:dyDescent="0.4">
      <c r="B4" s="169" t="s">
        <v>18</v>
      </c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1"/>
    </row>
    <row r="5" spans="2:30" ht="17" thickTop="1" x14ac:dyDescent="0.45">
      <c r="B5" s="49" t="s">
        <v>19</v>
      </c>
      <c r="C5" s="92">
        <v>3.7</v>
      </c>
      <c r="D5" s="48" t="s">
        <v>20</v>
      </c>
      <c r="E5" s="3"/>
      <c r="F5" s="51" t="s">
        <v>21</v>
      </c>
      <c r="G5" s="93">
        <v>1.8</v>
      </c>
      <c r="H5" s="93">
        <v>1.2</v>
      </c>
      <c r="I5" s="93">
        <v>3.3</v>
      </c>
      <c r="J5" s="3"/>
      <c r="K5" s="94">
        <f>VOUT_SBB0-VOUT_ERROR_SBB0</f>
        <v>1.7550000000000001</v>
      </c>
      <c r="L5" s="94">
        <f>VOUT_SBB0</f>
        <v>1.8</v>
      </c>
      <c r="M5" s="94">
        <f>VOUT_SBB0+VOUT_ERROR_SBB0</f>
        <v>1.845</v>
      </c>
      <c r="N5" s="94">
        <f>VOUT_SBB1-VOUT_ERROR_SBB1</f>
        <v>1.17</v>
      </c>
      <c r="O5" s="94">
        <f>VOUT_SBB1</f>
        <v>1.2</v>
      </c>
      <c r="P5" s="94">
        <f>VOUT_SBB1+VOUT_ERROR_SBB1</f>
        <v>1.23</v>
      </c>
      <c r="Q5" s="94">
        <f>VOUT_SBB2-VOUT_ERROR_SBB2</f>
        <v>3.2174999999999998</v>
      </c>
      <c r="R5" s="94">
        <f>VOUT_SBB2</f>
        <v>3.3</v>
      </c>
      <c r="S5" s="94">
        <f>VOUT_SBB2+VOUT_ERROR_SBB2</f>
        <v>3.3824999999999998</v>
      </c>
      <c r="T5" s="53" t="s">
        <v>20</v>
      </c>
      <c r="V5" s="163" t="s">
        <v>159</v>
      </c>
      <c r="W5" s="125" t="s">
        <v>160</v>
      </c>
    </row>
    <row r="6" spans="2:30" ht="16.5" x14ac:dyDescent="0.35">
      <c r="B6" s="36" t="s">
        <v>22</v>
      </c>
      <c r="C6" s="95">
        <v>2.2000000000000002</v>
      </c>
      <c r="D6" s="37" t="s">
        <v>23</v>
      </c>
      <c r="E6" s="3"/>
      <c r="F6" s="38" t="s">
        <v>24</v>
      </c>
      <c r="G6" s="97">
        <v>100</v>
      </c>
      <c r="H6" s="97">
        <v>55</v>
      </c>
      <c r="I6" s="97">
        <v>40</v>
      </c>
      <c r="J6" s="3"/>
      <c r="K6" s="37"/>
      <c r="L6" s="37"/>
      <c r="M6" s="37"/>
      <c r="N6" s="37"/>
      <c r="O6" s="37"/>
      <c r="P6" s="37"/>
      <c r="Q6" s="37"/>
      <c r="R6" s="37"/>
      <c r="S6" s="37"/>
      <c r="T6" s="54" t="s">
        <v>25</v>
      </c>
      <c r="V6" s="163"/>
      <c r="W6" s="126" t="s">
        <v>161</v>
      </c>
    </row>
    <row r="7" spans="2:30" ht="16.5" x14ac:dyDescent="0.45">
      <c r="B7" s="49" t="s">
        <v>26</v>
      </c>
      <c r="C7" s="96">
        <v>116</v>
      </c>
      <c r="D7" s="50" t="s">
        <v>27</v>
      </c>
      <c r="E7" s="3"/>
      <c r="F7" s="51" t="s">
        <v>164</v>
      </c>
      <c r="G7" s="97">
        <v>13.827999999999999</v>
      </c>
      <c r="H7" s="97">
        <v>13.8</v>
      </c>
      <c r="I7" s="97">
        <v>13.8</v>
      </c>
      <c r="J7" s="84">
        <v>8.1999999999999993</v>
      </c>
      <c r="K7" s="108"/>
      <c r="L7" s="108"/>
      <c r="M7" s="108"/>
      <c r="N7" s="108"/>
      <c r="O7" s="108"/>
      <c r="P7" s="108"/>
      <c r="Q7" s="108"/>
      <c r="R7" s="108"/>
      <c r="S7" s="108"/>
      <c r="T7" s="55" t="s">
        <v>28</v>
      </c>
    </row>
    <row r="8" spans="2:30" ht="16.5" x14ac:dyDescent="0.45">
      <c r="B8" s="46"/>
      <c r="C8" s="37"/>
      <c r="D8" s="47"/>
      <c r="E8" s="3"/>
      <c r="F8" s="38" t="s">
        <v>29</v>
      </c>
      <c r="G8" s="96">
        <v>5</v>
      </c>
      <c r="H8" s="96">
        <v>5</v>
      </c>
      <c r="I8" s="96">
        <v>5</v>
      </c>
      <c r="J8" s="3"/>
      <c r="K8" s="37"/>
      <c r="L8" s="37"/>
      <c r="M8" s="37"/>
      <c r="N8" s="37"/>
      <c r="O8" s="37"/>
      <c r="P8" s="37"/>
      <c r="Q8" s="37"/>
      <c r="R8" s="37"/>
      <c r="S8" s="37"/>
      <c r="T8" s="56" t="s">
        <v>27</v>
      </c>
      <c r="V8" s="178"/>
      <c r="W8" s="178"/>
      <c r="X8" s="178"/>
      <c r="Y8" s="178"/>
    </row>
    <row r="9" spans="2:30" ht="16.5" x14ac:dyDescent="0.45">
      <c r="B9" s="49" t="s">
        <v>30</v>
      </c>
      <c r="C9" s="96">
        <v>25</v>
      </c>
      <c r="D9" s="50" t="s">
        <v>31</v>
      </c>
      <c r="E9" s="3"/>
      <c r="F9" s="51" t="s">
        <v>165</v>
      </c>
      <c r="G9" s="96" t="s">
        <v>32</v>
      </c>
      <c r="H9" s="96" t="s">
        <v>32</v>
      </c>
      <c r="I9" s="96" t="s">
        <v>32</v>
      </c>
      <c r="J9" s="3"/>
      <c r="K9" s="52"/>
      <c r="L9" s="52"/>
      <c r="M9" s="52"/>
      <c r="N9" s="52"/>
      <c r="O9" s="52"/>
      <c r="P9" s="52"/>
      <c r="Q9" s="52"/>
      <c r="R9" s="52"/>
      <c r="S9" s="52"/>
      <c r="T9" s="55"/>
      <c r="V9" s="179" t="s">
        <v>163</v>
      </c>
      <c r="W9" s="179"/>
      <c r="X9" s="179"/>
      <c r="Y9" s="179"/>
    </row>
    <row r="10" spans="2:30" ht="17.5" thickBot="1" x14ac:dyDescent="0.45">
      <c r="B10" s="166" t="s">
        <v>33</v>
      </c>
      <c r="C10" s="167"/>
      <c r="D10" s="167"/>
      <c r="E10" s="167"/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7"/>
      <c r="R10" s="167"/>
      <c r="S10" s="167"/>
      <c r="T10" s="168"/>
      <c r="V10" s="179"/>
      <c r="W10" s="179"/>
      <c r="X10" s="179"/>
      <c r="Y10" s="179"/>
    </row>
    <row r="11" spans="2:30" ht="17" outlineLevel="1" thickTop="1" x14ac:dyDescent="0.45">
      <c r="B11" s="41" t="s">
        <v>34</v>
      </c>
      <c r="C11" s="96" t="s">
        <v>35</v>
      </c>
      <c r="D11" s="42"/>
      <c r="E11" s="3"/>
      <c r="F11" s="42" t="s">
        <v>36</v>
      </c>
      <c r="G11" s="93">
        <v>0.75</v>
      </c>
      <c r="H11" s="93">
        <v>0.5</v>
      </c>
      <c r="I11" s="93">
        <v>0.5</v>
      </c>
      <c r="J11" s="3"/>
      <c r="K11" s="42"/>
      <c r="L11" s="42"/>
      <c r="M11" s="42"/>
      <c r="N11" s="42"/>
      <c r="O11" s="42"/>
      <c r="P11" s="42"/>
      <c r="Q11" s="42"/>
      <c r="R11" s="42"/>
      <c r="S11" s="42"/>
      <c r="T11" s="45" t="s">
        <v>37</v>
      </c>
      <c r="V11" s="179"/>
      <c r="W11" s="179"/>
      <c r="X11" s="179"/>
      <c r="Y11" s="179"/>
    </row>
    <row r="12" spans="2:30" outlineLevel="1" x14ac:dyDescent="0.35">
      <c r="B12" s="36"/>
      <c r="C12" s="37"/>
      <c r="D12" s="37"/>
      <c r="E12" s="3"/>
      <c r="F12" s="110" t="s">
        <v>38</v>
      </c>
      <c r="G12" s="93" t="s">
        <v>40</v>
      </c>
      <c r="H12" s="93" t="s">
        <v>40</v>
      </c>
      <c r="I12" s="93" t="s">
        <v>39</v>
      </c>
      <c r="J12" s="3"/>
      <c r="K12" s="37"/>
      <c r="L12" s="37"/>
      <c r="M12" s="37"/>
      <c r="N12" s="37"/>
      <c r="O12" s="37"/>
      <c r="P12" s="37"/>
      <c r="Q12" s="37"/>
      <c r="R12" s="37"/>
      <c r="S12" s="37"/>
      <c r="T12" s="40"/>
      <c r="V12" s="179"/>
      <c r="W12" s="179"/>
      <c r="X12" s="179"/>
      <c r="Y12" s="179"/>
    </row>
    <row r="13" spans="2:30" ht="17.5" thickBot="1" x14ac:dyDescent="0.45">
      <c r="B13" s="166" t="s">
        <v>41</v>
      </c>
      <c r="C13" s="167"/>
      <c r="D13" s="167"/>
      <c r="E13" s="167"/>
      <c r="F13" s="167"/>
      <c r="G13" s="167"/>
      <c r="H13" s="167"/>
      <c r="I13" s="167"/>
      <c r="J13" s="167"/>
      <c r="K13" s="167"/>
      <c r="L13" s="167"/>
      <c r="M13" s="167"/>
      <c r="N13" s="167"/>
      <c r="O13" s="167"/>
      <c r="P13" s="167"/>
      <c r="Q13" s="167"/>
      <c r="R13" s="167"/>
      <c r="S13" s="167"/>
      <c r="T13" s="168"/>
    </row>
    <row r="14" spans="2:30" ht="16.5" outlineLevel="1" thickTop="1" thickBot="1" x14ac:dyDescent="0.4">
      <c r="B14" s="183" t="s">
        <v>42</v>
      </c>
      <c r="C14" s="184"/>
      <c r="D14" s="184"/>
      <c r="E14" s="184"/>
      <c r="F14" s="184"/>
      <c r="G14" s="184"/>
      <c r="H14" s="184"/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84"/>
      <c r="T14" s="185"/>
      <c r="V14" s="190" t="s">
        <v>171</v>
      </c>
      <c r="W14" s="191"/>
      <c r="X14" s="191"/>
      <c r="Y14" s="191"/>
      <c r="Z14" s="192"/>
      <c r="AA14" s="145"/>
      <c r="AB14" s="145"/>
      <c r="AC14" s="145"/>
      <c r="AD14" s="145"/>
    </row>
    <row r="15" spans="2:30" outlineLevel="2" x14ac:dyDescent="0.35">
      <c r="B15" s="41" t="s">
        <v>43</v>
      </c>
      <c r="C15" s="98">
        <f>SUM(G15:I15)</f>
        <v>0.79052819343844927</v>
      </c>
      <c r="D15" s="42"/>
      <c r="E15" s="3"/>
      <c r="F15" s="43" t="s">
        <v>45</v>
      </c>
      <c r="G15" s="98">
        <f>IF(EN_SBB0,IOUT_SBB0/IOUT_Max_SBB0,0)</f>
        <v>0.2602638096028615</v>
      </c>
      <c r="H15" s="98">
        <f>IF(EN_SBB1,IOUT_SBB1/IOUT_Max_SBB1,0)</f>
        <v>0.22022663082947311</v>
      </c>
      <c r="I15" s="98">
        <f>IF(EN_SBB2,IOUT_SBB2/IOUT_Max_SBB2,0)</f>
        <v>0.31003775300611469</v>
      </c>
      <c r="J15" s="19"/>
      <c r="K15" s="98">
        <f>IOUT_SBB0/IOUT_Max_SBB0_MIN</f>
        <v>0.26076643202718203</v>
      </c>
      <c r="L15" s="98">
        <f>G15</f>
        <v>0.2602638096028615</v>
      </c>
      <c r="M15" s="98">
        <f>IOUT_SBB0/IOUT_Max_SBB0_MAX</f>
        <v>0.25974872958211254</v>
      </c>
      <c r="N15" s="98">
        <f>IOUT_SBB1/IOUT_Max_SBB1_MIN</f>
        <v>0.22040803715075541</v>
      </c>
      <c r="O15" s="98">
        <f>H15</f>
        <v>0.22022663082947311</v>
      </c>
      <c r="P15" s="98">
        <f>IOUT_SBB1/IOUT_Max_SBB1_MAX</f>
        <v>0.22004873529473051</v>
      </c>
      <c r="Q15" s="98">
        <f>IOUT_SBB2/IOUT_Max_SBB2_MIN</f>
        <v>0.16104563683386797</v>
      </c>
      <c r="R15" s="98">
        <f>I15</f>
        <v>0.31003775300611469</v>
      </c>
      <c r="S15" s="98">
        <f>IOUT_SBB2/IOUT_Max_SBB2_MAX</f>
        <v>0.16099343024590532</v>
      </c>
      <c r="T15" s="44"/>
      <c r="V15" s="188"/>
      <c r="W15" s="189"/>
      <c r="X15" s="150" t="s">
        <v>6</v>
      </c>
      <c r="Y15" s="150" t="s">
        <v>7</v>
      </c>
      <c r="Z15" s="151" t="s">
        <v>8</v>
      </c>
    </row>
    <row r="16" spans="2:30" ht="15" outlineLevel="1" collapsed="1" thickBot="1" x14ac:dyDescent="0.4">
      <c r="B16" s="180" t="s">
        <v>46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V16" s="186" t="s">
        <v>178</v>
      </c>
      <c r="W16" s="187"/>
      <c r="X16" s="155" t="s">
        <v>192</v>
      </c>
      <c r="Y16" s="159" t="s">
        <v>191</v>
      </c>
      <c r="Z16" s="152" t="s">
        <v>190</v>
      </c>
    </row>
    <row r="17" spans="2:30" ht="16.5" hidden="1" customHeight="1" outlineLevel="2" x14ac:dyDescent="0.35">
      <c r="B17" s="36"/>
      <c r="C17" s="37"/>
      <c r="D17" s="37"/>
      <c r="E17" s="3"/>
      <c r="F17" s="38" t="s">
        <v>47</v>
      </c>
      <c r="G17" s="99">
        <f>IF(EN_SBB0,POUT_MAX_SBB0/VOUT_SBB0,0)</f>
        <v>0.38422552929118631</v>
      </c>
      <c r="H17" s="99">
        <f>IF(EN_SBB1,POUT_MAX_SBB1/VOUT_SBB1,0)</f>
        <v>0.24974272999066971</v>
      </c>
      <c r="I17" s="99">
        <f>IF(EN_SBB2,POUT_MAX_SBB2/VOUT_SBB2,0)</f>
        <v>0.12901654592758935</v>
      </c>
      <c r="J17" s="3"/>
      <c r="K17" s="99">
        <f>IF(EN_SBB0,POUT_MAX_SBB0_MIN/VOUT_SBB0_MIN,0)</f>
        <v>0.3834849417641919</v>
      </c>
      <c r="L17" s="99">
        <f>G17</f>
        <v>0.38422552929118631</v>
      </c>
      <c r="M17" s="99">
        <f>IF(EN_SBB0,POUT_MAX_SBB0_MAX/VOUT_SBB0_MAX,0)</f>
        <v>0.3849874459862862</v>
      </c>
      <c r="N17" s="99">
        <f>IF(EN_SBB1,POUT_MAX_SBB1_MIN/VOUT_SBB1_MIN,0)</f>
        <v>0.24953717981881451</v>
      </c>
      <c r="O17" s="101">
        <f>H17</f>
        <v>0.24974272999066971</v>
      </c>
      <c r="P17" s="101">
        <f>IF(EN_SBB1,POUT_MAX_SBB1_MAX/VOUT_SBB1_MAX,0)</f>
        <v>0.24994463124877173</v>
      </c>
      <c r="Q17" s="101">
        <f>IF(EN_SBB2,POUT_MAX_SBB2_MIN/VOUT_SBB2_MIN,0)</f>
        <v>0.24837680042995108</v>
      </c>
      <c r="R17" s="101">
        <f>I17</f>
        <v>0.12901654592758935</v>
      </c>
      <c r="S17" s="99">
        <f>IF(EN_SBB2,POUT_MAX_SBB2_MAX/VOUT_SBB2_MAX,0)</f>
        <v>0.24845734350093057</v>
      </c>
      <c r="T17" s="39" t="s">
        <v>37</v>
      </c>
      <c r="V17" s="149"/>
      <c r="W17" s="147"/>
      <c r="X17" s="156"/>
      <c r="Y17" s="160"/>
      <c r="Z17" s="148"/>
      <c r="AA17" s="146"/>
      <c r="AB17" s="146" t="s">
        <v>184</v>
      </c>
      <c r="AC17" s="1" t="s">
        <v>187</v>
      </c>
      <c r="AD17" s="1" t="s">
        <v>188</v>
      </c>
    </row>
    <row r="18" spans="2:30" ht="16.5" hidden="1" customHeight="1" outlineLevel="2" x14ac:dyDescent="0.35">
      <c r="B18" s="41"/>
      <c r="C18" s="42"/>
      <c r="D18" s="42"/>
      <c r="E18" s="3"/>
      <c r="F18" s="43" t="s">
        <v>48</v>
      </c>
      <c r="G18" s="99">
        <f>IF(EN_SBB0,EOUT_SBB0/tservice_SBB0,0)</f>
        <v>0.69160595272413539</v>
      </c>
      <c r="H18" s="99">
        <f>IF(EN_SBB1,EOUT_SBB1/tservice_SBB1,0)</f>
        <v>0.29969127598880363</v>
      </c>
      <c r="I18" s="99">
        <f>IF(EN_SBB2,EOUT_SBB2/tservice_SBB2,0)</f>
        <v>0.42575460156104483</v>
      </c>
      <c r="J18" s="3"/>
      <c r="K18" s="99">
        <f>EOUT_SBB0_MIN/tservice_SBB0_MIN</f>
        <v>0.67301607279615683</v>
      </c>
      <c r="L18" s="99">
        <f>G18</f>
        <v>0.69160595272413539</v>
      </c>
      <c r="M18" s="99">
        <f>EOUT_SBB0_MAX/tservice_SBB0_MAX</f>
        <v>0.71030183784469803</v>
      </c>
      <c r="N18" s="99">
        <f>EOUT_SBB1_MIN/tservice_SBB1_MIN</f>
        <v>0.29195850038801296</v>
      </c>
      <c r="O18" s="101">
        <f>H18</f>
        <v>0.29969127598880363</v>
      </c>
      <c r="P18" s="101">
        <f>EOUT_SBB1_MAX/tservice_SBB1_MAX</f>
        <v>0.30743189643598923</v>
      </c>
      <c r="Q18" s="101">
        <f>EOUT_SBB2_MIN/tservice_SBB2_MIN</f>
        <v>0.7991523553833676</v>
      </c>
      <c r="R18" s="101">
        <f>I18</f>
        <v>0.42575460156104483</v>
      </c>
      <c r="S18" s="99">
        <f>EOUT_SBB2_MAX/tservice_SBB2_MAX</f>
        <v>0.84040696439189766</v>
      </c>
      <c r="T18" s="44" t="s">
        <v>49</v>
      </c>
      <c r="V18" s="149"/>
      <c r="W18" s="147"/>
      <c r="X18" s="156"/>
      <c r="Y18" s="160"/>
      <c r="Z18" s="148"/>
      <c r="AA18" s="146"/>
      <c r="AB18" s="146" t="s">
        <v>184</v>
      </c>
      <c r="AC18" s="1" t="s">
        <v>187</v>
      </c>
      <c r="AD18" s="1" t="s">
        <v>188</v>
      </c>
    </row>
    <row r="19" spans="2:30" ht="15" outlineLevel="1" thickBot="1" x14ac:dyDescent="0.4">
      <c r="B19" s="180" t="s">
        <v>50</v>
      </c>
      <c r="C19" s="181"/>
      <c r="D19" s="181"/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1"/>
      <c r="P19" s="181"/>
      <c r="Q19" s="181"/>
      <c r="R19" s="181"/>
      <c r="S19" s="181"/>
      <c r="T19" s="182"/>
      <c r="V19" s="198" t="s">
        <v>179</v>
      </c>
      <c r="W19" s="199"/>
      <c r="X19" s="157" t="s">
        <v>192</v>
      </c>
      <c r="Y19" s="161" t="s">
        <v>189</v>
      </c>
      <c r="Z19" s="153" t="s">
        <v>189</v>
      </c>
    </row>
    <row r="20" spans="2:30" ht="16.5" outlineLevel="2" x14ac:dyDescent="0.45">
      <c r="B20" s="41"/>
      <c r="C20" s="42"/>
      <c r="D20" s="42"/>
      <c r="E20" s="3"/>
      <c r="F20" s="194" t="s">
        <v>51</v>
      </c>
      <c r="G20" s="102">
        <f>1000*(SQRT(2*(EOUT_SBB0+EC_OUT_SBB0)/COUT_EFF_SBB0)-VOUT_min_SBB0)+(ULPM_typ*VOUT_SBB0)</f>
        <v>51.615846233257408</v>
      </c>
      <c r="H20" s="102">
        <f>1000*(SQRT(2*(EOUT_SBB1+EC_OUT_SBB1)/COUT_EFF_SBB1)-VOUT_min_SBB1)+(ULPM_typ*VOUT_SBB1)</f>
        <v>25.234689058802129</v>
      </c>
      <c r="I20" s="102">
        <f>1000*(SQRT(2*(EOUT_SBB2+EC_OUT_SBB2)/COUT_EFF_SBB2)-VOUT_min_SBB2)+(ULPM_typ*VOUT_SBB2)</f>
        <v>9.2081468007766709</v>
      </c>
      <c r="J20" s="3"/>
      <c r="K20" s="99">
        <f>1000*(SQRT(2*(EOUT_SBB0_MIN+EC_OUT_SBB0_MIN)/COUT_EFF_SBB0)-VOUT_min_SBB0_MIN)+(ULPM_min*VOUT_SBB0)</f>
        <v>51.430002400695258</v>
      </c>
      <c r="L20" s="99">
        <f t="shared" ref="L20:L26" si="0">G20</f>
        <v>51.615846233257408</v>
      </c>
      <c r="M20" s="99">
        <f>1000*(SQRT(2*(EOUT_SBB0_MAX+EC_OUT_SBB0_MAX)/COUT_EFF_SBB0)-VOUT_min_SBB0_MAX)+(ULPM_max*VOUT_SBB0)</f>
        <v>51.744550647853302</v>
      </c>
      <c r="N20" s="99">
        <f>1000*(SQRT(2*(EOUT_SBB1_MIN+EC_OUT_SBB1_MIN)/COUT_EFF_SBB1)-VOUT_min_SBB1_MIN)+(ULPM_min*VOUT_SBB1)</f>
        <v>25.474921804646076</v>
      </c>
      <c r="O20" s="99">
        <f>H20</f>
        <v>25.234689058802129</v>
      </c>
      <c r="P20" s="99">
        <f>1000*(SQRT(2*(EOUT_SBB1_MAX+EC_OUT_SBB1_MAX)/COUT_EFF_SBB1)-VOUT_min_SBB1_MAX)+(ULPM_max*VOUT_SBB1)</f>
        <v>24.966076283511018</v>
      </c>
      <c r="Q20" s="99">
        <f>1000*(SQRT(2*(EOUT_SBB2_MIN+EC_OUT_SBB2_MIN)/COUT_EFF_SBB2)-VOUT_min_SBB2_MIN)+(ULPM_min*VOUT_SBB2)</f>
        <v>9.3545526962663139</v>
      </c>
      <c r="R20" s="99">
        <f>I20</f>
        <v>9.2081468007766709</v>
      </c>
      <c r="S20" s="99">
        <f>1000*(SQRT(2*(EOUT_SBB2_MAX+EC_OUT_SBB2_MAX)/COUT_EFF_SBB2)-VOUT_min_SBB2_MAX)+(ULPM_max*VOUT_SBB2)</f>
        <v>9.0656625118096557</v>
      </c>
      <c r="T20" s="45" t="s">
        <v>52</v>
      </c>
      <c r="V20" s="186" t="s">
        <v>180</v>
      </c>
      <c r="W20" s="187"/>
      <c r="X20" s="155" t="s">
        <v>183</v>
      </c>
      <c r="Y20" s="159" t="s">
        <v>181</v>
      </c>
      <c r="Z20" s="152" t="s">
        <v>182</v>
      </c>
    </row>
    <row r="21" spans="2:30" outlineLevel="2" x14ac:dyDescent="0.35">
      <c r="B21" s="41"/>
      <c r="C21" s="42"/>
      <c r="D21" s="42"/>
      <c r="E21" s="3"/>
      <c r="F21" s="195"/>
      <c r="G21" s="98">
        <f>G20/1000/VOUT_SBB0</f>
        <v>2.8675470129587446E-2</v>
      </c>
      <c r="H21" s="98">
        <f>H20/1000/VOUT_SBB1</f>
        <v>2.1028907549001774E-2</v>
      </c>
      <c r="I21" s="98">
        <f>I20/1000/VOUT_SBB2</f>
        <v>2.7903475153868702E-3</v>
      </c>
      <c r="J21" s="3"/>
      <c r="K21" s="98">
        <f>K20/1000/VOUT_SBB0_MIN</f>
        <v>2.930484467276083E-2</v>
      </c>
      <c r="L21" s="98">
        <f t="shared" si="0"/>
        <v>2.8675470129587446E-2</v>
      </c>
      <c r="M21" s="100">
        <f>M20/1000/VOUT_SBB0_MAX</f>
        <v>2.8045826909405581E-2</v>
      </c>
      <c r="N21" s="100">
        <f>N20/1000/VOUT_SBB1_MIN</f>
        <v>2.1773437439868443E-2</v>
      </c>
      <c r="O21" s="100">
        <f t="shared" ref="O21:O26" si="1">H21</f>
        <v>2.1028907549001774E-2</v>
      </c>
      <c r="P21" s="100">
        <f>P20/1000/VOUT_SBB1_MAX</f>
        <v>2.0297622994724405E-2</v>
      </c>
      <c r="Q21" s="100">
        <f>Q20/1000/VOUT_SBB2_MIN</f>
        <v>2.9073978853974558E-3</v>
      </c>
      <c r="R21" s="100">
        <f>I21</f>
        <v>2.7903475153868702E-3</v>
      </c>
      <c r="S21" s="98">
        <f>S20/1000/VOUT_SBB2_MAX</f>
        <v>2.6801663006089152E-3</v>
      </c>
      <c r="T21" s="44"/>
      <c r="V21" s="198" t="s">
        <v>35</v>
      </c>
      <c r="W21" s="199"/>
      <c r="X21" s="157" t="s">
        <v>184</v>
      </c>
      <c r="Y21" s="161" t="s">
        <v>184</v>
      </c>
      <c r="Z21" s="153" t="s">
        <v>184</v>
      </c>
    </row>
    <row r="22" spans="2:30" ht="16.5" outlineLevel="2" x14ac:dyDescent="0.45">
      <c r="B22" s="36"/>
      <c r="C22" s="37"/>
      <c r="D22" s="37"/>
      <c r="E22" s="3"/>
      <c r="F22" s="193" t="s">
        <v>53</v>
      </c>
      <c r="G22" s="102">
        <f>1000*(VOUT_max_SBB0-VOUT_min_SBB0)</f>
        <v>43.573600492185392</v>
      </c>
      <c r="H22" s="102">
        <f>1000*(VOUT_max_SBB1-VOUT_min_SBB1)</f>
        <v>20.578213579720341</v>
      </c>
      <c r="I22" s="102">
        <f>1000*(VOUT_max_SBB2-VOUT_min_SBB2)</f>
        <v>4.957539790096277</v>
      </c>
      <c r="J22" s="3"/>
      <c r="K22" s="99">
        <f>1000*(VOUT_max_SBB0_MIN-VOUT_min_SBB0_MIN)</f>
        <v>43.244137979563831</v>
      </c>
      <c r="L22" s="99">
        <f t="shared" si="0"/>
        <v>43.573600492185392</v>
      </c>
      <c r="M22" s="101">
        <f>1000*(VOUT_max_SBB0_MAX-VOUT_min_SBB0_MAX)</f>
        <v>43.853704807418346</v>
      </c>
      <c r="N22" s="99">
        <f>1000*(VOUT_max_SBB1_MIN-VOUT_min_SBB1_MIN)</f>
        <v>20.73887698264776</v>
      </c>
      <c r="O22" s="101">
        <f t="shared" si="1"/>
        <v>20.578213579720341</v>
      </c>
      <c r="P22" s="101">
        <f>1000*(VOUT_max_SBB1_MAX-VOUT_min_SBB1_MAX)</f>
        <v>20.392162586166496</v>
      </c>
      <c r="Q22" s="99">
        <f>1000*(VOUT_max_SBB2_MIN-VOUT_min_SBB2_MIN)</f>
        <v>5.0802646163985443</v>
      </c>
      <c r="R22" s="101">
        <f>I22</f>
        <v>4.957539790096277</v>
      </c>
      <c r="S22" s="101">
        <f>1000*(VOUT_max_SBB2_MAX-VOUT_min_SBB2_MAX)</f>
        <v>4.8380937782632749</v>
      </c>
      <c r="T22" s="39" t="s">
        <v>54</v>
      </c>
      <c r="V22" s="186" t="s">
        <v>185</v>
      </c>
      <c r="W22" s="187"/>
      <c r="X22" s="155" t="s">
        <v>187</v>
      </c>
      <c r="Y22" s="159" t="s">
        <v>187</v>
      </c>
      <c r="Z22" s="152" t="s">
        <v>187</v>
      </c>
    </row>
    <row r="23" spans="2:30" ht="15" outlineLevel="2" thickBot="1" x14ac:dyDescent="0.4">
      <c r="B23" s="36"/>
      <c r="C23" s="37"/>
      <c r="D23" s="37"/>
      <c r="E23" s="3"/>
      <c r="F23" s="193"/>
      <c r="G23" s="98">
        <f>G22/1000/VOUT_SBB0</f>
        <v>2.4207555828991884E-2</v>
      </c>
      <c r="H23" s="98">
        <f>H22/1000/VOUT_SBB1</f>
        <v>1.7148511316433621E-2</v>
      </c>
      <c r="I23" s="98">
        <f>I22/1000/VOUT_SBB2</f>
        <v>1.5022847848776598E-3</v>
      </c>
      <c r="J23" s="3"/>
      <c r="K23" s="98">
        <f>K22/1000/VOUT_SBB0_MIN</f>
        <v>2.4640534461289929E-2</v>
      </c>
      <c r="L23" s="98">
        <f t="shared" si="0"/>
        <v>2.4207555828991884E-2</v>
      </c>
      <c r="M23" s="100">
        <f>M22/1000/VOUT_SBB0_MAX</f>
        <v>2.3768945695077696E-2</v>
      </c>
      <c r="N23" s="100">
        <f>N22/1000/VOUT_SBB1_MIN</f>
        <v>1.7725535882604927E-2</v>
      </c>
      <c r="O23" s="100">
        <f t="shared" si="1"/>
        <v>1.7148511316433621E-2</v>
      </c>
      <c r="P23" s="100">
        <f>P22/1000/VOUT_SBB1_MAX</f>
        <v>1.6578993972493086E-2</v>
      </c>
      <c r="Q23" s="100">
        <f>Q22/1000/VOUT_SBB2_MIN</f>
        <v>1.5789478217244895E-3</v>
      </c>
      <c r="R23" s="100">
        <f>M23</f>
        <v>2.3768945695077696E-2</v>
      </c>
      <c r="S23" s="98">
        <f>S22/1000/VOUT_SBB2_MAX</f>
        <v>1.4303307548450186E-3</v>
      </c>
      <c r="T23" s="39"/>
      <c r="V23" s="196" t="s">
        <v>186</v>
      </c>
      <c r="W23" s="197"/>
      <c r="X23" s="158" t="s">
        <v>188</v>
      </c>
      <c r="Y23" s="162" t="s">
        <v>188</v>
      </c>
      <c r="Z23" s="154" t="s">
        <v>188</v>
      </c>
    </row>
    <row r="24" spans="2:30" ht="16.5" outlineLevel="2" x14ac:dyDescent="0.35">
      <c r="B24" s="41"/>
      <c r="C24" s="42"/>
      <c r="D24" s="42"/>
      <c r="E24" s="3"/>
      <c r="F24" s="43" t="s">
        <v>55</v>
      </c>
      <c r="G24" s="102">
        <f>IF(EN_SBB0,G15/tservice_SBB0/1000,0)</f>
        <v>145.33165295405033</v>
      </c>
      <c r="H24" s="102">
        <f>IF(EN_SBB1,H15/tservice_SBB1/1000,0)</f>
        <v>166.21397747076392</v>
      </c>
      <c r="I24" s="102">
        <f>IF(EN_SBB2,I15/tservice_SBB2/1000,0)</f>
        <v>492.00664007947239</v>
      </c>
      <c r="J24" s="3"/>
      <c r="K24" s="102">
        <f>IF(EN_SBB0,K15/tservice_SBB0_MIN/1000,0)</f>
        <v>145.70666178302557</v>
      </c>
      <c r="L24" s="102">
        <f t="shared" si="0"/>
        <v>145.33165295405033</v>
      </c>
      <c r="M24" s="103">
        <f>IF(EN_SBB0,M15/tservice_SBB0_MAX/1000,0)</f>
        <v>144.77668905723431</v>
      </c>
      <c r="N24" s="103">
        <f>IF(EN_SBB1,N15/tservice_SBB1_MIN/1000,0)</f>
        <v>164.39295485208041</v>
      </c>
      <c r="O24" s="103">
        <f t="shared" si="1"/>
        <v>166.21397747076392</v>
      </c>
      <c r="P24" s="103">
        <f>IF(EN_SBB1,P15/tservice_SBB1_MAX/1000,0)</f>
        <v>167.93672010893744</v>
      </c>
      <c r="Q24" s="103">
        <f>IF(EN_SBB2,Q15/tservice_SBB2_MIN/1000,0)</f>
        <v>480.00863631991211</v>
      </c>
      <c r="R24" s="103">
        <f>I24</f>
        <v>492.00664007947239</v>
      </c>
      <c r="S24" s="102">
        <f>IF(EN_SBB2,S15/tservice_SBB2_MAX/1000,0)</f>
        <v>504.00474344866967</v>
      </c>
      <c r="T24" s="44" t="s">
        <v>56</v>
      </c>
    </row>
    <row r="25" spans="2:30" ht="16.5" outlineLevel="2" x14ac:dyDescent="0.35">
      <c r="B25" s="36"/>
      <c r="C25" s="37"/>
      <c r="D25" s="37"/>
      <c r="E25" s="3"/>
      <c r="F25" s="38" t="s">
        <v>157</v>
      </c>
      <c r="G25" s="99">
        <f>SQRT(2*EC_OUT_Peak_SBB0/COUT_EFF_SBB0)</f>
        <v>1.8166479645030755</v>
      </c>
      <c r="H25" s="99">
        <f>SQRT(2*EC_OUT_Peak_SBB1/COUT_EFF_SBB1)</f>
        <v>1.2057390663368523</v>
      </c>
      <c r="I25" s="99">
        <f>SQRT(2*EC_OUT_Peak_SBB2/COUT_EFF_SBB2)</f>
        <v>3.2925845974230854</v>
      </c>
      <c r="J25" s="3"/>
      <c r="K25" s="99">
        <f>SQRT(2*EC_OUT_Peak_SBB0_MIN/COUT_EFF_SBB0)</f>
        <v>1.7734975307818437</v>
      </c>
      <c r="L25" s="99">
        <f t="shared" si="0"/>
        <v>1.8166479645030755</v>
      </c>
      <c r="M25" s="101">
        <f>SQRT(2*EC_OUT_Peak_SBB0_MAX/COUT_EFF_SBB0)</f>
        <v>1.864110334545994</v>
      </c>
      <c r="N25" s="101">
        <f>SQRT(2*EC_OUT_Peak_SBB1_MIN/COUT_EFF_SBB1)</f>
        <v>1.1771006272448548</v>
      </c>
      <c r="O25" s="101">
        <f t="shared" si="1"/>
        <v>1.2057390663368523</v>
      </c>
      <c r="P25" s="101">
        <f>SQRT(2*EC_OUT_Peak_SBB1_MAX/COUT_EFF_SBB1)</f>
        <v>1.2367556967755697</v>
      </c>
      <c r="Q25" s="101">
        <f>SQRT(2*EC_OUT_Peak_SBB2_MIN/COUT_EFF_SBB2)</f>
        <v>3.2110428555228201</v>
      </c>
      <c r="R25" s="101">
        <f>I25</f>
        <v>3.2925845974230854</v>
      </c>
      <c r="S25" s="99">
        <f>SQRT(2*EC_OUT_Peak_SBB2_MAX/COUT_EFF_SBB2)</f>
        <v>3.3758759456654657</v>
      </c>
      <c r="T25" s="39" t="s">
        <v>20</v>
      </c>
    </row>
    <row r="26" spans="2:30" ht="16.5" outlineLevel="2" x14ac:dyDescent="0.35">
      <c r="B26" s="41"/>
      <c r="C26" s="42"/>
      <c r="D26" s="42"/>
      <c r="E26" s="3"/>
      <c r="F26" s="43" t="s">
        <v>158</v>
      </c>
      <c r="G26" s="99">
        <f>VOUT_SBB0-G29</f>
        <v>1.7730743640108901</v>
      </c>
      <c r="H26" s="99">
        <f>VOUT_SBB1-H29</f>
        <v>1.185160852757132</v>
      </c>
      <c r="I26" s="99">
        <f>VOUT_SBB2-I29</f>
        <v>3.2876270576329891</v>
      </c>
      <c r="J26" s="3"/>
      <c r="K26" s="99">
        <f>VOUT_SBB0_MIN-K29</f>
        <v>1.7302533928022799</v>
      </c>
      <c r="L26" s="99">
        <f t="shared" si="0"/>
        <v>1.7730743640108901</v>
      </c>
      <c r="M26" s="101">
        <f>VOUT_SBB0_MAX-M29</f>
        <v>1.8202566297385756</v>
      </c>
      <c r="N26" s="99">
        <f>VOUT_SBB1_MIN-N29</f>
        <v>1.156361750262207</v>
      </c>
      <c r="O26" s="101">
        <f t="shared" si="1"/>
        <v>1.185160852757132</v>
      </c>
      <c r="P26" s="101">
        <f>VOUT_SBB1_MAX-P29</f>
        <v>1.2163635341894032</v>
      </c>
      <c r="Q26" s="99">
        <f>VOUT_SBB2_MIN-Q29</f>
        <v>3.2059625909064215</v>
      </c>
      <c r="R26" s="101">
        <f>I26</f>
        <v>3.2876270576329891</v>
      </c>
      <c r="S26" s="101">
        <f>VOUT_SBB2_MAX-S29</f>
        <v>3.3710378518872024</v>
      </c>
      <c r="T26" s="44" t="s">
        <v>20</v>
      </c>
    </row>
    <row r="27" spans="2:30" ht="15" outlineLevel="1" collapsed="1" thickBot="1" x14ac:dyDescent="0.4">
      <c r="B27" s="180" t="s">
        <v>57</v>
      </c>
      <c r="C27" s="181"/>
      <c r="D27" s="181"/>
      <c r="E27" s="181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2"/>
    </row>
    <row r="28" spans="2:30" ht="16.5" hidden="1" outlineLevel="2" x14ac:dyDescent="0.35">
      <c r="B28" s="41"/>
      <c r="C28" s="42"/>
      <c r="D28" s="42"/>
      <c r="E28" s="3"/>
      <c r="F28" s="43" t="s">
        <v>58</v>
      </c>
      <c r="G28" s="99">
        <f>IOUT_SBB0*tundershoot_SBB0/COUT_EFF_SBB0</f>
        <v>1.2786873467335562E-2</v>
      </c>
      <c r="H28" s="99">
        <f>IOUT_SBB1*tundershoot_SBB1/COUT_EFF_SBB1</f>
        <v>5.1903287939797727E-3</v>
      </c>
      <c r="I28" s="99">
        <f>IOUT_SBB2*tundershoot_SBB2/COUT_EFF_SBB2</f>
        <v>3.3416806659800052E-3</v>
      </c>
      <c r="J28" s="3"/>
      <c r="K28" s="99">
        <f>IOUT_SBB0*tundershoot_SBB0_MIN/COUT_EFF_SBB0</f>
        <v>1.2624502383721516E-2</v>
      </c>
      <c r="L28" s="99">
        <f>G28</f>
        <v>1.2786873467335562E-2</v>
      </c>
      <c r="M28" s="99">
        <f>IOUT_SBB0*tundershoot_SBB0_MAX/COUT_EFF_SBB0</f>
        <v>1.2957603326671875E-2</v>
      </c>
      <c r="N28" s="99">
        <f>IOUT_SBB1*tundershoot_SBB1_MIN/COUT_EFF_SBB1</f>
        <v>5.168357755594385E-3</v>
      </c>
      <c r="O28" s="99">
        <f>H28</f>
        <v>5.1903287939797727E-3</v>
      </c>
      <c r="P28" s="99">
        <f>IOUT_SBB1*tundershoot_SBB1_MAX/COUT_EFF_SBB1</f>
        <v>5.212848932913342E-3</v>
      </c>
      <c r="Q28" s="99">
        <f>IOUT_SBB2*tundershoot_SBB2_MIN/COUT_EFF_SBB2</f>
        <v>2.4637681159420288E-3</v>
      </c>
      <c r="R28" s="99">
        <f>I28</f>
        <v>3.3416806659800052E-3</v>
      </c>
      <c r="S28" s="99">
        <f>IOUT_SBB2*tundershoot_SBB2_MAX/COUT_EFF_SBB2</f>
        <v>2.4637681159420288E-3</v>
      </c>
      <c r="T28" s="44" t="s">
        <v>20</v>
      </c>
    </row>
    <row r="29" spans="2:30" ht="16.5" hidden="1" outlineLevel="2" x14ac:dyDescent="0.35">
      <c r="B29" s="36"/>
      <c r="C29" s="37"/>
      <c r="D29" s="37"/>
      <c r="E29" s="3"/>
      <c r="F29" s="38" t="s">
        <v>59</v>
      </c>
      <c r="G29" s="99">
        <f>G28+Vdroop_wait_SBB1_2</f>
        <v>2.6925635989109957E-2</v>
      </c>
      <c r="H29" s="99">
        <f>H28+Vdroop_wait_SBB0_2</f>
        <v>1.4839147242867883E-2</v>
      </c>
      <c r="I29" s="99">
        <f>I28+Vdroop_wait_SBB0_1</f>
        <v>1.2372942367010482E-2</v>
      </c>
      <c r="J29" s="3"/>
      <c r="K29" s="99">
        <f>K28+Vdroop_wait_SBB1_2_MIN</f>
        <v>2.4746607197720281E-2</v>
      </c>
      <c r="L29" s="99">
        <f>G29</f>
        <v>2.6925635989109957E-2</v>
      </c>
      <c r="M29" s="99">
        <f>M28+Vdroop_wait_SBB1_2_MAX</f>
        <v>2.4743370261424258E-2</v>
      </c>
      <c r="N29" s="99">
        <f>N28+Vdroop_wait_SBB0_2_MIN</f>
        <v>1.3638249737792877E-2</v>
      </c>
      <c r="O29" s="99">
        <f>H29</f>
        <v>1.4839147242867883E-2</v>
      </c>
      <c r="P29" s="99">
        <f>P28+Vdroop_wait_SBB0_2_MAX</f>
        <v>1.3636465810596809E-2</v>
      </c>
      <c r="Q29" s="99">
        <f>Q28+Vdroop_wait_SBB0_1_MIN</f>
        <v>1.1537409093578234E-2</v>
      </c>
      <c r="R29" s="99">
        <f>I29</f>
        <v>1.2372942367010482E-2</v>
      </c>
      <c r="S29" s="99">
        <f>S28+Vdroop_wait_SBB0_1_MAX</f>
        <v>1.1462148112797247E-2</v>
      </c>
      <c r="T29" s="39" t="s">
        <v>20</v>
      </c>
    </row>
    <row r="30" spans="2:30" ht="15" outlineLevel="1" collapsed="1" thickBot="1" x14ac:dyDescent="0.4">
      <c r="B30" s="180" t="s">
        <v>60</v>
      </c>
      <c r="C30" s="181"/>
      <c r="D30" s="181"/>
      <c r="E30" s="181"/>
      <c r="F30" s="181"/>
      <c r="G30" s="181"/>
      <c r="H30" s="181"/>
      <c r="I30" s="181"/>
      <c r="J30" s="181"/>
      <c r="K30" s="181"/>
      <c r="L30" s="181"/>
      <c r="M30" s="181"/>
      <c r="N30" s="181"/>
      <c r="O30" s="181"/>
      <c r="P30" s="181"/>
      <c r="Q30" s="181"/>
      <c r="R30" s="181"/>
      <c r="S30" s="181"/>
      <c r="T30" s="182"/>
    </row>
    <row r="31" spans="2:30" ht="16.5" hidden="1" outlineLevel="2" x14ac:dyDescent="0.35">
      <c r="B31" s="41"/>
      <c r="C31" s="42"/>
      <c r="D31" s="57"/>
      <c r="E31" s="3"/>
      <c r="F31" s="43" t="s">
        <v>61</v>
      </c>
      <c r="G31" s="102">
        <f>VOUT_SBB0/dVOUT_dtss*1000000</f>
        <v>360</v>
      </c>
      <c r="H31" s="102">
        <f>VOUT_SBB1/dVOUT_dtss*1000000</f>
        <v>239.99999999999997</v>
      </c>
      <c r="I31" s="102">
        <f>VOUT_SBB2/dVOUT_dtss*1000000</f>
        <v>660</v>
      </c>
      <c r="J31" s="25"/>
      <c r="K31" s="102">
        <f>VOUT_SBB0_MIN/dVOUT_dtss*1000000</f>
        <v>351</v>
      </c>
      <c r="L31" s="102">
        <f>VOUT_SBB0/dVOUT_dtss*1000000</f>
        <v>360</v>
      </c>
      <c r="M31" s="102">
        <f>VOUT_SBB0_MAX/dVOUT_dtss*1000000</f>
        <v>368.99999999999994</v>
      </c>
      <c r="N31" s="102">
        <f>VOUT_SBB1_MIN/dVOUT_dtss*1000000</f>
        <v>234</v>
      </c>
      <c r="O31" s="102">
        <f>VOUT_SBB1/dVOUT_dtss*1000000</f>
        <v>239.99999999999997</v>
      </c>
      <c r="P31" s="102">
        <f>VOUT_SBB1_MAX/dVOUT_dtss*1000000</f>
        <v>246.00000000000003</v>
      </c>
      <c r="Q31" s="102">
        <f>VOUT_SBB2_MIN/dVOUT_dtss*1000000</f>
        <v>643.5</v>
      </c>
      <c r="R31" s="102">
        <f>VOUT_SBB2/dVOUT_dtss*1000000</f>
        <v>660</v>
      </c>
      <c r="S31" s="102">
        <f>VOUT_SBB2_MAX/dVOUT_dtss*1000000</f>
        <v>676.5</v>
      </c>
      <c r="T31" s="45" t="s">
        <v>62</v>
      </c>
    </row>
    <row r="32" spans="2:30" ht="16.5" hidden="1" outlineLevel="2" x14ac:dyDescent="0.35">
      <c r="B32" s="36"/>
      <c r="C32" s="37"/>
      <c r="D32" s="37"/>
      <c r="E32" s="3"/>
      <c r="F32" s="38" t="s">
        <v>63</v>
      </c>
      <c r="G32" s="99">
        <f>COUT_EFF_SBB0*dVOUT_dtss</f>
        <v>6.9139999999999993E-2</v>
      </c>
      <c r="H32" s="99">
        <f>COUT_EFF_SBB1*dVOUT_dtss</f>
        <v>6.9000000000000006E-2</v>
      </c>
      <c r="I32" s="99">
        <f>COUT_EFF_SBB2*dVOUT_dtss</f>
        <v>6.9000000000000006E-2</v>
      </c>
      <c r="J32" s="3"/>
      <c r="K32" s="37"/>
      <c r="L32" s="37"/>
      <c r="M32" s="37"/>
      <c r="N32" s="37"/>
      <c r="O32" s="37"/>
      <c r="P32" s="37"/>
      <c r="Q32" s="37"/>
      <c r="R32" s="37"/>
      <c r="S32" s="37"/>
      <c r="T32" s="39" t="s">
        <v>37</v>
      </c>
    </row>
    <row r="33" spans="2:20" ht="17" hidden="1" outlineLevel="2" thickBot="1" x14ac:dyDescent="0.4">
      <c r="B33" s="104"/>
      <c r="C33" s="105"/>
      <c r="D33" s="105"/>
      <c r="E33" s="4"/>
      <c r="F33" s="106" t="s">
        <v>64</v>
      </c>
      <c r="G33" s="124">
        <f>IOUT_Max_SBB0/dVOUT_dtss*1000000</f>
        <v>76.845105858237261</v>
      </c>
      <c r="H33" s="124">
        <f>IOUT_Max_SBB1/dVOUT_dtss*1000000</f>
        <v>49.948545998133945</v>
      </c>
      <c r="I33" s="124">
        <f>IOUT_Max_SBB2/dVOUT_dtss*1000000</f>
        <v>25.803309185517868</v>
      </c>
      <c r="J33" s="4"/>
      <c r="K33" s="124">
        <f>IOUT_Max_SBB0_MIN/dVOUT_dtss*1000000</f>
        <v>76.696988352838389</v>
      </c>
      <c r="L33" s="124">
        <f>G33</f>
        <v>76.845105858237261</v>
      </c>
      <c r="M33" s="124">
        <f>IOUT_Max_SBB0_MAX/dVOUT_dtss*1000000</f>
        <v>76.997489197257238</v>
      </c>
      <c r="N33" s="124">
        <f>IOUT_Max_SBB1_MIN/dVOUT_dtss*1000000</f>
        <v>49.9074359637629</v>
      </c>
      <c r="O33" s="124">
        <f>H33</f>
        <v>49.948545998133945</v>
      </c>
      <c r="P33" s="124">
        <f>IOUT_Max_SBB1_MAX/dVOUT_dtss*1000000</f>
        <v>49.988926249754343</v>
      </c>
      <c r="Q33" s="124">
        <f>IOUT_Max_SBB2_MIN/dVOUT_dtss*1000000</f>
        <v>49.675360085990214</v>
      </c>
      <c r="R33" s="124">
        <f>I33</f>
        <v>25.803309185517868</v>
      </c>
      <c r="S33" s="124">
        <f>IOUT_Max_SBB2_MAX/dVOUT_dtss*1000000</f>
        <v>49.691468700186114</v>
      </c>
      <c r="T33" s="107" t="s">
        <v>65</v>
      </c>
    </row>
    <row r="44" spans="2:20" collapsed="1" x14ac:dyDescent="0.35"/>
  </sheetData>
  <mergeCells count="28">
    <mergeCell ref="V16:W16"/>
    <mergeCell ref="V15:W15"/>
    <mergeCell ref="V14:Z14"/>
    <mergeCell ref="B30:T30"/>
    <mergeCell ref="F22:F23"/>
    <mergeCell ref="F20:F21"/>
    <mergeCell ref="V23:W23"/>
    <mergeCell ref="V22:W22"/>
    <mergeCell ref="V21:W21"/>
    <mergeCell ref="V20:W20"/>
    <mergeCell ref="V19:W19"/>
    <mergeCell ref="B13:T13"/>
    <mergeCell ref="B19:T19"/>
    <mergeCell ref="B16:T16"/>
    <mergeCell ref="B14:T14"/>
    <mergeCell ref="B27:T27"/>
    <mergeCell ref="V5:V6"/>
    <mergeCell ref="B2:B3"/>
    <mergeCell ref="B10:T10"/>
    <mergeCell ref="B4:T4"/>
    <mergeCell ref="G2:I2"/>
    <mergeCell ref="K2:R2"/>
    <mergeCell ref="F2:F3"/>
    <mergeCell ref="T2:T3"/>
    <mergeCell ref="D2:D3"/>
    <mergeCell ref="C2:C3"/>
    <mergeCell ref="V8:Y8"/>
    <mergeCell ref="V9:Y12"/>
  </mergeCells>
  <phoneticPr fontId="20" type="noConversion"/>
  <conditionalFormatting sqref="C15">
    <cfRule type="cellIs" dxfId="8" priority="1" operator="between">
      <formula>0.8</formula>
      <formula>0.9</formula>
    </cfRule>
    <cfRule type="cellIs" dxfId="7" priority="20" operator="greaterThan">
      <formula>0.9</formula>
    </cfRule>
  </conditionalFormatting>
  <conditionalFormatting sqref="G25 K25:M25">
    <cfRule type="cellIs" dxfId="6" priority="36" operator="greaterThan">
      <formula>$G$5*(1+#REF!)</formula>
    </cfRule>
  </conditionalFormatting>
  <conditionalFormatting sqref="I25 Q25:S25">
    <cfRule type="cellIs" dxfId="5" priority="40" operator="greaterThan">
      <formula>$I$5*(1+#REF!)</formula>
    </cfRule>
  </conditionalFormatting>
  <conditionalFormatting sqref="K26:M26 G26:I26">
    <cfRule type="cellIs" dxfId="4" priority="42" operator="lessThan">
      <formula>$G$5*(1-#REF!)</formula>
    </cfRule>
  </conditionalFormatting>
  <conditionalFormatting sqref="R26">
    <cfRule type="cellIs" dxfId="3" priority="46" operator="lessThan">
      <formula>$I$5*(1-#REF!)</formula>
    </cfRule>
  </conditionalFormatting>
  <conditionalFormatting sqref="N26 P26:Q26 S26">
    <cfRule type="cellIs" dxfId="2" priority="8" operator="lessThan">
      <formula>$G$5*(1-#REF!)</formula>
    </cfRule>
  </conditionalFormatting>
  <conditionalFormatting sqref="G6:I6">
    <cfRule type="expression" dxfId="1" priority="2">
      <formula>AND(G$9="Yes",G$6&gt;(G$17*1000))</formula>
    </cfRule>
  </conditionalFormatting>
  <dataValidations count="27">
    <dataValidation allowBlank="1" showInputMessage="1" showErrorMessage="1" prompt="Input/Supply Voltage" sqref="B5:C5" xr:uid="{F8501762-A10D-4D46-A675-D4CF18AFC2E6}"/>
    <dataValidation allowBlank="1" showInputMessage="1" showErrorMessage="1" prompt="Inductor DC resistance (DCR)." sqref="B7:C7" xr:uid="{DC460FD6-DFDE-4BEB-A7EE-C0CE7150776A}"/>
    <dataValidation allowBlank="1" showInputMessage="1" showErrorMessage="1" prompt="Inductance._x000a_Smaller values reduce output voltage ripple. However, efficiency is reduced." sqref="B6:C6" xr:uid="{C7033E70-2971-41F6-8EC2-10A71D0F75FC}"/>
    <dataValidation allowBlank="1" showInputMessage="1" showErrorMessage="1" prompt="Programmed voltage" sqref="F5:I5" xr:uid="{BC4209FE-16CB-444C-A82D-04047058BF99}"/>
    <dataValidation allowBlank="1" showInputMessage="1" showErrorMessage="1" prompt="Expected DC load current. Any load persisting longer than 10μs should be considered DC._x000a__x000a_Highlighted red if it exceeds the maximum supported output current. See IOUT_MAX in the Calculation Results section." sqref="F6:I6" xr:uid="{9C93D988-E9A3-4881-A541-EDAB106EB7D1}"/>
    <dataValidation allowBlank="1" showInputMessage="1" showErrorMessage="1" prompt="Output Capacitance. Remember to derate capacitance based on output voltage._x000a__x000a_Highlighted yellow if larger than the recommended maximum. Refer to COUT_max_tss below." sqref="F7:I7" xr:uid="{9B32BD6E-49FF-4094-86D0-7F69C4AD9A76}"/>
    <dataValidation allowBlank="1" showInputMessage="1" showErrorMessage="1" prompt="Output capacitor Effective Series Resistance (ESR) + PCB resistance." sqref="F8:I8" xr:uid="{AEA0CB46-667F-4DC7-8CB7-7FFC9DEFFE4E}"/>
    <dataValidation type="list" allowBlank="1" showInputMessage="1" showErrorMessage="1" prompt="Whether or not the channel is used." sqref="G9:I9" xr:uid="{82538527-46F3-4044-A701-88A8994A3F0E}">
      <formula1>"Yes,No"</formula1>
    </dataValidation>
    <dataValidation allowBlank="1" showInputMessage="1" showErrorMessage="1" prompt="Total inductor time occupied._x000a__x000a_Keep this at or below 80% to allow margin for transients._x000a_Highlighted yellow if the value is between 80-90%. Consider larger Cout if transients push total utilization &gt;90%._x000a_Above 90%, this cell is highlighted red." sqref="B15:C15" xr:uid="{9C310201-48B1-4B88-B5F8-92E9F3164B25}"/>
    <dataValidation allowBlank="1" showInputMessage="1" showErrorMessage="1" prompt="The percentage of the inductor's time occupied by the respective channel with specified load current." sqref="F15:I15" xr:uid="{27725CF8-0623-4A06-A0F6-CC916D7944B3}"/>
    <dataValidation allowBlank="1" showInputMessage="1" showErrorMessage="1" prompt="Maximum current an output channel can support if there is no load on other channels." sqref="F17:I17" xr:uid="{F672DA56-73E3-47D0-A53D-5CC510D33936}"/>
    <dataValidation allowBlank="1" showInputMessage="1" showErrorMessage="1" prompt="Maximum power an output channel can deliver if there is no load current on other channels." sqref="F18:I18" xr:uid="{F7BEB910-9040-4008-A268-49F915B86007}"/>
    <dataValidation allowBlank="1" showInputMessage="1" showErrorMessage="1" prompt="Output voltage ripple when loaded with the specified IOUT." sqref="F22:I23" xr:uid="{F5EBAFDE-2E4E-4398-805D-DB1091F7BF81}"/>
    <dataValidation allowBlank="1" showInputMessage="1" showErrorMessage="1" prompt="Output voltage ripple frequency._x000a_This also represents the frequency at which each channel is serviced._x000a_Assumes no load on other channels." sqref="F24:I24" xr:uid="{7A310D90-9195-404B-9C3B-B690EB025C30}"/>
    <dataValidation allowBlank="1" showInputMessage="1" showErrorMessage="1" prompt="Peak output voltage due to ripple." sqref="F25:I25" xr:uid="{8690C25D-6539-4113-8D5A-AC0096655FCC}"/>
    <dataValidation allowBlank="1" showInputMessage="1" showErrorMessage="1" prompt="Valley output voltage due to ripple." sqref="F26:I26" xr:uid="{6ED07A0B-AB06-4C4C-8EAE-A6B24AEFA550}"/>
    <dataValidation allowBlank="1" showInputMessage="1" showErrorMessage="1" prompt="Output voltage droop below target due to load regulation." sqref="F28:I28" xr:uid="{1D86EC86-A754-450C-A059-B554B7B15341}"/>
    <dataValidation allowBlank="1" showInputMessage="1" showErrorMessage="1" prompt="Worst case output voltage droop due to other channels being serviced before this channel." sqref="F29:I29" xr:uid="{8841A61A-9EFF-4735-8A95-1DB3056624A4}"/>
    <dataValidation allowBlank="1" showInputMessage="1" showErrorMessage="1" prompt="Soft-start time." sqref="F31:I31" xr:uid="{914A8141-EBEC-40CF-992B-1A7215E7C5AD}"/>
    <dataValidation allowBlank="1" showInputMessage="1" showErrorMessage="1" prompt="Output capacitor current during soft-start. Based on the specified COUT." sqref="F32:I32" xr:uid="{3314AACE-15EE-4AEA-B740-D31C36A32617}"/>
    <dataValidation allowBlank="1" showInputMessage="1" showErrorMessage="1" prompt="If the output capacitance is larger than this value, the slew rate may be lower than expected._x000a_Staying below this value is recommended but not required." sqref="F33:I33" xr:uid="{491F5502-47D7-4278-9264-A4A1B82B57B6}"/>
    <dataValidation allowBlank="1" showInputMessage="1" showErrorMessage="1" prompt="Typical ambient temperature. Affects min/max calculations." sqref="B9" xr:uid="{CC100315-F01F-4FB2-8785-E0656F422B6C}"/>
    <dataValidation allowBlank="1" showInputMessage="1" showErrorMessage="1" prompt="Maxim Integrated product with a peak current controlled, SIMO regulator._x000a__x000a_After selecting the device, remember to update the IL_PEAK and Operating mode values._x000a__x000a_The MAX77650/1 selection also applies for MAX77640/641/680/681/278." sqref="B11" xr:uid="{1E4C9C4C-F4F9-4B97-8BE9-9B332152F15B}"/>
    <dataValidation allowBlank="1" showInputMessage="1" showErrorMessage="1" prompt="Whether or not the channel is used." sqref="F9" xr:uid="{CCFDB121-DBA9-4BFC-AF0E-FFBF29C0B8DD}"/>
    <dataValidation allowBlank="1" showInputMessage="1" showErrorMessage="1" prompt="Peak inductor current limit." sqref="F11" xr:uid="{AE4F7C81-F165-4A73-A10E-03CC74A04071}"/>
    <dataValidation allowBlank="1" showInputMessage="1" showErrorMessage="1" prompt="The topology the channel operates in._x000a_Examples include Buck and Buck-Boost modes." sqref="F12" xr:uid="{D999B228-D0BB-4EBF-88E8-DF5A14C9AB78}"/>
    <dataValidation allowBlank="1" showInputMessage="1" showErrorMessage="1" prompt="Output voltage ripple with no load._x000a__x000a_For the MAX1727x, an additional VOUT*2.5% is added due to ULPM. Refer to the MAX1727x datasheet for more details." sqref="F20:I21" xr:uid="{D77BB525-E8B2-487E-A540-7F38E33BC566}"/>
  </dataValidations>
  <pageMargins left="0.7" right="0.7" top="0.75" bottom="0.75" header="0.3" footer="0.3"/>
  <pageSetup orientation="portrait" r:id="rId1"/>
  <ignoredErrors>
    <ignoredError sqref="G22:I22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7" id="{00000000-000E-0000-0000-00001F000000}">
            <xm:f>AND((cd!G$22*1000000)&gt;G$33,G$9="Yes")</xm:f>
            <x14:dxf>
              <font>
                <color theme="7" tint="-0.499984740745262"/>
              </font>
              <fill>
                <patternFill>
                  <bgColor theme="7" tint="0.79998168889431442"/>
                </patternFill>
              </fill>
            </x14:dxf>
          </x14:cfRule>
          <xm:sqref>G7:S7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prompt="Maxim Integrated product with a peak current controlled, SIMO regulator._x000a__x000a_After selecting the device, remember to update the IL_PEAK and Operating mode values._x000a__x000a_The MAX77650/1 selection also applies for MAX77640/641/680/681/278." xr:uid="{A6F8AB82-3D6B-4078-995E-9612C28FF5D7}">
          <x14:formula1>
            <xm:f>uc!$B$4:$B$6</xm:f>
          </x14:formula1>
          <xm:sqref>C11</xm:sqref>
        </x14:dataValidation>
        <x14:dataValidation type="list" allowBlank="1" showInputMessage="1" showErrorMessage="1" prompt="Peak inductor current limit." xr:uid="{DD3FEF8E-1018-470B-8954-EE9B73F6C3C9}">
          <x14:formula1>
            <xm:f>uc!$E$6:$E$9</xm:f>
          </x14:formula1>
          <xm:sqref>G11:I11</xm:sqref>
        </x14:dataValidation>
        <x14:dataValidation type="list" allowBlank="1" showInputMessage="1" showErrorMessage="1" prompt="The topology the channel operates in._x000a_Examples include Buck and Buck-Boost modes." xr:uid="{8593F01B-EC47-48CB-B2B7-D7BB8DA31803}">
          <x14:formula1>
            <xm:f>OFFSET(uc!$C$24,0,0,COUNTA(uc!$C$24:$C$27),1)</xm:f>
          </x14:formula1>
          <xm:sqref>G12:I12</xm:sqref>
        </x14:dataValidation>
        <x14:dataValidation type="list" allowBlank="1" showInputMessage="1" showErrorMessage="1" prompt="Typical ambient temperature. Affects min/max calculations." xr:uid="{BEADBF9A-A164-4EA9-9154-5B3FF806293F}">
          <x14:formula1>
            <xm:f>uc!$D$30:$D$31</xm:f>
          </x14:formula1>
          <xm:sqref>C9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A3ED4-B004-487B-8F5B-B946DE0CF08D}">
  <sheetPr>
    <outlinePr summaryBelow="0"/>
  </sheetPr>
  <dimension ref="B1:AQ111"/>
  <sheetViews>
    <sheetView topLeftCell="A2" workbookViewId="0">
      <pane ySplit="2" topLeftCell="A4" activePane="bottomLeft" state="frozen"/>
      <selection activeCell="B2" sqref="B2"/>
      <selection pane="bottomLeft" activeCell="AO14" sqref="AO14"/>
    </sheetView>
  </sheetViews>
  <sheetFormatPr defaultRowHeight="14.5" outlineLevelRow="3" outlineLevelCol="1" x14ac:dyDescent="0.35"/>
  <cols>
    <col min="2" max="2" width="12.1796875" hidden="1" customWidth="1"/>
    <col min="3" max="3" width="10.453125" hidden="1" customWidth="1"/>
    <col min="4" max="4" width="6" hidden="1" customWidth="1"/>
    <col min="5" max="5" width="0.81640625" hidden="1" customWidth="1"/>
    <col min="6" max="6" width="24" hidden="1" customWidth="1"/>
    <col min="7" max="7" width="11.81640625" hidden="1" customWidth="1"/>
    <col min="8" max="9" width="10.453125" hidden="1" customWidth="1"/>
    <col min="10" max="10" width="0.7265625" hidden="1" customWidth="1" outlineLevel="1" collapsed="1"/>
    <col min="11" max="11" width="12.81640625" hidden="1" customWidth="1" outlineLevel="1"/>
    <col min="12" max="12" width="12.453125" hidden="1" customWidth="1" outlineLevel="1"/>
    <col min="13" max="13" width="13.453125" hidden="1" customWidth="1" outlineLevel="1"/>
    <col min="14" max="14" width="12.81640625" hidden="1" customWidth="1" outlineLevel="1"/>
    <col min="15" max="15" width="12.453125" hidden="1" customWidth="1" outlineLevel="1"/>
    <col min="16" max="16" width="13.453125" hidden="1" customWidth="1" outlineLevel="1"/>
    <col min="17" max="17" width="12.81640625" hidden="1" customWidth="1" outlineLevel="1"/>
    <col min="18" max="18" width="12.453125" hidden="1" customWidth="1" outlineLevel="1"/>
    <col min="19" max="19" width="13.453125" hidden="1" customWidth="1" outlineLevel="1"/>
    <col min="20" max="20" width="6" hidden="1" customWidth="1" collapsed="1"/>
    <col min="21" max="21" width="8.7265625" hidden="1" customWidth="1"/>
    <col min="22" max="24" width="11.81640625" hidden="1" customWidth="1"/>
    <col min="25" max="37" width="8.7265625" hidden="1" customWidth="1"/>
    <col min="38" max="38" width="8.7265625" customWidth="1"/>
  </cols>
  <sheetData>
    <row r="1" spans="2:43" ht="15" thickBot="1" x14ac:dyDescent="0.4"/>
    <row r="2" spans="2:43" ht="19.5" outlineLevel="1" x14ac:dyDescent="0.45">
      <c r="B2" s="164" t="s">
        <v>0</v>
      </c>
      <c r="C2" s="174" t="s">
        <v>1</v>
      </c>
      <c r="D2" s="174" t="s">
        <v>2</v>
      </c>
      <c r="E2" s="33"/>
      <c r="F2" s="174" t="s">
        <v>3</v>
      </c>
      <c r="G2" s="172" t="s">
        <v>4</v>
      </c>
      <c r="H2" s="172"/>
      <c r="I2" s="172"/>
      <c r="J2" s="123"/>
      <c r="K2" s="173" t="s">
        <v>5</v>
      </c>
      <c r="L2" s="173"/>
      <c r="M2" s="173"/>
      <c r="N2" s="173"/>
      <c r="O2" s="173"/>
      <c r="P2" s="173"/>
      <c r="Q2" s="173"/>
      <c r="R2" s="173"/>
      <c r="S2" s="123"/>
      <c r="T2" s="176" t="s">
        <v>2</v>
      </c>
      <c r="AL2" s="1"/>
      <c r="AM2" s="1"/>
      <c r="AN2" s="1"/>
      <c r="AO2" s="1"/>
      <c r="AP2" s="1"/>
      <c r="AQ2" s="1"/>
    </row>
    <row r="3" spans="2:43" ht="20" outlineLevel="1" thickBot="1" x14ac:dyDescent="0.5">
      <c r="B3" s="165"/>
      <c r="C3" s="175"/>
      <c r="D3" s="175"/>
      <c r="E3" s="34"/>
      <c r="F3" s="175"/>
      <c r="G3" s="35" t="s">
        <v>6</v>
      </c>
      <c r="H3" s="35" t="s">
        <v>7</v>
      </c>
      <c r="I3" s="35" t="s">
        <v>8</v>
      </c>
      <c r="J3" s="35"/>
      <c r="K3" s="35" t="s">
        <v>9</v>
      </c>
      <c r="L3" s="35" t="s">
        <v>10</v>
      </c>
      <c r="M3" s="35" t="s">
        <v>11</v>
      </c>
      <c r="N3" s="35" t="s">
        <v>12</v>
      </c>
      <c r="O3" s="35" t="s">
        <v>13</v>
      </c>
      <c r="P3" s="35" t="s">
        <v>14</v>
      </c>
      <c r="Q3" s="35" t="s">
        <v>15</v>
      </c>
      <c r="R3" s="35" t="s">
        <v>16</v>
      </c>
      <c r="S3" s="35" t="s">
        <v>17</v>
      </c>
      <c r="T3" s="177"/>
    </row>
    <row r="4" spans="2:43" s="1" customFormat="1" ht="18" outlineLevel="1" thickTop="1" thickBot="1" x14ac:dyDescent="0.45">
      <c r="B4" s="166" t="s">
        <v>66</v>
      </c>
      <c r="C4" s="20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O4" s="200"/>
      <c r="P4" s="200"/>
      <c r="Q4" s="200"/>
      <c r="R4" s="200"/>
      <c r="S4" s="200"/>
      <c r="T4" s="168"/>
      <c r="AL4"/>
      <c r="AM4"/>
      <c r="AN4"/>
      <c r="AO4"/>
      <c r="AP4"/>
      <c r="AQ4"/>
    </row>
    <row r="5" spans="2:43" s="1" customFormat="1" ht="17" outlineLevel="2" thickTop="1" x14ac:dyDescent="0.45">
      <c r="B5" s="41" t="s">
        <v>67</v>
      </c>
      <c r="C5" s="68">
        <f>uc!E12</f>
        <v>8.5000000000000001E-7</v>
      </c>
      <c r="D5" s="42" t="s">
        <v>68</v>
      </c>
      <c r="E5" s="3"/>
      <c r="F5" s="43" t="s">
        <v>69</v>
      </c>
      <c r="G5" s="42" t="b">
        <f>Cap._Volt._Rating_SBB0="Yes"</f>
        <v>1</v>
      </c>
      <c r="H5" s="42" t="b">
        <f>Cap._Volt._Rating_SBB1="Yes"</f>
        <v>1</v>
      </c>
      <c r="I5" s="42" t="b">
        <f>Cap._Volt._Rating_SBB2="Yes"</f>
        <v>1</v>
      </c>
      <c r="J5" s="3"/>
      <c r="K5" s="42"/>
      <c r="L5" s="42"/>
      <c r="M5" s="42"/>
      <c r="N5" s="42"/>
      <c r="O5" s="42"/>
      <c r="P5" s="42"/>
      <c r="Q5" s="42"/>
      <c r="R5" s="42"/>
      <c r="S5" s="42"/>
      <c r="T5" s="44"/>
      <c r="AL5"/>
      <c r="AM5"/>
      <c r="AN5"/>
      <c r="AO5"/>
      <c r="AP5"/>
      <c r="AQ5"/>
    </row>
    <row r="6" spans="2:43" s="1" customFormat="1" ht="16.5" outlineLevel="2" x14ac:dyDescent="0.45">
      <c r="B6" s="36" t="s">
        <v>70</v>
      </c>
      <c r="C6" s="70">
        <f>uc!E13</f>
        <v>7.0099999999999996E-2</v>
      </c>
      <c r="D6" s="47" t="s">
        <v>71</v>
      </c>
      <c r="E6" s="3"/>
      <c r="F6" s="38"/>
      <c r="G6" s="37"/>
      <c r="H6" s="37"/>
      <c r="I6" s="37"/>
      <c r="J6" s="3"/>
      <c r="K6" s="37"/>
      <c r="L6" s="37"/>
      <c r="M6" s="37"/>
      <c r="N6" s="37"/>
      <c r="O6" s="37"/>
      <c r="P6" s="37"/>
      <c r="Q6" s="37"/>
      <c r="R6" s="37"/>
      <c r="S6" s="37"/>
      <c r="T6" s="39"/>
      <c r="AL6"/>
      <c r="AM6"/>
      <c r="AN6"/>
      <c r="AO6"/>
      <c r="AP6"/>
      <c r="AQ6"/>
    </row>
    <row r="7" spans="2:43" s="1" customFormat="1" ht="16.5" outlineLevel="2" x14ac:dyDescent="0.45">
      <c r="B7" s="41" t="s">
        <v>72</v>
      </c>
      <c r="C7" s="68">
        <f>uc!E14</f>
        <v>4.6699999999999998E-2</v>
      </c>
      <c r="D7" s="57" t="s">
        <v>71</v>
      </c>
      <c r="E7" s="3"/>
      <c r="F7" s="43"/>
      <c r="G7" s="42"/>
      <c r="H7" s="42"/>
      <c r="I7" s="42"/>
      <c r="J7" s="3"/>
      <c r="K7" s="42"/>
      <c r="L7" s="42"/>
      <c r="M7" s="42"/>
      <c r="N7" s="42"/>
      <c r="O7" s="42"/>
      <c r="P7" s="42"/>
      <c r="Q7" s="42"/>
      <c r="R7" s="42"/>
      <c r="S7" s="42"/>
      <c r="T7" s="44"/>
      <c r="AL7"/>
      <c r="AM7"/>
      <c r="AN7"/>
      <c r="AO7"/>
      <c r="AP7"/>
      <c r="AQ7"/>
    </row>
    <row r="8" spans="2:43" s="1" customFormat="1" ht="16.5" outlineLevel="2" x14ac:dyDescent="0.35">
      <c r="B8" s="36"/>
      <c r="C8" s="67"/>
      <c r="D8" s="47"/>
      <c r="E8" s="3"/>
      <c r="F8" s="38" t="s">
        <v>73</v>
      </c>
      <c r="G8" s="71">
        <f>uc!E15</f>
        <v>8.337E-2</v>
      </c>
      <c r="H8" s="71">
        <f>uc!E16</f>
        <v>8.337E-2</v>
      </c>
      <c r="I8" s="71">
        <f>uc!E17</f>
        <v>8.337E-2</v>
      </c>
      <c r="J8" s="3"/>
      <c r="K8" s="37"/>
      <c r="L8" s="37"/>
      <c r="M8" s="37"/>
      <c r="N8" s="37"/>
      <c r="O8" s="37"/>
      <c r="P8" s="37"/>
      <c r="Q8" s="37"/>
      <c r="R8" s="37"/>
      <c r="S8" s="37"/>
      <c r="T8" s="40" t="s">
        <v>71</v>
      </c>
      <c r="AL8"/>
      <c r="AM8"/>
      <c r="AN8"/>
      <c r="AO8"/>
      <c r="AP8"/>
      <c r="AQ8"/>
    </row>
    <row r="9" spans="2:43" s="1" customFormat="1" ht="16.5" outlineLevel="2" x14ac:dyDescent="0.45">
      <c r="B9" s="41" t="s">
        <v>74</v>
      </c>
      <c r="C9" s="68">
        <f>uc!E18</f>
        <v>8.5000000000000006E-2</v>
      </c>
      <c r="D9" s="57" t="s">
        <v>71</v>
      </c>
      <c r="E9" s="3"/>
      <c r="F9" s="43"/>
      <c r="G9" s="42"/>
      <c r="H9" s="42"/>
      <c r="I9" s="42"/>
      <c r="J9" s="3"/>
      <c r="K9" s="42"/>
      <c r="L9" s="42"/>
      <c r="M9" s="42"/>
      <c r="N9" s="42"/>
      <c r="O9" s="42"/>
      <c r="P9" s="42"/>
      <c r="Q9" s="42"/>
      <c r="R9" s="42"/>
      <c r="S9" s="42"/>
      <c r="T9" s="44"/>
      <c r="AL9"/>
      <c r="AM9"/>
      <c r="AN9"/>
      <c r="AO9"/>
      <c r="AP9"/>
      <c r="AQ9"/>
    </row>
    <row r="10" spans="2:43" s="1" customFormat="1" ht="16.5" outlineLevel="2" x14ac:dyDescent="0.45">
      <c r="B10" s="36" t="s">
        <v>75</v>
      </c>
      <c r="C10" s="70">
        <f>uc!E19</f>
        <v>5000</v>
      </c>
      <c r="D10" s="37" t="s">
        <v>76</v>
      </c>
      <c r="E10" s="3"/>
      <c r="F10" s="38"/>
      <c r="G10" s="37"/>
      <c r="H10" s="37"/>
      <c r="I10" s="37"/>
      <c r="J10" s="3"/>
      <c r="K10" s="37"/>
      <c r="L10" s="37"/>
      <c r="M10" s="37"/>
      <c r="N10" s="37"/>
      <c r="O10" s="37"/>
      <c r="P10" s="37"/>
      <c r="Q10" s="37"/>
      <c r="R10" s="37"/>
      <c r="S10" s="37"/>
      <c r="T10" s="39"/>
      <c r="AL10"/>
      <c r="AM10"/>
      <c r="AN10"/>
      <c r="AO10"/>
      <c r="AP10"/>
      <c r="AQ10"/>
    </row>
    <row r="11" spans="2:43" s="1" customFormat="1" outlineLevel="2" x14ac:dyDescent="0.35">
      <c r="B11" s="66"/>
      <c r="C11" s="42"/>
      <c r="D11" s="42"/>
      <c r="E11" s="3"/>
      <c r="F11" s="65"/>
      <c r="G11" s="69"/>
      <c r="H11" s="69"/>
      <c r="I11" s="69"/>
      <c r="J11" s="3"/>
      <c r="K11" s="42"/>
      <c r="L11" s="42"/>
      <c r="M11" s="42"/>
      <c r="N11" s="42"/>
      <c r="O11" s="42"/>
      <c r="P11" s="42"/>
      <c r="Q11" s="42"/>
      <c r="R11" s="42"/>
      <c r="S11" s="42"/>
      <c r="T11" s="44"/>
      <c r="AL11"/>
      <c r="AM11"/>
      <c r="AN11"/>
      <c r="AO11"/>
      <c r="AP11"/>
      <c r="AQ11"/>
    </row>
    <row r="12" spans="2:43" s="1" customFormat="1" ht="17.5" outlineLevel="1" thickBot="1" x14ac:dyDescent="0.45">
      <c r="B12" s="166" t="s">
        <v>77</v>
      </c>
      <c r="C12" s="167"/>
      <c r="D12" s="167"/>
      <c r="E12" s="167"/>
      <c r="F12" s="167"/>
      <c r="G12" s="167"/>
      <c r="H12" s="167"/>
      <c r="I12" s="167"/>
      <c r="J12" s="167"/>
      <c r="K12" s="167"/>
      <c r="L12" s="167"/>
      <c r="M12" s="167"/>
      <c r="N12" s="167"/>
      <c r="O12" s="167"/>
      <c r="P12" s="167"/>
      <c r="Q12" s="167"/>
      <c r="R12" s="167"/>
      <c r="S12" s="167"/>
      <c r="T12" s="168"/>
      <c r="AL12"/>
      <c r="AM12"/>
      <c r="AN12"/>
      <c r="AO12"/>
      <c r="AP12"/>
      <c r="AQ12"/>
    </row>
    <row r="13" spans="2:43" s="1" customFormat="1" ht="15.5" outlineLevel="2" thickTop="1" thickBot="1" x14ac:dyDescent="0.4">
      <c r="B13" s="183" t="s">
        <v>78</v>
      </c>
      <c r="C13" s="184"/>
      <c r="D13" s="184"/>
      <c r="E13" s="184"/>
      <c r="F13" s="184"/>
      <c r="G13" s="184"/>
      <c r="H13" s="184"/>
      <c r="I13" s="184"/>
      <c r="J13" s="184"/>
      <c r="K13" s="184"/>
      <c r="L13" s="184"/>
      <c r="M13" s="184"/>
      <c r="N13" s="184"/>
      <c r="O13" s="184"/>
      <c r="P13" s="184"/>
      <c r="Q13" s="184"/>
      <c r="R13" s="184"/>
      <c r="S13" s="184"/>
      <c r="T13" s="185"/>
      <c r="AL13"/>
      <c r="AM13"/>
      <c r="AN13"/>
      <c r="AO13"/>
      <c r="AP13"/>
      <c r="AQ13"/>
    </row>
    <row r="14" spans="2:43" s="1" customFormat="1" ht="16.5" outlineLevel="3" x14ac:dyDescent="0.35">
      <c r="B14" s="41" t="s">
        <v>22</v>
      </c>
      <c r="C14" s="28">
        <f>Summary!$C$6/1000000</f>
        <v>2.2000000000000001E-6</v>
      </c>
      <c r="D14" s="42" t="s">
        <v>79</v>
      </c>
      <c r="E14" s="3"/>
      <c r="F14" s="43" t="s">
        <v>24</v>
      </c>
      <c r="G14" s="29">
        <f>Summary!G6/1000</f>
        <v>0.1</v>
      </c>
      <c r="H14" s="29">
        <f>Summary!H6/1000</f>
        <v>5.5E-2</v>
      </c>
      <c r="I14" s="29">
        <f>Summary!I6/1000</f>
        <v>0.04</v>
      </c>
      <c r="J14" s="3"/>
      <c r="K14" s="42"/>
      <c r="L14" s="42"/>
      <c r="M14" s="42"/>
      <c r="N14" s="42"/>
      <c r="O14" s="42"/>
      <c r="P14" s="42"/>
      <c r="Q14" s="42"/>
      <c r="R14" s="42"/>
      <c r="S14" s="42"/>
      <c r="T14" s="44" t="s">
        <v>37</v>
      </c>
      <c r="AL14"/>
      <c r="AM14"/>
      <c r="AN14"/>
      <c r="AO14"/>
      <c r="AP14"/>
      <c r="AQ14"/>
    </row>
    <row r="15" spans="2:43" s="1" customFormat="1" ht="16.5" outlineLevel="3" x14ac:dyDescent="0.45">
      <c r="B15" s="36" t="s">
        <v>80</v>
      </c>
      <c r="C15" s="27">
        <f>Summary!$C$7/1000</f>
        <v>0.11600000000000001</v>
      </c>
      <c r="D15" s="47" t="s">
        <v>71</v>
      </c>
      <c r="E15" s="3"/>
      <c r="F15" s="38" t="s">
        <v>81</v>
      </c>
      <c r="G15" s="28">
        <f>Summary!G7/1000000</f>
        <v>1.3827999999999999E-5</v>
      </c>
      <c r="H15" s="28">
        <f>Summary!H7/1000000</f>
        <v>1.38E-5</v>
      </c>
      <c r="I15" s="28">
        <f>Summary!I7/1000000</f>
        <v>1.38E-5</v>
      </c>
      <c r="J15" s="3"/>
      <c r="K15" s="37"/>
      <c r="L15" s="37"/>
      <c r="M15" s="37"/>
      <c r="N15" s="37"/>
      <c r="O15" s="37"/>
      <c r="P15" s="37"/>
      <c r="Q15" s="37"/>
      <c r="R15" s="37"/>
      <c r="S15" s="37"/>
      <c r="T15" s="39" t="s">
        <v>82</v>
      </c>
      <c r="AL15"/>
      <c r="AM15"/>
      <c r="AN15"/>
      <c r="AO15"/>
      <c r="AP15"/>
      <c r="AQ15"/>
    </row>
    <row r="16" spans="2:43" s="1" customFormat="1" ht="16.5" customHeight="1" outlineLevel="3" x14ac:dyDescent="0.35">
      <c r="B16" s="41"/>
      <c r="C16" s="42"/>
      <c r="D16" s="42"/>
      <c r="E16" s="3"/>
      <c r="F16" s="43" t="s">
        <v>29</v>
      </c>
      <c r="G16" s="26">
        <f>Summary!G8/1000</f>
        <v>5.0000000000000001E-3</v>
      </c>
      <c r="H16" s="26">
        <f>Summary!H8/1000</f>
        <v>5.0000000000000001E-3</v>
      </c>
      <c r="I16" s="26">
        <f>Summary!I8/1000</f>
        <v>5.0000000000000001E-3</v>
      </c>
      <c r="J16" s="3"/>
      <c r="K16" s="42"/>
      <c r="L16" s="42"/>
      <c r="M16" s="42"/>
      <c r="N16" s="42"/>
      <c r="O16" s="42"/>
      <c r="P16" s="42"/>
      <c r="Q16" s="42"/>
      <c r="R16" s="42"/>
      <c r="S16" s="42"/>
      <c r="T16" s="45" t="s">
        <v>71</v>
      </c>
      <c r="AL16"/>
      <c r="AM16"/>
      <c r="AN16"/>
      <c r="AO16"/>
      <c r="AP16"/>
      <c r="AQ16"/>
    </row>
    <row r="17" spans="2:43" s="1" customFormat="1" ht="15" outlineLevel="2" thickBot="1" x14ac:dyDescent="0.4">
      <c r="B17" s="180" t="s">
        <v>83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AL17"/>
      <c r="AM17"/>
      <c r="AN17"/>
      <c r="AO17"/>
      <c r="AP17"/>
      <c r="AQ17"/>
    </row>
    <row r="18" spans="2:43" s="1" customFormat="1" ht="16.5" customHeight="1" outlineLevel="3" x14ac:dyDescent="0.35">
      <c r="B18" s="64" t="s">
        <v>84</v>
      </c>
      <c r="C18" s="30">
        <f>IF(Summary!$C$9=uc!$D$30,uc!E30,IF(Summary!$C$9=uc!$D$31,uc!E31,"ERR"))</f>
        <v>2.5000000000000001E-2</v>
      </c>
      <c r="D18" s="42" t="s">
        <v>44</v>
      </c>
      <c r="E18" s="3"/>
      <c r="F18" s="43" t="s">
        <v>85</v>
      </c>
      <c r="G18" s="26">
        <f>VOUT_SBB0*VOUT_Accuracy</f>
        <v>4.5000000000000005E-2</v>
      </c>
      <c r="H18" s="26">
        <f>VOUT_SBB1*VOUT_Accuracy</f>
        <v>0.03</v>
      </c>
      <c r="I18" s="26">
        <f>VOUT_SBB2*VOUT_Accuracy</f>
        <v>8.2500000000000004E-2</v>
      </c>
      <c r="J18" s="3"/>
      <c r="K18" s="42"/>
      <c r="L18" s="42"/>
      <c r="M18" s="42"/>
      <c r="N18" s="42"/>
      <c r="O18" s="42"/>
      <c r="P18" s="42"/>
      <c r="Q18" s="42"/>
      <c r="R18" s="42"/>
      <c r="S18" s="42"/>
      <c r="T18" s="45" t="s">
        <v>20</v>
      </c>
      <c r="AL18"/>
      <c r="AM18"/>
      <c r="AN18"/>
      <c r="AO18"/>
      <c r="AP18"/>
      <c r="AQ18"/>
    </row>
    <row r="19" spans="2:43" s="1" customFormat="1" ht="15" outlineLevel="2" thickBot="1" x14ac:dyDescent="0.4">
      <c r="B19" s="180" t="s">
        <v>86</v>
      </c>
      <c r="C19" s="181"/>
      <c r="D19" s="181"/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1"/>
      <c r="P19" s="181"/>
      <c r="Q19" s="181"/>
      <c r="R19" s="181"/>
      <c r="S19" s="181"/>
      <c r="T19" s="182"/>
      <c r="AL19"/>
      <c r="AM19"/>
      <c r="AN19"/>
      <c r="AO19"/>
      <c r="AP19"/>
      <c r="AQ19"/>
    </row>
    <row r="20" spans="2:43" s="1" customFormat="1" outlineLevel="3" x14ac:dyDescent="0.35">
      <c r="B20" s="41"/>
      <c r="C20" s="42"/>
      <c r="D20" s="42"/>
      <c r="E20" s="3"/>
      <c r="F20" s="109" t="s">
        <v>38</v>
      </c>
      <c r="G20" s="26" t="str">
        <f>Summary!G12</f>
        <v>Buck</v>
      </c>
      <c r="H20" s="26" t="str">
        <f>Summary!H12</f>
        <v>Buck</v>
      </c>
      <c r="I20" s="26" t="str">
        <f>Summary!I12</f>
        <v>Buck-Boost</v>
      </c>
      <c r="J20" s="3"/>
      <c r="K20" s="115"/>
      <c r="L20" s="116"/>
      <c r="M20" s="117"/>
      <c r="N20" s="116"/>
      <c r="O20" s="116"/>
      <c r="P20" s="116"/>
      <c r="Q20" s="116"/>
      <c r="R20" s="116"/>
      <c r="S20" s="116"/>
      <c r="T20" s="114"/>
      <c r="AL20"/>
      <c r="AM20"/>
      <c r="AN20"/>
      <c r="AO20"/>
      <c r="AP20"/>
      <c r="AQ20"/>
    </row>
    <row r="21" spans="2:43" s="1" customFormat="1" ht="15" outlineLevel="2" thickBot="1" x14ac:dyDescent="0.4">
      <c r="B21" s="180" t="s">
        <v>87</v>
      </c>
      <c r="C21" s="181"/>
      <c r="D21" s="181"/>
      <c r="E21" s="181"/>
      <c r="F21" s="181"/>
      <c r="G21" s="181"/>
      <c r="H21" s="181"/>
      <c r="I21" s="181"/>
      <c r="J21" s="181"/>
      <c r="K21" s="181"/>
      <c r="L21" s="181"/>
      <c r="M21" s="181"/>
      <c r="N21" s="181"/>
      <c r="O21" s="181"/>
      <c r="P21" s="181"/>
      <c r="Q21" s="181"/>
      <c r="R21" s="181"/>
      <c r="S21" s="181"/>
      <c r="T21" s="182"/>
      <c r="AL21"/>
      <c r="AM21"/>
      <c r="AN21"/>
      <c r="AO21"/>
      <c r="AP21"/>
      <c r="AQ21"/>
    </row>
    <row r="22" spans="2:43" s="1" customFormat="1" ht="16.5" outlineLevel="3" x14ac:dyDescent="0.35">
      <c r="B22" s="41"/>
      <c r="C22" s="42"/>
      <c r="D22" s="42"/>
      <c r="E22" s="3"/>
      <c r="F22" s="43" t="s">
        <v>88</v>
      </c>
      <c r="G22" s="28">
        <f>COUT_SBB0</f>
        <v>1.3827999999999999E-5</v>
      </c>
      <c r="H22" s="28">
        <f>COUT_SBB1</f>
        <v>1.38E-5</v>
      </c>
      <c r="I22" s="28">
        <f>COUT_SBB2</f>
        <v>1.38E-5</v>
      </c>
      <c r="J22" s="3"/>
      <c r="K22" s="42"/>
      <c r="L22" s="42"/>
      <c r="M22" s="42"/>
      <c r="N22" s="42"/>
      <c r="O22" s="42"/>
      <c r="P22" s="42"/>
      <c r="Q22" s="42"/>
      <c r="R22" s="42"/>
      <c r="S22" s="42"/>
      <c r="T22" s="45" t="s">
        <v>82</v>
      </c>
      <c r="AL22"/>
      <c r="AM22"/>
      <c r="AN22"/>
      <c r="AO22"/>
      <c r="AP22"/>
      <c r="AQ22"/>
    </row>
    <row r="23" spans="2:43" s="1" customFormat="1" ht="15" outlineLevel="2" thickBot="1" x14ac:dyDescent="0.4">
      <c r="B23" s="180" t="s">
        <v>89</v>
      </c>
      <c r="C23" s="181"/>
      <c r="D23" s="181"/>
      <c r="E23" s="181"/>
      <c r="F23" s="181"/>
      <c r="G23" s="181"/>
      <c r="H23" s="181"/>
      <c r="I23" s="181"/>
      <c r="J23" s="181"/>
      <c r="K23" s="181"/>
      <c r="L23" s="181"/>
      <c r="M23" s="181"/>
      <c r="N23" s="181"/>
      <c r="O23" s="181"/>
      <c r="P23" s="181"/>
      <c r="Q23" s="181"/>
      <c r="R23" s="181"/>
      <c r="S23" s="181"/>
      <c r="T23" s="182"/>
      <c r="AL23"/>
      <c r="AM23"/>
      <c r="AN23"/>
      <c r="AO23"/>
      <c r="AP23"/>
      <c r="AQ23"/>
    </row>
    <row r="24" spans="2:43" s="1" customFormat="1" ht="16.5" outlineLevel="3" x14ac:dyDescent="0.45">
      <c r="B24" s="62"/>
      <c r="C24" s="63"/>
      <c r="D24" s="63"/>
      <c r="E24" s="18"/>
      <c r="F24" s="63" t="s">
        <v>90</v>
      </c>
      <c r="G24" s="31">
        <f>SUM(rL_DCR,rM1_,rM3_SBB0)</f>
        <v>0.26946999999999999</v>
      </c>
      <c r="H24" s="31">
        <f>SUM(rL_DCR,rM1_,rM3_SBB1)</f>
        <v>0.26946999999999999</v>
      </c>
      <c r="I24" s="31">
        <f>SUM(rL_DCR,rM1_,rM3_SBB2)</f>
        <v>0.26946999999999999</v>
      </c>
      <c r="J24" s="18"/>
      <c r="K24" s="63"/>
      <c r="L24" s="63"/>
      <c r="M24" s="63"/>
      <c r="N24" s="63"/>
      <c r="O24" s="63"/>
      <c r="P24" s="63"/>
      <c r="Q24" s="63"/>
      <c r="R24" s="63"/>
      <c r="S24" s="63"/>
      <c r="T24" s="45" t="s">
        <v>71</v>
      </c>
      <c r="AL24"/>
      <c r="AM24"/>
      <c r="AN24"/>
      <c r="AO24"/>
      <c r="AP24"/>
      <c r="AQ24"/>
    </row>
    <row r="25" spans="2:43" s="1" customFormat="1" ht="16.5" outlineLevel="3" x14ac:dyDescent="0.35">
      <c r="B25" s="36"/>
      <c r="C25" s="37"/>
      <c r="D25" s="47"/>
      <c r="E25" s="3"/>
      <c r="F25" s="38" t="s">
        <v>91</v>
      </c>
      <c r="G25" s="27">
        <f>SUM(rL_DCR,rM2_,rM3_SBB0)</f>
        <v>0.24607000000000001</v>
      </c>
      <c r="H25" s="27">
        <f>SUM(rL_DCR,rM2_,rM3_SBB1)</f>
        <v>0.24607000000000001</v>
      </c>
      <c r="I25" s="27">
        <f>SUM(rL_DCR,rM2_,rM3_SBB2)</f>
        <v>0.24607000000000001</v>
      </c>
      <c r="J25" s="3"/>
      <c r="K25" s="37"/>
      <c r="L25" s="37"/>
      <c r="M25" s="37"/>
      <c r="N25" s="37"/>
      <c r="O25" s="37"/>
      <c r="P25" s="37"/>
      <c r="Q25" s="37"/>
      <c r="R25" s="37"/>
      <c r="S25" s="37"/>
      <c r="T25" s="40" t="s">
        <v>71</v>
      </c>
      <c r="AL25"/>
      <c r="AM25"/>
      <c r="AN25"/>
      <c r="AO25"/>
      <c r="AP25"/>
      <c r="AQ25"/>
    </row>
    <row r="26" spans="2:43" s="1" customFormat="1" ht="16.5" outlineLevel="3" x14ac:dyDescent="0.45">
      <c r="B26" s="41" t="s">
        <v>92</v>
      </c>
      <c r="C26" s="27">
        <f>SUM(rL_DCR,rM1_,rM4_)</f>
        <v>0.27110000000000001</v>
      </c>
      <c r="D26" s="57" t="s">
        <v>71</v>
      </c>
      <c r="E26" s="3"/>
      <c r="F26" s="43" t="s">
        <v>93</v>
      </c>
      <c r="G26" s="27">
        <f>SUM(rL_DCR,rM2_,rM3_SBB0)</f>
        <v>0.24607000000000001</v>
      </c>
      <c r="H26" s="27">
        <f>SUM(rL_DCR,rM2_,rM3_SBB1)</f>
        <v>0.24607000000000001</v>
      </c>
      <c r="I26" s="27">
        <f>SUM(rL_DCR,rM2_,rM3_SBB2)</f>
        <v>0.24607000000000001</v>
      </c>
      <c r="J26" s="3"/>
      <c r="K26" s="42"/>
      <c r="L26" s="42"/>
      <c r="M26" s="42"/>
      <c r="N26" s="42"/>
      <c r="O26" s="42"/>
      <c r="P26" s="42"/>
      <c r="Q26" s="42"/>
      <c r="R26" s="42"/>
      <c r="S26" s="42"/>
      <c r="T26" s="45" t="s">
        <v>71</v>
      </c>
      <c r="AL26"/>
      <c r="AM26"/>
      <c r="AN26"/>
      <c r="AO26"/>
      <c r="AP26"/>
      <c r="AQ26"/>
    </row>
    <row r="27" spans="2:43" s="1" customFormat="1" ht="16.5" outlineLevel="3" x14ac:dyDescent="0.45">
      <c r="B27" s="36"/>
      <c r="C27" s="37"/>
      <c r="D27" s="47"/>
      <c r="E27" s="3"/>
      <c r="F27" s="58" t="s">
        <v>94</v>
      </c>
      <c r="G27" s="27">
        <f>IF(G$20=uc!$J$25,G24,IF(G$20=uc!$J$26,$C$26,"ERR"))</f>
        <v>0.26946999999999999</v>
      </c>
      <c r="H27" s="27">
        <f>IF(H$20=uc!$J$25,H24,IF(H$20=uc!$J$26,$C$26,"ERR"))</f>
        <v>0.26946999999999999</v>
      </c>
      <c r="I27" s="27">
        <f>IF(I$20=uc!$J$25,I24,IF(I$20=uc!$J$26,$C$26,"ERR"))</f>
        <v>0.27110000000000001</v>
      </c>
      <c r="J27" s="3"/>
      <c r="K27" s="37"/>
      <c r="L27" s="37"/>
      <c r="M27" s="37"/>
      <c r="N27" s="37"/>
      <c r="O27" s="37"/>
      <c r="P27" s="37"/>
      <c r="Q27" s="37"/>
      <c r="R27" s="37"/>
      <c r="S27" s="37"/>
      <c r="T27" s="40" t="s">
        <v>71</v>
      </c>
      <c r="AL27"/>
      <c r="AM27"/>
      <c r="AN27"/>
      <c r="AO27"/>
      <c r="AP27"/>
      <c r="AQ27"/>
    </row>
    <row r="28" spans="2:43" s="1" customFormat="1" ht="16.5" outlineLevel="3" x14ac:dyDescent="0.35">
      <c r="B28" s="41"/>
      <c r="C28" s="42"/>
      <c r="D28" s="57"/>
      <c r="E28" s="3"/>
      <c r="F28" s="43" t="s">
        <v>95</v>
      </c>
      <c r="G28" s="27">
        <f>IF(G$20=uc!$J$25,G25,IF(G$20=uc!$J$26,G26,"ERR"))</f>
        <v>0.24607000000000001</v>
      </c>
      <c r="H28" s="27">
        <f>IF(H$20=uc!$J$25,H25,IF(H$20=uc!$J$26,H26,"ERR"))</f>
        <v>0.24607000000000001</v>
      </c>
      <c r="I28" s="27">
        <f>IF(I$20=uc!$J$25,I25,IF(I$20=uc!$J$26,I26,"ERR"))</f>
        <v>0.24607000000000001</v>
      </c>
      <c r="J28" s="3"/>
      <c r="K28" s="42"/>
      <c r="L28" s="42"/>
      <c r="M28" s="42"/>
      <c r="N28" s="42"/>
      <c r="O28" s="42"/>
      <c r="P28" s="42"/>
      <c r="Q28" s="42"/>
      <c r="R28" s="42"/>
      <c r="S28" s="42"/>
      <c r="T28" s="45" t="s">
        <v>71</v>
      </c>
      <c r="AL28"/>
      <c r="AM28"/>
      <c r="AN28"/>
      <c r="AO28"/>
      <c r="AP28"/>
      <c r="AQ28"/>
    </row>
    <row r="29" spans="2:43" s="1" customFormat="1" ht="15" outlineLevel="2" thickBot="1" x14ac:dyDescent="0.4">
      <c r="B29" s="180" t="s">
        <v>96</v>
      </c>
      <c r="C29" s="181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2"/>
      <c r="AL29"/>
      <c r="AM29"/>
      <c r="AN29"/>
      <c r="AO29"/>
      <c r="AP29"/>
      <c r="AQ29"/>
    </row>
    <row r="30" spans="2:43" s="1" customFormat="1" ht="16.5" outlineLevel="3" x14ac:dyDescent="0.35">
      <c r="B30" s="201" t="s">
        <v>40</v>
      </c>
      <c r="C30" s="202"/>
      <c r="D30" s="202"/>
      <c r="E30" s="3"/>
      <c r="F30" s="43" t="s">
        <v>97</v>
      </c>
      <c r="G30" s="32">
        <f>LN((VIN-VOUT_SBB0)/(VIN-VOUT_SBB0-IL_Peak_SBB0*rCHG_Buck_SBB0))*L/rCHG_Buck_SBB0</f>
        <v>9.1816886306316121E-7</v>
      </c>
      <c r="H30" s="32">
        <f>LN((VIN-VOUT_SBB1)/(VIN-VOUT_SBB1-IL_Peak_SBB1*rCHG_Buck_SBB1))*L/rCHG_Buck_SBB1</f>
        <v>4.5230067921674294E-7</v>
      </c>
      <c r="I30" s="32">
        <f>LN((VIN-VOUT_SBB2)/(VIN-VOUT_SBB2-IL_Peak_SBB2*rCHG_Buck_SBB2))*L/rCHG_Buck_SBB2</f>
        <v>3.3533138595579725E-6</v>
      </c>
      <c r="J30" s="3"/>
      <c r="K30" s="32">
        <f>LN((VIN-VOUT_SBB0_MIN)/(VIN-VOUT_SBB0_MIN-IL_Peak_SBB0*rCHG_Buck_SBB0))*L/rCHG_Buck_SBB0</f>
        <v>8.957161896210108E-7</v>
      </c>
      <c r="L30" s="32">
        <f>G30</f>
        <v>9.1816886306316121E-7</v>
      </c>
      <c r="M30" s="32">
        <f>LN((VIN-VOUT_SBB0_MAX)/(VIN-VOUT_SBB0_MAX-IL_Peak_SBB0*rCHG_Buck_SBB0))*L/rCHG_Buck_SBB0</f>
        <v>9.4177738801218685E-7</v>
      </c>
      <c r="N30" s="32">
        <f>LN((VIN-VOUT_SBB1_MIN)/(VIN-VOUT_SBB1_MIN-IL_Peak_SBB1*rCHG_Buck_SBB1))*L/rCHG_Buck_SBB1</f>
        <v>4.4678794594913658E-7</v>
      </c>
      <c r="O30" s="32">
        <f>H30</f>
        <v>4.5230067921674294E-7</v>
      </c>
      <c r="P30" s="32">
        <f>LN((VIN-VOUT_SBB1_MAX)/(VIN-VOUT_SBB1_MAX-IL_Peak_SBB1*rCHG_Buck_SBB1))*L/rCHG_Buck_SBB1</f>
        <v>4.5795118680371119E-7</v>
      </c>
      <c r="Q30" s="32">
        <f>LN((VIN-VOUT_SBB2_MIN)/(VIN-VOUT_SBB2_MIN-IL_Peak_SBB2*rCHG_Buck_SBB2))*L/rCHG_Buck_SBB2</f>
        <v>2.6733911167632953E-6</v>
      </c>
      <c r="R30" s="32">
        <f>I30</f>
        <v>3.3533138595579725E-6</v>
      </c>
      <c r="S30" s="32">
        <f>LN((VIN-VOUT_SBB2_MAX)/(VIN-VOUT_SBB2_MAX-IL_Peak_SBB2*rCHG_Buck_SBB2))*L/rCHG_Buck_SBB2</f>
        <v>4.5088826815645452E-6</v>
      </c>
      <c r="T30" s="45" t="s">
        <v>68</v>
      </c>
      <c r="AL30"/>
      <c r="AM30"/>
      <c r="AN30"/>
      <c r="AO30"/>
      <c r="AP30"/>
      <c r="AQ30"/>
    </row>
    <row r="31" spans="2:43" s="1" customFormat="1" ht="16.5" outlineLevel="3" x14ac:dyDescent="0.35">
      <c r="B31" s="203"/>
      <c r="C31" s="204"/>
      <c r="D31" s="204"/>
      <c r="E31" s="3"/>
      <c r="F31" s="38" t="s">
        <v>98</v>
      </c>
      <c r="G31" s="32">
        <f>G33</f>
        <v>8.7265787228780421E-7</v>
      </c>
      <c r="H31" s="32">
        <f>H33</f>
        <v>8.726578722878059E-7</v>
      </c>
      <c r="I31" s="32">
        <f>I33</f>
        <v>3.2726970024331298E-7</v>
      </c>
      <c r="J31" s="3"/>
      <c r="K31" s="32">
        <f>K33</f>
        <v>8.9395100085717072E-7</v>
      </c>
      <c r="L31" s="32">
        <f>G31</f>
        <v>8.7265787228780421E-7</v>
      </c>
      <c r="M31" s="32">
        <f>M33</f>
        <v>8.5235626204957539E-7</v>
      </c>
      <c r="N31" s="32">
        <f>N33</f>
        <v>8.9395100085717252E-7</v>
      </c>
      <c r="O31" s="32">
        <f t="shared" ref="O31:O37" si="0">H31</f>
        <v>8.726578722878059E-7</v>
      </c>
      <c r="P31" s="32">
        <f>P33</f>
        <v>8.5235626204957709E-7</v>
      </c>
      <c r="Q31" s="32">
        <f>Q33</f>
        <v>3.3550570687343973E-7</v>
      </c>
      <c r="R31" s="32">
        <f>I31</f>
        <v>3.2726970024331298E-7</v>
      </c>
      <c r="S31" s="32">
        <f>S33</f>
        <v>3.1942840288427103E-7</v>
      </c>
      <c r="T31" s="40" t="s">
        <v>68</v>
      </c>
      <c r="AL31"/>
      <c r="AM31"/>
      <c r="AN31"/>
      <c r="AO31"/>
      <c r="AP31"/>
      <c r="AQ31"/>
    </row>
    <row r="32" spans="2:43" s="1" customFormat="1" ht="16.5" outlineLevel="3" x14ac:dyDescent="0.35">
      <c r="B32" s="205" t="s">
        <v>39</v>
      </c>
      <c r="C32" s="206"/>
      <c r="D32" s="206"/>
      <c r="E32" s="3"/>
      <c r="F32" s="43" t="s">
        <v>99</v>
      </c>
      <c r="G32" s="32">
        <f>LN(VIN/(VIN-IL_Peak_SBB0*rCHG_BB))*L/rCHG_BB</f>
        <v>4.5866715573505553E-7</v>
      </c>
      <c r="H32" s="32">
        <f>LN(VIN/(VIN-IL_Peak_SBB1*rCHG_BB))*L/rCHG_BB</f>
        <v>3.0287982976310165E-7</v>
      </c>
      <c r="I32" s="32">
        <f>LN(VIN/(VIN-IL_Peak_SBB2*rCHG_BB))*L/rCHG_BB</f>
        <v>3.0287982976310165E-7</v>
      </c>
      <c r="J32" s="3"/>
      <c r="K32" s="32"/>
      <c r="L32" s="32">
        <f t="shared" ref="L32:L37" si="1">G32</f>
        <v>4.5866715573505553E-7</v>
      </c>
      <c r="M32" s="32"/>
      <c r="N32" s="32"/>
      <c r="O32" s="32">
        <f t="shared" si="0"/>
        <v>3.0287982976310165E-7</v>
      </c>
      <c r="P32" s="32"/>
      <c r="Q32" s="32"/>
      <c r="R32" s="32">
        <f>I32</f>
        <v>3.0287982976310165E-7</v>
      </c>
      <c r="S32" s="32"/>
      <c r="T32" s="45" t="s">
        <v>68</v>
      </c>
      <c r="AL32"/>
      <c r="AM32"/>
      <c r="AN32"/>
      <c r="AO32"/>
      <c r="AP32"/>
      <c r="AQ32"/>
    </row>
    <row r="33" spans="2:43" s="1" customFormat="1" ht="16.5" outlineLevel="3" x14ac:dyDescent="0.35">
      <c r="B33" s="205"/>
      <c r="C33" s="206"/>
      <c r="D33" s="206"/>
      <c r="E33" s="3"/>
      <c r="F33" s="38" t="s">
        <v>100</v>
      </c>
      <c r="G33" s="32">
        <f>LN((IL_Peak_SBB0*rDIS_BB_SBB0+VOUT_SBB0)/VOUT_SBB0)*L/rDIS_BB_SBB0</f>
        <v>8.7265787228780421E-7</v>
      </c>
      <c r="H33" s="32">
        <f>LN((IL_Peak_SBB1*rDIS_BB_SBB1+VOUT_SBB1)/VOUT_SBB1)*L/rDIS_BB_SBB1</f>
        <v>8.726578722878059E-7</v>
      </c>
      <c r="I33" s="32">
        <f>LN((IL_Peak_SBB2*rDIS_BB_SBB2+VOUT_SBB2)/VOUT_SBB2)*L/rDIS_BB_SBB2</f>
        <v>3.2726970024331298E-7</v>
      </c>
      <c r="J33" s="3"/>
      <c r="K33" s="32">
        <f>LN((IL_Peak_SBB0*rDIS_BB_SBB0+VOUT_SBB0_MIN)/VOUT_SBB0_MIN)*L/rDIS_BB_SBB0</f>
        <v>8.9395100085717072E-7</v>
      </c>
      <c r="L33" s="32">
        <f t="shared" si="1"/>
        <v>8.7265787228780421E-7</v>
      </c>
      <c r="M33" s="32">
        <f>LN((IL_Peak_SBB0*rDIS_BB_SBB0+VOUT_SBB0_MAX)/VOUT_SBB0_MAX)*L/rDIS_BB_SBB0</f>
        <v>8.5235626204957539E-7</v>
      </c>
      <c r="N33" s="32">
        <f>LN((IL_Peak_SBB1*rDIS_BB_SBB1+VOUT_SBB1_MIN)/VOUT_SBB1_MIN)*L/rDIS_BB_SBB1</f>
        <v>8.9395100085717252E-7</v>
      </c>
      <c r="O33" s="32">
        <f t="shared" si="0"/>
        <v>8.726578722878059E-7</v>
      </c>
      <c r="P33" s="32">
        <f>LN((IL_Peak_SBB1*rDIS_BB_SBB1+VOUT_SBB1_MAX)/VOUT_SBB1_MAX)*L/rDIS_BB_SBB1</f>
        <v>8.5235626204957709E-7</v>
      </c>
      <c r="Q33" s="32">
        <f>LN((IL_Peak_SBB2*rDIS_BB_SBB2+VOUT_SBB2_MIN)/VOUT_SBB2_MIN)*L/rDIS_BB_SBB2</f>
        <v>3.3550570687343973E-7</v>
      </c>
      <c r="R33" s="32">
        <f t="shared" ref="R33:R37" si="2">I33</f>
        <v>3.2726970024331298E-7</v>
      </c>
      <c r="S33" s="32">
        <f>LN((IL_Peak_SBB2*rDIS_BB_SBB2+VOUT_SBB2_MAX)/VOUT_SBB2_MAX)*L/rDIS_BB_SBB2</f>
        <v>3.1942840288427103E-7</v>
      </c>
      <c r="T33" s="40" t="s">
        <v>68</v>
      </c>
      <c r="AL33"/>
      <c r="AM33"/>
      <c r="AN33"/>
      <c r="AO33"/>
      <c r="AP33"/>
      <c r="AQ33"/>
    </row>
    <row r="34" spans="2:43" s="1" customFormat="1" ht="16.5" outlineLevel="3" x14ac:dyDescent="0.35">
      <c r="B34" s="41"/>
      <c r="C34" s="42"/>
      <c r="D34" s="42"/>
      <c r="E34" s="3"/>
      <c r="F34" s="43" t="s">
        <v>101</v>
      </c>
      <c r="G34" s="32">
        <f>IF(EN_SBB0,IF(G$20=uc!$J$25,G30,IF(G$20=uc!$J$26,G32,"ERR")), 0)</f>
        <v>9.1816886306316121E-7</v>
      </c>
      <c r="H34" s="32">
        <f>IF(EN_SBB1,IF(H$20=uc!$J$25,H30,IF(H$20=uc!$J$26,H32,"ERR")), 0)</f>
        <v>4.5230067921674294E-7</v>
      </c>
      <c r="I34" s="32">
        <f>IF(EN_SBB2,IF(I$20=uc!$J$25,I30,IF(I$20=uc!$J$26,I32,"ERR")),0)</f>
        <v>3.0287982976310165E-7</v>
      </c>
      <c r="J34" s="3"/>
      <c r="K34" s="32">
        <f>IF(EN_SBB0,IF($G$20=uc!$J$25,K30,IF($G$20=uc!$J$26,K32,"ERR")),0)</f>
        <v>8.957161896210108E-7</v>
      </c>
      <c r="L34" s="32">
        <f t="shared" si="1"/>
        <v>9.1816886306316121E-7</v>
      </c>
      <c r="M34" s="32">
        <f>IF(EN_SBB0,IF($G$20=uc!$J$25,M30,IF($G$20=uc!$J$26,M32,"ERR")),0)</f>
        <v>9.4177738801218685E-7</v>
      </c>
      <c r="N34" s="32">
        <f>IF(EN_SBB1,IF($H$20=uc!$J$25,N30,IF($H$20=uc!$J$26,N32,"ERR")),0)</f>
        <v>4.4678794594913658E-7</v>
      </c>
      <c r="O34" s="32">
        <f t="shared" si="0"/>
        <v>4.5230067921674294E-7</v>
      </c>
      <c r="P34" s="32">
        <f>IF(EN_SBB1,IF($H$20=uc!$J$25,P30,IF($H$20=uc!$J$26,P32,"ERR")),0)</f>
        <v>4.5795118680371119E-7</v>
      </c>
      <c r="Q34" s="32">
        <f>IF(EN_SBB2,IF($I$20=uc!$J$25,Q30,IF($I$20=uc!$J$26,Q32,"ERR")),0)</f>
        <v>0</v>
      </c>
      <c r="R34" s="32">
        <f t="shared" si="2"/>
        <v>3.0287982976310165E-7</v>
      </c>
      <c r="S34" s="32">
        <f>IF(EN_SBB2,IF($I$20=uc!$J$25,S30,IF($I$20=uc!$J$26,S32,"ERR")),0)</f>
        <v>0</v>
      </c>
      <c r="T34" s="45" t="s">
        <v>68</v>
      </c>
      <c r="AL34"/>
      <c r="AM34"/>
      <c r="AN34"/>
      <c r="AO34"/>
      <c r="AP34"/>
      <c r="AQ34"/>
    </row>
    <row r="35" spans="2:43" s="1" customFormat="1" ht="16.5" outlineLevel="3" x14ac:dyDescent="0.35">
      <c r="B35" s="36"/>
      <c r="C35" s="37"/>
      <c r="D35" s="37"/>
      <c r="E35" s="3"/>
      <c r="F35" s="38" t="s">
        <v>102</v>
      </c>
      <c r="G35" s="32">
        <f>IF(EN_SBB0,IF(G$20=uc!$J$25,G31,IF(G$20=uc!$J$26,G33,"ERR")), 0)</f>
        <v>8.7265787228780421E-7</v>
      </c>
      <c r="H35" s="32">
        <f>IF(EN_SBB1,IF(H$20=uc!$J$25,H31,IF(H$20=uc!$J$26,H33,"ERR")), 0)</f>
        <v>8.726578722878059E-7</v>
      </c>
      <c r="I35" s="32">
        <f>IF(EN_SBB2,IF(I$20=uc!$J$25,I31,IF(I$20=uc!$J$26,I33,"ERR")),0)</f>
        <v>3.2726970024331298E-7</v>
      </c>
      <c r="J35" s="3"/>
      <c r="K35" s="32">
        <f>IF(EN_SBB0,IF($G$20=uc!$J$25,K31,IF($G$20=uc!$J$26,K33,"ERR")),0)</f>
        <v>8.9395100085717072E-7</v>
      </c>
      <c r="L35" s="32">
        <f t="shared" si="1"/>
        <v>8.7265787228780421E-7</v>
      </c>
      <c r="M35" s="32">
        <f>IF(EN_SBB0,IF($G$20=uc!$J$25,M31,IF($G$20=uc!$J$26,M33,"ERR")),0)</f>
        <v>8.5235626204957539E-7</v>
      </c>
      <c r="N35" s="32">
        <f>IF(EN_SBB1,IF($G$20=uc!$J$25,N31,IF($G$20=uc!$J$26,N33,"ERR")),0)</f>
        <v>8.9395100085717252E-7</v>
      </c>
      <c r="O35" s="32">
        <f t="shared" si="0"/>
        <v>8.726578722878059E-7</v>
      </c>
      <c r="P35" s="32">
        <f>IF(EN_SBB1,IF($G$20=uc!$J$25,P31,IF($G$20=uc!$J$26,P33,"ERR")),0)</f>
        <v>8.5235626204957709E-7</v>
      </c>
      <c r="Q35" s="32">
        <f>IF(EN_SBB2,IF($G$20=uc!$J$25,Q31,IF($G$20=uc!$J$26,Q33,"ERR")),0)</f>
        <v>3.3550570687343973E-7</v>
      </c>
      <c r="R35" s="32">
        <f t="shared" si="2"/>
        <v>3.2726970024331298E-7</v>
      </c>
      <c r="S35" s="32">
        <f>IF(EN_SBB2,IF($G$20=uc!$J$25,S31,IF($G$20=uc!$J$26,S33,"ERR")),0)</f>
        <v>3.1942840288427103E-7</v>
      </c>
      <c r="T35" s="40" t="s">
        <v>68</v>
      </c>
      <c r="AL35"/>
      <c r="AM35"/>
      <c r="AN35"/>
      <c r="AO35"/>
      <c r="AP35"/>
      <c r="AQ35"/>
    </row>
    <row r="36" spans="2:43" s="1" customFormat="1" ht="16.5" outlineLevel="3" x14ac:dyDescent="0.35">
      <c r="B36" s="41"/>
      <c r="C36" s="42"/>
      <c r="D36" s="42"/>
      <c r="E36" s="3"/>
      <c r="F36" s="43" t="s">
        <v>103</v>
      </c>
      <c r="G36" s="32">
        <f>tL_DIS_SBB0+tL_CHG_SBB0</f>
        <v>1.7908267353509655E-6</v>
      </c>
      <c r="H36" s="32">
        <f>tL_DIS_SBB1+tL_CHG_SBB1</f>
        <v>1.3249585515045488E-6</v>
      </c>
      <c r="I36" s="32">
        <f>tL_DIS_SBB2+tL_CHG_SBB2</f>
        <v>6.3014953000641458E-7</v>
      </c>
      <c r="J36" s="3"/>
      <c r="K36" s="32">
        <f>tL_DIS_SBB0_MIN+K34</f>
        <v>1.7896671904781816E-6</v>
      </c>
      <c r="L36" s="32">
        <f t="shared" si="1"/>
        <v>1.7908267353509655E-6</v>
      </c>
      <c r="M36" s="32">
        <f>tL_DIS_SBB0_MAX+M34</f>
        <v>1.7941336500617622E-6</v>
      </c>
      <c r="N36" s="32">
        <f>tL_DIS_SBB1_MIN+N34</f>
        <v>1.340738946806309E-6</v>
      </c>
      <c r="O36" s="32">
        <f t="shared" si="0"/>
        <v>1.3249585515045488E-6</v>
      </c>
      <c r="P36" s="32">
        <f>tL_DIS_SBB1_MAX+P34</f>
        <v>1.3103074488532882E-6</v>
      </c>
      <c r="Q36" s="32">
        <f>tL_DIS_SBB2_MIN+Q34</f>
        <v>3.3550570687343973E-7</v>
      </c>
      <c r="R36" s="32">
        <f t="shared" si="2"/>
        <v>6.3014953000641458E-7</v>
      </c>
      <c r="S36" s="32">
        <f>tL_DIS_SBB2_MAX+S34</f>
        <v>3.1942840288427103E-7</v>
      </c>
      <c r="T36" s="45" t="s">
        <v>68</v>
      </c>
      <c r="AL36"/>
      <c r="AM36"/>
      <c r="AN36"/>
      <c r="AO36"/>
      <c r="AP36"/>
      <c r="AQ36"/>
    </row>
    <row r="37" spans="2:43" s="1" customFormat="1" ht="16.5" outlineLevel="3" x14ac:dyDescent="0.35">
      <c r="B37" s="36"/>
      <c r="C37" s="37"/>
      <c r="D37" s="37"/>
      <c r="E37" s="3"/>
      <c r="F37" s="38" t="s">
        <v>104</v>
      </c>
      <c r="G37" s="32">
        <f>tL_CHG_SBB0+terror_comp</f>
        <v>1.7681688630631612E-6</v>
      </c>
      <c r="H37" s="32">
        <f>tL_CHG_SBB1+terror_comp</f>
        <v>1.3023006792167428E-6</v>
      </c>
      <c r="I37" s="32">
        <f>tL_CHG_SBB2+terror_comp</f>
        <v>1.1528798297631017E-6</v>
      </c>
      <c r="J37" s="3"/>
      <c r="K37" s="32">
        <f>tL_CHG_SBB0_MIN+terror_comp</f>
        <v>1.7457161896210109E-6</v>
      </c>
      <c r="L37" s="32">
        <f t="shared" si="1"/>
        <v>1.7681688630631612E-6</v>
      </c>
      <c r="M37" s="32">
        <f>tL_CHG_SBB0_MAX+terror_comp</f>
        <v>1.7917773880121868E-6</v>
      </c>
      <c r="N37" s="32">
        <f>tL_CHG_SBB1_MIN+terror_comp</f>
        <v>1.2967879459491366E-6</v>
      </c>
      <c r="O37" s="32">
        <f t="shared" si="0"/>
        <v>1.3023006792167428E-6</v>
      </c>
      <c r="P37" s="32">
        <f>tL_CHG_SBB1_MAX+terror_comp</f>
        <v>1.3079511868037112E-6</v>
      </c>
      <c r="Q37" s="32">
        <f>tL_CHG_SBB2_MIN+terror_comp</f>
        <v>8.5000000000000001E-7</v>
      </c>
      <c r="R37" s="32">
        <f t="shared" si="2"/>
        <v>1.1528798297631017E-6</v>
      </c>
      <c r="S37" s="32">
        <f>tL_CHG_SBB2_MAX+terror_comp</f>
        <v>8.5000000000000001E-7</v>
      </c>
      <c r="T37" s="40" t="s">
        <v>68</v>
      </c>
      <c r="AL37"/>
      <c r="AM37"/>
      <c r="AN37"/>
      <c r="AO37"/>
      <c r="AP37"/>
      <c r="AQ37"/>
    </row>
    <row r="38" spans="2:43" s="1" customFormat="1" ht="15" outlineLevel="2" thickBot="1" x14ac:dyDescent="0.4">
      <c r="B38" s="180" t="s">
        <v>105</v>
      </c>
      <c r="C38" s="181"/>
      <c r="D38" s="181"/>
      <c r="E38" s="181"/>
      <c r="F38" s="181"/>
      <c r="G38" s="181"/>
      <c r="H38" s="181"/>
      <c r="I38" s="181"/>
      <c r="J38" s="181"/>
      <c r="K38" s="181"/>
      <c r="L38" s="181"/>
      <c r="M38" s="181"/>
      <c r="N38" s="181"/>
      <c r="O38" s="181"/>
      <c r="P38" s="181"/>
      <c r="Q38" s="181"/>
      <c r="R38" s="181"/>
      <c r="S38" s="181"/>
      <c r="T38" s="182"/>
      <c r="AL38"/>
      <c r="AM38"/>
      <c r="AN38"/>
      <c r="AO38"/>
      <c r="AP38"/>
      <c r="AQ38"/>
    </row>
    <row r="39" spans="2:43" s="1" customFormat="1" ht="16.5" outlineLevel="3" x14ac:dyDescent="0.35">
      <c r="B39" s="41"/>
      <c r="C39" s="42"/>
      <c r="D39" s="42"/>
      <c r="E39" s="3"/>
      <c r="F39" s="43" t="s">
        <v>106</v>
      </c>
      <c r="G39" s="26">
        <f>IL_Peak_SBB0/SQRT(3)</f>
        <v>0.43301270189221935</v>
      </c>
      <c r="H39" s="26">
        <f>IL_Peak_SBB1/SQRT(3)</f>
        <v>0.28867513459481292</v>
      </c>
      <c r="I39" s="26">
        <f>IL_Peak_SBB2/SQRT(3)</f>
        <v>0.28867513459481292</v>
      </c>
      <c r="J39" s="3"/>
      <c r="K39" s="42"/>
      <c r="L39" s="42"/>
      <c r="M39" s="42"/>
      <c r="N39" s="42"/>
      <c r="O39" s="42"/>
      <c r="P39" s="42"/>
      <c r="Q39" s="42"/>
      <c r="R39" s="42"/>
      <c r="S39" s="42"/>
      <c r="T39" s="45" t="s">
        <v>37</v>
      </c>
      <c r="AL39"/>
      <c r="AM39"/>
      <c r="AN39"/>
      <c r="AO39"/>
      <c r="AP39"/>
      <c r="AQ39"/>
    </row>
    <row r="40" spans="2:43" s="1" customFormat="1" ht="15" outlineLevel="2" thickBot="1" x14ac:dyDescent="0.4">
      <c r="B40" s="180" t="s">
        <v>107</v>
      </c>
      <c r="C40" s="181"/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  <c r="R40" s="181"/>
      <c r="S40" s="181"/>
      <c r="T40" s="182"/>
      <c r="AL40"/>
      <c r="AM40"/>
      <c r="AN40"/>
      <c r="AO40"/>
      <c r="AP40"/>
      <c r="AQ40"/>
    </row>
    <row r="41" spans="2:43" s="1" customFormat="1" ht="16.5" outlineLevel="3" x14ac:dyDescent="0.35">
      <c r="B41" s="41"/>
      <c r="C41" s="89"/>
      <c r="D41" s="42"/>
      <c r="E41" s="3"/>
      <c r="F41" s="43" t="s">
        <v>108</v>
      </c>
      <c r="G41" s="32">
        <f>IF(EN_SBB0,L*POWER(IL_Peak_SBB0,2)/2,0)</f>
        <v>6.1875000000000001E-7</v>
      </c>
      <c r="H41" s="32">
        <f>IF(EN_SBB1,L*POWER(IL_Peak_SBB1,2)/2,0)</f>
        <v>2.7500000000000001E-7</v>
      </c>
      <c r="I41" s="32">
        <f>IF(EN_SBB2,L*POWER(IL_Peak_SBB2,2)/2,0)</f>
        <v>2.7500000000000001E-7</v>
      </c>
      <c r="J41" s="3"/>
      <c r="K41" s="61"/>
      <c r="L41" s="61"/>
      <c r="M41" s="61"/>
      <c r="N41" s="61"/>
      <c r="O41" s="61"/>
      <c r="P41" s="61"/>
      <c r="Q41" s="61"/>
      <c r="R41" s="61"/>
      <c r="S41" s="61"/>
      <c r="T41" s="45" t="s">
        <v>109</v>
      </c>
      <c r="AL41"/>
      <c r="AM41"/>
      <c r="AN41"/>
      <c r="AO41"/>
      <c r="AP41"/>
      <c r="AQ41"/>
    </row>
    <row r="42" spans="2:43" s="1" customFormat="1" ht="16.5" outlineLevel="3" x14ac:dyDescent="0.35">
      <c r="B42" s="86"/>
      <c r="C42" s="85"/>
      <c r="D42" s="85"/>
      <c r="E42" s="3"/>
      <c r="F42" s="87" t="s">
        <v>113</v>
      </c>
      <c r="G42" s="32">
        <f>IOUT_SBB0*VOUT_SBB0*tL_DIS_SBB0</f>
        <v>1.5707841701180478E-7</v>
      </c>
      <c r="H42" s="32">
        <f>IOUT_SBB1*VOUT_SBB1*tL_DIS_SBB1</f>
        <v>5.7595419570995192E-8</v>
      </c>
      <c r="I42" s="32">
        <f>IOUT_SBB2*VOUT_SBB2*tL_DIS_SBB2</f>
        <v>4.3199600432117314E-8</v>
      </c>
      <c r="J42" s="3"/>
      <c r="K42" s="32">
        <f>IOUT_SBB0*VOUT_SBB0_MIN*tL_DIS_SBB0_MIN</f>
        <v>1.5688840065043347E-7</v>
      </c>
      <c r="L42" s="32">
        <f>G42</f>
        <v>1.5707841701180478E-7</v>
      </c>
      <c r="M42" s="32">
        <f>IOUT_SBB0*VOUT_SBB0_MAX*tL_DIS_SBB0_MAX</f>
        <v>1.5725973034814665E-7</v>
      </c>
      <c r="N42" s="32">
        <f>IOUT_SBB1*VOUT_SBB1_MIN*tL_DIS_SBB1_MIN</f>
        <v>5.7525746905159042E-8</v>
      </c>
      <c r="O42" s="32">
        <f>H42</f>
        <v>5.7595419570995192E-8</v>
      </c>
      <c r="P42" s="32">
        <f>IOUT_SBB1*VOUT_SBB1_MAX*tL_DIS_SBB1_MAX</f>
        <v>5.7661901127653889E-8</v>
      </c>
      <c r="Q42" s="32">
        <f>IOUT_SBB2*VOUT_SBB2_MIN*tL_DIS_SBB2_MIN</f>
        <v>4.3179584474611685E-8</v>
      </c>
      <c r="R42" s="32">
        <f>I42</f>
        <v>4.3199600432117314E-8</v>
      </c>
      <c r="S42" s="32">
        <f>IOUT_SBB2*VOUT_SBB2_MAX*tL_DIS_SBB2_MAX</f>
        <v>4.3218662910241871E-8</v>
      </c>
      <c r="T42" s="88" t="s">
        <v>109</v>
      </c>
      <c r="AL42"/>
      <c r="AM42"/>
      <c r="AN42"/>
      <c r="AO42"/>
      <c r="AP42"/>
      <c r="AQ42"/>
    </row>
    <row r="43" spans="2:43" s="1" customFormat="1" ht="16.5" outlineLevel="3" x14ac:dyDescent="0.35">
      <c r="B43" s="41"/>
      <c r="C43" s="42"/>
      <c r="D43" s="42"/>
      <c r="E43" s="3"/>
      <c r="F43" s="43" t="s">
        <v>110</v>
      </c>
      <c r="G43" s="32">
        <f>POWER(IL_dis_rms_SBB0,2)*rDIS_SBB0*tL_DIS_SBB0</f>
        <v>4.0262797993848757E-8</v>
      </c>
      <c r="H43" s="32">
        <f>POWER(IL_dis_rms_SBB1,2)*rDIS_SBB1*tL_DIS_SBB1</f>
        <v>1.789457688615504E-8</v>
      </c>
      <c r="I43" s="32">
        <f>POWER(IL_dis_rms_SBB2,2)*rDIS_SBB2*tL_DIS_SBB2</f>
        <v>6.7109379282393379E-9</v>
      </c>
      <c r="J43" s="3"/>
      <c r="K43" s="32">
        <f>POWER(IL_dis_rms_SBB0,2)*rDIS_SBB0*tL_DIS_SBB0_MIN</f>
        <v>4.1245223021423261E-8</v>
      </c>
      <c r="L43" s="32">
        <f>G43</f>
        <v>4.0262797993848757E-8</v>
      </c>
      <c r="M43" s="32">
        <f>POWER(IL_dis_rms_SBB0,2)*rDIS_SBB0*tL_DIS_SBB0_MAX</f>
        <v>3.932611976297607E-8</v>
      </c>
      <c r="N43" s="32">
        <f>POWER(IL_dis_rms_SBB1,2)*rDIS_SBB1*tL_DIS_SBB1_MIN</f>
        <v>1.8331210231743709E-8</v>
      </c>
      <c r="O43" s="32">
        <f>H43</f>
        <v>1.789457688615504E-8</v>
      </c>
      <c r="P43" s="32">
        <f>POWER(IL_dis_rms_SBB1,2)*rDIS_SBB1*tL_DIS_SBB1_MAX</f>
        <v>1.7478275450211625E-8</v>
      </c>
      <c r="Q43" s="32">
        <f>POWER(IL_dis_rms_SBB2,2)*rDIS_SBB2*tL_DIS_SBB2_MIN</f>
        <v>6.8798241075289454E-9</v>
      </c>
      <c r="R43" s="32">
        <f>I43</f>
        <v>6.7109379282393379E-9</v>
      </c>
      <c r="S43" s="32">
        <f>POWER(IL_dis_rms_SBB2,2)*rDIS_SBB2*tL_DIS_SBB2_MAX</f>
        <v>6.550145591477717E-9</v>
      </c>
      <c r="T43" s="45" t="s">
        <v>109</v>
      </c>
      <c r="AL43"/>
      <c r="AM43"/>
      <c r="AN43"/>
      <c r="AO43"/>
      <c r="AP43"/>
      <c r="AQ43"/>
    </row>
    <row r="44" spans="2:43" s="1" customFormat="1" ht="16.5" outlineLevel="3" x14ac:dyDescent="0.35">
      <c r="B44" s="205" t="s">
        <v>39</v>
      </c>
      <c r="C44" s="206"/>
      <c r="D44" s="206"/>
      <c r="E44" s="3"/>
      <c r="F44" s="38" t="s">
        <v>153</v>
      </c>
      <c r="G44" s="32">
        <f>EL_peak_SBB0-Eloss_cond_SBB0</f>
        <v>5.7848720200615126E-7</v>
      </c>
      <c r="H44" s="32">
        <f>EL_peak_SBB1-Eloss_cond_SBB1</f>
        <v>2.5710542311384496E-7</v>
      </c>
      <c r="I44" s="32">
        <f>EL_peak_SBB2-Eloss_cond_SBB2</f>
        <v>2.682890620717607E-7</v>
      </c>
      <c r="J44" s="3"/>
      <c r="K44" s="32">
        <f>EL_peak_SBB0-Eloss_cond_SBB0_MIN</f>
        <v>5.7750477697857678E-7</v>
      </c>
      <c r="L44" s="32">
        <f t="shared" ref="L44:L57" si="3">G44</f>
        <v>5.7848720200615126E-7</v>
      </c>
      <c r="M44" s="32">
        <f>EL_peak_SBB0-Eloss_cond_SBB0_MAX</f>
        <v>5.7942388023702388E-7</v>
      </c>
      <c r="N44" s="32">
        <f>EL_peak_SBB1-Eloss_cond_SBB1_MIN</f>
        <v>2.5666878976825632E-7</v>
      </c>
      <c r="O44" s="32">
        <f t="shared" ref="O44:O52" si="4">H44</f>
        <v>2.5710542311384496E-7</v>
      </c>
      <c r="P44" s="32">
        <f>EL_peak_SBB1-Eloss_cond_SBB1_MAX</f>
        <v>2.5752172454978839E-7</v>
      </c>
      <c r="Q44" s="32">
        <f>EL_peak_SBB2-Eloss_cond_SBB2_MIN</f>
        <v>2.6812017589247107E-7</v>
      </c>
      <c r="R44" s="32">
        <f t="shared" ref="R44:R57" si="5">I44</f>
        <v>2.682890620717607E-7</v>
      </c>
      <c r="S44" s="32">
        <f>EL_peak_SBB2-Eloss_cond_SBB2_MAX</f>
        <v>2.6844985440852229E-7</v>
      </c>
      <c r="T44" s="40" t="s">
        <v>109</v>
      </c>
      <c r="AL44"/>
      <c r="AM44"/>
      <c r="AN44"/>
      <c r="AO44"/>
      <c r="AP44"/>
      <c r="AQ44"/>
    </row>
    <row r="45" spans="2:43" s="1" customFormat="1" ht="16.5" outlineLevel="3" x14ac:dyDescent="0.35">
      <c r="B45" s="205"/>
      <c r="C45" s="206"/>
      <c r="D45" s="206"/>
      <c r="E45" s="3"/>
      <c r="F45" s="43" t="s">
        <v>152</v>
      </c>
      <c r="G45" s="32">
        <v>0</v>
      </c>
      <c r="H45" s="32">
        <v>0</v>
      </c>
      <c r="I45" s="32">
        <v>0</v>
      </c>
      <c r="J45" s="3"/>
      <c r="K45" s="32">
        <v>0</v>
      </c>
      <c r="L45" s="32">
        <f t="shared" si="3"/>
        <v>0</v>
      </c>
      <c r="M45" s="32">
        <v>0</v>
      </c>
      <c r="N45" s="32">
        <v>0</v>
      </c>
      <c r="O45" s="32">
        <f t="shared" si="4"/>
        <v>0</v>
      </c>
      <c r="P45" s="32">
        <v>0</v>
      </c>
      <c r="Q45" s="32">
        <v>0</v>
      </c>
      <c r="R45" s="32">
        <f t="shared" si="5"/>
        <v>0</v>
      </c>
      <c r="S45" s="32">
        <v>0</v>
      </c>
      <c r="T45" s="45" t="s">
        <v>109</v>
      </c>
      <c r="AL45"/>
      <c r="AM45"/>
      <c r="AN45"/>
      <c r="AO45"/>
      <c r="AP45"/>
      <c r="AQ45"/>
    </row>
    <row r="46" spans="2:43" s="1" customFormat="1" ht="16.5" outlineLevel="3" x14ac:dyDescent="0.35">
      <c r="B46" s="205"/>
      <c r="C46" s="206"/>
      <c r="D46" s="206"/>
      <c r="E46" s="3"/>
      <c r="F46" s="38" t="s">
        <v>154</v>
      </c>
      <c r="G46" s="32">
        <f>G44</f>
        <v>5.7848720200615126E-7</v>
      </c>
      <c r="H46" s="32">
        <f t="shared" ref="H46:I46" si="6">H44</f>
        <v>2.5710542311384496E-7</v>
      </c>
      <c r="I46" s="32">
        <f t="shared" si="6"/>
        <v>2.682890620717607E-7</v>
      </c>
      <c r="J46" s="3"/>
      <c r="K46" s="32">
        <f>K44</f>
        <v>5.7750477697857678E-7</v>
      </c>
      <c r="L46" s="32">
        <f t="shared" si="3"/>
        <v>5.7848720200615126E-7</v>
      </c>
      <c r="M46" s="32">
        <f>M44</f>
        <v>5.7942388023702388E-7</v>
      </c>
      <c r="N46" s="32">
        <f>N44</f>
        <v>2.5666878976825632E-7</v>
      </c>
      <c r="O46" s="32">
        <f t="shared" si="4"/>
        <v>2.5710542311384496E-7</v>
      </c>
      <c r="P46" s="32">
        <f>P44</f>
        <v>2.5752172454978839E-7</v>
      </c>
      <c r="Q46" s="32">
        <f>Q44</f>
        <v>2.6812017589247107E-7</v>
      </c>
      <c r="R46" s="32">
        <f t="shared" si="5"/>
        <v>2.682890620717607E-7</v>
      </c>
      <c r="S46" s="32">
        <f>S44</f>
        <v>2.6844985440852229E-7</v>
      </c>
      <c r="T46" s="40" t="s">
        <v>109</v>
      </c>
      <c r="AL46"/>
      <c r="AM46"/>
      <c r="AN46"/>
      <c r="AO46"/>
      <c r="AP46"/>
      <c r="AQ46"/>
    </row>
    <row r="47" spans="2:43" s="1" customFormat="1" ht="16.5" outlineLevel="3" x14ac:dyDescent="0.35">
      <c r="B47" s="207" t="s">
        <v>40</v>
      </c>
      <c r="C47" s="208"/>
      <c r="D47" s="208"/>
      <c r="E47" s="3"/>
      <c r="F47" s="43" t="s">
        <v>148</v>
      </c>
      <c r="G47" s="32">
        <f>(VIN-VOUT_SBB0)/2/L/COUT_EFF_SBB0</f>
        <v>31227811817.91885</v>
      </c>
      <c r="H47" s="32">
        <f>(VIN-VOUT_SBB1)/2/L/COUT_EFF_SBB1</f>
        <v>41172595520.4216</v>
      </c>
      <c r="I47" s="32">
        <f>(VIN-VOUT_SBB2)/2/L/COUT_EFF_SBB2</f>
        <v>6587615283.2674627</v>
      </c>
      <c r="J47" s="3"/>
      <c r="K47" s="32">
        <f>(VIN-VOUT_SBB0_MIN)/2/L/COUT_EFF_SBB0</f>
        <v>31967417887.290611</v>
      </c>
      <c r="L47" s="32">
        <f t="shared" si="3"/>
        <v>31227811817.91885</v>
      </c>
      <c r="M47" s="32">
        <f>(VIN-VOUT_SBB0_MAX)/2/L/COUT_EFF_SBB0</f>
        <v>30488205748.547089</v>
      </c>
      <c r="N47" s="32">
        <f>(VIN-VOUT_SBB1_MIN)/2/L/COUT_EFF_SBB1</f>
        <v>41666666666.666664</v>
      </c>
      <c r="O47" s="32">
        <f t="shared" si="4"/>
        <v>41172595520.4216</v>
      </c>
      <c r="P47" s="32">
        <f>(VIN-VOUT_SBB1_MAX)/2/L/COUT_EFF_SBB1</f>
        <v>40678524374.176544</v>
      </c>
      <c r="Q47" s="32">
        <f>(VIN-VOUT_SBB2_MIN)/2/L/COUT_EFF_SBB2</f>
        <v>7946310935.4413757</v>
      </c>
      <c r="R47" s="32">
        <f t="shared" si="5"/>
        <v>6587615283.2674627</v>
      </c>
      <c r="S47" s="32">
        <f>(VIN-VOUT_SBB2_MAX)/2/L/COUT_EFF_SBB2</f>
        <v>5228919631.0935497</v>
      </c>
      <c r="T47" s="45" t="s">
        <v>149</v>
      </c>
      <c r="AL47"/>
      <c r="AM47"/>
      <c r="AN47"/>
      <c r="AO47"/>
      <c r="AP47"/>
      <c r="AQ47"/>
    </row>
    <row r="48" spans="2:43" s="1" customFormat="1" ht="16.5" outlineLevel="3" x14ac:dyDescent="0.35">
      <c r="B48" s="207"/>
      <c r="C48" s="208"/>
      <c r="D48" s="208"/>
      <c r="E48" s="3"/>
      <c r="F48" s="38" t="s">
        <v>151</v>
      </c>
      <c r="G48" s="32">
        <f>(COUT_EFF_SBB0/2)*(POWER(G$47,2)*POWER(tL_CHG_SBB0,4)+2*G$47*POWER(tL_CHG_SBB0,2)*VOUT_SBB0)</f>
        <v>6.6005922846010634E-7</v>
      </c>
      <c r="H48" s="32">
        <f>(COUT_EFF_SBB1/2)*(POWER(H$47,2)*POWER(tL_CHG_SBB1,4)+2*H$47*POWER(tL_CHG_SBB1,2)*VOUT_SBB1)</f>
        <v>1.3997309581883025E-7</v>
      </c>
      <c r="I48" s="32">
        <f>(COUT_EFF_SBB2/2)*(POWER(I$47,2)*POWER(tL_CHG_SBB2,4)+2*I$47*POWER(tL_CHG_SBB2,2)*VOUT_SBB2)</f>
        <v>2.7523377304382843E-8</v>
      </c>
      <c r="J48" s="3"/>
      <c r="K48" s="32">
        <f>(COUT_EFF_SBB0/2)*(POWER(K$47,2)*POWER(tL_CHG_SBB0_MIN,4)+2*K$47*POWER(tL_CHG_SBB0_MIN,2)*VOUT_SBB0_MIN)</f>
        <v>6.2697000716918057E-7</v>
      </c>
      <c r="L48" s="32">
        <f t="shared" si="3"/>
        <v>6.6005922846010634E-7</v>
      </c>
      <c r="M48" s="32">
        <f>(COUT_EFF_SBB0/2)*(POWER(M$47,2)*POWER(tL_CHG_SBB0_MAX,4)+2*M$47*POWER(tL_CHG_SBB0_MAX,2)*VOUT_SBB0_MAX)</f>
        <v>6.9495254874086228E-7</v>
      </c>
      <c r="N48" s="32">
        <f>(COUT_EFF_SBB1/2)*(POWER(N$47,2)*POWER(tL_CHG_SBB1_MIN,4)+2*N$47*POWER(tL_CHG_SBB1_MIN,2)*VOUT_SBB1_MIN)</f>
        <v>1.3477134255311758E-7</v>
      </c>
      <c r="O48" s="32">
        <f t="shared" si="4"/>
        <v>1.3997309581883025E-7</v>
      </c>
      <c r="P48" s="32">
        <f>(COUT_EFF_SBB1/2)*(POWER(P$47,2)*POWER(tL_CHG_SBB1_MAX,4)+2*P$47*POWER(tL_CHG_SBB1_MAX,2)*VOUT_SBB1_MAX)</f>
        <v>1.4530857936538093E-7</v>
      </c>
      <c r="Q48" s="32">
        <f>(COUT_EFF_SBB2/2)*(POWER(Q$47,2)*POWER(tL_CHG_SBB2_MIN,4)+2*Q$47*POWER(tL_CHG_SBB2_MIN,2)*VOUT_SBB2_MIN)</f>
        <v>0</v>
      </c>
      <c r="R48" s="32">
        <f t="shared" si="5"/>
        <v>2.7523377304382843E-8</v>
      </c>
      <c r="S48" s="32">
        <f>(COUT_EFF_SBB2/2)*(POWER(S$47,2)*POWER(tL_CHG_SBB2_MAX,4)+2*S$47*POWER(tL_CHG_SBB2_MAX,2)*VOUT_SBB2_MAX)</f>
        <v>0</v>
      </c>
      <c r="T48" s="40" t="s">
        <v>109</v>
      </c>
      <c r="AL48"/>
      <c r="AM48"/>
      <c r="AN48"/>
      <c r="AO48"/>
      <c r="AP48"/>
      <c r="AQ48"/>
    </row>
    <row r="49" spans="2:43" s="1" customFormat="1" ht="16.5" outlineLevel="3" x14ac:dyDescent="0.35">
      <c r="B49" s="207"/>
      <c r="C49" s="208"/>
      <c r="D49" s="208"/>
      <c r="E49" s="3"/>
      <c r="F49" s="90" t="s">
        <v>155</v>
      </c>
      <c r="G49" s="32">
        <f>POWER(IL_dis_rms_SBB0,2)*rCHG_SBB0*tL_CHG_SBB0</f>
        <v>4.6391055661805638E-8</v>
      </c>
      <c r="H49" s="32">
        <f>POWER(IL_dis_rms_SBB1,2)*rCHG_SBB1*tL_CHG_SBB1</f>
        <v>1.0156788669044645E-8</v>
      </c>
      <c r="I49" s="32">
        <f>POWER(IL_dis_rms_SBB2,2)*rCHG_SBB2*tL_CHG_SBB2</f>
        <v>6.8425601540647399E-9</v>
      </c>
      <c r="J49" s="3"/>
      <c r="K49" s="32">
        <f>POWER(IL_dis_rms_SBB0,2)*rCHG_SBB0*tL_CHG_SBB0_MIN</f>
        <v>4.5256620303220091E-8</v>
      </c>
      <c r="L49" s="32">
        <f t="shared" si="3"/>
        <v>4.6391055661805638E-8</v>
      </c>
      <c r="M49" s="32">
        <f>POWER(IL_dis_rms_SBB0,2)*rCHG_SBB0*tL_CHG_SBB0_MAX</f>
        <v>4.7583891140183251E-8</v>
      </c>
      <c r="N49" s="32">
        <f>POWER(IL_dis_rms_SBB1,2)*rCHG_SBB1*tL_CHG_SBB1_MIN</f>
        <v>1.0032995649576155E-8</v>
      </c>
      <c r="O49" s="32">
        <f t="shared" si="4"/>
        <v>1.0156788669044645E-8</v>
      </c>
      <c r="P49" s="32">
        <f>POWER(IL_dis_rms_SBB1,2)*rCHG_SBB1*tL_CHG_SBB1_MAX</f>
        <v>1.0283675525666339E-8</v>
      </c>
      <c r="Q49" s="32">
        <f>POWER(IL_dis_rms_SBB2,2)*rCHG_SBB2*tL_CHG_SBB2_MIN</f>
        <v>0</v>
      </c>
      <c r="R49" s="32">
        <f t="shared" si="5"/>
        <v>6.8425601540647399E-9</v>
      </c>
      <c r="S49" s="32">
        <f>POWER(IL_dis_rms_SBB2,2)*rCHG_SBB2*tL_CHG_SBB2_MAX</f>
        <v>0</v>
      </c>
      <c r="T49" s="91" t="s">
        <v>109</v>
      </c>
      <c r="AL49"/>
      <c r="AM49"/>
      <c r="AN49"/>
      <c r="AO49"/>
      <c r="AP49"/>
      <c r="AQ49"/>
    </row>
    <row r="50" spans="2:43" s="1" customFormat="1" ht="16.5" outlineLevel="3" x14ac:dyDescent="0.35">
      <c r="B50" s="207"/>
      <c r="C50" s="208"/>
      <c r="D50" s="208"/>
      <c r="E50" s="3"/>
      <c r="F50" s="38" t="s">
        <v>156</v>
      </c>
      <c r="G50" s="32">
        <f>IOUT_SBB0*VOUT_SBB0*tL_CHG_SBB0</f>
        <v>1.6527039535136904E-7</v>
      </c>
      <c r="H50" s="32">
        <f>IOUT_SBB1*VOUT_SBB1*tL_CHG_SBB1</f>
        <v>2.9851844828305034E-8</v>
      </c>
      <c r="I50" s="32">
        <f>IOUT_SBB2*VOUT_SBB2*tL_CHG_SBB2</f>
        <v>3.9980137528729419E-8</v>
      </c>
      <c r="J50" s="3"/>
      <c r="K50" s="32">
        <f>IOUT_SBB0*VOUT_SBB0_MIN*tL_CHG_SBB0_MIN</f>
        <v>1.5719819127848742E-7</v>
      </c>
      <c r="L50" s="32">
        <f t="shared" si="3"/>
        <v>1.6527039535136904E-7</v>
      </c>
      <c r="M50" s="32">
        <f>IOUT_SBB0*VOUT_SBB0_MAX*tL_CHG_SBB0_MAX</f>
        <v>1.7375792808824846E-7</v>
      </c>
      <c r="N50" s="32">
        <f>IOUT_SBB1*VOUT_SBB1_MIN*tL_CHG_SBB1_MIN</f>
        <v>2.8750804321826933E-8</v>
      </c>
      <c r="O50" s="32">
        <f t="shared" si="4"/>
        <v>2.9851844828305034E-8</v>
      </c>
      <c r="P50" s="32">
        <f>IOUT_SBB1*VOUT_SBB1_MAX*tL_CHG_SBB1_MAX</f>
        <v>3.0980397787271061E-8</v>
      </c>
      <c r="Q50" s="32">
        <f>IOUT_SBB2*VOUT_SBB2_MIN*tL_CHG_SBB2_MIN</f>
        <v>0</v>
      </c>
      <c r="R50" s="32">
        <f t="shared" si="5"/>
        <v>3.9980137528729419E-8</v>
      </c>
      <c r="S50" s="32">
        <f>IOUT_SBB2*VOUT_SBB2_MAX*tL_CHG_SBB2_MAX</f>
        <v>0</v>
      </c>
      <c r="T50" s="40" t="s">
        <v>109</v>
      </c>
      <c r="AL50"/>
      <c r="AM50"/>
      <c r="AN50"/>
      <c r="AO50"/>
      <c r="AP50"/>
      <c r="AQ50"/>
    </row>
    <row r="51" spans="2:43" s="1" customFormat="1" ht="16.5" outlineLevel="3" x14ac:dyDescent="0.35">
      <c r="B51" s="207"/>
      <c r="C51" s="208"/>
      <c r="D51" s="208"/>
      <c r="E51" s="3"/>
      <c r="F51" s="43" t="s">
        <v>111</v>
      </c>
      <c r="G51" s="32">
        <f>EL_peak_SBB0*(VOUT_SBB0/(VIN-VOUT_SBB0))-G49-G50</f>
        <v>3.7452275951314108E-7</v>
      </c>
      <c r="H51" s="32">
        <f>EL_peak_SBB1*(VOUT_SBB1/(VIN-VOUT_SBB1))-H49-H50</f>
        <v>9.1991366502650312E-8</v>
      </c>
      <c r="I51" s="32">
        <f>EL_peak_SBB2*(VOUT_SBB2/(VIN-VOUT_SBB2))-I49-I50</f>
        <v>2.2219273023172041E-6</v>
      </c>
      <c r="J51" s="3"/>
      <c r="K51" s="32">
        <f>EL_peak_SBB0*(VOUT_SBB0_MIN/(VIN-VOUT_SBB0_MIN))-K49-K50</f>
        <v>3.5585174368821535E-7</v>
      </c>
      <c r="L51" s="32">
        <f t="shared" si="3"/>
        <v>3.7452275951314108E-7</v>
      </c>
      <c r="M51" s="32">
        <f>EL_peak_SBB0*(VOUT_SBB0_MAX/(VIN-VOUT_SBB0_MAX))-M49-M50</f>
        <v>3.9407260125674341E-7</v>
      </c>
      <c r="N51" s="32">
        <f>EL_peak_SBB1*(VOUT_SBB1_MIN/(VIN-VOUT_SBB1_MIN))-N49-N50</f>
        <v>8.8390113072075171E-8</v>
      </c>
      <c r="O51" s="32">
        <f t="shared" si="4"/>
        <v>9.1991366502650312E-8</v>
      </c>
      <c r="P51" s="32">
        <f>EL_peak_SBB1*(VOUT_SBB1_MAX/(VIN-VOUT_SBB1_MAX))-P49-P50</f>
        <v>9.5679246525119278E-8</v>
      </c>
      <c r="Q51" s="32">
        <f>EL_peak_SBB2*(VOUT_SBB2_MIN/(VIN-VOUT_SBB2_MIN))-Q49-Q50</f>
        <v>1.8338082901554389E-6</v>
      </c>
      <c r="R51" s="32">
        <f t="shared" si="5"/>
        <v>2.2219273023172041E-6</v>
      </c>
      <c r="S51" s="32">
        <f>EL_peak_SBB2*(VOUT_SBB2_MAX/(VIN-VOUT_SBB2_MAX))-S49-S50</f>
        <v>2.9297244094488157E-6</v>
      </c>
      <c r="T51" s="45" t="s">
        <v>109</v>
      </c>
      <c r="AL51"/>
      <c r="AM51"/>
      <c r="AN51"/>
      <c r="AO51"/>
      <c r="AP51"/>
      <c r="AQ51"/>
    </row>
    <row r="52" spans="2:43" s="1" customFormat="1" ht="16.5" outlineLevel="3" x14ac:dyDescent="0.35">
      <c r="B52" s="36"/>
      <c r="C52" s="37"/>
      <c r="D52" s="37"/>
      <c r="E52" s="3"/>
      <c r="F52" s="38" t="s">
        <v>112</v>
      </c>
      <c r="G52" s="32">
        <f>IF(EN_SBB0,IF(G$20=uc!$J$25,EOUT_CHG_Buck_SBB0,IF(G$20=uc!$J$26,EOUT_CHG_BB_SBB0,"ERR")),0)</f>
        <v>6.6005922846010634E-7</v>
      </c>
      <c r="H52" s="32">
        <f>IF(EN_SBB1,IF(H$20=uc!$J$25,EOUT_CHG_Buck_SBB1,IF(H$20=uc!$J$26,EOUT_CHG_BB_SBB1,"ERR")),0)</f>
        <v>1.3997309581883025E-7</v>
      </c>
      <c r="I52" s="32">
        <f>IF(EN_SBB2,IF(I$20=uc!$J$25,EOUT_CHG_Buck_SBB2,IF(I$20=uc!$J$26,EOUT_CHG_BB_SBB2,"ERR")),0)</f>
        <v>0</v>
      </c>
      <c r="J52" s="3"/>
      <c r="K52" s="32">
        <f>IF(EN_SBB0,IF(G$20=uc!$J$25,EOUT_CHG_BUCK_SBB0_MIN,IF(G$20=uc!$J$26,EOUT_CHG_BB_SBB0_MIN,"ERR")),0)</f>
        <v>6.2697000716918057E-7</v>
      </c>
      <c r="L52" s="32">
        <f t="shared" si="3"/>
        <v>6.6005922846010634E-7</v>
      </c>
      <c r="M52" s="32">
        <f>IF(EN_SBB0,IF(G$20=uc!$J$25,EOUT_CHG_BUCK_SBB0_MAX,IF(G$20=uc!$J$26,EOUT_CHG_BB_SBB0_MAX,"ERR")),0)</f>
        <v>6.9495254874086228E-7</v>
      </c>
      <c r="N52" s="32">
        <f>IF(EN_SBB1,IF(H$20=uc!$J$25,EOUT_CHG_BUCK_SBB1_MIN,IF(H$20=uc!$J$26,EOUT_CHG_BB_SBB1_MIN,"ERR")),0)</f>
        <v>1.3477134255311758E-7</v>
      </c>
      <c r="O52" s="32">
        <f t="shared" si="4"/>
        <v>1.3997309581883025E-7</v>
      </c>
      <c r="P52" s="32">
        <f>IF(EN_SBB1,IF(H$20=uc!$J$25,EOUT_CHG_BUCK_SBB1_MAX,IF(H$20=uc!$J$26,EOUT_CHG_BB_SBB1_MAX,"ERR")),0)</f>
        <v>1.4530857936538093E-7</v>
      </c>
      <c r="Q52" s="32">
        <f>IF(EN_SBB2,IF(I$20=uc!$J$25,EOUT_CHG_BUCK_SBB2_MIN,IF(I$20=uc!$J$26,EOUT_CHG_BB_SBB2_MIN,"ERR")),0)</f>
        <v>0</v>
      </c>
      <c r="R52" s="32">
        <f t="shared" si="5"/>
        <v>0</v>
      </c>
      <c r="S52" s="32">
        <f>IF(EN_SBB2,IF(I$20=uc!$J$25,EOUT_CHG_BUCK_SBB2_MAX,IF(I$20=uc!$J$26,EOUT_CHG_BB_SBB2_MAX,"ERR")),0)</f>
        <v>0</v>
      </c>
      <c r="T52" s="40" t="s">
        <v>109</v>
      </c>
      <c r="AL52"/>
      <c r="AM52"/>
      <c r="AN52"/>
      <c r="AO52"/>
      <c r="AP52"/>
      <c r="AQ52"/>
    </row>
    <row r="53" spans="2:43" s="1" customFormat="1" ht="16.5" outlineLevel="3" x14ac:dyDescent="0.35">
      <c r="B53" s="41"/>
      <c r="C53" s="42"/>
      <c r="D53" s="42"/>
      <c r="E53" s="3"/>
      <c r="F53" s="43" t="s">
        <v>150</v>
      </c>
      <c r="G53" s="32">
        <f>IF(EN_SBB0,IF(G$20=uc!$J$25,EOUT_DIS_Buck_SBB0,IF(G$20=uc!$J$26,EOUT_DIS_BB_SBB0,"ERR")),0)</f>
        <v>5.7848720200615126E-7</v>
      </c>
      <c r="H53" s="32">
        <f>IF(EN_SBB1,IF(H$20=uc!$J$25,EOUT_DIS_Buck_SBB1,IF(H$20=uc!$J$26,EOUT_DIS_BB_SBB1,"ERR")),0)</f>
        <v>2.5710542311384496E-7</v>
      </c>
      <c r="I53" s="32">
        <f>IF(EN_SBB2,IF(I$20=uc!$J$25,EOUT_DIS_Buck_SBB2,IF(I$20=uc!$J$26,EOUT_DIS_BB_SBB2,"ERR")),0)</f>
        <v>2.682890620717607E-7</v>
      </c>
      <c r="J53" s="3"/>
      <c r="K53" s="32">
        <f>IF(EN_SBB0,IF(G$20=uc!$J$25,EOUT_DIS_BUCK_SBB0_MIN,IF(G$20=uc!$J$26,EOUT_DIS_BB_SBB0_MIN,"ERR")),0)</f>
        <v>5.7750477697857678E-7</v>
      </c>
      <c r="L53" s="32">
        <f t="shared" si="3"/>
        <v>5.7848720200615126E-7</v>
      </c>
      <c r="M53" s="32">
        <f>IF(EN_SBB0,IF(G$20=uc!$J$25,EOUT_DIS_BUCK_SBB0_MAX,IF(G$20=uc!$J$26,EOUT_DIS_BB_SBB0_MAX,"ERR")),0)</f>
        <v>5.7942388023702388E-7</v>
      </c>
      <c r="N53" s="32">
        <f>IF(EN_SBB1,IF(H$20=uc!$J$25,EOUT_DIS_BUCK_SBB1_MIN,IF(H$20=uc!$J$26,EOUT_DIS_BB_SBB1_MIN,"ERR")),0)</f>
        <v>2.5666878976825632E-7</v>
      </c>
      <c r="O53" s="32">
        <f>EL_peak_SBB0-Eloss_cond_SBB0</f>
        <v>5.7848720200615126E-7</v>
      </c>
      <c r="P53" s="32">
        <f>IF(EN_SBB1,IF(H$20=uc!$J$25,EOUT_DIS_BUCK_SBB1_MAX,IF(H$20=uc!$J$26,EOUT_DIS_BB_SBB1_MAX,"ERR")),0)</f>
        <v>2.5752172454978839E-7</v>
      </c>
      <c r="Q53" s="32">
        <f>IF(EN_SBB2,IF(I$20=uc!$J$25,EOUT_DIS_BUCK_SBB2_MIN,IF(I$20=uc!$J$26,EOUT_DIS_BB_SBB2_MIN,"ERR")),0)</f>
        <v>2.6812017589247107E-7</v>
      </c>
      <c r="R53" s="32">
        <f t="shared" si="5"/>
        <v>2.682890620717607E-7</v>
      </c>
      <c r="S53" s="32">
        <f>IF(EN_SBB2,IF(I$20=uc!$J$25,EOUT_DIS_BUCK_SBB2_MAX,IF(I$20=uc!$J$26,EOUT_DIS_BB_SBB2_MAX,"ERR")),0)</f>
        <v>2.6844985440852229E-7</v>
      </c>
      <c r="T53" s="45" t="s">
        <v>109</v>
      </c>
      <c r="AL53"/>
      <c r="AM53"/>
      <c r="AN53"/>
      <c r="AO53"/>
      <c r="AP53"/>
      <c r="AQ53"/>
    </row>
    <row r="54" spans="2:43" s="1" customFormat="1" ht="16.5" outlineLevel="3" x14ac:dyDescent="0.35">
      <c r="B54" s="36"/>
      <c r="C54" s="37"/>
      <c r="D54" s="37"/>
      <c r="E54" s="3"/>
      <c r="F54" s="38" t="s">
        <v>114</v>
      </c>
      <c r="G54" s="32">
        <f>EOUT_DIS_SBB0+EOUT_CHG_SBB0</f>
        <v>1.2385464304662575E-6</v>
      </c>
      <c r="H54" s="32">
        <f>EOUT_DIS_SBB1+EOUT_CHG_SBB1</f>
        <v>3.9707851893267521E-7</v>
      </c>
      <c r="I54" s="32">
        <f>EOUT_DIS_SBB2+EOUT_CHG_SBB2</f>
        <v>2.682890620717607E-7</v>
      </c>
      <c r="J54" s="3"/>
      <c r="K54" s="32">
        <f>EOUT_DIS_SBB0_MIN+EOUT_CHG_SBB0_MIN</f>
        <v>1.2044747841477574E-6</v>
      </c>
      <c r="L54" s="32">
        <f t="shared" si="3"/>
        <v>1.2385464304662575E-6</v>
      </c>
      <c r="M54" s="32">
        <f>EOUT_DIS_SBB0_MAX+EOUT_CHG_SBB0_MAX</f>
        <v>1.2743764289778861E-6</v>
      </c>
      <c r="N54" s="32">
        <f>EOUT_DIS_SBB1_MIN+EOUT_CHG_SBB1_MIN</f>
        <v>3.914401323213739E-7</v>
      </c>
      <c r="O54" s="32">
        <f>H54</f>
        <v>3.9707851893267521E-7</v>
      </c>
      <c r="P54" s="32">
        <f>EOUT_DIS_SBB1_MAX+EOUT_CHG_SBB1_MAX</f>
        <v>4.0283030391516934E-7</v>
      </c>
      <c r="Q54" s="32">
        <f>EOUT_DIS_SBB2_MIN+EOUT_CHG_SBB2_MIN</f>
        <v>2.6812017589247107E-7</v>
      </c>
      <c r="R54" s="32">
        <f t="shared" si="5"/>
        <v>2.682890620717607E-7</v>
      </c>
      <c r="S54" s="32">
        <f>EOUT_DIS_SBB2_MAX+EOUT_CHG_SBB2_MAX</f>
        <v>2.6844985440852229E-7</v>
      </c>
      <c r="T54" s="40" t="s">
        <v>109</v>
      </c>
      <c r="AL54"/>
      <c r="AM54"/>
      <c r="AN54"/>
      <c r="AO54"/>
      <c r="AP54"/>
      <c r="AQ54"/>
    </row>
    <row r="55" spans="2:43" s="1" customFormat="1" ht="16.5" outlineLevel="3" x14ac:dyDescent="0.35">
      <c r="B55" s="41"/>
      <c r="C55" s="42"/>
      <c r="D55" s="42"/>
      <c r="E55" s="3"/>
      <c r="F55" s="43" t="s">
        <v>115</v>
      </c>
      <c r="G55" s="32">
        <f>EOUT_SBB0-Eload_SBB0</f>
        <v>1.0814680134544527E-6</v>
      </c>
      <c r="H55" s="32">
        <f>EOUT_SBB1-Eload_SBB1</f>
        <v>3.3948309936168004E-7</v>
      </c>
      <c r="I55" s="32">
        <f>EOUT_SBB2-Eload_SBB2</f>
        <v>2.2508946163964338E-7</v>
      </c>
      <c r="J55" s="3"/>
      <c r="K55" s="32">
        <f>EOUT_SBB0_MIN-Eload_SBB0_MIN</f>
        <v>1.0475863834973239E-6</v>
      </c>
      <c r="L55" s="32">
        <f t="shared" si="3"/>
        <v>1.0814680134544527E-6</v>
      </c>
      <c r="M55" s="32">
        <f>EOUT_SBB0_MAX-Eload_SBB0_MAX</f>
        <v>1.1171166986297394E-6</v>
      </c>
      <c r="N55" s="32">
        <f>EOUT_SBB1_MIN-Eload_SBB1_MIN</f>
        <v>3.3391438541621487E-7</v>
      </c>
      <c r="O55" s="32">
        <f>H55</f>
        <v>3.3948309936168004E-7</v>
      </c>
      <c r="P55" s="32">
        <f>EOUT_SBB1_MAX-Eload_SBB1_MAX</f>
        <v>3.4516840278751548E-7</v>
      </c>
      <c r="Q55" s="32">
        <f>EOUT_SBB2_MIN-Eload_SBB2_MIN</f>
        <v>2.2494059141785938E-7</v>
      </c>
      <c r="R55" s="32">
        <f t="shared" si="5"/>
        <v>2.2508946163964338E-7</v>
      </c>
      <c r="S55" s="32">
        <f>EOUT_SBB2_MAX-Eload_SBB2_MAX</f>
        <v>2.2523119149828041E-7</v>
      </c>
      <c r="T55" s="45" t="s">
        <v>109</v>
      </c>
      <c r="AL55"/>
      <c r="AM55"/>
      <c r="AN55"/>
      <c r="AO55"/>
      <c r="AP55"/>
      <c r="AQ55"/>
    </row>
    <row r="56" spans="2:43" s="1" customFormat="1" ht="16.5" outlineLevel="3" x14ac:dyDescent="0.35">
      <c r="B56" s="36"/>
      <c r="C56" s="37"/>
      <c r="D56" s="37"/>
      <c r="E56" s="3"/>
      <c r="F56" s="38" t="s">
        <v>116</v>
      </c>
      <c r="G56" s="32">
        <f>COUT_EFF_SBB0*POWER(VOUT_min_SBB0,2)/2</f>
        <v>2.1736182729961469E-5</v>
      </c>
      <c r="H56" s="32">
        <f>COUT_EFF_SBB1*POWER(VOUT_min_SBB1,2)/2</f>
        <v>9.6917831036652854E-6</v>
      </c>
      <c r="I56" s="32">
        <f>COUT_EFF_SBB2*POWER(VOUT_min_SBB2,2)/2</f>
        <v>7.4578592523555763E-5</v>
      </c>
      <c r="J56" s="3"/>
      <c r="K56" s="32">
        <f>COUT_EFF_SBB0*POWER(VOUT_min_SBB0_MIN,2)/2</f>
        <v>2.0698972818042475E-5</v>
      </c>
      <c r="L56" s="32">
        <f t="shared" si="3"/>
        <v>2.1736182729961469E-5</v>
      </c>
      <c r="M56" s="32">
        <f>COUT_EFF_SBB0*POWER(VOUT_min_SBB0_MAX,2)/2</f>
        <v>2.290839264571344E-5</v>
      </c>
      <c r="N56" s="32">
        <f>COUT_EFF_SBB1*POWER(VOUT_min_SBB1_MIN,2)/2</f>
        <v>9.2264902325393751E-6</v>
      </c>
      <c r="O56" s="32">
        <f>H56</f>
        <v>9.6917831036652854E-6</v>
      </c>
      <c r="P56" s="32">
        <f>COUT_EFF_SBB1*POWER(VOUT_min_SBB1_MAX,2)/2</f>
        <v>1.0208827706409576E-5</v>
      </c>
      <c r="Q56" s="32">
        <f>COUT_EFF_SBB2*POWER(VOUT_min_SBB2_MIN,2)/2</f>
        <v>7.0919553326610757E-5</v>
      </c>
      <c r="R56" s="32">
        <f t="shared" si="5"/>
        <v>7.4578592523555763E-5</v>
      </c>
      <c r="S56" s="32">
        <f>COUT_EFF_SBB2*POWER(VOUT_min_SBB2_MAX,2)/2</f>
        <v>7.8410883772108369E-5</v>
      </c>
      <c r="T56" s="40" t="s">
        <v>109</v>
      </c>
      <c r="AL56"/>
      <c r="AM56"/>
      <c r="AN56"/>
      <c r="AO56"/>
      <c r="AP56"/>
      <c r="AQ56"/>
    </row>
    <row r="57" spans="2:43" s="1" customFormat="1" ht="16.5" outlineLevel="3" x14ac:dyDescent="0.35">
      <c r="B57" s="41"/>
      <c r="C57" s="42"/>
      <c r="D57" s="42"/>
      <c r="E57" s="3"/>
      <c r="F57" s="43" t="s">
        <v>117</v>
      </c>
      <c r="G57" s="32">
        <f>EC_OUT_SBB0+EC_OUT_Deliver_SBB0</f>
        <v>2.2817650743415922E-5</v>
      </c>
      <c r="H57" s="32">
        <f>EC_OUT_SBB1+EC_OUT_Deliver_SBB1</f>
        <v>1.0031266203026966E-5</v>
      </c>
      <c r="I57" s="32">
        <f>EC_OUT_SBB2+EC_OUT_Deliver_SBB2</f>
        <v>7.4803681985195403E-5</v>
      </c>
      <c r="J57" s="3"/>
      <c r="K57" s="32">
        <f>EC_OUT_SBB0_MIN+EC_OUT_Deliver_SBB0_MIN</f>
        <v>2.1746559201539798E-5</v>
      </c>
      <c r="L57" s="32">
        <f t="shared" si="3"/>
        <v>2.2817650743415922E-5</v>
      </c>
      <c r="M57" s="32">
        <f>EC_OUT_SBB0_MAX+EC_OUT_Deliver_SBB0_MAX</f>
        <v>2.4025509344343179E-5</v>
      </c>
      <c r="N57" s="32">
        <f>EC_OUT_SBB1_MIN+EC_OUT_Deliver_SBB1_MIN</f>
        <v>9.5604046179555905E-6</v>
      </c>
      <c r="O57" s="32">
        <f>H57</f>
        <v>1.0031266203026966E-5</v>
      </c>
      <c r="P57" s="32">
        <f>EC_OUT_SBB1_MAX+EC_OUT_Deliver_SBB1_MAX</f>
        <v>1.0553996109197092E-5</v>
      </c>
      <c r="Q57" s="32">
        <f>EC_OUT_SBB2_MIN+EC_OUT_Deliver_SBB2_MIN</f>
        <v>7.114449391802861E-5</v>
      </c>
      <c r="R57" s="32">
        <f t="shared" si="5"/>
        <v>7.4803681985195403E-5</v>
      </c>
      <c r="S57" s="32">
        <f>EC_OUT_SBB2_MAX+EC_OUT_Deliver_SBB2_MAX</f>
        <v>7.8636114963606652E-5</v>
      </c>
      <c r="T57" s="45" t="s">
        <v>109</v>
      </c>
      <c r="AL57"/>
      <c r="AM57"/>
      <c r="AN57"/>
      <c r="AO57"/>
      <c r="AP57"/>
      <c r="AQ57"/>
    </row>
    <row r="58" spans="2:43" s="1" customFormat="1" ht="15" outlineLevel="2" thickBot="1" x14ac:dyDescent="0.4">
      <c r="B58" s="180" t="s">
        <v>118</v>
      </c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2"/>
      <c r="AL58"/>
      <c r="AM58"/>
      <c r="AN58"/>
      <c r="AO58"/>
      <c r="AP58"/>
      <c r="AQ58"/>
    </row>
    <row r="59" spans="2:43" s="1" customFormat="1" ht="16.5" outlineLevel="3" x14ac:dyDescent="0.35">
      <c r="B59" s="41"/>
      <c r="C59" s="42"/>
      <c r="D59" s="42"/>
      <c r="E59" s="3"/>
      <c r="F59" s="43" t="s">
        <v>119</v>
      </c>
      <c r="G59" s="60"/>
      <c r="H59" s="26">
        <f>IOUT_SBB1*tservice_SBB0/COUT_EFF_SBB1</f>
        <v>7.1373529307466018E-3</v>
      </c>
      <c r="I59" s="26">
        <f>IOUT_SBB2*tservice_SBB0/COUT_EFF_SBB2</f>
        <v>5.1908021314520745E-3</v>
      </c>
      <c r="J59" s="3"/>
      <c r="K59" s="60"/>
      <c r="L59" s="60"/>
      <c r="M59" s="60"/>
      <c r="N59" s="26">
        <f>IOUT_SBB1*tservice_SBB0_MIN/COUT_EFF_SBB1</f>
        <v>7.1327315562536228E-3</v>
      </c>
      <c r="O59" s="26">
        <f>H59</f>
        <v>7.1373529307466018E-3</v>
      </c>
      <c r="P59" s="26">
        <f>IOUT_SBB1*tservice_SBB0_MAX/COUT_EFF_SBB1</f>
        <v>7.1505326632896327E-3</v>
      </c>
      <c r="Q59" s="26">
        <f>IOUT_SBB2*tservice_SBB0_MIN/COUT_EFF_SBB2</f>
        <v>5.1874411318208165E-3</v>
      </c>
      <c r="R59" s="26">
        <f>I59</f>
        <v>5.1908021314520745E-3</v>
      </c>
      <c r="S59" s="26">
        <f>IOUT_SBB2*tservice_SBB0_MAX/COUT_EFF_SBB2</f>
        <v>5.2003873914833691E-3</v>
      </c>
      <c r="T59" s="45" t="s">
        <v>20</v>
      </c>
      <c r="AL59"/>
      <c r="AM59"/>
      <c r="AN59"/>
      <c r="AO59"/>
      <c r="AP59"/>
      <c r="AQ59"/>
    </row>
    <row r="60" spans="2:43" s="1" customFormat="1" ht="16.5" outlineLevel="3" x14ac:dyDescent="0.35">
      <c r="B60" s="36"/>
      <c r="C60" s="37"/>
      <c r="D60" s="37"/>
      <c r="E60" s="3"/>
      <c r="F60" s="38" t="s">
        <v>120</v>
      </c>
      <c r="G60" s="26">
        <f>IOUT_SBB0*tservice_SBB1/COUT_EFF_SBB0</f>
        <v>9.5817077777303229E-3</v>
      </c>
      <c r="H60" s="59"/>
      <c r="I60" s="26">
        <f>IOUT_SBB2*tservice_SBB1/COUT_EFF_SBB2</f>
        <v>3.8404595695784023E-3</v>
      </c>
      <c r="J60" s="3"/>
      <c r="K60" s="26">
        <f>IOUT_SBB0*tservice_SBB1_MIN/COUT_EFF_SBB0</f>
        <v>9.6958269222324946E-3</v>
      </c>
      <c r="L60" s="26">
        <f>G60</f>
        <v>9.5817077777303229E-3</v>
      </c>
      <c r="M60" s="26">
        <f>IOUT_SBB0*tservice_SBB1_MAX/COUT_EFF_SBB0</f>
        <v>9.4757553431681248E-3</v>
      </c>
      <c r="N60" s="59"/>
      <c r="O60" s="59"/>
      <c r="P60" s="59"/>
      <c r="Q60" s="26">
        <f>IOUT_SBB2*tservice_SBB1_MIN/COUT_EFF_SBB2</f>
        <v>3.886199845815389E-3</v>
      </c>
      <c r="R60" s="26">
        <f>I60</f>
        <v>3.8404595695784023E-3</v>
      </c>
      <c r="S60" s="26">
        <f>IOUT_SBB2*tservice_SBB1_MAX/COUT_EFF_SBB2</f>
        <v>3.7979926053718499E-3</v>
      </c>
      <c r="T60" s="40" t="s">
        <v>20</v>
      </c>
      <c r="AL60"/>
      <c r="AM60"/>
      <c r="AN60"/>
      <c r="AO60"/>
      <c r="AP60"/>
      <c r="AQ60"/>
    </row>
    <row r="61" spans="2:43" s="1" customFormat="1" ht="16.5" outlineLevel="3" x14ac:dyDescent="0.35">
      <c r="B61" s="41"/>
      <c r="C61" s="42"/>
      <c r="D61" s="42"/>
      <c r="E61" s="3"/>
      <c r="F61" s="43" t="s">
        <v>121</v>
      </c>
      <c r="G61" s="26">
        <f>IOUT_SBB0*tservice_SBB2/COUT_EFF_SBB0</f>
        <v>4.5570547440440742E-3</v>
      </c>
      <c r="H61" s="26">
        <f>IOUT_SBB1*tservice_SBB2/COUT_EFF_SBB1</f>
        <v>2.5114655181415076E-3</v>
      </c>
      <c r="I61" s="60"/>
      <c r="J61" s="3"/>
      <c r="K61" s="26">
        <f>IOUT_SBB0*tservice_SBB2_MIN/COUT_EFF_SBB0</f>
        <v>2.4262778917662695E-3</v>
      </c>
      <c r="L61" s="26">
        <f>G61</f>
        <v>4.5570547440440742E-3</v>
      </c>
      <c r="M61" s="26">
        <f>IOUT_SBB0*tservice_SBB2_MAX/COUT_EFF_SBB0</f>
        <v>2.3100115915842571E-3</v>
      </c>
      <c r="N61" s="26">
        <f>IOUT_SBB1*tservice_SBB2_MIN/COUT_EFF_SBB1</f>
        <v>1.3371604259448686E-3</v>
      </c>
      <c r="O61" s="26">
        <f>H61</f>
        <v>2.5114655181415076E-3</v>
      </c>
      <c r="P61" s="26">
        <f>IOUT_SBB1*tservice_SBB2_MAX/COUT_EFF_SBB1</f>
        <v>1.2730842143938339E-3</v>
      </c>
      <c r="Q61" s="60"/>
      <c r="R61" s="60"/>
      <c r="S61" s="60"/>
      <c r="T61" s="45" t="s">
        <v>20</v>
      </c>
      <c r="AL61"/>
      <c r="AM61"/>
      <c r="AN61"/>
      <c r="AO61"/>
      <c r="AP61"/>
      <c r="AQ61"/>
    </row>
    <row r="62" spans="2:43" s="1" customFormat="1" ht="16.5" outlineLevel="3" x14ac:dyDescent="0.35">
      <c r="B62" s="36"/>
      <c r="C62" s="37"/>
      <c r="D62" s="37"/>
      <c r="E62" s="3"/>
      <c r="F62" s="38" t="s">
        <v>122</v>
      </c>
      <c r="G62" s="59"/>
      <c r="H62" s="59"/>
      <c r="I62" s="26">
        <f>I60+I59</f>
        <v>9.0312617010304772E-3</v>
      </c>
      <c r="J62" s="3"/>
      <c r="K62" s="59"/>
      <c r="L62" s="59"/>
      <c r="M62" s="59"/>
      <c r="N62" s="59"/>
      <c r="O62" s="59"/>
      <c r="P62" s="59"/>
      <c r="Q62" s="26">
        <f>Q60+Q59</f>
        <v>9.0736409776362055E-3</v>
      </c>
      <c r="R62" s="26">
        <f>I62</f>
        <v>9.0312617010304772E-3</v>
      </c>
      <c r="S62" s="26">
        <f>S60+S59</f>
        <v>8.998379996855219E-3</v>
      </c>
      <c r="T62" s="40" t="s">
        <v>20</v>
      </c>
      <c r="AL62"/>
      <c r="AM62"/>
      <c r="AN62"/>
      <c r="AO62"/>
      <c r="AP62"/>
      <c r="AQ62"/>
    </row>
    <row r="63" spans="2:43" s="1" customFormat="1" ht="16.5" outlineLevel="3" x14ac:dyDescent="0.35">
      <c r="B63" s="41"/>
      <c r="C63" s="42"/>
      <c r="D63" s="42"/>
      <c r="E63" s="3"/>
      <c r="F63" s="43" t="s">
        <v>123</v>
      </c>
      <c r="G63" s="60"/>
      <c r="H63" s="26">
        <f>H61+H59</f>
        <v>9.648818448888109E-3</v>
      </c>
      <c r="I63" s="60"/>
      <c r="J63" s="3"/>
      <c r="K63" s="60"/>
      <c r="L63" s="60"/>
      <c r="M63" s="60"/>
      <c r="N63" s="26">
        <f>N61+N59</f>
        <v>8.4698919821984912E-3</v>
      </c>
      <c r="O63" s="26">
        <f>H63</f>
        <v>9.648818448888109E-3</v>
      </c>
      <c r="P63" s="26">
        <f>P61+P59</f>
        <v>8.4236168776834659E-3</v>
      </c>
      <c r="Q63" s="60"/>
      <c r="R63" s="60"/>
      <c r="S63" s="60"/>
      <c r="T63" s="45" t="s">
        <v>20</v>
      </c>
      <c r="AL63"/>
      <c r="AM63"/>
      <c r="AN63"/>
      <c r="AO63"/>
      <c r="AP63"/>
      <c r="AQ63"/>
    </row>
    <row r="64" spans="2:43" s="1" customFormat="1" ht="16.5" outlineLevel="3" x14ac:dyDescent="0.35">
      <c r="B64" s="36"/>
      <c r="C64" s="37"/>
      <c r="D64" s="37"/>
      <c r="E64" s="3"/>
      <c r="F64" s="38" t="s">
        <v>124</v>
      </c>
      <c r="G64" s="26">
        <f>G61+G60</f>
        <v>1.4138762521774397E-2</v>
      </c>
      <c r="H64" s="59"/>
      <c r="I64" s="59"/>
      <c r="J64" s="3"/>
      <c r="K64" s="26">
        <f>K61+K60</f>
        <v>1.2122104813998764E-2</v>
      </c>
      <c r="L64" s="26">
        <f>G64</f>
        <v>1.4138762521774397E-2</v>
      </c>
      <c r="M64" s="26">
        <f>M61+M60</f>
        <v>1.1785766934752383E-2</v>
      </c>
      <c r="N64" s="59"/>
      <c r="O64" s="59"/>
      <c r="P64" s="59"/>
      <c r="Q64" s="59"/>
      <c r="R64" s="59"/>
      <c r="S64" s="59"/>
      <c r="T64" s="40" t="s">
        <v>20</v>
      </c>
      <c r="AL64"/>
      <c r="AM64"/>
      <c r="AN64"/>
      <c r="AO64"/>
      <c r="AP64"/>
      <c r="AQ64"/>
    </row>
    <row r="65" outlineLevel="1" collapsed="1" x14ac:dyDescent="0.35"/>
    <row r="66" outlineLevel="1" x14ac:dyDescent="0.35"/>
    <row r="67" outlineLevel="1" x14ac:dyDescent="0.35"/>
    <row r="68" outlineLevel="1" x14ac:dyDescent="0.35"/>
    <row r="69" outlineLevel="1" x14ac:dyDescent="0.35"/>
    <row r="70" outlineLevel="1" x14ac:dyDescent="0.35"/>
    <row r="71" outlineLevel="1" x14ac:dyDescent="0.35"/>
    <row r="72" outlineLevel="1" x14ac:dyDescent="0.35"/>
    <row r="73" outlineLevel="1" x14ac:dyDescent="0.35"/>
    <row r="74" outlineLevel="1" x14ac:dyDescent="0.35"/>
    <row r="75" outlineLevel="1" x14ac:dyDescent="0.35"/>
    <row r="76" outlineLevel="1" x14ac:dyDescent="0.35"/>
    <row r="77" outlineLevel="1" x14ac:dyDescent="0.35"/>
    <row r="78" outlineLevel="1" x14ac:dyDescent="0.35"/>
    <row r="79" outlineLevel="1" x14ac:dyDescent="0.35"/>
    <row r="80" outlineLevel="1" x14ac:dyDescent="0.35"/>
    <row r="81" outlineLevel="1" x14ac:dyDescent="0.35"/>
    <row r="82" outlineLevel="1" x14ac:dyDescent="0.35"/>
    <row r="83" outlineLevel="1" x14ac:dyDescent="0.35"/>
    <row r="84" outlineLevel="1" x14ac:dyDescent="0.35"/>
    <row r="85" outlineLevel="1" x14ac:dyDescent="0.35"/>
    <row r="86" outlineLevel="1" x14ac:dyDescent="0.35"/>
    <row r="87" outlineLevel="1" x14ac:dyDescent="0.35"/>
    <row r="88" outlineLevel="1" x14ac:dyDescent="0.35"/>
    <row r="89" outlineLevel="1" x14ac:dyDescent="0.35"/>
    <row r="90" outlineLevel="1" x14ac:dyDescent="0.35"/>
    <row r="91" outlineLevel="1" x14ac:dyDescent="0.35"/>
    <row r="92" outlineLevel="1" x14ac:dyDescent="0.35"/>
    <row r="93" outlineLevel="1" x14ac:dyDescent="0.35"/>
    <row r="94" outlineLevel="1" x14ac:dyDescent="0.35"/>
    <row r="95" outlineLevel="1" x14ac:dyDescent="0.35"/>
    <row r="96" outlineLevel="1" x14ac:dyDescent="0.35"/>
    <row r="97" outlineLevel="1" x14ac:dyDescent="0.35"/>
    <row r="98" outlineLevel="1" x14ac:dyDescent="0.35"/>
    <row r="99" outlineLevel="1" x14ac:dyDescent="0.35"/>
    <row r="100" outlineLevel="1" x14ac:dyDescent="0.35"/>
    <row r="101" outlineLevel="1" x14ac:dyDescent="0.35"/>
    <row r="102" outlineLevel="1" x14ac:dyDescent="0.35"/>
    <row r="103" outlineLevel="1" x14ac:dyDescent="0.35"/>
    <row r="104" outlineLevel="1" x14ac:dyDescent="0.35"/>
    <row r="105" outlineLevel="1" x14ac:dyDescent="0.35"/>
    <row r="106" outlineLevel="1" x14ac:dyDescent="0.35"/>
    <row r="107" outlineLevel="1" x14ac:dyDescent="0.35"/>
    <row r="108" outlineLevel="1" x14ac:dyDescent="0.35"/>
    <row r="109" outlineLevel="1" x14ac:dyDescent="0.35"/>
    <row r="110" outlineLevel="1" x14ac:dyDescent="0.35"/>
    <row r="111" outlineLevel="1" x14ac:dyDescent="0.35"/>
  </sheetData>
  <sheetProtection algorithmName="SHA-512" hashValue="yUspdW/wdhICQbScK4VRgwt3t7e8KXbNz6yuyXEy+FKKrqA0obLD2PYO9VLFdJV3YI0YkG+kliZehBtNhXNqYw==" saltValue="RDKM4oEbcUhwLLaZ01YDOg==" spinCount="100000" sheet="1" objects="1" scenarios="1" selectLockedCells="1" selectUnlockedCells="1"/>
  <mergeCells count="22">
    <mergeCell ref="B58:T58"/>
    <mergeCell ref="B40:T40"/>
    <mergeCell ref="B17:T17"/>
    <mergeCell ref="B21:T21"/>
    <mergeCell ref="B29:T29"/>
    <mergeCell ref="B23:T23"/>
    <mergeCell ref="B30:D31"/>
    <mergeCell ref="B32:D33"/>
    <mergeCell ref="B47:D51"/>
    <mergeCell ref="B44:D46"/>
    <mergeCell ref="K2:R2"/>
    <mergeCell ref="T2:T3"/>
    <mergeCell ref="B19:T19"/>
    <mergeCell ref="B38:T38"/>
    <mergeCell ref="B13:T13"/>
    <mergeCell ref="B12:T12"/>
    <mergeCell ref="B4:T4"/>
    <mergeCell ref="B2:B3"/>
    <mergeCell ref="C2:C3"/>
    <mergeCell ref="D2:D3"/>
    <mergeCell ref="F2:F3"/>
    <mergeCell ref="G2:I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50DC8-F98E-41FB-A517-39B389419965}">
  <dimension ref="B2:S104"/>
  <sheetViews>
    <sheetView workbookViewId="0">
      <selection activeCell="B1" sqref="B1:S1048576"/>
    </sheetView>
  </sheetViews>
  <sheetFormatPr defaultRowHeight="14.5" x14ac:dyDescent="0.35"/>
  <cols>
    <col min="2" max="2" width="12.453125" style="1" hidden="1" customWidth="1"/>
    <col min="3" max="3" width="11.81640625" style="1" hidden="1" customWidth="1"/>
    <col min="4" max="4" width="13.6328125" style="1" hidden="1" customWidth="1"/>
    <col min="5" max="5" width="11.81640625" style="1" hidden="1" customWidth="1"/>
    <col min="6" max="6" width="21.26953125" style="1" hidden="1" customWidth="1"/>
    <col min="7" max="10" width="10.1796875" style="1" hidden="1" customWidth="1"/>
    <col min="11" max="11" width="10.81640625" style="1" hidden="1" customWidth="1"/>
    <col min="12" max="13" width="8.7265625" style="1" hidden="1" customWidth="1"/>
    <col min="14" max="14" width="11.81640625" style="1" hidden="1" customWidth="1"/>
    <col min="15" max="15" width="9.453125" style="1" hidden="1" customWidth="1"/>
    <col min="16" max="16" width="11.81640625" style="1" hidden="1" customWidth="1"/>
    <col min="17" max="19" width="8.7265625" hidden="1" customWidth="1"/>
  </cols>
  <sheetData>
    <row r="2" spans="2:17" ht="15" thickBot="1" x14ac:dyDescent="0.4">
      <c r="Q2" s="1"/>
    </row>
    <row r="3" spans="2:17" ht="15" thickBot="1" x14ac:dyDescent="0.4">
      <c r="B3" s="111" t="s">
        <v>125</v>
      </c>
      <c r="F3" s="217"/>
      <c r="G3" s="217"/>
      <c r="H3" s="217"/>
      <c r="I3" s="217"/>
    </row>
    <row r="4" spans="2:17" x14ac:dyDescent="0.35">
      <c r="B4" s="112" t="s">
        <v>126</v>
      </c>
      <c r="E4" s="212" t="s">
        <v>127</v>
      </c>
      <c r="F4" s="213"/>
      <c r="G4" s="213"/>
      <c r="H4" s="213"/>
      <c r="I4" s="214"/>
    </row>
    <row r="5" spans="2:17" x14ac:dyDescent="0.35">
      <c r="B5" s="112" t="s">
        <v>35</v>
      </c>
      <c r="E5" s="7" t="s">
        <v>128</v>
      </c>
      <c r="F5" s="6" t="s">
        <v>170</v>
      </c>
      <c r="G5" s="6">
        <v>654</v>
      </c>
      <c r="H5" s="6" t="s">
        <v>129</v>
      </c>
      <c r="I5" s="8"/>
    </row>
    <row r="6" spans="2:17" ht="15" thickBot="1" x14ac:dyDescent="0.4">
      <c r="B6" s="113" t="s">
        <v>130</v>
      </c>
      <c r="E6" s="9">
        <f>IF(Summary!$C$11=$B$4,F6,IF(Summary!$C$11=$B$5,G6,IF(Summary!$C$11=$B$6,H6,"ERR")))</f>
        <v>0.33300000000000002</v>
      </c>
      <c r="F6" s="5">
        <v>0.5</v>
      </c>
      <c r="G6" s="5">
        <v>0.33300000000000002</v>
      </c>
      <c r="H6" s="5">
        <v>0.4</v>
      </c>
      <c r="I6" s="10"/>
    </row>
    <row r="7" spans="2:17" x14ac:dyDescent="0.35">
      <c r="E7" s="9">
        <f>IF(Summary!$C$11=$B$4,F7,IF(Summary!$C$11=$B$5,G7,IF(Summary!$C$11=$B$6,H7,"ERR")))</f>
        <v>0.5</v>
      </c>
      <c r="F7" s="5">
        <v>0.70699999999999996</v>
      </c>
      <c r="G7" s="5">
        <v>0.5</v>
      </c>
      <c r="H7" s="5">
        <v>0.6</v>
      </c>
      <c r="I7" s="10"/>
    </row>
    <row r="8" spans="2:17" x14ac:dyDescent="0.35">
      <c r="E8" s="9">
        <f>IF(Summary!$C$11=$B$4,F8,IF(Summary!$C$11=$B$5,G8,IF(Summary!$C$11=$B$6,H8,"ERR")))</f>
        <v>0.75</v>
      </c>
      <c r="F8" s="5">
        <v>0.86599999999999999</v>
      </c>
      <c r="G8" s="5">
        <v>0.75</v>
      </c>
      <c r="H8" s="5">
        <v>0.8</v>
      </c>
      <c r="I8" s="10"/>
    </row>
    <row r="9" spans="2:17" ht="15" thickBot="1" x14ac:dyDescent="0.4">
      <c r="E9" s="9">
        <f>IF(Summary!$C$11=$B$4,F9,IF(Summary!$C$11=$B$5,G9,IF(Summary!$C$11=$B$6,H9,"ERR")))</f>
        <v>1</v>
      </c>
      <c r="F9" s="11">
        <v>1</v>
      </c>
      <c r="G9" s="11">
        <v>1</v>
      </c>
      <c r="H9" s="11">
        <v>1.1000000000000001</v>
      </c>
      <c r="I9" s="12"/>
    </row>
    <row r="10" spans="2:17" x14ac:dyDescent="0.35">
      <c r="D10" s="212" t="s">
        <v>66</v>
      </c>
      <c r="E10" s="213"/>
      <c r="F10" s="213"/>
      <c r="G10" s="213"/>
      <c r="H10" s="213"/>
      <c r="I10" s="214"/>
    </row>
    <row r="11" spans="2:17" x14ac:dyDescent="0.35">
      <c r="D11" s="7"/>
      <c r="E11" s="119" t="str">
        <f>E$5</f>
        <v>User</v>
      </c>
      <c r="F11" s="119" t="str">
        <f>F$5</f>
        <v>650/1, 640/1, 680/1, 278</v>
      </c>
      <c r="G11" s="119">
        <f>G$5</f>
        <v>654</v>
      </c>
      <c r="H11" s="119" t="str">
        <f>H$5</f>
        <v>1727x</v>
      </c>
      <c r="I11" s="8"/>
    </row>
    <row r="12" spans="2:17" ht="16.5" x14ac:dyDescent="0.45">
      <c r="D12" s="7" t="s">
        <v>67</v>
      </c>
      <c r="E12" s="6">
        <f>IF(Summary!$C$11=$B$4,F12,IF(Summary!$C$11=$B$5,G12,IF(Summary!$C$11=$B$6,H12,"ERR")))</f>
        <v>8.5000000000000001E-7</v>
      </c>
      <c r="F12" s="20">
        <v>8.5000000000000001E-7</v>
      </c>
      <c r="G12" s="20">
        <f>F12</f>
        <v>8.5000000000000001E-7</v>
      </c>
      <c r="H12" s="20">
        <f>F12</f>
        <v>8.5000000000000001E-7</v>
      </c>
      <c r="I12" s="8"/>
    </row>
    <row r="13" spans="2:17" ht="16.5" x14ac:dyDescent="0.45">
      <c r="D13" s="7" t="s">
        <v>70</v>
      </c>
      <c r="E13" s="6">
        <f>IF(Summary!$C$11=$B$4,F13,IF(Summary!$C$11=$B$5,G13,IF(Summary!$C$11=$B$6,H13,"ERR")))</f>
        <v>7.0099999999999996E-2</v>
      </c>
      <c r="F13" s="20">
        <v>0.09</v>
      </c>
      <c r="G13" s="20">
        <v>7.0099999999999996E-2</v>
      </c>
      <c r="H13" s="20">
        <v>7.5999999999999998E-2</v>
      </c>
      <c r="I13" s="8"/>
    </row>
    <row r="14" spans="2:17" ht="16.5" x14ac:dyDescent="0.45">
      <c r="D14" s="7" t="s">
        <v>72</v>
      </c>
      <c r="E14" s="6">
        <f>IF(Summary!$C$11=$B$4,F14,IF(Summary!$C$11=$B$5,G14,IF(Summary!$C$11=$B$6,H14,"ERR")))</f>
        <v>4.6699999999999998E-2</v>
      </c>
      <c r="F14" s="20">
        <v>0.08</v>
      </c>
      <c r="G14" s="20">
        <v>4.6699999999999998E-2</v>
      </c>
      <c r="H14" s="20">
        <v>4.87E-2</v>
      </c>
      <c r="I14" s="8"/>
    </row>
    <row r="15" spans="2:17" ht="16.5" x14ac:dyDescent="0.45">
      <c r="D15" s="7" t="s">
        <v>131</v>
      </c>
      <c r="E15" s="6">
        <f>IF(Summary!$C$11=$B$4,F15,IF(Summary!$C$11=$B$5,G15,IF(Summary!$C$11=$B$6,H15,"ERR")))</f>
        <v>8.337E-2</v>
      </c>
      <c r="F15" s="20">
        <v>0.11</v>
      </c>
      <c r="G15" s="20">
        <v>8.337E-2</v>
      </c>
      <c r="H15" s="20">
        <v>5.5500000000000001E-2</v>
      </c>
      <c r="I15" s="8"/>
    </row>
    <row r="16" spans="2:17" ht="16.5" x14ac:dyDescent="0.45">
      <c r="D16" s="7" t="s">
        <v>132</v>
      </c>
      <c r="E16" s="6">
        <f>IF(Summary!$C$11=$B$4,F16,IF(Summary!$C$11=$B$5,G16,IF(Summary!$C$11=$B$6,H16,"ERR")))</f>
        <v>8.337E-2</v>
      </c>
      <c r="F16" s="20">
        <v>0.13100000000000001</v>
      </c>
      <c r="G16" s="20">
        <f>G15</f>
        <v>8.337E-2</v>
      </c>
      <c r="H16" s="20">
        <f>H15</f>
        <v>5.5500000000000001E-2</v>
      </c>
      <c r="I16" s="8"/>
    </row>
    <row r="17" spans="3:15" ht="16.5" x14ac:dyDescent="0.45">
      <c r="D17" s="7" t="s">
        <v>133</v>
      </c>
      <c r="E17" s="6">
        <f>IF(Summary!$C$11=$B$4,F17,IF(Summary!$C$11=$B$5,G17,IF(Summary!$C$11=$B$6,H17,"ERR")))</f>
        <v>8.337E-2</v>
      </c>
      <c r="F17" s="20">
        <v>0.115</v>
      </c>
      <c r="G17" s="20">
        <f>G16</f>
        <v>8.337E-2</v>
      </c>
      <c r="H17" s="20">
        <f>H15</f>
        <v>5.5500000000000001E-2</v>
      </c>
      <c r="I17" s="8"/>
    </row>
    <row r="18" spans="3:15" ht="16.5" x14ac:dyDescent="0.45">
      <c r="D18" s="7" t="s">
        <v>74</v>
      </c>
      <c r="E18" s="6">
        <f>IF(Summary!$C$11=$B$4,F18,IF(Summary!$C$11=$B$5,G18,IF(Summary!$C$11=$B$6,H18,"ERR")))</f>
        <v>8.5000000000000006E-2</v>
      </c>
      <c r="F18" s="20">
        <v>9.5000000000000001E-2</v>
      </c>
      <c r="G18" s="20">
        <v>8.5000000000000006E-2</v>
      </c>
      <c r="H18" s="20">
        <v>6.2700000000000006E-2</v>
      </c>
      <c r="I18" s="8"/>
    </row>
    <row r="19" spans="3:15" ht="16.5" x14ac:dyDescent="0.45">
      <c r="D19" s="7" t="s">
        <v>75</v>
      </c>
      <c r="E19" s="6">
        <f>IF(Summary!$C$11=$B$4,F19,IF(Summary!$C$11=$B$5,G19,IF(Summary!$C$11=$B$6,H19,"ERR")))</f>
        <v>5000</v>
      </c>
      <c r="F19" s="20">
        <v>5000</v>
      </c>
      <c r="G19" s="20">
        <v>5000</v>
      </c>
      <c r="H19" s="20">
        <f>G19</f>
        <v>5000</v>
      </c>
      <c r="I19" s="8"/>
    </row>
    <row r="20" spans="3:15" x14ac:dyDescent="0.35">
      <c r="D20" s="21"/>
      <c r="E20" s="6"/>
      <c r="F20" s="6"/>
      <c r="G20" s="6"/>
      <c r="H20" s="6"/>
      <c r="I20" s="8"/>
    </row>
    <row r="21" spans="3:15" ht="15" thickBot="1" x14ac:dyDescent="0.4">
      <c r="D21" s="130"/>
      <c r="E21" s="127"/>
      <c r="F21" s="127"/>
      <c r="G21" s="127"/>
      <c r="H21" s="127"/>
      <c r="I21" s="131"/>
    </row>
    <row r="22" spans="3:15" x14ac:dyDescent="0.35">
      <c r="C22" s="212" t="s">
        <v>38</v>
      </c>
      <c r="D22" s="213"/>
      <c r="E22" s="213"/>
      <c r="F22" s="213"/>
      <c r="G22" s="213"/>
      <c r="H22" s="213"/>
      <c r="I22" s="213"/>
      <c r="J22" s="214"/>
      <c r="M22" s="212" t="s">
        <v>134</v>
      </c>
      <c r="N22" s="213"/>
      <c r="O22" s="214"/>
    </row>
    <row r="23" spans="3:15" x14ac:dyDescent="0.35">
      <c r="C23" s="219" t="s">
        <v>162</v>
      </c>
      <c r="D23" s="220"/>
      <c r="E23" s="128" t="str">
        <f>E$5</f>
        <v>User</v>
      </c>
      <c r="F23" s="119" t="str">
        <f>F$5</f>
        <v>650/1, 640/1, 680/1, 278</v>
      </c>
      <c r="G23" s="119">
        <f>G$5</f>
        <v>654</v>
      </c>
      <c r="H23" s="119" t="str">
        <f>H$5</f>
        <v>1727x</v>
      </c>
      <c r="I23" s="119"/>
      <c r="J23" s="8" t="s">
        <v>135</v>
      </c>
      <c r="M23" s="7" t="s">
        <v>136</v>
      </c>
      <c r="N23" s="6"/>
      <c r="O23" s="8" t="s">
        <v>137</v>
      </c>
    </row>
    <row r="24" spans="3:15" x14ac:dyDescent="0.35">
      <c r="C24" s="7" t="str">
        <f>IFERROR(INDEX($E$24:$E$27,MATCH(ROW()-ROW($C$23),$D$24:$D$27,0)),"")</f>
        <v>Buck</v>
      </c>
      <c r="D24" s="6" t="str">
        <f>IF(E24="","",MAX(D$23:D23)+1)</f>
        <v/>
      </c>
      <c r="E24" s="129" t="str">
        <f>IF(Summary!$C$11=$B$4,TEXT(F24,""),IF(Summary!$C$11=$B$5,TEXT(G24,""),IF(Summary!$C$11=$B$6,TEXT(H24,""),"ERROR")))</f>
        <v/>
      </c>
      <c r="F24" s="6"/>
      <c r="G24" s="6"/>
      <c r="H24" s="119"/>
      <c r="I24" s="119"/>
      <c r="J24" s="8" t="s">
        <v>138</v>
      </c>
      <c r="M24" s="7">
        <v>6.3</v>
      </c>
      <c r="N24" s="6"/>
      <c r="O24" s="13" t="s">
        <v>139</v>
      </c>
    </row>
    <row r="25" spans="3:15" x14ac:dyDescent="0.35">
      <c r="C25" s="7" t="str">
        <f t="shared" ref="C25:C27" si="0">IFERROR(INDEX($E$24:$E$27,MATCH(ROW()-ROW($C$23),$D$24:$D$27,0)),"")</f>
        <v>Buck-Boost</v>
      </c>
      <c r="D25" s="6">
        <f>IF(E25="","",MAX(D$23:D24)+1)</f>
        <v>1</v>
      </c>
      <c r="E25" s="129" t="str">
        <f>IF(Summary!$C$11=$B$4,TEXT(F25,""),IF(Summary!$C$11=$B$5,TEXT(G25,""),IF(Summary!$C$11=$B$6,TEXT(H25,""),"ERROR")))</f>
        <v>Buck</v>
      </c>
      <c r="F25" s="6"/>
      <c r="G25" s="6" t="s">
        <v>40</v>
      </c>
      <c r="H25" s="119"/>
      <c r="I25" s="119"/>
      <c r="J25" s="8" t="s">
        <v>40</v>
      </c>
      <c r="M25" s="7">
        <v>10</v>
      </c>
      <c r="N25" s="6"/>
      <c r="O25" s="13" t="s">
        <v>140</v>
      </c>
    </row>
    <row r="26" spans="3:15" x14ac:dyDescent="0.35">
      <c r="C26" s="7" t="str">
        <f t="shared" si="0"/>
        <v/>
      </c>
      <c r="D26" s="6">
        <f>IF(E26="","",MAX(D$23:D25)+1)</f>
        <v>2</v>
      </c>
      <c r="E26" s="129" t="str">
        <f>IF(Summary!$C$11=$B$4,TEXT(F26,""),IF(Summary!$C$11=$B$5,TEXT(G26,""),IF(Summary!$C$11=$B$6,TEXT(H26,""),"ERROR")))</f>
        <v>Buck-Boost</v>
      </c>
      <c r="F26" s="6" t="s">
        <v>39</v>
      </c>
      <c r="G26" s="6" t="s">
        <v>39</v>
      </c>
      <c r="H26" s="119" t="s">
        <v>39</v>
      </c>
      <c r="I26" s="119"/>
      <c r="J26" s="8" t="s">
        <v>39</v>
      </c>
      <c r="M26" s="7">
        <v>25</v>
      </c>
      <c r="N26" s="6"/>
      <c r="O26" s="13" t="s">
        <v>141</v>
      </c>
    </row>
    <row r="27" spans="3:15" ht="15" thickBot="1" x14ac:dyDescent="0.4">
      <c r="C27" s="14" t="str">
        <f t="shared" si="0"/>
        <v/>
      </c>
      <c r="D27" s="15" t="str">
        <f>IF(E27="","",MAX(D$23:D26)+1)</f>
        <v/>
      </c>
      <c r="E27" s="132" t="str">
        <f>IF(Summary!$C$11=$B$4,TEXT(F27,""),IF(Summary!$C$11=$B$5,TEXT(G27,""),IF(Summary!$C$11=$B$6,TEXT(H27,""),"ERROR")))</f>
        <v/>
      </c>
      <c r="F27" s="15"/>
      <c r="G27" s="15"/>
      <c r="H27" s="120"/>
      <c r="I27" s="120"/>
      <c r="J27" s="17" t="s">
        <v>142</v>
      </c>
      <c r="M27" s="7">
        <v>50</v>
      </c>
      <c r="N27" s="6"/>
      <c r="O27" s="13" t="s">
        <v>143</v>
      </c>
    </row>
    <row r="28" spans="3:15" ht="15" thickBot="1" x14ac:dyDescent="0.4">
      <c r="D28" s="216" t="s">
        <v>144</v>
      </c>
      <c r="E28" s="217"/>
      <c r="F28" s="217"/>
      <c r="G28" s="217"/>
      <c r="H28" s="217"/>
      <c r="I28" s="218"/>
      <c r="J28" s="121"/>
      <c r="M28" s="14">
        <v>100</v>
      </c>
      <c r="N28" s="15"/>
      <c r="O28" s="16" t="s">
        <v>145</v>
      </c>
    </row>
    <row r="29" spans="3:15" x14ac:dyDescent="0.35">
      <c r="D29" s="7" t="s">
        <v>146</v>
      </c>
      <c r="E29" s="119" t="str">
        <f>E$5</f>
        <v>User</v>
      </c>
      <c r="F29" s="119" t="str">
        <f>F$5</f>
        <v>650/1, 640/1, 680/1, 278</v>
      </c>
      <c r="G29" s="119">
        <f>G$5</f>
        <v>654</v>
      </c>
      <c r="H29" s="119" t="str">
        <f>H$5</f>
        <v>1727x</v>
      </c>
      <c r="I29" s="8"/>
      <c r="J29" s="121"/>
    </row>
    <row r="30" spans="3:15" x14ac:dyDescent="0.35">
      <c r="D30" s="7">
        <v>25</v>
      </c>
      <c r="E30" s="23">
        <f>IF(Summary!$C$11=$B$4,F30,IF(Summary!$C$11=$B$5,G30,IF(Summary!$C$11=$B$6,H30,"ERR")))</f>
        <v>2.5000000000000001E-2</v>
      </c>
      <c r="F30" s="23">
        <v>2.5000000000000001E-2</v>
      </c>
      <c r="G30" s="23">
        <v>2.5000000000000001E-2</v>
      </c>
      <c r="H30" s="122">
        <v>0.02</v>
      </c>
      <c r="I30" s="8"/>
      <c r="J30" s="121"/>
    </row>
    <row r="31" spans="3:15" ht="15" thickBot="1" x14ac:dyDescent="0.4">
      <c r="D31" s="133" t="s">
        <v>147</v>
      </c>
      <c r="E31" s="134">
        <f>IF(Summary!$C$11=$B$4,F31,IF(Summary!$C$11=$B$5,G31,IF(Summary!$C$11=$B$6,H31,"ERR")))</f>
        <v>0.04</v>
      </c>
      <c r="F31" s="134">
        <v>0.04</v>
      </c>
      <c r="G31" s="134">
        <v>0.04</v>
      </c>
      <c r="H31" s="135">
        <v>0.04</v>
      </c>
      <c r="I31" s="131"/>
      <c r="J31" s="121"/>
    </row>
    <row r="32" spans="3:15" x14ac:dyDescent="0.35">
      <c r="D32" s="221" t="s">
        <v>166</v>
      </c>
      <c r="E32" s="222"/>
      <c r="F32" s="222"/>
      <c r="G32" s="222"/>
      <c r="H32" s="222"/>
      <c r="I32" s="223"/>
      <c r="J32" s="121"/>
    </row>
    <row r="33" spans="4:10" x14ac:dyDescent="0.35">
      <c r="D33" s="7" t="s">
        <v>146</v>
      </c>
      <c r="E33" s="6" t="str">
        <f>E$5</f>
        <v>User</v>
      </c>
      <c r="F33" s="6" t="str">
        <f>F$5</f>
        <v>650/1, 640/1, 680/1, 278</v>
      </c>
      <c r="G33" s="6">
        <f>G$5</f>
        <v>654</v>
      </c>
      <c r="H33" s="6" t="str">
        <f>H$5</f>
        <v>1727x</v>
      </c>
      <c r="I33" s="8"/>
      <c r="J33" s="121"/>
    </row>
    <row r="34" spans="4:10" x14ac:dyDescent="0.35">
      <c r="D34" s="7" t="s">
        <v>167</v>
      </c>
      <c r="E34" s="136">
        <f>1+IF(Summary!$C$11=$B$4,F34,IF(Summary!$C$11=$B$5,G34,IF(Summary!$C$11=$B$6,H34,"ERR")))</f>
        <v>1</v>
      </c>
      <c r="F34" s="136">
        <v>0</v>
      </c>
      <c r="G34" s="136">
        <v>0</v>
      </c>
      <c r="H34" s="136">
        <v>2.5000000000000001E-2</v>
      </c>
      <c r="I34" s="138"/>
      <c r="J34" s="121"/>
    </row>
    <row r="35" spans="4:10" x14ac:dyDescent="0.35">
      <c r="D35" s="139" t="s">
        <v>168</v>
      </c>
      <c r="E35" s="136">
        <f>1+IF(Summary!$C$11=$B$4,F35,IF(Summary!$C$11=$B$5,G35,IF(Summary!$C$11=$B$6,H35,"ERR")))</f>
        <v>1</v>
      </c>
      <c r="F35" s="137">
        <v>0</v>
      </c>
      <c r="G35" s="137">
        <v>0</v>
      </c>
      <c r="H35" s="137">
        <v>2.5000000000000001E-2</v>
      </c>
      <c r="I35" s="140"/>
    </row>
    <row r="36" spans="4:10" ht="15" thickBot="1" x14ac:dyDescent="0.4">
      <c r="D36" s="22" t="s">
        <v>169</v>
      </c>
      <c r="E36" s="141">
        <f>1+IF(Summary!$C$11=$B$4,F36,IF(Summary!$C$11=$B$5,G36,IF(Summary!$C$11=$B$6,H36,"ERR")))</f>
        <v>1</v>
      </c>
      <c r="F36" s="142">
        <v>0</v>
      </c>
      <c r="G36" s="142">
        <v>0</v>
      </c>
      <c r="H36" s="142">
        <v>0.05</v>
      </c>
      <c r="I36" s="143"/>
    </row>
    <row r="37" spans="4:10" x14ac:dyDescent="0.35">
      <c r="D37" s="1" t="s">
        <v>171</v>
      </c>
    </row>
    <row r="38" spans="4:10" x14ac:dyDescent="0.35">
      <c r="E38" s="1" t="s">
        <v>128</v>
      </c>
      <c r="F38" s="6" t="str">
        <f>F$5</f>
        <v>650/1, 640/1, 680/1, 278</v>
      </c>
      <c r="G38" s="6">
        <f>G$5</f>
        <v>654</v>
      </c>
      <c r="H38" s="6" t="str">
        <f>H$5</f>
        <v>1727x</v>
      </c>
      <c r="I38" s="8"/>
    </row>
    <row r="39" spans="4:10" x14ac:dyDescent="0.35">
      <c r="D39" s="1" t="s">
        <v>172</v>
      </c>
      <c r="E39" s="144">
        <f>IF(Summary!$C$11=$B$4,F39,IF(Summary!$C$11=$B$5,G39,IF(Summary!$C$11=$B$6,H39,"ERR")))</f>
        <v>0.8</v>
      </c>
      <c r="F39" s="118"/>
      <c r="G39" s="118">
        <v>0.8</v>
      </c>
      <c r="H39" s="118"/>
      <c r="I39" s="118"/>
    </row>
    <row r="40" spans="4:10" x14ac:dyDescent="0.35">
      <c r="D40" s="1" t="s">
        <v>173</v>
      </c>
      <c r="E40" s="144">
        <f>IF(Summary!$C$11=$B$4,F40,IF(Summary!$C$11=$B$5,G40,IF(Summary!$C$11=$B$6,H40,"ERR")))</f>
        <v>5.5</v>
      </c>
      <c r="F40" s="118"/>
      <c r="G40" s="118">
        <v>5.5</v>
      </c>
      <c r="H40" s="118"/>
      <c r="I40" s="118"/>
    </row>
    <row r="41" spans="4:10" x14ac:dyDescent="0.35">
      <c r="D41" s="1" t="s">
        <v>174</v>
      </c>
      <c r="E41" s="144">
        <f>IF(Summary!$C$11=$B$4,F41,IF(Summary!$C$11=$B$5,G41,IF(Summary!$C$11=$B$6,H41,"ERR")))</f>
        <v>0.8</v>
      </c>
      <c r="F41" s="118"/>
      <c r="G41" s="118">
        <v>0.8</v>
      </c>
      <c r="H41" s="118"/>
      <c r="I41" s="118"/>
    </row>
    <row r="42" spans="4:10" x14ac:dyDescent="0.35">
      <c r="D42" s="1" t="s">
        <v>175</v>
      </c>
      <c r="E42" s="144">
        <f>IF(Summary!$C$11=$B$4,F42,IF(Summary!$C$11=$B$5,G42,IF(Summary!$C$11=$B$6,H42,"ERR")))</f>
        <v>5.5</v>
      </c>
      <c r="F42" s="118"/>
      <c r="G42" s="118">
        <v>5.5</v>
      </c>
      <c r="H42" s="118"/>
      <c r="I42" s="118"/>
    </row>
    <row r="43" spans="4:10" x14ac:dyDescent="0.35">
      <c r="D43" s="1" t="s">
        <v>176</v>
      </c>
      <c r="E43" s="144">
        <f>IF(Summary!$C$11=$B$4,F43,IF(Summary!$C$11=$B$5,G43,IF(Summary!$C$11=$B$6,H43,"ERR")))</f>
        <v>0.8</v>
      </c>
      <c r="F43" s="118"/>
      <c r="G43" s="118">
        <v>0.8</v>
      </c>
      <c r="H43" s="118"/>
      <c r="I43" s="118"/>
    </row>
    <row r="44" spans="4:10" x14ac:dyDescent="0.35">
      <c r="D44" s="1" t="s">
        <v>177</v>
      </c>
      <c r="E44" s="144">
        <f>IF(Summary!$C$11=$B$4,F44,IF(Summary!$C$11=$B$5,G44,IF(Summary!$C$11=$B$6,H44,"ERR")))</f>
        <v>5.5</v>
      </c>
      <c r="F44" s="118"/>
      <c r="G44" s="118">
        <v>5.5</v>
      </c>
      <c r="H44" s="118"/>
      <c r="I44" s="118"/>
    </row>
    <row r="72" spans="2:5" x14ac:dyDescent="0.35">
      <c r="B72" s="118"/>
      <c r="C72" s="118"/>
      <c r="D72" s="118"/>
    </row>
    <row r="74" spans="2:5" ht="15" thickBot="1" x14ac:dyDescent="0.4"/>
    <row r="75" spans="2:5" x14ac:dyDescent="0.35">
      <c r="B75" s="212"/>
      <c r="C75" s="213"/>
      <c r="D75" s="213"/>
      <c r="E75" s="214"/>
    </row>
    <row r="76" spans="2:5" x14ac:dyDescent="0.35">
      <c r="B76" s="7"/>
      <c r="C76" s="215"/>
      <c r="D76" s="210"/>
      <c r="E76" s="211"/>
    </row>
    <row r="77" spans="2:5" x14ac:dyDescent="0.35">
      <c r="B77" s="7"/>
      <c r="C77" s="6"/>
      <c r="D77" s="6"/>
      <c r="E77" s="8"/>
    </row>
    <row r="78" spans="2:5" x14ac:dyDescent="0.35">
      <c r="B78" s="7"/>
      <c r="C78" s="6"/>
      <c r="D78" s="6"/>
      <c r="E78" s="8"/>
    </row>
    <row r="79" spans="2:5" x14ac:dyDescent="0.35">
      <c r="B79" s="7"/>
      <c r="C79" s="6"/>
      <c r="D79" s="6"/>
      <c r="E79" s="8"/>
    </row>
    <row r="80" spans="2:5" x14ac:dyDescent="0.35">
      <c r="B80" s="7"/>
      <c r="C80" s="6"/>
      <c r="D80" s="6"/>
      <c r="E80" s="8"/>
    </row>
    <row r="81" spans="2:11" ht="15" thickBot="1" x14ac:dyDescent="0.4">
      <c r="B81" s="14"/>
      <c r="C81" s="15"/>
      <c r="D81" s="15"/>
      <c r="E81" s="17"/>
    </row>
    <row r="83" spans="2:11" ht="15" thickBot="1" x14ac:dyDescent="0.4"/>
    <row r="84" spans="2:11" x14ac:dyDescent="0.35">
      <c r="B84" s="212"/>
      <c r="C84" s="213"/>
      <c r="D84" s="213"/>
      <c r="E84" s="214"/>
    </row>
    <row r="85" spans="2:11" x14ac:dyDescent="0.35">
      <c r="B85" s="209"/>
      <c r="C85" s="210"/>
      <c r="D85" s="210"/>
      <c r="E85" s="211"/>
    </row>
    <row r="86" spans="2:11" x14ac:dyDescent="0.35">
      <c r="B86" s="7"/>
      <c r="C86" s="6"/>
      <c r="D86" s="6"/>
      <c r="E86" s="8"/>
    </row>
    <row r="87" spans="2:11" x14ac:dyDescent="0.35">
      <c r="B87" s="7"/>
      <c r="C87" s="6"/>
      <c r="D87" s="6"/>
      <c r="E87" s="8"/>
    </row>
    <row r="88" spans="2:11" x14ac:dyDescent="0.35">
      <c r="B88" s="7"/>
      <c r="C88" s="6"/>
      <c r="D88" s="6"/>
      <c r="E88" s="8"/>
    </row>
    <row r="89" spans="2:11" x14ac:dyDescent="0.35">
      <c r="B89" s="7"/>
      <c r="C89" s="6"/>
      <c r="D89" s="6"/>
      <c r="E89" s="8"/>
    </row>
    <row r="90" spans="2:11" x14ac:dyDescent="0.35">
      <c r="B90" s="7"/>
      <c r="C90" s="6"/>
      <c r="D90" s="6"/>
      <c r="E90" s="8"/>
    </row>
    <row r="91" spans="2:11" x14ac:dyDescent="0.35">
      <c r="B91" s="7"/>
      <c r="C91" s="72"/>
      <c r="D91" s="72"/>
      <c r="E91" s="77"/>
      <c r="I91" s="24"/>
      <c r="J91" s="24"/>
      <c r="K91" s="24"/>
    </row>
    <row r="92" spans="2:11" x14ac:dyDescent="0.35">
      <c r="B92" s="7"/>
      <c r="C92" s="72"/>
      <c r="D92" s="72"/>
      <c r="E92" s="77"/>
    </row>
    <row r="93" spans="2:11" x14ac:dyDescent="0.35">
      <c r="B93" s="7"/>
      <c r="C93" s="73"/>
      <c r="D93" s="73"/>
      <c r="E93" s="78"/>
    </row>
    <row r="94" spans="2:11" x14ac:dyDescent="0.35">
      <c r="B94" s="7"/>
      <c r="C94" s="6"/>
      <c r="D94" s="6"/>
      <c r="E94" s="8"/>
    </row>
    <row r="95" spans="2:11" x14ac:dyDescent="0.35">
      <c r="B95" s="7"/>
      <c r="C95" s="74"/>
      <c r="D95" s="74"/>
      <c r="E95" s="79"/>
    </row>
    <row r="96" spans="2:11" x14ac:dyDescent="0.35">
      <c r="B96" s="21"/>
      <c r="C96" s="75"/>
      <c r="D96" s="75"/>
      <c r="E96" s="80"/>
    </row>
    <row r="97" spans="2:5" x14ac:dyDescent="0.35">
      <c r="B97" s="7"/>
      <c r="C97" s="6"/>
      <c r="D97" s="6"/>
      <c r="E97" s="8"/>
    </row>
    <row r="98" spans="2:5" x14ac:dyDescent="0.35">
      <c r="B98" s="7"/>
      <c r="C98" s="76"/>
      <c r="D98" s="76"/>
      <c r="E98" s="81"/>
    </row>
    <row r="99" spans="2:5" x14ac:dyDescent="0.35">
      <c r="B99" s="7"/>
      <c r="C99" s="76"/>
      <c r="D99" s="76"/>
      <c r="E99" s="81"/>
    </row>
    <row r="100" spans="2:5" x14ac:dyDescent="0.35">
      <c r="B100" s="7"/>
      <c r="C100" s="6"/>
      <c r="D100" s="6"/>
      <c r="E100" s="8"/>
    </row>
    <row r="101" spans="2:5" x14ac:dyDescent="0.35">
      <c r="B101" s="7"/>
      <c r="C101" s="6"/>
      <c r="D101" s="6"/>
      <c r="E101" s="8"/>
    </row>
    <row r="102" spans="2:5" x14ac:dyDescent="0.35">
      <c r="B102" s="7"/>
      <c r="C102" s="6"/>
      <c r="D102" s="6"/>
      <c r="E102" s="8"/>
    </row>
    <row r="103" spans="2:5" x14ac:dyDescent="0.35">
      <c r="B103" s="7"/>
      <c r="C103" s="74"/>
      <c r="D103" s="74"/>
      <c r="E103" s="79"/>
    </row>
    <row r="104" spans="2:5" ht="15" thickBot="1" x14ac:dyDescent="0.4">
      <c r="B104" s="14"/>
      <c r="C104" s="82"/>
      <c r="D104" s="82"/>
      <c r="E104" s="83"/>
    </row>
  </sheetData>
  <sheetProtection algorithmName="SHA-512" hashValue="zG1u2jpNMAvzhu8SnraGdv4ZAOLZNeT64wHrHiAANhAz0riLl3QbsM6K+aEwYKUnfL9A7+LUYxkqimh9s/P6Zg==" saltValue="bTOGBAiPf02iYarE7Q8zZg==" spinCount="100000" sheet="1" objects="1" scenarios="1" selectLockedCells="1" selectUnlockedCells="1"/>
  <mergeCells count="12">
    <mergeCell ref="F3:I3"/>
    <mergeCell ref="D10:I10"/>
    <mergeCell ref="E4:I4"/>
    <mergeCell ref="B84:E84"/>
    <mergeCell ref="C23:D23"/>
    <mergeCell ref="C22:J22"/>
    <mergeCell ref="D32:I32"/>
    <mergeCell ref="B85:E85"/>
    <mergeCell ref="B75:E75"/>
    <mergeCell ref="C76:E76"/>
    <mergeCell ref="D28:I28"/>
    <mergeCell ref="M22:O2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4C304306947647AC1DD6E939CE4796" ma:contentTypeVersion="16" ma:contentTypeDescription="Create a new document." ma:contentTypeScope="" ma:versionID="e64a242a090867264cdf01267f830173">
  <xsd:schema xmlns:xsd="http://www.w3.org/2001/XMLSchema" xmlns:xs="http://www.w3.org/2001/XMLSchema" xmlns:p="http://schemas.microsoft.com/office/2006/metadata/properties" xmlns:ns2="92ce6232-8684-49e7-81cb-ecb0055756af" xmlns:ns3="3bfe3956-80a1-4332-80e7-9aa2e6458d30" xmlns:ns4="http://schemas.microsoft.com/sharepoint/v4" targetNamespace="http://schemas.microsoft.com/office/2006/metadata/properties" ma:root="true" ma:fieldsID="3ade7aa1fcff1e01b56e696b207bf8ee" ns2:_="" ns3:_="" ns4:_="">
    <xsd:import namespace="92ce6232-8684-49e7-81cb-ecb0055756af"/>
    <xsd:import namespace="3bfe3956-80a1-4332-80e7-9aa2e6458d30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4:IconOverlay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ce6232-8684-49e7-81cb-ecb0055756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fe3956-80a1-4332-80e7-9aa2e6458d3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6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55AE9E-CA06-4874-91D2-12931506E9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ce6232-8684-49e7-81cb-ecb0055756af"/>
    <ds:schemaRef ds:uri="3bfe3956-80a1-4332-80e7-9aa2e6458d30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72CDF11-56B6-4028-B333-8E815A618BB5}">
  <ds:schemaRefs>
    <ds:schemaRef ds:uri="http://purl.org/dc/terms/"/>
    <ds:schemaRef ds:uri="http://schemas.microsoft.com/sharepoint/v4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3bfe3956-80a1-4332-80e7-9aa2e6458d30"/>
    <ds:schemaRef ds:uri="92ce6232-8684-49e7-81cb-ecb0055756af"/>
    <ds:schemaRef ds:uri="http://schemas.microsoft.com/office/2006/metadata/properties"/>
    <ds:schemaRef ds:uri="http://www.w3.org/XML/1998/namespace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CB399BF6-A90B-426E-ACED-F74672BE40D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274</vt:i4>
      </vt:variant>
    </vt:vector>
  </HeadingPairs>
  <TitlesOfParts>
    <vt:vector size="277" baseType="lpstr">
      <vt:lpstr>Summary</vt:lpstr>
      <vt:lpstr>cd</vt:lpstr>
      <vt:lpstr>uc</vt:lpstr>
      <vt:lpstr>Cap._Volt._Rating_SBB0</vt:lpstr>
      <vt:lpstr>Cap._Volt._Rating_SBB1</vt:lpstr>
      <vt:lpstr>Cap._Volt._Rating_SBB2</vt:lpstr>
      <vt:lpstr>COUT_EFF_SBB0</vt:lpstr>
      <vt:lpstr>COUT_EFF_SBB1</vt:lpstr>
      <vt:lpstr>COUT_EFF_SBB2</vt:lpstr>
      <vt:lpstr>COUT_SBB0</vt:lpstr>
      <vt:lpstr>COUT_SBB1</vt:lpstr>
      <vt:lpstr>COUT_SBB2</vt:lpstr>
      <vt:lpstr>dVOUT_dtss</vt:lpstr>
      <vt:lpstr>EC_OUT_Deliver_SBB0</vt:lpstr>
      <vt:lpstr>EC_OUT_Deliver_SBB0_MAX</vt:lpstr>
      <vt:lpstr>EC_OUT_Deliver_SBB0_MIN</vt:lpstr>
      <vt:lpstr>EC_OUT_Deliver_SBB1</vt:lpstr>
      <vt:lpstr>EC_OUT_Deliver_SBB1_MAX</vt:lpstr>
      <vt:lpstr>EC_OUT_Deliver_SBB1_MIN</vt:lpstr>
      <vt:lpstr>EC_OUT_Deliver_SBB2</vt:lpstr>
      <vt:lpstr>EC_OUT_Deliver_SBB2_MAX</vt:lpstr>
      <vt:lpstr>EC_OUT_Deliver_SBB2_MIN</vt:lpstr>
      <vt:lpstr>EC_OUT_Peak_SBB0</vt:lpstr>
      <vt:lpstr>EC_OUT_Peak_SBB0_MAX</vt:lpstr>
      <vt:lpstr>EC_OUT_Peak_SBB0_MIN</vt:lpstr>
      <vt:lpstr>EC_OUT_Peak_SBB1</vt:lpstr>
      <vt:lpstr>EC_OUT_Peak_SBB1_MAX</vt:lpstr>
      <vt:lpstr>EC_OUT_Peak_SBB1_MIN</vt:lpstr>
      <vt:lpstr>EC_OUT_Peak_SBB2</vt:lpstr>
      <vt:lpstr>EC_OUT_Peak_SBB2_MAX</vt:lpstr>
      <vt:lpstr>EC_OUT_Peak_SBB2_MIN</vt:lpstr>
      <vt:lpstr>EC_OUT_SBB0</vt:lpstr>
      <vt:lpstr>EC_OUT_SBB0_MAX</vt:lpstr>
      <vt:lpstr>EC_OUT_SBB0_MIN</vt:lpstr>
      <vt:lpstr>EC_OUT_SBB1</vt:lpstr>
      <vt:lpstr>EC_OUT_SBB1_MAX</vt:lpstr>
      <vt:lpstr>EC_OUT_SBB1_MIN</vt:lpstr>
      <vt:lpstr>EC_OUT_SBB2</vt:lpstr>
      <vt:lpstr>EC_OUT_SBB2_MAX</vt:lpstr>
      <vt:lpstr>EC_OUT_SBB2_MIN</vt:lpstr>
      <vt:lpstr>EL_peak_SBB0</vt:lpstr>
      <vt:lpstr>EL_peak_SBB1</vt:lpstr>
      <vt:lpstr>EL_peak_SBB2</vt:lpstr>
      <vt:lpstr>Eload_SBB0</vt:lpstr>
      <vt:lpstr>Eload_SBB0_MAX</vt:lpstr>
      <vt:lpstr>Eload_SBB0_MIN</vt:lpstr>
      <vt:lpstr>Eload_SBB1</vt:lpstr>
      <vt:lpstr>Eload_SBB1_MAX</vt:lpstr>
      <vt:lpstr>Eload_SBB1_MIN</vt:lpstr>
      <vt:lpstr>Eload_SBB2</vt:lpstr>
      <vt:lpstr>Eload_SBB2_MAX</vt:lpstr>
      <vt:lpstr>Eload_SBB2_MIN</vt:lpstr>
      <vt:lpstr>Eloss_cond_SBB0</vt:lpstr>
      <vt:lpstr>Eloss_cond_SBB0_MAX</vt:lpstr>
      <vt:lpstr>Eloss_cond_SBB0_MIN</vt:lpstr>
      <vt:lpstr>Eloss_cond_SBB1</vt:lpstr>
      <vt:lpstr>Eloss_cond_SBB1_MAX</vt:lpstr>
      <vt:lpstr>Eloss_cond_SBB1_MIN</vt:lpstr>
      <vt:lpstr>Eloss_cond_SBB2</vt:lpstr>
      <vt:lpstr>Eloss_cond_SBB2_MAX</vt:lpstr>
      <vt:lpstr>Eloss_cond_SBB2_MIN</vt:lpstr>
      <vt:lpstr>EN_SBB0</vt:lpstr>
      <vt:lpstr>EN_SBB1</vt:lpstr>
      <vt:lpstr>EN_SBB2</vt:lpstr>
      <vt:lpstr>EOUT_CHG_BB_SBB0</vt:lpstr>
      <vt:lpstr>EOUT_CHG_BB_SBB0_MAX</vt:lpstr>
      <vt:lpstr>EOUT_CHG_BB_SBB0_MIN</vt:lpstr>
      <vt:lpstr>EOUT_CHG_BB_SBB1</vt:lpstr>
      <vt:lpstr>EOUT_CHG_BB_SBB1_MAX</vt:lpstr>
      <vt:lpstr>EOUT_CHG_BB_SBB1_MIN</vt:lpstr>
      <vt:lpstr>EOUT_CHG_BB_SBB2</vt:lpstr>
      <vt:lpstr>EOUT_CHG_BB_SBB2_MAX</vt:lpstr>
      <vt:lpstr>EOUT_CHG_BB_SBB2_MIN</vt:lpstr>
      <vt:lpstr>EOUT_CHG_Buck_SBB0</vt:lpstr>
      <vt:lpstr>EOUT_CHG_BUCK_SBB0_MAX</vt:lpstr>
      <vt:lpstr>EOUT_CHG_BUCK_SBB0_MIN</vt:lpstr>
      <vt:lpstr>EOUT_CHG_Buck_SBB1</vt:lpstr>
      <vt:lpstr>EOUT_CHG_BUCK_SBB1_MAX</vt:lpstr>
      <vt:lpstr>EOUT_CHG_BUCK_SBB1_MIN</vt:lpstr>
      <vt:lpstr>EOUT_CHG_Buck_SBB2</vt:lpstr>
      <vt:lpstr>EOUT_CHG_BUCK_SBB2_MAX</vt:lpstr>
      <vt:lpstr>EOUT_CHG_BUCK_SBB2_MIN</vt:lpstr>
      <vt:lpstr>EOUT_CHG_SBB0</vt:lpstr>
      <vt:lpstr>EOUT_CHG_SBB0_MAX</vt:lpstr>
      <vt:lpstr>EOUT_CHG_SBB0_MIN</vt:lpstr>
      <vt:lpstr>EOUT_CHG_SBB1</vt:lpstr>
      <vt:lpstr>EOUT_CHG_SBB1_MAX</vt:lpstr>
      <vt:lpstr>EOUT_CHG_SBB1_MIN</vt:lpstr>
      <vt:lpstr>EOUT_CHG_SBB2</vt:lpstr>
      <vt:lpstr>EOUT_CHG_SBB2_MAX</vt:lpstr>
      <vt:lpstr>EOUT_CHG_SBB2_MIN</vt:lpstr>
      <vt:lpstr>EOUT_DIS_BB_SBB0</vt:lpstr>
      <vt:lpstr>EOUT_DIS_BB_SBB0_MAX</vt:lpstr>
      <vt:lpstr>EOUT_DIS_BB_SBB0_MIN</vt:lpstr>
      <vt:lpstr>EOUT_DIS_BB_SBB1</vt:lpstr>
      <vt:lpstr>EOUT_DIS_BB_SBB1_MAX</vt:lpstr>
      <vt:lpstr>EOUT_DIS_BB_SBB1_MIN</vt:lpstr>
      <vt:lpstr>EOUT_DIS_BB_SBB2</vt:lpstr>
      <vt:lpstr>EOUT_DIS_BB_SBB2_MAX</vt:lpstr>
      <vt:lpstr>EOUT_DIS_BB_SBB2_MIN</vt:lpstr>
      <vt:lpstr>EOUT_DIS_Buck_SBB0</vt:lpstr>
      <vt:lpstr>EOUT_DIS_BUCK_SBB0_MAX</vt:lpstr>
      <vt:lpstr>EOUT_DIS_BUCK_SBB0_MIN</vt:lpstr>
      <vt:lpstr>EOUT_DIS_Buck_SBB1</vt:lpstr>
      <vt:lpstr>EOUT_DIS_BUCK_SBB1_MAX</vt:lpstr>
      <vt:lpstr>EOUT_DIS_BUCK_SBB1_MIN</vt:lpstr>
      <vt:lpstr>EOUT_DIS_Buck_SBB2</vt:lpstr>
      <vt:lpstr>EOUT_DIS_BUCK_SBB2_MAX</vt:lpstr>
      <vt:lpstr>EOUT_DIS_BUCK_SBB2_MIN</vt:lpstr>
      <vt:lpstr>EOUT_DIS_SBB0</vt:lpstr>
      <vt:lpstr>EOUT_DIS_SBB0_MAX</vt:lpstr>
      <vt:lpstr>EOUT_DIS_SBB0_MIN</vt:lpstr>
      <vt:lpstr>EOUT_DIS_SBB1</vt:lpstr>
      <vt:lpstr>EOUT_DIS_SBB1_MAX</vt:lpstr>
      <vt:lpstr>EOUT_DIS_SBB1_MIN</vt:lpstr>
      <vt:lpstr>EOUT_DIS_SBB2</vt:lpstr>
      <vt:lpstr>EOUT_DIS_SBB2_MAX</vt:lpstr>
      <vt:lpstr>EOUT_DIS_SBB2_MIN</vt:lpstr>
      <vt:lpstr>EOUT_SBB0</vt:lpstr>
      <vt:lpstr>EOUT_SBB0_MAX</vt:lpstr>
      <vt:lpstr>EOUT_SBB0_MIN</vt:lpstr>
      <vt:lpstr>EOUT_SBB1</vt:lpstr>
      <vt:lpstr>EOUT_SBB1_MAX</vt:lpstr>
      <vt:lpstr>EOUT_SBB1_MIN</vt:lpstr>
      <vt:lpstr>EOUT_SBB2</vt:lpstr>
      <vt:lpstr>EOUT_SBB2_MAX</vt:lpstr>
      <vt:lpstr>EOUT_SBB2_MIN</vt:lpstr>
      <vt:lpstr>ESR_SBB0</vt:lpstr>
      <vt:lpstr>ESR_SBB1</vt:lpstr>
      <vt:lpstr>ESR_SBB2</vt:lpstr>
      <vt:lpstr>fOUT_ripple_SBB0</vt:lpstr>
      <vt:lpstr>fOUT_ripple_SBB1</vt:lpstr>
      <vt:lpstr>fOUT_ripple_SBB2</vt:lpstr>
      <vt:lpstr>IL_dis_rms_SBB0</vt:lpstr>
      <vt:lpstr>IL_dis_rms_SBB1</vt:lpstr>
      <vt:lpstr>IL_dis_rms_SBB2</vt:lpstr>
      <vt:lpstr>IL_Peak_SBB0</vt:lpstr>
      <vt:lpstr>IL_Peak_SBB1</vt:lpstr>
      <vt:lpstr>IL_Peak_SBB2</vt:lpstr>
      <vt:lpstr>IOUT_Max_SBB0</vt:lpstr>
      <vt:lpstr>IOUT_Max_SBB0_MAX</vt:lpstr>
      <vt:lpstr>IOUT_Max_SBB0_MIN</vt:lpstr>
      <vt:lpstr>IOUT_Max_SBB1</vt:lpstr>
      <vt:lpstr>IOUT_Max_SBB1_MAX</vt:lpstr>
      <vt:lpstr>IOUT_Max_SBB1_MIN</vt:lpstr>
      <vt:lpstr>IOUT_Max_SBB2</vt:lpstr>
      <vt:lpstr>IOUT_Max_SBB2_MAX</vt:lpstr>
      <vt:lpstr>IOUT_Max_SBB2_MIN</vt:lpstr>
      <vt:lpstr>IOUT_SBB0</vt:lpstr>
      <vt:lpstr>IOUT_SBB1</vt:lpstr>
      <vt:lpstr>IOUT_SBB2</vt:lpstr>
      <vt:lpstr>L</vt:lpstr>
      <vt:lpstr>POUT_MAX_SBB0</vt:lpstr>
      <vt:lpstr>POUT_MAX_SBB0_MAX</vt:lpstr>
      <vt:lpstr>POUT_MAX_SBB0_MIN</vt:lpstr>
      <vt:lpstr>POUT_MAX_SBB1</vt:lpstr>
      <vt:lpstr>POUT_MAX_SBB1_MAX</vt:lpstr>
      <vt:lpstr>POUT_MAX_SBB1_MIN</vt:lpstr>
      <vt:lpstr>POUT_MAX_SBB2</vt:lpstr>
      <vt:lpstr>POUT_MAX_SBB2_MAX</vt:lpstr>
      <vt:lpstr>POUT_MAX_SBB2_MIN</vt:lpstr>
      <vt:lpstr>rCHG_BB</vt:lpstr>
      <vt:lpstr>rCHG_Buck_SBB0</vt:lpstr>
      <vt:lpstr>rCHG_Buck_SBB1</vt:lpstr>
      <vt:lpstr>rCHG_Buck_SBB2</vt:lpstr>
      <vt:lpstr>rCHG_SBB0</vt:lpstr>
      <vt:lpstr>rCHG_SBB1</vt:lpstr>
      <vt:lpstr>rCHG_SBB2</vt:lpstr>
      <vt:lpstr>rDIS_BB_SBB0</vt:lpstr>
      <vt:lpstr>rDIS_BB_SBB1</vt:lpstr>
      <vt:lpstr>rDIS_BB_SBB2</vt:lpstr>
      <vt:lpstr>rDIS_Buck_SBB0</vt:lpstr>
      <vt:lpstr>rDIS_Buck_SBB1</vt:lpstr>
      <vt:lpstr>rDIS_Buck_SBB2</vt:lpstr>
      <vt:lpstr>rDIS_SBB0</vt:lpstr>
      <vt:lpstr>rDIS_SBB1</vt:lpstr>
      <vt:lpstr>rDIS_SBB2</vt:lpstr>
      <vt:lpstr>rL_DCR</vt:lpstr>
      <vt:lpstr>rM1_</vt:lpstr>
      <vt:lpstr>rM2_</vt:lpstr>
      <vt:lpstr>rM3_SBB0</vt:lpstr>
      <vt:lpstr>rM3_SBB1</vt:lpstr>
      <vt:lpstr>rM3_SBB2</vt:lpstr>
      <vt:lpstr>rM4_</vt:lpstr>
      <vt:lpstr>terror_comp</vt:lpstr>
      <vt:lpstr>tL_CHG_SBB0</vt:lpstr>
      <vt:lpstr>tL_CHG_SBB0_MAX</vt:lpstr>
      <vt:lpstr>tL_CHG_SBB0_MIN</vt:lpstr>
      <vt:lpstr>tL_CHG_SBB1</vt:lpstr>
      <vt:lpstr>tL_CHG_SBB1_MAX</vt:lpstr>
      <vt:lpstr>tL_CHG_SBB1_MIN</vt:lpstr>
      <vt:lpstr>tL_CHG_SBB2</vt:lpstr>
      <vt:lpstr>tL_CHG_SBB2_MAX</vt:lpstr>
      <vt:lpstr>tL_CHG_SBB2_MIN</vt:lpstr>
      <vt:lpstr>tL_DIS_SBB0</vt:lpstr>
      <vt:lpstr>tL_DIS_SBB0_MAX</vt:lpstr>
      <vt:lpstr>tL_DIS_SBB0_MIN</vt:lpstr>
      <vt:lpstr>tL_DIS_SBB1</vt:lpstr>
      <vt:lpstr>tL_DIS_SBB1_MAX</vt:lpstr>
      <vt:lpstr>tL_DIS_SBB1_MIN</vt:lpstr>
      <vt:lpstr>tL_DIS_SBB2</vt:lpstr>
      <vt:lpstr>tL_DIS_SBB2_MAX</vt:lpstr>
      <vt:lpstr>tL_DIS_SBB2_MIN</vt:lpstr>
      <vt:lpstr>tservice_SBB0</vt:lpstr>
      <vt:lpstr>tservice_SBB0_MAX</vt:lpstr>
      <vt:lpstr>tservice_SBB0_MIN</vt:lpstr>
      <vt:lpstr>tservice_SBB1</vt:lpstr>
      <vt:lpstr>tservice_SBB1_MAX</vt:lpstr>
      <vt:lpstr>tservice_SBB1_MIN</vt:lpstr>
      <vt:lpstr>tservice_SBB2</vt:lpstr>
      <vt:lpstr>tservice_SBB2_MAX</vt:lpstr>
      <vt:lpstr>tservice_SBB2_MIN</vt:lpstr>
      <vt:lpstr>tss_SBB0</vt:lpstr>
      <vt:lpstr>tss_SBB0_MAX</vt:lpstr>
      <vt:lpstr>tss_SBB0_MIN</vt:lpstr>
      <vt:lpstr>tss_SBB1</vt:lpstr>
      <vt:lpstr>tss_SBB1_MAX</vt:lpstr>
      <vt:lpstr>tss_SBB1_MIN</vt:lpstr>
      <vt:lpstr>tss_SBB2</vt:lpstr>
      <vt:lpstr>tss_SBB2_MAX</vt:lpstr>
      <vt:lpstr>tss_SBB2_MIN</vt:lpstr>
      <vt:lpstr>tundershoot_SBB0</vt:lpstr>
      <vt:lpstr>tundershoot_SBB0_MAX</vt:lpstr>
      <vt:lpstr>tundershoot_SBB0_MIN</vt:lpstr>
      <vt:lpstr>tundershoot_SBB1</vt:lpstr>
      <vt:lpstr>tundershoot_SBB1_MAX</vt:lpstr>
      <vt:lpstr>tundershoot_SBB1_MIN</vt:lpstr>
      <vt:lpstr>tundershoot_SBB2</vt:lpstr>
      <vt:lpstr>tundershoot_SBB2_MAX</vt:lpstr>
      <vt:lpstr>tundershoot_SBB2_MIN</vt:lpstr>
      <vt:lpstr>ULPM_max</vt:lpstr>
      <vt:lpstr>ULPM_min</vt:lpstr>
      <vt:lpstr>ULPM_typ</vt:lpstr>
      <vt:lpstr>Vdroop_wait_SBB0_1</vt:lpstr>
      <vt:lpstr>Vdroop_wait_SBB0_1_MAX</vt:lpstr>
      <vt:lpstr>Vdroop_wait_SBB0_1_MIN</vt:lpstr>
      <vt:lpstr>Vdroop_wait_SBB0_2</vt:lpstr>
      <vt:lpstr>Vdroop_wait_SBB0_2_MAX</vt:lpstr>
      <vt:lpstr>Vdroop_wait_SBB0_2_MIN</vt:lpstr>
      <vt:lpstr>Vdroop_wait_SBB1_2</vt:lpstr>
      <vt:lpstr>Vdroop_wait_SBB1_2_MAX</vt:lpstr>
      <vt:lpstr>Vdroop_wait_SBB1_2_MIN</vt:lpstr>
      <vt:lpstr>VIN</vt:lpstr>
      <vt:lpstr>VOUT_Accuracy</vt:lpstr>
      <vt:lpstr>VOUT_ERROR_SBB0</vt:lpstr>
      <vt:lpstr>VOUT_ERROR_SBB1</vt:lpstr>
      <vt:lpstr>VOUT_ERROR_SBB2</vt:lpstr>
      <vt:lpstr>VOUT_max_SBB0</vt:lpstr>
      <vt:lpstr>VOUT_max_SBB0_MAX</vt:lpstr>
      <vt:lpstr>VOUT_max_SBB0_MIN</vt:lpstr>
      <vt:lpstr>VOUT_max_SBB1</vt:lpstr>
      <vt:lpstr>VOUT_max_SBB1_MAX</vt:lpstr>
      <vt:lpstr>VOUT_max_SBB1_MIN</vt:lpstr>
      <vt:lpstr>VOUT_max_SBB2</vt:lpstr>
      <vt:lpstr>VOUT_max_SBB2_MAX</vt:lpstr>
      <vt:lpstr>VOUT_max_SBB2_MIN</vt:lpstr>
      <vt:lpstr>VOUT_min_SBB0</vt:lpstr>
      <vt:lpstr>VOUT_min_SBB0_MAX</vt:lpstr>
      <vt:lpstr>VOUT_min_SBB0_MIN</vt:lpstr>
      <vt:lpstr>VOUT_min_SBB1</vt:lpstr>
      <vt:lpstr>VOUT_min_SBB1_MAX</vt:lpstr>
      <vt:lpstr>VOUT_min_SBB1_MIN</vt:lpstr>
      <vt:lpstr>VOUT_min_SBB2</vt:lpstr>
      <vt:lpstr>VOUT_min_SBB2_MAX</vt:lpstr>
      <vt:lpstr>VOUT_min_SBB2_MIN</vt:lpstr>
      <vt:lpstr>VOUT_SBB0</vt:lpstr>
      <vt:lpstr>VOUT_SBB0_MAX</vt:lpstr>
      <vt:lpstr>VOUT_SBB0_MIN</vt:lpstr>
      <vt:lpstr>VOUT_SBB1</vt:lpstr>
      <vt:lpstr>VOUT_SBB1_MAX</vt:lpstr>
      <vt:lpstr>VOUT_SBB1_MIN</vt:lpstr>
      <vt:lpstr>VOUT_SBB2</vt:lpstr>
      <vt:lpstr>VOUT_SBB2_MAX</vt:lpstr>
      <vt:lpstr>VOUT_SBB2_MIN</vt:lpstr>
      <vt:lpstr>η_SBB0</vt:lpstr>
      <vt:lpstr>η_SBB1</vt:lpstr>
      <vt:lpstr>η_SBB2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2019-11-22T18:55:21Z</dcterms:created>
  <dcterms:modified xsi:type="dcterms:W3CDTF">2020-02-20T02:30:36Z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horIds_UIVersion_55">
    <vt:lpwstr>136</vt:lpwstr>
  </property>
  <property fmtid="{D5CDD505-2E9C-101B-9397-08002B2CF9AE}" pid="3" name="ContentTypeId">
    <vt:lpwstr>0x0101008D4C304306947647AC1DD6E939CE4796</vt:lpwstr>
  </property>
</Properties>
</file>