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hmed\OneDrive\Desktop\Projects\DataFeed Status\Reporting Summary\"/>
    </mc:Choice>
  </mc:AlternateContent>
  <xr:revisionPtr revIDLastSave="0" documentId="13_ncr:1_{5EFE3059-FC3C-4359-B38A-466ECFC1AE31}" xr6:coauthVersionLast="47" xr6:coauthVersionMax="47" xr10:uidLastSave="{00000000-0000-0000-0000-000000000000}"/>
  <bookViews>
    <workbookView xWindow="-110" yWindow="-110" windowWidth="19420" windowHeight="10300" tabRatio="991" activeTab="2" xr2:uid="{00000000-000D-0000-FFFF-FFFF00000000}"/>
  </bookViews>
  <sheets>
    <sheet name="FactSet License" sheetId="18" r:id="rId1"/>
    <sheet name="LSEG Summary" sheetId="24" r:id="rId2"/>
    <sheet name="FactSet Summary" sheetId="19" r:id="rId3"/>
    <sheet name="Consolidation" sheetId="7" r:id="rId4"/>
    <sheet name="FactSet Index Reporting" sheetId="20" r:id="rId5"/>
    <sheet name="Index" sheetId="2" r:id="rId6"/>
    <sheet name="Shariah DataFeed" sheetId="3" r:id="rId7"/>
    <sheet name="Migration Plan" sheetId="31" r:id="rId8"/>
    <sheet name="LSEG Live 4 Reporting" sheetId="23" r:id="rId9"/>
    <sheet name="ME - Consolidation" sheetId="28" r:id="rId10"/>
    <sheet name="SEDOL Summery" sheetId="26" r:id="rId11"/>
    <sheet name="CUSIP Summery" sheetId="27" r:id="rId12"/>
    <sheet name="ISIN Summery" sheetId="25" r:id="rId13"/>
    <sheet name="FactSet Live 4 Reporting" sheetId="22" r:id="rId14"/>
    <sheet name="ME - Boursa" sheetId="13" r:id="rId15"/>
    <sheet name="ME - Index" sheetId="14" r:id="rId16"/>
    <sheet name="FactSet DataFeed Reporting" sheetId="21" r:id="rId17"/>
    <sheet name="ME - Shariah Data-feed" sheetId="15" r:id="rId18"/>
    <sheet name="ME - ESG Data-feed" sheetId="16" r:id="rId19"/>
    <sheet name="ME - Purification &amp; Zakat" sheetId="17" r:id="rId20"/>
    <sheet name="Service" sheetId="29" r:id="rId21"/>
    <sheet name="Boursa" sheetId="6" r:id="rId22"/>
    <sheet name="Purif &amp; Zakat" sheetId="5" r:id="rId23"/>
    <sheet name="ESG" sheetId="4" r:id="rId24"/>
    <sheet name="Data Admin" sheetId="30" r:id="rId25"/>
    <sheet name="ESG Consalidated" sheetId="8" r:id="rId26"/>
  </sheets>
  <definedNames>
    <definedName name="_xlnm._FilterDatabase" localSheetId="3" hidden="1">Consolidation!$A$2:$Q$106</definedName>
    <definedName name="_xlnm._FilterDatabase" localSheetId="23" hidden="1">ESG!$A$1:$D$26</definedName>
    <definedName name="_xlnm._FilterDatabase" localSheetId="16" hidden="1">'FactSet DataFeed Reporting'!$A$1:$J$78</definedName>
    <definedName name="_xlnm._FilterDatabase" localSheetId="4" hidden="1">'FactSet Index Reporting'!$A$1:$F$48</definedName>
    <definedName name="_xlnm._FilterDatabase" localSheetId="14" hidden="1">'ME - Boursa'!#REF!</definedName>
    <definedName name="_xlnm._FilterDatabase" localSheetId="9" hidden="1">'ME - Consolidation'!$A$2:$I$3</definedName>
    <definedName name="_xlnm._FilterDatabase" localSheetId="18" hidden="1">'ME - ESG Data-feed'!$A$1:$I$15</definedName>
    <definedName name="_xlnm._FilterDatabase" localSheetId="15" hidden="1">'ME - Index'!$A$1:$I$23</definedName>
    <definedName name="_xlnm._FilterDatabase" localSheetId="19" hidden="1">'ME - Purification &amp; Zakat'!$A$1:$G$39</definedName>
    <definedName name="_xlnm._FilterDatabase" localSheetId="17" hidden="1">'ME - Shariah Data-feed'!$A$2:$K$60</definedName>
    <definedName name="_xlnm._FilterDatabase" localSheetId="22" hidden="1">'Purif &amp; Zakat'!$A$1:$K$42</definedName>
    <definedName name="_xlnm._FilterDatabase" localSheetId="10" hidden="1">'SEDOL Summery'!$A$1:$Q$23</definedName>
    <definedName name="_xlnm._FilterDatabase" localSheetId="20" hidden="1">Service!$A$1:$B$34</definedName>
    <definedName name="_xlnm._FilterDatabase" localSheetId="6" hidden="1">'Shariah DataFeed'!$A$1:$J$76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7" i="7" l="1"/>
  <c r="C107" i="7"/>
  <c r="D107" i="7"/>
  <c r="E107" i="7" s="1"/>
  <c r="F107" i="7"/>
  <c r="G107" i="7" s="1"/>
  <c r="H107" i="7"/>
  <c r="I107" i="7" s="1"/>
  <c r="J107" i="7"/>
  <c r="K107" i="7" s="1"/>
  <c r="P107" i="7"/>
  <c r="Q107" i="7"/>
  <c r="F66" i="7"/>
  <c r="D25" i="31"/>
  <c r="D22" i="31"/>
  <c r="N107" i="7" l="1"/>
  <c r="L107" i="7"/>
  <c r="M107" i="7" s="1"/>
  <c r="O107" i="7"/>
  <c r="E13" i="8"/>
  <c r="J86" i="7"/>
  <c r="F6" i="7" l="1"/>
  <c r="C40" i="23"/>
  <c r="B2" i="19" a="1"/>
  <c r="B2" i="19" s="1"/>
  <c r="B6" i="19" a="1"/>
  <c r="B6" i="19" s="1"/>
  <c r="B3" i="19" a="1"/>
  <c r="B3" i="19" s="1"/>
  <c r="B5" i="19" a="1"/>
  <c r="B5" i="19" s="1"/>
  <c r="B4" i="19" a="1"/>
  <c r="B4" i="19" s="1"/>
  <c r="B2" i="24" a="1"/>
  <c r="B2" i="24" s="1"/>
  <c r="Q4" i="7"/>
  <c r="Q5" i="7"/>
  <c r="Q6" i="7"/>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96" i="7"/>
  <c r="Q97" i="7"/>
  <c r="Q98" i="7"/>
  <c r="Q99" i="7"/>
  <c r="Q100" i="7"/>
  <c r="Q101" i="7"/>
  <c r="Q102" i="7"/>
  <c r="Q103" i="7"/>
  <c r="Q104" i="7"/>
  <c r="Q105" i="7"/>
  <c r="Q106" i="7"/>
  <c r="Q3" i="7"/>
  <c r="E3" i="8"/>
  <c r="Q88" i="7" s="1"/>
  <c r="E4" i="8"/>
  <c r="Q89" i="7" s="1"/>
  <c r="E5" i="8"/>
  <c r="Q90" i="7" s="1"/>
  <c r="E6" i="8"/>
  <c r="Q91" i="7" s="1"/>
  <c r="E7" i="8"/>
  <c r="Q92" i="7" s="1"/>
  <c r="E8" i="8"/>
  <c r="Q93" i="7" s="1"/>
  <c r="E9" i="8"/>
  <c r="E10" i="8"/>
  <c r="Q94" i="7" s="1"/>
  <c r="E11" i="8"/>
  <c r="Q95" i="7" s="1"/>
  <c r="E2" i="8"/>
  <c r="Q87" i="7" s="1"/>
  <c r="F39" i="15" a="1"/>
  <c r="F39" i="15" s="1"/>
  <c r="F3" i="15" a="1"/>
  <c r="F3" i="15" s="1"/>
  <c r="F4" i="15" a="1"/>
  <c r="F4" i="15" s="1"/>
  <c r="F5" i="15" a="1"/>
  <c r="F5" i="15" s="1"/>
  <c r="F6" i="15" a="1"/>
  <c r="F6" i="15" s="1"/>
  <c r="F7" i="15" a="1"/>
  <c r="F7" i="15" s="1"/>
  <c r="F8" i="15" a="1"/>
  <c r="F8" i="15" s="1"/>
  <c r="F9" i="15" a="1"/>
  <c r="F9" i="15" s="1"/>
  <c r="F10" i="15" a="1"/>
  <c r="F10" i="15" s="1"/>
  <c r="F11" i="15" a="1"/>
  <c r="F11" i="15" s="1"/>
  <c r="F12" i="15" a="1"/>
  <c r="F12" i="15" s="1"/>
  <c r="F13" i="15" a="1"/>
  <c r="F13" i="15" s="1"/>
  <c r="F14" i="15" a="1"/>
  <c r="F14" i="15" s="1"/>
  <c r="F15" i="15" a="1"/>
  <c r="F15" i="15" s="1"/>
  <c r="F16" i="15" a="1"/>
  <c r="F16" i="15" s="1"/>
  <c r="F17" i="15" a="1"/>
  <c r="F17" i="15" s="1"/>
  <c r="F18" i="15" a="1"/>
  <c r="F18" i="15" s="1"/>
  <c r="F19" i="15" a="1"/>
  <c r="F19" i="15" s="1"/>
  <c r="F20" i="15" a="1"/>
  <c r="F20" i="15" s="1"/>
  <c r="F21" i="15" a="1"/>
  <c r="F21" i="15" s="1"/>
  <c r="F22" i="15" a="1"/>
  <c r="F22" i="15" s="1"/>
  <c r="F23" i="15" a="1"/>
  <c r="F23" i="15" s="1"/>
  <c r="F24" i="15" a="1"/>
  <c r="F24" i="15" s="1"/>
  <c r="F25" i="15" a="1"/>
  <c r="F25" i="15" s="1"/>
  <c r="F26" i="15" a="1"/>
  <c r="F26" i="15" s="1"/>
  <c r="F27" i="15" a="1"/>
  <c r="F27" i="15" s="1"/>
  <c r="F28" i="15" a="1"/>
  <c r="F28" i="15" s="1"/>
  <c r="F29" i="15" a="1"/>
  <c r="F29" i="15" s="1"/>
  <c r="F30" i="15" a="1"/>
  <c r="F30" i="15" s="1"/>
  <c r="F31" i="15" a="1"/>
  <c r="F31" i="15" s="1"/>
  <c r="F32" i="15" a="1"/>
  <c r="F32" i="15" s="1"/>
  <c r="F33" i="15" a="1"/>
  <c r="F33" i="15" s="1"/>
  <c r="F34" i="15" a="1"/>
  <c r="F34" i="15" s="1"/>
  <c r="F35" i="15" a="1"/>
  <c r="F35" i="15" s="1"/>
  <c r="F36" i="15" a="1"/>
  <c r="F36" i="15" s="1"/>
  <c r="F37" i="15" a="1"/>
  <c r="F37" i="15" s="1"/>
  <c r="F38" i="15" a="1"/>
  <c r="F38" i="15" s="1"/>
  <c r="F40" i="15" a="1"/>
  <c r="F40" i="15" s="1"/>
  <c r="F41" i="15" a="1"/>
  <c r="F41" i="15" s="1"/>
  <c r="F42" i="15" a="1"/>
  <c r="F42" i="15" s="1"/>
  <c r="F43" i="15" a="1"/>
  <c r="F43" i="15" s="1"/>
  <c r="F44" i="15" a="1"/>
  <c r="F44" i="15" s="1"/>
  <c r="F45" i="15" a="1"/>
  <c r="F45" i="15" s="1"/>
  <c r="F46" i="15" a="1"/>
  <c r="F46" i="15" s="1"/>
  <c r="F47" i="15" a="1"/>
  <c r="F47" i="15" s="1"/>
  <c r="F48" i="15" a="1"/>
  <c r="F48" i="15" s="1"/>
  <c r="F49" i="15" a="1"/>
  <c r="F49" i="15" s="1"/>
  <c r="F50" i="15" a="1"/>
  <c r="F50" i="15" s="1"/>
  <c r="F51" i="15" a="1"/>
  <c r="F51" i="15" s="1"/>
  <c r="F52" i="15" a="1"/>
  <c r="F52" i="15" s="1"/>
  <c r="F53" i="15" a="1"/>
  <c r="F53" i="15" s="1"/>
  <c r="F54" i="15" a="1"/>
  <c r="F54" i="15" s="1"/>
  <c r="F55" i="15" a="1"/>
  <c r="F55" i="15" s="1"/>
  <c r="F56" i="15" a="1"/>
  <c r="F56" i="15" s="1"/>
  <c r="F57" i="15" a="1"/>
  <c r="F57" i="15" s="1"/>
  <c r="F58" i="15" a="1"/>
  <c r="F58" i="15" s="1"/>
  <c r="F59" i="15" a="1"/>
  <c r="F59" i="15" s="1"/>
  <c r="F60" i="15" a="1"/>
  <c r="F60" i="15" s="1"/>
  <c r="N3" i="26"/>
  <c r="N4" i="26"/>
  <c r="N5" i="26"/>
  <c r="N6" i="26"/>
  <c r="N7" i="26"/>
  <c r="N8" i="26"/>
  <c r="N9" i="26"/>
  <c r="N10" i="26"/>
  <c r="N11" i="26"/>
  <c r="N12" i="26"/>
  <c r="N13" i="26"/>
  <c r="N14" i="26"/>
  <c r="N15" i="26"/>
  <c r="N16" i="26"/>
  <c r="N17" i="26"/>
  <c r="N18" i="26"/>
  <c r="N19" i="26"/>
  <c r="N20" i="26"/>
  <c r="N21" i="26"/>
  <c r="N22" i="26"/>
  <c r="N23" i="26"/>
  <c r="N2" i="26"/>
  <c r="F6" i="14" a="1"/>
  <c r="F6" i="14" s="1"/>
  <c r="F7" i="14" a="1"/>
  <c r="F7" i="14" s="1"/>
  <c r="F8" i="14" a="1"/>
  <c r="F8" i="14" s="1"/>
  <c r="F9" i="14" a="1"/>
  <c r="F9" i="14" s="1"/>
  <c r="F10" i="14" a="1"/>
  <c r="F10" i="14" s="1"/>
  <c r="F11" i="14" a="1"/>
  <c r="F11" i="14" s="1"/>
  <c r="F12" i="14" a="1"/>
  <c r="F12" i="14" s="1"/>
  <c r="F13" i="14" a="1"/>
  <c r="F13" i="14" s="1"/>
  <c r="F14" i="14" a="1"/>
  <c r="F14" i="14" s="1"/>
  <c r="F15" i="14" a="1"/>
  <c r="F15" i="14" s="1"/>
  <c r="F16" i="14" a="1"/>
  <c r="F16" i="14" s="1"/>
  <c r="F17" i="14" a="1"/>
  <c r="F17" i="14" s="1"/>
  <c r="F18" i="14" a="1"/>
  <c r="F18" i="14" s="1"/>
  <c r="F19" i="14" a="1"/>
  <c r="F19" i="14" s="1"/>
  <c r="F20" i="14" a="1"/>
  <c r="F20" i="14" s="1"/>
  <c r="F21" i="14" a="1"/>
  <c r="F21" i="14" s="1"/>
  <c r="F22" i="14" a="1"/>
  <c r="F22" i="14" s="1"/>
  <c r="F23" i="14" a="1"/>
  <c r="F23" i="14" s="1"/>
  <c r="F4" i="14" a="1"/>
  <c r="F4" i="14" s="1"/>
  <c r="F5" i="14" a="1"/>
  <c r="F5" i="14" s="1"/>
  <c r="F3" i="14" a="1"/>
  <c r="F3" i="14" s="1"/>
  <c r="E4" i="14" a="1"/>
  <c r="E4" i="14" s="1"/>
  <c r="E5" i="14" a="1"/>
  <c r="E5" i="14" s="1"/>
  <c r="E6" i="14" a="1"/>
  <c r="E6" i="14" s="1"/>
  <c r="E7" i="14" a="1"/>
  <c r="E7" i="14" s="1"/>
  <c r="E8" i="14" a="1"/>
  <c r="E8" i="14" s="1"/>
  <c r="E9" i="14" a="1"/>
  <c r="E9" i="14" s="1"/>
  <c r="E10" i="14" a="1"/>
  <c r="E10" i="14" s="1"/>
  <c r="E11" i="14" a="1"/>
  <c r="E11" i="14" s="1"/>
  <c r="E12" i="14" a="1"/>
  <c r="E12" i="14" s="1"/>
  <c r="E13" i="14" a="1"/>
  <c r="E13" i="14" s="1"/>
  <c r="E14" i="14" a="1"/>
  <c r="E14" i="14" s="1"/>
  <c r="E15" i="14" a="1"/>
  <c r="E15" i="14" s="1"/>
  <c r="E16" i="14" a="1"/>
  <c r="E16" i="14" s="1"/>
  <c r="E17" i="14" a="1"/>
  <c r="E17" i="14" s="1"/>
  <c r="E18" i="14" a="1"/>
  <c r="E18" i="14" s="1"/>
  <c r="E19" i="14" a="1"/>
  <c r="E19" i="14" s="1"/>
  <c r="E20" i="14" a="1"/>
  <c r="E20" i="14" s="1"/>
  <c r="E21" i="14" a="1"/>
  <c r="E21" i="14" s="1"/>
  <c r="E22" i="14" a="1"/>
  <c r="E22" i="14" s="1"/>
  <c r="E23" i="14" a="1"/>
  <c r="E23" i="14" s="1"/>
  <c r="E3" i="14" a="1"/>
  <c r="E3" i="14" s="1"/>
  <c r="D4" i="14" a="1"/>
  <c r="D4" i="14" s="1"/>
  <c r="D5" i="14" a="1"/>
  <c r="D5" i="14" s="1"/>
  <c r="D6" i="14" a="1"/>
  <c r="D6" i="14" s="1"/>
  <c r="D7" i="14" a="1"/>
  <c r="D7" i="14" s="1"/>
  <c r="D8" i="14" a="1"/>
  <c r="D8" i="14" s="1"/>
  <c r="D9" i="14" a="1"/>
  <c r="D9" i="14" s="1"/>
  <c r="D10" i="14" a="1"/>
  <c r="D10" i="14" s="1"/>
  <c r="D11" i="14" a="1"/>
  <c r="D11" i="14" s="1"/>
  <c r="D12" i="14" a="1"/>
  <c r="D12" i="14" s="1"/>
  <c r="D13" i="14" a="1"/>
  <c r="D13" i="14" s="1"/>
  <c r="D14" i="14" a="1"/>
  <c r="D14" i="14" s="1"/>
  <c r="D15" i="14" a="1"/>
  <c r="D15" i="14" s="1"/>
  <c r="D16" i="14" a="1"/>
  <c r="D16" i="14" s="1"/>
  <c r="D17" i="14" a="1"/>
  <c r="D17" i="14" s="1"/>
  <c r="D18" i="14" a="1"/>
  <c r="D18" i="14" s="1"/>
  <c r="D19" i="14" a="1"/>
  <c r="D19" i="14" s="1"/>
  <c r="D20" i="14" a="1"/>
  <c r="D20" i="14" s="1"/>
  <c r="D21" i="14" a="1"/>
  <c r="D21" i="14" s="1"/>
  <c r="D22" i="14" a="1"/>
  <c r="D22" i="14" s="1"/>
  <c r="D23" i="14" a="1"/>
  <c r="D23" i="14" s="1"/>
  <c r="D3" i="14" a="1"/>
  <c r="D3" i="14" s="1"/>
  <c r="J62" i="21"/>
  <c r="B97" i="7"/>
  <c r="B104" i="28" s="1"/>
  <c r="C97" i="7"/>
  <c r="D97" i="7"/>
  <c r="E97" i="7" s="1"/>
  <c r="F97" i="7"/>
  <c r="G97" i="7" s="1"/>
  <c r="H97" i="7"/>
  <c r="I97" i="7" s="1"/>
  <c r="J97" i="7"/>
  <c r="K97" i="7" s="1"/>
  <c r="B98" i="7"/>
  <c r="B105" i="28" s="1"/>
  <c r="C98" i="7"/>
  <c r="D98" i="7"/>
  <c r="E98" i="7" s="1"/>
  <c r="F98" i="7"/>
  <c r="G98" i="7" s="1"/>
  <c r="H98" i="7"/>
  <c r="I98" i="7" s="1"/>
  <c r="J98" i="7"/>
  <c r="F105" i="28" s="1"/>
  <c r="B99" i="7"/>
  <c r="B106" i="28" s="1"/>
  <c r="C99" i="7"/>
  <c r="D99" i="7"/>
  <c r="E99" i="7" s="1"/>
  <c r="F99" i="7"/>
  <c r="G99" i="7" s="1"/>
  <c r="H99" i="7"/>
  <c r="I99" i="7" s="1"/>
  <c r="J99" i="7"/>
  <c r="K99" i="7" s="1"/>
  <c r="B100" i="7"/>
  <c r="B107" i="28" s="1"/>
  <c r="C100" i="7"/>
  <c r="D100" i="7"/>
  <c r="E100" i="7" s="1"/>
  <c r="F100" i="7"/>
  <c r="G100" i="7" s="1"/>
  <c r="H100" i="7"/>
  <c r="I100" i="7" s="1"/>
  <c r="J100" i="7"/>
  <c r="K100" i="7" s="1"/>
  <c r="B101" i="7"/>
  <c r="B108" i="28" s="1"/>
  <c r="C101" i="7"/>
  <c r="D101" i="7"/>
  <c r="E101" i="7" s="1"/>
  <c r="F101" i="7"/>
  <c r="G101" i="7" s="1"/>
  <c r="H101" i="7"/>
  <c r="I101" i="7" s="1"/>
  <c r="J101" i="7"/>
  <c r="K101" i="7" s="1"/>
  <c r="B102" i="7"/>
  <c r="B109" i="28" s="1"/>
  <c r="C102" i="7"/>
  <c r="D102" i="7"/>
  <c r="E102" i="7" s="1"/>
  <c r="F102" i="7"/>
  <c r="G102" i="7" s="1"/>
  <c r="H102" i="7"/>
  <c r="I102" i="7" s="1"/>
  <c r="J102" i="7"/>
  <c r="K102" i="7" s="1"/>
  <c r="B103" i="7"/>
  <c r="B110" i="28" s="1"/>
  <c r="C103" i="7"/>
  <c r="D103" i="7"/>
  <c r="E103" i="7" s="1"/>
  <c r="F103" i="7"/>
  <c r="G103" i="7" s="1"/>
  <c r="H103" i="7"/>
  <c r="I103" i="7" s="1"/>
  <c r="J103" i="7"/>
  <c r="K103" i="7" s="1"/>
  <c r="B104" i="7"/>
  <c r="B111" i="28" s="1"/>
  <c r="C104" i="7"/>
  <c r="D104" i="7"/>
  <c r="E104" i="7" s="1"/>
  <c r="F104" i="7"/>
  <c r="G104" i="7" s="1"/>
  <c r="H104" i="7"/>
  <c r="I104" i="7" s="1"/>
  <c r="J104" i="7"/>
  <c r="K104" i="7" s="1"/>
  <c r="B105" i="7"/>
  <c r="B112" i="28" s="1"/>
  <c r="C105" i="7"/>
  <c r="D105" i="7"/>
  <c r="E105" i="7" s="1"/>
  <c r="F105" i="7"/>
  <c r="G105" i="7" s="1"/>
  <c r="H105" i="7"/>
  <c r="I105" i="7" s="1"/>
  <c r="J105" i="7"/>
  <c r="K105" i="7" s="1"/>
  <c r="B106" i="7"/>
  <c r="B113" i="28" s="1"/>
  <c r="C106" i="7"/>
  <c r="D106" i="7"/>
  <c r="E106" i="7" s="1"/>
  <c r="F106" i="7"/>
  <c r="G106" i="7" s="1"/>
  <c r="H106" i="7"/>
  <c r="I106" i="7" s="1"/>
  <c r="J106" i="7"/>
  <c r="K106" i="7" s="1"/>
  <c r="P97" i="7"/>
  <c r="G104" i="28" s="1"/>
  <c r="P98" i="7"/>
  <c r="G105" i="28" s="1"/>
  <c r="P99" i="7"/>
  <c r="G106" i="28" s="1"/>
  <c r="P100" i="7"/>
  <c r="G107" i="28" s="1"/>
  <c r="P101" i="7"/>
  <c r="G108" i="28" s="1"/>
  <c r="P102" i="7"/>
  <c r="G109" i="28" s="1"/>
  <c r="P103" i="7"/>
  <c r="G110" i="28" s="1"/>
  <c r="P104" i="7"/>
  <c r="G111" i="28" s="1"/>
  <c r="P105" i="7"/>
  <c r="G112" i="28" s="1"/>
  <c r="P106" i="7"/>
  <c r="G113" i="28" s="1"/>
  <c r="C3" i="29"/>
  <c r="C4" i="29"/>
  <c r="C5" i="29"/>
  <c r="C6" i="29"/>
  <c r="C7" i="29"/>
  <c r="C8" i="29"/>
  <c r="C9" i="29"/>
  <c r="C10" i="29"/>
  <c r="C11" i="29"/>
  <c r="C12" i="29"/>
  <c r="C13" i="29"/>
  <c r="C14" i="29"/>
  <c r="C15" i="29"/>
  <c r="C16" i="29"/>
  <c r="C17" i="29"/>
  <c r="C18" i="29"/>
  <c r="C19" i="29"/>
  <c r="C20" i="29"/>
  <c r="C21" i="29"/>
  <c r="C22" i="29"/>
  <c r="C23" i="29"/>
  <c r="C24" i="29"/>
  <c r="C25" i="29"/>
  <c r="C26" i="29"/>
  <c r="C27" i="29"/>
  <c r="C28" i="29"/>
  <c r="C29" i="29"/>
  <c r="C30" i="29"/>
  <c r="C31" i="29"/>
  <c r="C32" i="29"/>
  <c r="C33" i="29"/>
  <c r="C34" i="29"/>
  <c r="C35" i="29"/>
  <c r="C2" i="29"/>
  <c r="P4" i="7"/>
  <c r="G4" i="28" s="1"/>
  <c r="P5" i="7"/>
  <c r="G5" i="28" s="1"/>
  <c r="P6" i="7"/>
  <c r="G6" i="28" s="1"/>
  <c r="P7" i="7"/>
  <c r="G7" i="28" s="1"/>
  <c r="P8" i="7"/>
  <c r="G8" i="28" s="1"/>
  <c r="P9" i="7"/>
  <c r="G9" i="28" s="1"/>
  <c r="P10" i="7"/>
  <c r="G10" i="28" s="1"/>
  <c r="P11" i="7"/>
  <c r="G11" i="28" s="1"/>
  <c r="P12" i="7"/>
  <c r="G12" i="28" s="1"/>
  <c r="P13" i="7"/>
  <c r="G13" i="28" s="1"/>
  <c r="P14" i="7"/>
  <c r="G14" i="28" s="1"/>
  <c r="P15" i="7"/>
  <c r="G15" i="28" s="1"/>
  <c r="P16" i="7"/>
  <c r="G16" i="28" s="1"/>
  <c r="P17" i="7"/>
  <c r="G17" i="28" s="1"/>
  <c r="P18" i="7"/>
  <c r="G18" i="28" s="1"/>
  <c r="P19" i="7"/>
  <c r="G19" i="28" s="1"/>
  <c r="P20" i="7"/>
  <c r="G20" i="28" s="1"/>
  <c r="P21" i="7"/>
  <c r="G21" i="28" s="1"/>
  <c r="P22" i="7"/>
  <c r="G22" i="28" s="1"/>
  <c r="P23" i="7"/>
  <c r="G23" i="28" s="1"/>
  <c r="P24" i="7"/>
  <c r="G24" i="28" s="1"/>
  <c r="P25" i="7"/>
  <c r="G25" i="28" s="1"/>
  <c r="P26" i="7"/>
  <c r="G26" i="28" s="1"/>
  <c r="P27" i="7"/>
  <c r="G27" i="28" s="1"/>
  <c r="G28" i="28"/>
  <c r="P28" i="7"/>
  <c r="G29" i="28" s="1"/>
  <c r="P29" i="7"/>
  <c r="G30" i="28" s="1"/>
  <c r="P30" i="7"/>
  <c r="G31" i="28" s="1"/>
  <c r="P31" i="7"/>
  <c r="G32" i="28" s="1"/>
  <c r="P32" i="7"/>
  <c r="G33" i="28" s="1"/>
  <c r="P33" i="7"/>
  <c r="G34" i="28" s="1"/>
  <c r="P34" i="7"/>
  <c r="G35" i="28" s="1"/>
  <c r="P35" i="7"/>
  <c r="G36" i="28" s="1"/>
  <c r="P36" i="7"/>
  <c r="G37" i="28" s="1"/>
  <c r="P37" i="7"/>
  <c r="G38" i="28" s="1"/>
  <c r="P38" i="7"/>
  <c r="G39" i="28" s="1"/>
  <c r="P39" i="7"/>
  <c r="G40" i="28" s="1"/>
  <c r="P40" i="7"/>
  <c r="G41" i="28" s="1"/>
  <c r="P41" i="7"/>
  <c r="G42" i="28" s="1"/>
  <c r="P42" i="7"/>
  <c r="G43" i="28" s="1"/>
  <c r="P43" i="7"/>
  <c r="G44" i="28" s="1"/>
  <c r="P44" i="7"/>
  <c r="G45" i="28" s="1"/>
  <c r="P45" i="7"/>
  <c r="G46" i="28" s="1"/>
  <c r="P46" i="7"/>
  <c r="G47" i="28" s="1"/>
  <c r="P47" i="7"/>
  <c r="G48" i="28" s="1"/>
  <c r="P48" i="7"/>
  <c r="G49" i="28" s="1"/>
  <c r="P49" i="7"/>
  <c r="G50" i="28" s="1"/>
  <c r="P50" i="7"/>
  <c r="G51" i="28" s="1"/>
  <c r="P51" i="7"/>
  <c r="G52" i="28" s="1"/>
  <c r="P52" i="7"/>
  <c r="G53" i="28" s="1"/>
  <c r="G54" i="28"/>
  <c r="P53" i="7"/>
  <c r="G55" i="28" s="1"/>
  <c r="P54" i="7"/>
  <c r="G56" i="28" s="1"/>
  <c r="P55" i="7"/>
  <c r="G57" i="28" s="1"/>
  <c r="P56" i="7"/>
  <c r="G58" i="28" s="1"/>
  <c r="P57" i="7"/>
  <c r="G59" i="28" s="1"/>
  <c r="P58" i="7"/>
  <c r="G60" i="28" s="1"/>
  <c r="P59" i="7"/>
  <c r="G61" i="28" s="1"/>
  <c r="P60" i="7"/>
  <c r="G62" i="28" s="1"/>
  <c r="P61" i="7"/>
  <c r="G63" i="28" s="1"/>
  <c r="P62" i="7"/>
  <c r="G64" i="28" s="1"/>
  <c r="P63" i="7"/>
  <c r="G65" i="28" s="1"/>
  <c r="P64" i="7"/>
  <c r="G66" i="28" s="1"/>
  <c r="P65" i="7"/>
  <c r="G67" i="28" s="1"/>
  <c r="P66" i="7"/>
  <c r="G68" i="28" s="1"/>
  <c r="P67" i="7"/>
  <c r="G69" i="28" s="1"/>
  <c r="P68" i="7"/>
  <c r="G70" i="28" s="1"/>
  <c r="P69" i="7"/>
  <c r="G71" i="28" s="1"/>
  <c r="P70" i="7"/>
  <c r="G72" i="28" s="1"/>
  <c r="P71" i="7"/>
  <c r="G73" i="28" s="1"/>
  <c r="P72" i="7"/>
  <c r="G74" i="28" s="1"/>
  <c r="P73" i="7"/>
  <c r="G75" i="28" s="1"/>
  <c r="P74" i="7"/>
  <c r="G76" i="28" s="1"/>
  <c r="P75" i="7"/>
  <c r="G77" i="28" s="1"/>
  <c r="P76" i="7"/>
  <c r="G78" i="28" s="1"/>
  <c r="P77" i="7"/>
  <c r="G79" i="28" s="1"/>
  <c r="P78" i="7"/>
  <c r="G80" i="28" s="1"/>
  <c r="P79" i="7"/>
  <c r="G81" i="28" s="1"/>
  <c r="P80" i="7"/>
  <c r="G82" i="28" s="1"/>
  <c r="P81" i="7"/>
  <c r="G83" i="28" s="1"/>
  <c r="P82" i="7"/>
  <c r="G84" i="28" s="1"/>
  <c r="P83" i="7"/>
  <c r="G85" i="28" s="1"/>
  <c r="P84" i="7"/>
  <c r="G86" i="28" s="1"/>
  <c r="P85" i="7"/>
  <c r="G87" i="28" s="1"/>
  <c r="P86" i="7"/>
  <c r="G88" i="28" s="1"/>
  <c r="P87" i="7"/>
  <c r="G89" i="28" s="1"/>
  <c r="P88" i="7"/>
  <c r="G90" i="28" s="1"/>
  <c r="P89" i="7"/>
  <c r="G91" i="28" s="1"/>
  <c r="P90" i="7"/>
  <c r="G92" i="28" s="1"/>
  <c r="P91" i="7"/>
  <c r="G93" i="28" s="1"/>
  <c r="P92" i="7"/>
  <c r="G94" i="28" s="1"/>
  <c r="P93" i="7"/>
  <c r="G95" i="28" s="1"/>
  <c r="G96" i="28"/>
  <c r="G97" i="28"/>
  <c r="G98" i="28"/>
  <c r="P94" i="7"/>
  <c r="G99" i="28" s="1"/>
  <c r="G100" i="28"/>
  <c r="G101" i="28"/>
  <c r="P95" i="7"/>
  <c r="G102" i="28" s="1"/>
  <c r="P96" i="7"/>
  <c r="G103" i="28" s="1"/>
  <c r="P3" i="7"/>
  <c r="I3" i="15" a="1"/>
  <c r="I3" i="15" s="1"/>
  <c r="B4" i="15"/>
  <c r="B5" i="15"/>
  <c r="B6" i="15"/>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45" i="15"/>
  <c r="B46" i="15"/>
  <c r="B47" i="15"/>
  <c r="B48" i="15"/>
  <c r="B49" i="15"/>
  <c r="B50" i="15"/>
  <c r="B51" i="15"/>
  <c r="B52" i="15"/>
  <c r="B53" i="15"/>
  <c r="B54" i="15"/>
  <c r="B55" i="15"/>
  <c r="B56" i="15"/>
  <c r="B57" i="15"/>
  <c r="B58" i="15"/>
  <c r="B59" i="15"/>
  <c r="B60" i="15"/>
  <c r="B3" i="15"/>
  <c r="B21" i="29"/>
  <c r="B17" i="29"/>
  <c r="B18" i="29"/>
  <c r="B7" i="29"/>
  <c r="B31" i="29"/>
  <c r="B8" i="29"/>
  <c r="H4" i="15" a="1"/>
  <c r="H4" i="15" s="1"/>
  <c r="H5" i="15" a="1"/>
  <c r="H5" i="15" s="1"/>
  <c r="H6" i="15" a="1"/>
  <c r="H6" i="15" s="1"/>
  <c r="H7" i="15" a="1"/>
  <c r="H7" i="15" s="1"/>
  <c r="H8" i="15" a="1"/>
  <c r="H8" i="15" s="1"/>
  <c r="H9" i="15" a="1"/>
  <c r="H9" i="15" s="1"/>
  <c r="H10" i="15" a="1"/>
  <c r="H10" i="15" s="1"/>
  <c r="H11" i="15" a="1"/>
  <c r="H11" i="15" s="1"/>
  <c r="H12" i="15" a="1"/>
  <c r="H12" i="15" s="1"/>
  <c r="H13" i="15" a="1"/>
  <c r="H13" i="15" s="1"/>
  <c r="H14" i="15" a="1"/>
  <c r="H14" i="15" s="1"/>
  <c r="H15" i="15" a="1"/>
  <c r="H15" i="15" s="1"/>
  <c r="H16" i="15" a="1"/>
  <c r="H16" i="15" s="1"/>
  <c r="H17" i="15" a="1"/>
  <c r="H17" i="15" s="1"/>
  <c r="H18" i="15" a="1"/>
  <c r="H18" i="15" s="1"/>
  <c r="H19" i="15" a="1"/>
  <c r="H19" i="15" s="1"/>
  <c r="H20" i="15" a="1"/>
  <c r="H20" i="15" s="1"/>
  <c r="H21" i="15" a="1"/>
  <c r="H21" i="15" s="1"/>
  <c r="H22" i="15" a="1"/>
  <c r="H22" i="15" s="1"/>
  <c r="H23" i="15" a="1"/>
  <c r="H23" i="15" s="1"/>
  <c r="H24" i="15" a="1"/>
  <c r="H24" i="15" s="1"/>
  <c r="H25" i="15" a="1"/>
  <c r="H25" i="15" s="1"/>
  <c r="H26" i="15" a="1"/>
  <c r="H26" i="15" s="1"/>
  <c r="H27" i="15" a="1"/>
  <c r="H27" i="15" s="1"/>
  <c r="H28" i="15" a="1"/>
  <c r="H28" i="15" s="1"/>
  <c r="H29" i="15" a="1"/>
  <c r="H29" i="15" s="1"/>
  <c r="H30" i="15" a="1"/>
  <c r="H30" i="15" s="1"/>
  <c r="H31" i="15" a="1"/>
  <c r="H31" i="15" s="1"/>
  <c r="H32" i="15" a="1"/>
  <c r="H32" i="15" s="1"/>
  <c r="H33" i="15" a="1"/>
  <c r="H33" i="15" s="1"/>
  <c r="H34" i="15" a="1"/>
  <c r="H34" i="15" s="1"/>
  <c r="H35" i="15" a="1"/>
  <c r="H35" i="15" s="1"/>
  <c r="H36" i="15" a="1"/>
  <c r="H36" i="15" s="1"/>
  <c r="H37" i="15" a="1"/>
  <c r="H37" i="15" s="1"/>
  <c r="H38" i="15" a="1"/>
  <c r="H38" i="15" s="1"/>
  <c r="H39" i="15" a="1"/>
  <c r="H39" i="15" s="1"/>
  <c r="H40" i="15" a="1"/>
  <c r="H40" i="15" s="1"/>
  <c r="H41" i="15" a="1"/>
  <c r="H41" i="15" s="1"/>
  <c r="H42" i="15" a="1"/>
  <c r="H42" i="15" s="1"/>
  <c r="H43" i="15" a="1"/>
  <c r="H43" i="15" s="1"/>
  <c r="H44" i="15" a="1"/>
  <c r="H44" i="15" s="1"/>
  <c r="H45" i="15" a="1"/>
  <c r="H45" i="15" s="1"/>
  <c r="H46" i="15" a="1"/>
  <c r="H46" i="15" s="1"/>
  <c r="H47" i="15" a="1"/>
  <c r="H47" i="15" s="1"/>
  <c r="H48" i="15" a="1"/>
  <c r="H48" i="15" s="1"/>
  <c r="H49" i="15" a="1"/>
  <c r="H49" i="15" s="1"/>
  <c r="H50" i="15" a="1"/>
  <c r="H50" i="15" s="1"/>
  <c r="H51" i="15" a="1"/>
  <c r="H51" i="15" s="1"/>
  <c r="H52" i="15" a="1"/>
  <c r="H52" i="15" s="1"/>
  <c r="H53" i="15" a="1"/>
  <c r="H53" i="15" s="1"/>
  <c r="H54" i="15" a="1"/>
  <c r="H54" i="15" s="1"/>
  <c r="H55" i="15" a="1"/>
  <c r="H55" i="15" s="1"/>
  <c r="H56" i="15" a="1"/>
  <c r="H56" i="15" s="1"/>
  <c r="H57" i="15" a="1"/>
  <c r="H57" i="15" s="1"/>
  <c r="H58" i="15" a="1"/>
  <c r="H58" i="15" s="1"/>
  <c r="H59" i="15" a="1"/>
  <c r="H59" i="15" s="1"/>
  <c r="H60" i="15" a="1"/>
  <c r="H60" i="15" s="1"/>
  <c r="H3" i="15" a="1"/>
  <c r="H3" i="15" s="1"/>
  <c r="G4" i="15" a="1"/>
  <c r="G4" i="15" s="1"/>
  <c r="G5" i="15" a="1"/>
  <c r="G5" i="15" s="1"/>
  <c r="G6" i="15" a="1"/>
  <c r="G6" i="15" s="1"/>
  <c r="G7" i="15" a="1"/>
  <c r="G7" i="15" s="1"/>
  <c r="G8" i="15" a="1"/>
  <c r="G8" i="15" s="1"/>
  <c r="G9" i="15" a="1"/>
  <c r="G9" i="15" s="1"/>
  <c r="G10" i="15" a="1"/>
  <c r="G10" i="15" s="1"/>
  <c r="G11" i="15" a="1"/>
  <c r="G11" i="15" s="1"/>
  <c r="G12" i="15" a="1"/>
  <c r="G12" i="15" s="1"/>
  <c r="G13" i="15" a="1"/>
  <c r="G13" i="15" s="1"/>
  <c r="G14" i="15" a="1"/>
  <c r="G14" i="15" s="1"/>
  <c r="G15" i="15" a="1"/>
  <c r="G15" i="15" s="1"/>
  <c r="G16" i="15" a="1"/>
  <c r="G16" i="15" s="1"/>
  <c r="G17" i="15" a="1"/>
  <c r="G17" i="15" s="1"/>
  <c r="G18" i="15" a="1"/>
  <c r="G18" i="15" s="1"/>
  <c r="G19" i="15" a="1"/>
  <c r="G19" i="15" s="1"/>
  <c r="G20" i="15" a="1"/>
  <c r="G20" i="15" s="1"/>
  <c r="G21" i="15" a="1"/>
  <c r="G21" i="15" s="1"/>
  <c r="G22" i="15" a="1"/>
  <c r="G22" i="15" s="1"/>
  <c r="G23" i="15" a="1"/>
  <c r="G23" i="15" s="1"/>
  <c r="G24" i="15" a="1"/>
  <c r="G24" i="15" s="1"/>
  <c r="G25" i="15" a="1"/>
  <c r="G25" i="15" s="1"/>
  <c r="G26" i="15" a="1"/>
  <c r="G26" i="15" s="1"/>
  <c r="G27" i="15" a="1"/>
  <c r="G27" i="15" s="1"/>
  <c r="G28" i="15" a="1"/>
  <c r="G28" i="15" s="1"/>
  <c r="G29" i="15" a="1"/>
  <c r="G29" i="15" s="1"/>
  <c r="G30" i="15" a="1"/>
  <c r="G30" i="15" s="1"/>
  <c r="G31" i="15" a="1"/>
  <c r="G31" i="15" s="1"/>
  <c r="G32" i="15" a="1"/>
  <c r="G32" i="15" s="1"/>
  <c r="G33" i="15" a="1"/>
  <c r="G33" i="15" s="1"/>
  <c r="G34" i="15" a="1"/>
  <c r="G34" i="15" s="1"/>
  <c r="G35" i="15" a="1"/>
  <c r="G35" i="15" s="1"/>
  <c r="G36" i="15" a="1"/>
  <c r="G36" i="15" s="1"/>
  <c r="G37" i="15" a="1"/>
  <c r="G37" i="15" s="1"/>
  <c r="G38" i="15" a="1"/>
  <c r="G38" i="15" s="1"/>
  <c r="G39" i="15" a="1"/>
  <c r="G39" i="15" s="1"/>
  <c r="G40" i="15" a="1"/>
  <c r="G40" i="15" s="1"/>
  <c r="G41" i="15" a="1"/>
  <c r="G41" i="15" s="1"/>
  <c r="G42" i="15" a="1"/>
  <c r="G42" i="15" s="1"/>
  <c r="G43" i="15" a="1"/>
  <c r="G43" i="15" s="1"/>
  <c r="G44" i="15" a="1"/>
  <c r="G44" i="15" s="1"/>
  <c r="G45" i="15" a="1"/>
  <c r="G45" i="15" s="1"/>
  <c r="G46" i="15" a="1"/>
  <c r="G46" i="15" s="1"/>
  <c r="G47" i="15" a="1"/>
  <c r="G47" i="15" s="1"/>
  <c r="G48" i="15" a="1"/>
  <c r="G48" i="15" s="1"/>
  <c r="G49" i="15" a="1"/>
  <c r="G49" i="15" s="1"/>
  <c r="G50" i="15" a="1"/>
  <c r="G50" i="15" s="1"/>
  <c r="G51" i="15" a="1"/>
  <c r="G51" i="15" s="1"/>
  <c r="G52" i="15" a="1"/>
  <c r="G52" i="15" s="1"/>
  <c r="G53" i="15" a="1"/>
  <c r="G53" i="15" s="1"/>
  <c r="G54" i="15" a="1"/>
  <c r="G54" i="15" s="1"/>
  <c r="G55" i="15" a="1"/>
  <c r="G55" i="15" s="1"/>
  <c r="G56" i="15" a="1"/>
  <c r="G56" i="15" s="1"/>
  <c r="G57" i="15" a="1"/>
  <c r="G57" i="15" s="1"/>
  <c r="G58" i="15" a="1"/>
  <c r="G58" i="15" s="1"/>
  <c r="G59" i="15" a="1"/>
  <c r="G59" i="15" s="1"/>
  <c r="G60" i="15" a="1"/>
  <c r="G60" i="15" s="1"/>
  <c r="G3" i="15" a="1"/>
  <c r="G3" i="15" s="1"/>
  <c r="I7" i="15" a="1"/>
  <c r="I7" i="15" s="1"/>
  <c r="I8" i="15" a="1"/>
  <c r="I8" i="15" s="1"/>
  <c r="I9" i="15" a="1"/>
  <c r="I9" i="15" s="1"/>
  <c r="I10" i="15" a="1"/>
  <c r="I10" i="15" s="1"/>
  <c r="I11" i="15" a="1"/>
  <c r="I11" i="15" s="1"/>
  <c r="I12" i="15" a="1"/>
  <c r="I12" i="15" s="1"/>
  <c r="I13" i="15" a="1"/>
  <c r="I13" i="15" s="1"/>
  <c r="I14" i="15" a="1"/>
  <c r="I14" i="15" s="1"/>
  <c r="I15" i="15" a="1"/>
  <c r="I15" i="15" s="1"/>
  <c r="I16" i="15" a="1"/>
  <c r="I16" i="15" s="1"/>
  <c r="I17" i="15" a="1"/>
  <c r="I17" i="15" s="1"/>
  <c r="I18" i="15" a="1"/>
  <c r="I18" i="15" s="1"/>
  <c r="I19" i="15" a="1"/>
  <c r="I19" i="15" s="1"/>
  <c r="I20" i="15" a="1"/>
  <c r="I20" i="15" s="1"/>
  <c r="I21" i="15" a="1"/>
  <c r="I21" i="15" s="1"/>
  <c r="I22" i="15" a="1"/>
  <c r="I22" i="15" s="1"/>
  <c r="I23" i="15" a="1"/>
  <c r="I23" i="15" s="1"/>
  <c r="I24" i="15" a="1"/>
  <c r="I24" i="15" s="1"/>
  <c r="I25" i="15" a="1"/>
  <c r="I25" i="15" s="1"/>
  <c r="I26" i="15" a="1"/>
  <c r="I26" i="15" s="1"/>
  <c r="I27" i="15" a="1"/>
  <c r="I27" i="15" s="1"/>
  <c r="I28" i="15" a="1"/>
  <c r="I28" i="15" s="1"/>
  <c r="I29" i="15" a="1"/>
  <c r="I29" i="15" s="1"/>
  <c r="I30" i="15" a="1"/>
  <c r="I30" i="15" s="1"/>
  <c r="I31" i="15" a="1"/>
  <c r="I31" i="15" s="1"/>
  <c r="I32" i="15" a="1"/>
  <c r="I32" i="15" s="1"/>
  <c r="I33" i="15" a="1"/>
  <c r="I33" i="15" s="1"/>
  <c r="I34" i="15" a="1"/>
  <c r="I34" i="15" s="1"/>
  <c r="I35" i="15" a="1"/>
  <c r="I35" i="15" s="1"/>
  <c r="I36" i="15" a="1"/>
  <c r="I36" i="15" s="1"/>
  <c r="I37" i="15" a="1"/>
  <c r="I37" i="15" s="1"/>
  <c r="I38" i="15" a="1"/>
  <c r="I38" i="15" s="1"/>
  <c r="I39" i="15" a="1"/>
  <c r="I39" i="15" s="1"/>
  <c r="I40" i="15" a="1"/>
  <c r="I40" i="15" s="1"/>
  <c r="I41" i="15" a="1"/>
  <c r="I41" i="15" s="1"/>
  <c r="I42" i="15" a="1"/>
  <c r="I42" i="15" s="1"/>
  <c r="I43" i="15" a="1"/>
  <c r="I43" i="15" s="1"/>
  <c r="I44" i="15" a="1"/>
  <c r="I44" i="15" s="1"/>
  <c r="I45" i="15" a="1"/>
  <c r="I45" i="15" s="1"/>
  <c r="I46" i="15" a="1"/>
  <c r="I46" i="15" s="1"/>
  <c r="I47" i="15" a="1"/>
  <c r="I47" i="15" s="1"/>
  <c r="I48" i="15" a="1"/>
  <c r="I48" i="15" s="1"/>
  <c r="I49" i="15" a="1"/>
  <c r="I49" i="15" s="1"/>
  <c r="I50" i="15" a="1"/>
  <c r="I50" i="15" s="1"/>
  <c r="I51" i="15" a="1"/>
  <c r="I51" i="15" s="1"/>
  <c r="I52" i="15" a="1"/>
  <c r="I52" i="15" s="1"/>
  <c r="I53" i="15" a="1"/>
  <c r="I53" i="15" s="1"/>
  <c r="I54" i="15" a="1"/>
  <c r="I54" i="15" s="1"/>
  <c r="I55" i="15" a="1"/>
  <c r="I55" i="15" s="1"/>
  <c r="I56" i="15" a="1"/>
  <c r="I56" i="15" s="1"/>
  <c r="I57" i="15" a="1"/>
  <c r="I57" i="15" s="1"/>
  <c r="I58" i="15" a="1"/>
  <c r="I58" i="15" s="1"/>
  <c r="I59" i="15" a="1"/>
  <c r="I59" i="15" s="1"/>
  <c r="I60" i="15" a="1"/>
  <c r="I60" i="15" s="1"/>
  <c r="I6" i="15" a="1"/>
  <c r="I6" i="15" s="1"/>
  <c r="I5" i="15" a="1"/>
  <c r="I5" i="15" s="1"/>
  <c r="I4" i="15" a="1"/>
  <c r="I4" i="15" s="1"/>
  <c r="E40" i="15" a="1"/>
  <c r="E40" i="15" s="1"/>
  <c r="E41" i="15" a="1"/>
  <c r="E41" i="15" s="1"/>
  <c r="E42" i="15" a="1"/>
  <c r="E42" i="15" s="1"/>
  <c r="E43" i="15" a="1"/>
  <c r="E43" i="15" s="1"/>
  <c r="E44" i="15" a="1"/>
  <c r="E44" i="15" s="1"/>
  <c r="E45" i="15" a="1"/>
  <c r="E45" i="15" s="1"/>
  <c r="E46" i="15" a="1"/>
  <c r="E46" i="15" s="1"/>
  <c r="E47" i="15" a="1"/>
  <c r="E47" i="15" s="1"/>
  <c r="E48" i="15" a="1"/>
  <c r="E48" i="15" s="1"/>
  <c r="E49" i="15" a="1"/>
  <c r="E49" i="15" s="1"/>
  <c r="E50" i="15" a="1"/>
  <c r="E50" i="15" s="1"/>
  <c r="E51" i="15" a="1"/>
  <c r="E51" i="15" s="1"/>
  <c r="E52" i="15" a="1"/>
  <c r="E52" i="15" s="1"/>
  <c r="E53" i="15" a="1"/>
  <c r="E53" i="15" s="1"/>
  <c r="E54" i="15" a="1"/>
  <c r="E54" i="15" s="1"/>
  <c r="E55" i="15" a="1"/>
  <c r="E55" i="15" s="1"/>
  <c r="E56" i="15" a="1"/>
  <c r="E56" i="15" s="1"/>
  <c r="E57" i="15" a="1"/>
  <c r="E57" i="15" s="1"/>
  <c r="E58" i="15" a="1"/>
  <c r="E58" i="15" s="1"/>
  <c r="E59" i="15" a="1"/>
  <c r="E59" i="15" s="1"/>
  <c r="E60" i="15" a="1"/>
  <c r="E60" i="15" s="1"/>
  <c r="E39" i="15" a="1"/>
  <c r="E39" i="15" s="1"/>
  <c r="E4" i="15" a="1"/>
  <c r="E4" i="15" s="1"/>
  <c r="E5" i="15" a="1"/>
  <c r="E5" i="15" s="1"/>
  <c r="E6" i="15" a="1"/>
  <c r="E6" i="15" s="1"/>
  <c r="E7" i="15" a="1"/>
  <c r="E7" i="15" s="1"/>
  <c r="E8" i="15" a="1"/>
  <c r="E8" i="15" s="1"/>
  <c r="E9" i="15" a="1"/>
  <c r="E9" i="15" s="1"/>
  <c r="E10" i="15" a="1"/>
  <c r="E10" i="15" s="1"/>
  <c r="E11" i="15" a="1"/>
  <c r="E11" i="15" s="1"/>
  <c r="E12" i="15" a="1"/>
  <c r="E12" i="15" s="1"/>
  <c r="E13" i="15" a="1"/>
  <c r="E13" i="15" s="1"/>
  <c r="E14" i="15" a="1"/>
  <c r="E14" i="15" s="1"/>
  <c r="E15" i="15" a="1"/>
  <c r="E15" i="15" s="1"/>
  <c r="E16" i="15" a="1"/>
  <c r="E16" i="15" s="1"/>
  <c r="E17" i="15" a="1"/>
  <c r="E17" i="15" s="1"/>
  <c r="E18" i="15" a="1"/>
  <c r="E18" i="15" s="1"/>
  <c r="E19" i="15" a="1"/>
  <c r="E19" i="15" s="1"/>
  <c r="E20" i="15" a="1"/>
  <c r="E20" i="15" s="1"/>
  <c r="E21" i="15" a="1"/>
  <c r="E21" i="15" s="1"/>
  <c r="E22" i="15" a="1"/>
  <c r="E22" i="15" s="1"/>
  <c r="E23" i="15" a="1"/>
  <c r="E23" i="15" s="1"/>
  <c r="E24" i="15" a="1"/>
  <c r="E24" i="15" s="1"/>
  <c r="E25" i="15" a="1"/>
  <c r="E25" i="15" s="1"/>
  <c r="E26" i="15" a="1"/>
  <c r="E26" i="15" s="1"/>
  <c r="E27" i="15" a="1"/>
  <c r="E27" i="15" s="1"/>
  <c r="E28" i="15" a="1"/>
  <c r="E28" i="15" s="1"/>
  <c r="E29" i="15" a="1"/>
  <c r="E29" i="15" s="1"/>
  <c r="E30" i="15" a="1"/>
  <c r="E30" i="15" s="1"/>
  <c r="E31" i="15" a="1"/>
  <c r="E31" i="15" s="1"/>
  <c r="E32" i="15" a="1"/>
  <c r="E32" i="15" s="1"/>
  <c r="E33" i="15" a="1"/>
  <c r="E33" i="15" s="1"/>
  <c r="E34" i="15" a="1"/>
  <c r="E34" i="15" s="1"/>
  <c r="E35" i="15" a="1"/>
  <c r="E35" i="15" s="1"/>
  <c r="E36" i="15" a="1"/>
  <c r="E36" i="15" s="1"/>
  <c r="E37" i="15" a="1"/>
  <c r="E37" i="15" s="1"/>
  <c r="E38" i="15" a="1"/>
  <c r="E38" i="15" s="1"/>
  <c r="E3" i="15" a="1"/>
  <c r="E3" i="15" s="1"/>
  <c r="J69" i="21"/>
  <c r="J52" i="21"/>
  <c r="J3" i="21"/>
  <c r="J4" i="21"/>
  <c r="J5" i="21"/>
  <c r="J6" i="21"/>
  <c r="J7" i="21"/>
  <c r="J8" i="21"/>
  <c r="J9" i="21"/>
  <c r="J10" i="21"/>
  <c r="J11" i="21"/>
  <c r="J12" i="21"/>
  <c r="J13" i="21"/>
  <c r="J14" i="21"/>
  <c r="J15" i="21"/>
  <c r="J16" i="21"/>
  <c r="J17" i="21"/>
  <c r="J18" i="21"/>
  <c r="J19" i="21"/>
  <c r="J20" i="21"/>
  <c r="J21" i="21"/>
  <c r="J22" i="21"/>
  <c r="J23" i="21"/>
  <c r="J24" i="21"/>
  <c r="J25" i="21"/>
  <c r="J26" i="21"/>
  <c r="J27" i="21"/>
  <c r="J28" i="21"/>
  <c r="J29" i="21"/>
  <c r="J30" i="21"/>
  <c r="J31" i="21"/>
  <c r="J32" i="21"/>
  <c r="J33" i="21"/>
  <c r="J34" i="21"/>
  <c r="J35" i="21"/>
  <c r="J36" i="21"/>
  <c r="J37" i="21"/>
  <c r="J38" i="21"/>
  <c r="J39" i="21"/>
  <c r="J40" i="21"/>
  <c r="J41" i="21"/>
  <c r="J42" i="21"/>
  <c r="J43" i="21"/>
  <c r="J44" i="21"/>
  <c r="J45" i="21"/>
  <c r="J46" i="21"/>
  <c r="J47" i="21"/>
  <c r="J48" i="21"/>
  <c r="J49" i="21"/>
  <c r="J50" i="21"/>
  <c r="J51" i="21"/>
  <c r="J53" i="21"/>
  <c r="J54" i="21"/>
  <c r="J55" i="21"/>
  <c r="J56" i="21"/>
  <c r="J57" i="21"/>
  <c r="J58" i="21"/>
  <c r="J59" i="21"/>
  <c r="J60" i="21"/>
  <c r="J63" i="21"/>
  <c r="J64" i="21"/>
  <c r="J65" i="21"/>
  <c r="J66" i="21"/>
  <c r="J67" i="21"/>
  <c r="J68" i="21"/>
  <c r="J70" i="21"/>
  <c r="J71" i="21"/>
  <c r="J75" i="21"/>
  <c r="J2" i="21"/>
  <c r="G3" i="28" l="1"/>
  <c r="E106" i="28"/>
  <c r="F104" i="28"/>
  <c r="C112" i="28"/>
  <c r="E110" i="28"/>
  <c r="C108" i="28"/>
  <c r="E108" i="28"/>
  <c r="C113" i="28"/>
  <c r="E112" i="28"/>
  <c r="F106" i="28"/>
  <c r="E104" i="28"/>
  <c r="D110" i="28"/>
  <c r="C104" i="28"/>
  <c r="D2" i="24"/>
  <c r="F108" i="28"/>
  <c r="C110" i="28"/>
  <c r="C106" i="28"/>
  <c r="F113" i="28"/>
  <c r="F111" i="28"/>
  <c r="K98" i="7"/>
  <c r="E113" i="28"/>
  <c r="E111" i="28"/>
  <c r="F109" i="28"/>
  <c r="F107" i="28"/>
  <c r="C111" i="28"/>
  <c r="E109" i="28"/>
  <c r="E107" i="28"/>
  <c r="E105" i="28"/>
  <c r="C109" i="28"/>
  <c r="C107" i="28"/>
  <c r="C105" i="28"/>
  <c r="F112" i="28"/>
  <c r="F110" i="28"/>
  <c r="N99" i="7"/>
  <c r="H106" i="28" s="1"/>
  <c r="D113" i="28"/>
  <c r="L101" i="7"/>
  <c r="M101" i="7" s="1"/>
  <c r="D108" i="28"/>
  <c r="D105" i="28"/>
  <c r="D111" i="28"/>
  <c r="D109" i="28"/>
  <c r="D106" i="28"/>
  <c r="D112" i="28"/>
  <c r="D107" i="28"/>
  <c r="D104" i="28"/>
  <c r="L98" i="7"/>
  <c r="M98" i="7" s="1"/>
  <c r="O102" i="7"/>
  <c r="I109" i="28" s="1"/>
  <c r="N105" i="7"/>
  <c r="H112" i="28" s="1"/>
  <c r="L97" i="7"/>
  <c r="M97" i="7" s="1"/>
  <c r="O106" i="7"/>
  <c r="I113" i="28" s="1"/>
  <c r="O99" i="7"/>
  <c r="I106" i="28" s="1"/>
  <c r="O98" i="7"/>
  <c r="I105" i="28" s="1"/>
  <c r="O103" i="7"/>
  <c r="I110" i="28" s="1"/>
  <c r="N103" i="7"/>
  <c r="H110" i="28" s="1"/>
  <c r="N104" i="7"/>
  <c r="H111" i="28" s="1"/>
  <c r="L103" i="7"/>
  <c r="M103" i="7" s="1"/>
  <c r="N100" i="7"/>
  <c r="H107" i="28" s="1"/>
  <c r="L99" i="7"/>
  <c r="M99" i="7" s="1"/>
  <c r="O104" i="7"/>
  <c r="I111" i="28" s="1"/>
  <c r="O100" i="7"/>
  <c r="I107" i="28" s="1"/>
  <c r="O105" i="7"/>
  <c r="I112" i="28" s="1"/>
  <c r="O101" i="7"/>
  <c r="I108" i="28" s="1"/>
  <c r="O97" i="7"/>
  <c r="I104" i="28" s="1"/>
  <c r="L106" i="7"/>
  <c r="M106" i="7" s="1"/>
  <c r="L100" i="7"/>
  <c r="M100" i="7" s="1"/>
  <c r="L102" i="7"/>
  <c r="M102" i="7" s="1"/>
  <c r="L104" i="7"/>
  <c r="M104" i="7" s="1"/>
  <c r="N97" i="7"/>
  <c r="H104" i="28" s="1"/>
  <c r="N101" i="7"/>
  <c r="H108" i="28" s="1"/>
  <c r="N106" i="7"/>
  <c r="H113" i="28" s="1"/>
  <c r="L105" i="7"/>
  <c r="M105" i="7" s="1"/>
  <c r="N102" i="7"/>
  <c r="H109" i="28" s="1"/>
  <c r="N98" i="7"/>
  <c r="H105" i="28" s="1"/>
  <c r="B96" i="7"/>
  <c r="B103" i="28" s="1"/>
  <c r="C96" i="7"/>
  <c r="D96" i="7"/>
  <c r="C103" i="28" s="1"/>
  <c r="F96" i="7"/>
  <c r="G96" i="7" s="1"/>
  <c r="H96" i="7"/>
  <c r="I96" i="7" s="1"/>
  <c r="J96" i="7"/>
  <c r="K96" i="7" s="1"/>
  <c r="F103" i="28" l="1"/>
  <c r="E103" i="28"/>
  <c r="D103" i="28"/>
  <c r="L96" i="7"/>
  <c r="M96" i="7" s="1"/>
  <c r="O96" i="7"/>
  <c r="I103" i="28" s="1"/>
  <c r="E96" i="7"/>
  <c r="N96" i="7"/>
  <c r="H103" i="28" s="1"/>
  <c r="H4" i="16" l="1" a="1"/>
  <c r="H4" i="16" s="1"/>
  <c r="H5" i="16" a="1"/>
  <c r="H5" i="16" s="1"/>
  <c r="H6" i="16" a="1"/>
  <c r="H6" i="16" s="1"/>
  <c r="H7" i="16" a="1"/>
  <c r="H7" i="16" s="1"/>
  <c r="H8" i="16" a="1"/>
  <c r="H8" i="16" s="1"/>
  <c r="H9" i="16" a="1"/>
  <c r="H9" i="16" s="1"/>
  <c r="H10" i="16" a="1"/>
  <c r="H10" i="16" s="1"/>
  <c r="H11" i="16" a="1"/>
  <c r="H11" i="16" s="1"/>
  <c r="H12" i="16" a="1"/>
  <c r="H12" i="16" s="1"/>
  <c r="H13" i="16" a="1"/>
  <c r="H13" i="16" s="1"/>
  <c r="H14" i="16" a="1"/>
  <c r="H14" i="16" s="1"/>
  <c r="H15" i="16" a="1"/>
  <c r="H15" i="16" s="1"/>
  <c r="H3" i="16" a="1"/>
  <c r="H3" i="16" s="1"/>
  <c r="F4" i="13" a="1"/>
  <c r="F4" i="13" s="1"/>
  <c r="F5" i="13" a="1"/>
  <c r="F5" i="13" s="1"/>
  <c r="F6" i="13" a="1"/>
  <c r="F6" i="13" s="1"/>
  <c r="F7" i="13" a="1"/>
  <c r="F7" i="13" s="1"/>
  <c r="F8" i="13" a="1"/>
  <c r="F8" i="13" s="1"/>
  <c r="F3" i="13" a="1"/>
  <c r="F3" i="13" s="1"/>
  <c r="H4" i="14" a="1"/>
  <c r="H4" i="14" s="1"/>
  <c r="H5" i="14" a="1"/>
  <c r="H5" i="14" s="1"/>
  <c r="H6" i="14" a="1"/>
  <c r="H6" i="14" s="1"/>
  <c r="H7" i="14" a="1"/>
  <c r="H7" i="14" s="1"/>
  <c r="H8" i="14" a="1"/>
  <c r="H8" i="14" s="1"/>
  <c r="H9" i="14" a="1"/>
  <c r="H9" i="14" s="1"/>
  <c r="H10" i="14" a="1"/>
  <c r="H10" i="14" s="1"/>
  <c r="H11" i="14" a="1"/>
  <c r="H11" i="14" s="1"/>
  <c r="H12" i="14" a="1"/>
  <c r="H12" i="14" s="1"/>
  <c r="H13" i="14" a="1"/>
  <c r="H13" i="14" s="1"/>
  <c r="H14" i="14" a="1"/>
  <c r="H14" i="14" s="1"/>
  <c r="H15" i="14" a="1"/>
  <c r="H15" i="14" s="1"/>
  <c r="H16" i="14" a="1"/>
  <c r="H16" i="14" s="1"/>
  <c r="H17" i="14" a="1"/>
  <c r="H17" i="14" s="1"/>
  <c r="H18" i="14" a="1"/>
  <c r="H18" i="14" s="1"/>
  <c r="H19" i="14" a="1"/>
  <c r="H19" i="14" s="1"/>
  <c r="H20" i="14" a="1"/>
  <c r="H20" i="14" s="1"/>
  <c r="H21" i="14" a="1"/>
  <c r="H21" i="14" s="1"/>
  <c r="H22" i="14" a="1"/>
  <c r="H22" i="14" s="1"/>
  <c r="H23" i="14" a="1"/>
  <c r="H23" i="14" s="1"/>
  <c r="H3" i="14" a="1"/>
  <c r="H3" i="14" s="1"/>
  <c r="I4" i="14" a="1"/>
  <c r="I4" i="14" s="1"/>
  <c r="I5" i="14" a="1"/>
  <c r="I5" i="14" s="1"/>
  <c r="I6" i="14" a="1"/>
  <c r="I6" i="14" s="1"/>
  <c r="I7" i="14" a="1"/>
  <c r="I7" i="14" s="1"/>
  <c r="I8" i="14" a="1"/>
  <c r="I8" i="14" s="1"/>
  <c r="I9" i="14" a="1"/>
  <c r="I9" i="14" s="1"/>
  <c r="I10" i="14" a="1"/>
  <c r="I10" i="14" s="1"/>
  <c r="I11" i="14" a="1"/>
  <c r="I11" i="14" s="1"/>
  <c r="I12" i="14" a="1"/>
  <c r="I12" i="14" s="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3" i="14" a="1"/>
  <c r="I3" i="14" s="1"/>
  <c r="I4" i="16" a="1"/>
  <c r="I4" i="16" s="1"/>
  <c r="I5" i="16" a="1"/>
  <c r="I5" i="16" s="1"/>
  <c r="I6" i="16" a="1"/>
  <c r="I6" i="16" s="1"/>
  <c r="I7" i="16" a="1"/>
  <c r="I7" i="16" s="1"/>
  <c r="I8" i="16" a="1"/>
  <c r="I8" i="16" s="1"/>
  <c r="I9" i="16" a="1"/>
  <c r="I9" i="16" s="1"/>
  <c r="I10" i="16" a="1"/>
  <c r="I10" i="16" s="1"/>
  <c r="I11" i="16" a="1"/>
  <c r="I11" i="16" s="1"/>
  <c r="I12" i="16" a="1"/>
  <c r="I12" i="16" s="1"/>
  <c r="I13" i="16" a="1"/>
  <c r="I13" i="16" s="1"/>
  <c r="I14" i="16" a="1"/>
  <c r="I14" i="16" s="1"/>
  <c r="I15" i="16" a="1"/>
  <c r="I15" i="16" s="1"/>
  <c r="I3" i="16" a="1"/>
  <c r="I3" i="16"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3" i="17" a="1"/>
  <c r="G3" i="17" s="1"/>
  <c r="B5" i="7"/>
  <c r="B5" i="28" s="1"/>
  <c r="C5" i="7"/>
  <c r="B13" i="7"/>
  <c r="B13" i="28" s="1"/>
  <c r="C13" i="7"/>
  <c r="B30" i="7"/>
  <c r="B31" i="28" s="1"/>
  <c r="C30" i="7"/>
  <c r="B16" i="7"/>
  <c r="B16" i="28" s="1"/>
  <c r="C16" i="7"/>
  <c r="B4" i="7"/>
  <c r="C4" i="7"/>
  <c r="B14" i="7"/>
  <c r="B14" i="28" s="1"/>
  <c r="C14" i="7"/>
  <c r="B10" i="7"/>
  <c r="B10" i="28" s="1"/>
  <c r="C10" i="7"/>
  <c r="B18" i="7"/>
  <c r="B18" i="28" s="1"/>
  <c r="C18" i="7"/>
  <c r="B6" i="7"/>
  <c r="B6" i="28" s="1"/>
  <c r="C6" i="7"/>
  <c r="B15" i="7"/>
  <c r="B15" i="28" s="1"/>
  <c r="C15" i="7"/>
  <c r="B3" i="7"/>
  <c r="C3" i="7"/>
  <c r="B57" i="7"/>
  <c r="B59" i="28" s="1"/>
  <c r="C57" i="7"/>
  <c r="B51" i="7"/>
  <c r="B52" i="28" s="1"/>
  <c r="C51" i="7"/>
  <c r="B17" i="7"/>
  <c r="B17" i="28" s="1"/>
  <c r="C17" i="7"/>
  <c r="B58" i="7"/>
  <c r="B60" i="28" s="1"/>
  <c r="C58" i="7"/>
  <c r="B19" i="7"/>
  <c r="B19" i="28" s="1"/>
  <c r="C19" i="7"/>
  <c r="B20" i="7"/>
  <c r="B20" i="28" s="1"/>
  <c r="C20" i="7"/>
  <c r="B84" i="7"/>
  <c r="B86" i="28" s="1"/>
  <c r="C84" i="7"/>
  <c r="B11" i="7"/>
  <c r="B11" i="28" s="1"/>
  <c r="C11" i="7"/>
  <c r="B23" i="7"/>
  <c r="B23" i="28" s="1"/>
  <c r="C23" i="7"/>
  <c r="B24" i="7"/>
  <c r="B24" i="28" s="1"/>
  <c r="C24" i="7"/>
  <c r="B25" i="7"/>
  <c r="B25" i="28" s="1"/>
  <c r="C25" i="7"/>
  <c r="B26" i="7"/>
  <c r="B26" i="28" s="1"/>
  <c r="C26" i="7"/>
  <c r="B27" i="7"/>
  <c r="B27" i="28" s="1"/>
  <c r="C27" i="7"/>
  <c r="B50" i="7"/>
  <c r="B51" i="28" s="1"/>
  <c r="C50" i="7"/>
  <c r="B28" i="7"/>
  <c r="B29" i="28" s="1"/>
  <c r="C28" i="7"/>
  <c r="B29" i="7"/>
  <c r="B30" i="28" s="1"/>
  <c r="C29" i="7"/>
  <c r="B59" i="7"/>
  <c r="B61" i="28" s="1"/>
  <c r="C59" i="7"/>
  <c r="B31" i="7"/>
  <c r="B32" i="28" s="1"/>
  <c r="C31" i="7"/>
  <c r="B32" i="7"/>
  <c r="B33" i="28" s="1"/>
  <c r="C32" i="7"/>
  <c r="B33" i="7"/>
  <c r="B34" i="28" s="1"/>
  <c r="C33" i="7"/>
  <c r="B34" i="7"/>
  <c r="B35" i="28" s="1"/>
  <c r="C34" i="7"/>
  <c r="B35" i="7"/>
  <c r="B36" i="28" s="1"/>
  <c r="C35" i="7"/>
  <c r="B36" i="7"/>
  <c r="B37" i="28" s="1"/>
  <c r="C36" i="7"/>
  <c r="B37" i="7"/>
  <c r="B38" i="28" s="1"/>
  <c r="C37" i="7"/>
  <c r="B38" i="7"/>
  <c r="B39" i="28" s="1"/>
  <c r="C38" i="7"/>
  <c r="B39" i="7"/>
  <c r="B40" i="28" s="1"/>
  <c r="C39" i="7"/>
  <c r="B40" i="7"/>
  <c r="B41" i="28" s="1"/>
  <c r="C40" i="7"/>
  <c r="B41" i="7"/>
  <c r="B42" i="28" s="1"/>
  <c r="C41" i="7"/>
  <c r="B42" i="7"/>
  <c r="B43" i="28" s="1"/>
  <c r="C42" i="7"/>
  <c r="B21" i="7"/>
  <c r="B21" i="28" s="1"/>
  <c r="C21" i="7"/>
  <c r="B44" i="7"/>
  <c r="B45" i="28" s="1"/>
  <c r="C44" i="7"/>
  <c r="B45" i="7"/>
  <c r="B46" i="28" s="1"/>
  <c r="C45" i="7"/>
  <c r="B46" i="7"/>
  <c r="B47" i="28" s="1"/>
  <c r="C46" i="7"/>
  <c r="B54" i="28"/>
  <c r="B48" i="7"/>
  <c r="B49" i="28" s="1"/>
  <c r="C48" i="7"/>
  <c r="B49" i="7"/>
  <c r="B50" i="28" s="1"/>
  <c r="C49" i="7"/>
  <c r="B9" i="7"/>
  <c r="B9" i="28" s="1"/>
  <c r="C9" i="7"/>
  <c r="B53" i="7"/>
  <c r="B55" i="28" s="1"/>
  <c r="C53" i="7"/>
  <c r="B52" i="7"/>
  <c r="B53" i="28" s="1"/>
  <c r="C52" i="7"/>
  <c r="B85" i="7"/>
  <c r="B87" i="28" s="1"/>
  <c r="C85" i="7"/>
  <c r="B12" i="7"/>
  <c r="B12" i="28" s="1"/>
  <c r="C12" i="7"/>
  <c r="B62" i="7"/>
  <c r="B64" i="28" s="1"/>
  <c r="C62" i="7"/>
  <c r="B55" i="7"/>
  <c r="B57" i="28" s="1"/>
  <c r="C55" i="7"/>
  <c r="B56" i="7"/>
  <c r="B58" i="28" s="1"/>
  <c r="C56" i="7"/>
  <c r="B43" i="7"/>
  <c r="B44" i="28" s="1"/>
  <c r="C43" i="7"/>
  <c r="B86" i="7"/>
  <c r="B88" i="28" s="1"/>
  <c r="C86" i="7"/>
  <c r="B28" i="28"/>
  <c r="B60" i="7"/>
  <c r="B62" i="28" s="1"/>
  <c r="C60" i="7"/>
  <c r="B61" i="7"/>
  <c r="B63" i="28" s="1"/>
  <c r="C61" i="7"/>
  <c r="B54" i="7"/>
  <c r="B56" i="28" s="1"/>
  <c r="C54" i="7"/>
  <c r="B63" i="7"/>
  <c r="B65" i="28" s="1"/>
  <c r="C63" i="7"/>
  <c r="B64" i="7"/>
  <c r="B66" i="28" s="1"/>
  <c r="C64" i="7"/>
  <c r="B65" i="7"/>
  <c r="B67" i="28" s="1"/>
  <c r="C65" i="7"/>
  <c r="B66" i="7"/>
  <c r="B68" i="28" s="1"/>
  <c r="C66" i="7"/>
  <c r="B67" i="7"/>
  <c r="B69" i="28" s="1"/>
  <c r="C67" i="7"/>
  <c r="B68" i="7"/>
  <c r="B70" i="28" s="1"/>
  <c r="C68" i="7"/>
  <c r="B69" i="7"/>
  <c r="B71" i="28" s="1"/>
  <c r="C69" i="7"/>
  <c r="B70" i="7"/>
  <c r="B72" i="28" s="1"/>
  <c r="C70" i="7"/>
  <c r="B71" i="7"/>
  <c r="B73" i="28" s="1"/>
  <c r="C71" i="7"/>
  <c r="B72" i="7"/>
  <c r="B74" i="28" s="1"/>
  <c r="C72" i="7"/>
  <c r="B73" i="7"/>
  <c r="B75" i="28" s="1"/>
  <c r="C73" i="7"/>
  <c r="B74" i="7"/>
  <c r="B76" i="28" s="1"/>
  <c r="C74" i="7"/>
  <c r="B75" i="7"/>
  <c r="B77" i="28" s="1"/>
  <c r="C75" i="7"/>
  <c r="B47" i="7"/>
  <c r="B48" i="28" s="1"/>
  <c r="C47" i="7"/>
  <c r="B77" i="7"/>
  <c r="B79" i="28" s="1"/>
  <c r="C77" i="7"/>
  <c r="B78" i="7"/>
  <c r="B80" i="28" s="1"/>
  <c r="C78" i="7"/>
  <c r="B22" i="7"/>
  <c r="B22" i="28" s="1"/>
  <c r="C22" i="7"/>
  <c r="B80" i="7"/>
  <c r="B82" i="28" s="1"/>
  <c r="C80" i="7"/>
  <c r="B81" i="7"/>
  <c r="B83" i="28" s="1"/>
  <c r="C81" i="7"/>
  <c r="B82" i="7"/>
  <c r="B84" i="28" s="1"/>
  <c r="C82" i="7"/>
  <c r="B7" i="7"/>
  <c r="B7" i="28" s="1"/>
  <c r="C7" i="7"/>
  <c r="B79" i="7"/>
  <c r="B81" i="28" s="1"/>
  <c r="C79" i="7"/>
  <c r="B83" i="7"/>
  <c r="B85" i="28" s="1"/>
  <c r="C83" i="7"/>
  <c r="B76" i="7"/>
  <c r="B78" i="28" s="1"/>
  <c r="C76" i="7"/>
  <c r="B87" i="7"/>
  <c r="B89" i="28" s="1"/>
  <c r="C87" i="7"/>
  <c r="B88" i="7"/>
  <c r="B90" i="28" s="1"/>
  <c r="C88" i="7"/>
  <c r="B89" i="7"/>
  <c r="B91" i="28" s="1"/>
  <c r="C89" i="7"/>
  <c r="B90" i="7"/>
  <c r="B92" i="28" s="1"/>
  <c r="C90" i="7"/>
  <c r="B91" i="7"/>
  <c r="B93" i="28" s="1"/>
  <c r="C91" i="7"/>
  <c r="B92" i="7"/>
  <c r="B94" i="28" s="1"/>
  <c r="C92" i="7"/>
  <c r="B93" i="7"/>
  <c r="B95" i="28" s="1"/>
  <c r="C93" i="7"/>
  <c r="B96" i="28"/>
  <c r="B97" i="28"/>
  <c r="B98" i="28"/>
  <c r="B94" i="7"/>
  <c r="B99" i="28" s="1"/>
  <c r="C94" i="7"/>
  <c r="B100" i="28"/>
  <c r="B101" i="28"/>
  <c r="B95" i="7"/>
  <c r="B102" i="28" s="1"/>
  <c r="C95" i="7"/>
  <c r="C8" i="7"/>
  <c r="B8" i="7"/>
  <c r="B8" i="28" s="1"/>
  <c r="D95" i="7"/>
  <c r="E95" i="7" s="1"/>
  <c r="F95" i="7"/>
  <c r="D102" i="28" s="1"/>
  <c r="H95" i="7"/>
  <c r="I95" i="7" s="1"/>
  <c r="J95" i="7"/>
  <c r="K95" i="7" s="1"/>
  <c r="B4" i="28" l="1"/>
  <c r="B3" i="28"/>
  <c r="E2" i="19"/>
  <c r="F102" i="28"/>
  <c r="E102" i="28"/>
  <c r="C102" i="28"/>
  <c r="L95" i="7"/>
  <c r="O95" i="7"/>
  <c r="I102" i="28" s="1"/>
  <c r="G95" i="7"/>
  <c r="N95" i="7"/>
  <c r="H102" i="28" s="1"/>
  <c r="F5" i="7"/>
  <c r="D5" i="28" s="1"/>
  <c r="F13" i="7"/>
  <c r="D13" i="28" s="1"/>
  <c r="F30" i="7"/>
  <c r="D31" i="28" s="1"/>
  <c r="F16" i="7"/>
  <c r="F4" i="7"/>
  <c r="F14" i="7"/>
  <c r="D14" i="28" s="1"/>
  <c r="F10" i="7"/>
  <c r="D10" i="28" s="1"/>
  <c r="F18" i="7"/>
  <c r="D18" i="28" s="1"/>
  <c r="F15" i="7"/>
  <c r="F3" i="7"/>
  <c r="F57" i="7"/>
  <c r="D59" i="28" s="1"/>
  <c r="F51" i="7"/>
  <c r="D52" i="28" s="1"/>
  <c r="F17" i="7"/>
  <c r="D17" i="28" s="1"/>
  <c r="F58" i="7"/>
  <c r="D60" i="28" s="1"/>
  <c r="F19" i="7"/>
  <c r="F20" i="7"/>
  <c r="D20" i="28" s="1"/>
  <c r="F84" i="7"/>
  <c r="D86" i="28" s="1"/>
  <c r="F11" i="7"/>
  <c r="D11" i="28" s="1"/>
  <c r="F23" i="7"/>
  <c r="D23" i="28" s="1"/>
  <c r="F24" i="7"/>
  <c r="D24" i="28" s="1"/>
  <c r="F25" i="7"/>
  <c r="D25" i="28" s="1"/>
  <c r="F26" i="7"/>
  <c r="D26" i="28" s="1"/>
  <c r="F27" i="7"/>
  <c r="D27" i="28" s="1"/>
  <c r="F50" i="7"/>
  <c r="F28" i="7"/>
  <c r="F29" i="7"/>
  <c r="D30" i="28" s="1"/>
  <c r="F59" i="7"/>
  <c r="D61" i="28" s="1"/>
  <c r="F31" i="7"/>
  <c r="D32" i="28" s="1"/>
  <c r="F32" i="7"/>
  <c r="D33" i="28" s="1"/>
  <c r="F33" i="7"/>
  <c r="F34" i="7"/>
  <c r="D35" i="28" s="1"/>
  <c r="F35" i="7"/>
  <c r="D36" i="28" s="1"/>
  <c r="F36" i="7"/>
  <c r="F37" i="7"/>
  <c r="D38" i="28" s="1"/>
  <c r="F38" i="7"/>
  <c r="D39" i="28" s="1"/>
  <c r="F39" i="7"/>
  <c r="D40" i="28" s="1"/>
  <c r="F40" i="7"/>
  <c r="D41" i="28" s="1"/>
  <c r="F41" i="7"/>
  <c r="D42" i="28" s="1"/>
  <c r="F42" i="7"/>
  <c r="F21" i="7"/>
  <c r="D21" i="28" s="1"/>
  <c r="F44" i="7"/>
  <c r="D45" i="28" s="1"/>
  <c r="F45" i="7"/>
  <c r="D46" i="28" s="1"/>
  <c r="F46" i="7"/>
  <c r="D54" i="28"/>
  <c r="F48" i="7"/>
  <c r="D49" i="28" s="1"/>
  <c r="F49" i="7"/>
  <c r="F9" i="7"/>
  <c r="D9" i="28" s="1"/>
  <c r="F53" i="7"/>
  <c r="D55" i="28" s="1"/>
  <c r="F52" i="7"/>
  <c r="D53" i="28" s="1"/>
  <c r="F85" i="7"/>
  <c r="D87" i="28" s="1"/>
  <c r="F12" i="7"/>
  <c r="F62" i="7"/>
  <c r="D64" i="28" s="1"/>
  <c r="F55" i="7"/>
  <c r="D57" i="28" s="1"/>
  <c r="F56" i="7"/>
  <c r="D58" i="28" s="1"/>
  <c r="F43" i="7"/>
  <c r="D44" i="28" s="1"/>
  <c r="F86" i="7"/>
  <c r="D88" i="28" s="1"/>
  <c r="D28" i="28"/>
  <c r="F60" i="7"/>
  <c r="F61" i="7"/>
  <c r="D63" i="28" s="1"/>
  <c r="F54" i="7"/>
  <c r="D56" i="28" s="1"/>
  <c r="F63" i="7"/>
  <c r="D65" i="28" s="1"/>
  <c r="F64" i="7"/>
  <c r="D66" i="28" s="1"/>
  <c r="F65" i="7"/>
  <c r="D68" i="28"/>
  <c r="F67" i="7"/>
  <c r="D69" i="28" s="1"/>
  <c r="F68" i="7"/>
  <c r="F69" i="7"/>
  <c r="D71" i="28" s="1"/>
  <c r="F70" i="7"/>
  <c r="D72" i="28" s="1"/>
  <c r="F71" i="7"/>
  <c r="D73" i="28" s="1"/>
  <c r="F72" i="7"/>
  <c r="D74" i="28" s="1"/>
  <c r="F73" i="7"/>
  <c r="D75" i="28" s="1"/>
  <c r="F74" i="7"/>
  <c r="D76" i="28" s="1"/>
  <c r="F75" i="7"/>
  <c r="F47" i="7"/>
  <c r="F77" i="7"/>
  <c r="D79" i="28" s="1"/>
  <c r="F78" i="7"/>
  <c r="D80" i="28" s="1"/>
  <c r="F22" i="7"/>
  <c r="D22" i="28" s="1"/>
  <c r="F80" i="7"/>
  <c r="F81" i="7"/>
  <c r="D83" i="28" s="1"/>
  <c r="F82" i="7"/>
  <c r="D84" i="28" s="1"/>
  <c r="F7" i="7"/>
  <c r="D7" i="28" s="1"/>
  <c r="F79" i="7"/>
  <c r="D81" i="28" s="1"/>
  <c r="F83" i="7"/>
  <c r="D85" i="28" s="1"/>
  <c r="F76" i="7"/>
  <c r="D78" i="28" s="1"/>
  <c r="F87" i="7"/>
  <c r="D89" i="28" s="1"/>
  <c r="F88" i="7"/>
  <c r="D90" i="28" s="1"/>
  <c r="F89" i="7"/>
  <c r="D91" i="28" s="1"/>
  <c r="F90" i="7"/>
  <c r="D92" i="28" s="1"/>
  <c r="F91" i="7"/>
  <c r="D93" i="28" s="1"/>
  <c r="F92" i="7"/>
  <c r="D94" i="28" s="1"/>
  <c r="F93" i="7"/>
  <c r="D95" i="28" s="1"/>
  <c r="D96" i="28"/>
  <c r="D97" i="28"/>
  <c r="D98" i="28"/>
  <c r="F94" i="7"/>
  <c r="D99" i="28" s="1"/>
  <c r="D100" i="28"/>
  <c r="D101" i="28"/>
  <c r="F8" i="7"/>
  <c r="D8" i="28" s="1"/>
  <c r="J51" i="7"/>
  <c r="J17" i="7"/>
  <c r="J58" i="7"/>
  <c r="J19" i="7"/>
  <c r="J20" i="7"/>
  <c r="J84" i="7"/>
  <c r="J11" i="7"/>
  <c r="J23" i="7"/>
  <c r="J24" i="7"/>
  <c r="J25" i="7"/>
  <c r="J8" i="7"/>
  <c r="J26" i="7"/>
  <c r="J5" i="7"/>
  <c r="J27" i="7"/>
  <c r="J50" i="7"/>
  <c r="J28" i="7"/>
  <c r="J29" i="7"/>
  <c r="J59" i="7"/>
  <c r="J31" i="7"/>
  <c r="J32" i="7"/>
  <c r="J33" i="7"/>
  <c r="J34" i="7"/>
  <c r="J35" i="7"/>
  <c r="J36" i="7"/>
  <c r="J37" i="7"/>
  <c r="J30" i="7"/>
  <c r="J38" i="7"/>
  <c r="J39" i="7"/>
  <c r="J40" i="7"/>
  <c r="J41" i="7"/>
  <c r="J16" i="7"/>
  <c r="J42" i="7"/>
  <c r="J21" i="7"/>
  <c r="J44" i="7"/>
  <c r="J45" i="7"/>
  <c r="J4" i="7"/>
  <c r="J46" i="7"/>
  <c r="J48" i="7"/>
  <c r="J49" i="7"/>
  <c r="J9" i="7"/>
  <c r="J53" i="7"/>
  <c r="J52" i="7"/>
  <c r="J85" i="7"/>
  <c r="J12" i="7"/>
  <c r="J62" i="7"/>
  <c r="J14" i="7"/>
  <c r="J55" i="7"/>
  <c r="J10" i="7"/>
  <c r="J56" i="7"/>
  <c r="J43" i="7"/>
  <c r="J60" i="7"/>
  <c r="J61" i="7"/>
  <c r="J54" i="7"/>
  <c r="J63" i="7"/>
  <c r="J64" i="7"/>
  <c r="J65" i="7"/>
  <c r="J66" i="7"/>
  <c r="J67" i="7"/>
  <c r="J68" i="7"/>
  <c r="J69" i="7"/>
  <c r="J70" i="7"/>
  <c r="J71" i="7"/>
  <c r="J72" i="7"/>
  <c r="J18" i="7"/>
  <c r="J73" i="7"/>
  <c r="J74" i="7"/>
  <c r="J75" i="7"/>
  <c r="J6" i="7"/>
  <c r="J47" i="7"/>
  <c r="J15" i="7"/>
  <c r="J77" i="7"/>
  <c r="J78" i="7"/>
  <c r="J13" i="7"/>
  <c r="J22" i="7"/>
  <c r="J80" i="7"/>
  <c r="J81" i="7"/>
  <c r="J82" i="7"/>
  <c r="J7" i="7"/>
  <c r="J79" i="7"/>
  <c r="J3" i="7"/>
  <c r="J83" i="7"/>
  <c r="J76" i="7"/>
  <c r="J87" i="7"/>
  <c r="J88" i="7"/>
  <c r="J89" i="7"/>
  <c r="J90" i="7"/>
  <c r="J91" i="7"/>
  <c r="J92" i="7"/>
  <c r="J93" i="7"/>
  <c r="J94" i="7"/>
  <c r="J57" i="7"/>
  <c r="H51" i="7"/>
  <c r="H17" i="7"/>
  <c r="H58" i="7"/>
  <c r="H19" i="7"/>
  <c r="H20" i="7"/>
  <c r="H84" i="7"/>
  <c r="H11" i="7"/>
  <c r="H23" i="7"/>
  <c r="H24" i="7"/>
  <c r="H25" i="7"/>
  <c r="H8" i="7"/>
  <c r="H26" i="7"/>
  <c r="H5" i="7"/>
  <c r="H27" i="7"/>
  <c r="H50" i="7"/>
  <c r="H28" i="7"/>
  <c r="H29" i="7"/>
  <c r="H59" i="7"/>
  <c r="H31" i="7"/>
  <c r="H32" i="7"/>
  <c r="H33" i="7"/>
  <c r="H34" i="7"/>
  <c r="H35" i="7"/>
  <c r="H36" i="7"/>
  <c r="H37" i="7"/>
  <c r="H30" i="7"/>
  <c r="H38" i="7"/>
  <c r="H39" i="7"/>
  <c r="H40" i="7"/>
  <c r="H41" i="7"/>
  <c r="H16" i="7"/>
  <c r="H42" i="7"/>
  <c r="H21" i="7"/>
  <c r="H44" i="7"/>
  <c r="H45" i="7"/>
  <c r="H4" i="7"/>
  <c r="H46" i="7"/>
  <c r="H48" i="7"/>
  <c r="H49" i="7"/>
  <c r="H9" i="7"/>
  <c r="H53" i="7"/>
  <c r="H52" i="7"/>
  <c r="H85" i="7"/>
  <c r="H12" i="7"/>
  <c r="H62" i="7"/>
  <c r="H14" i="7"/>
  <c r="H55" i="7"/>
  <c r="H10" i="7"/>
  <c r="H56" i="7"/>
  <c r="H43" i="7"/>
  <c r="H86" i="7"/>
  <c r="H60" i="7"/>
  <c r="H61" i="7"/>
  <c r="H54" i="7"/>
  <c r="H63" i="7"/>
  <c r="H64" i="7"/>
  <c r="H65" i="7"/>
  <c r="H66" i="7"/>
  <c r="H67" i="7"/>
  <c r="H68" i="7"/>
  <c r="H69" i="7"/>
  <c r="H70" i="7"/>
  <c r="H71" i="7"/>
  <c r="H72" i="7"/>
  <c r="H18" i="7"/>
  <c r="H73" i="7"/>
  <c r="H74" i="7"/>
  <c r="H75" i="7"/>
  <c r="H6" i="7"/>
  <c r="H47" i="7"/>
  <c r="H15" i="7"/>
  <c r="H77" i="7"/>
  <c r="H78" i="7"/>
  <c r="H13" i="7"/>
  <c r="H22" i="7"/>
  <c r="H80" i="7"/>
  <c r="H81" i="7"/>
  <c r="H82" i="7"/>
  <c r="H7" i="7"/>
  <c r="H79" i="7"/>
  <c r="H3" i="7"/>
  <c r="H83" i="7"/>
  <c r="H76" i="7"/>
  <c r="H87" i="7"/>
  <c r="H88" i="7"/>
  <c r="H89" i="7"/>
  <c r="H90" i="7"/>
  <c r="H91" i="7"/>
  <c r="H92" i="7"/>
  <c r="H93" i="7"/>
  <c r="H94" i="7"/>
  <c r="H57" i="7"/>
  <c r="D51" i="7"/>
  <c r="D17" i="7"/>
  <c r="D58" i="7"/>
  <c r="D19" i="7"/>
  <c r="D20" i="7"/>
  <c r="D84" i="7"/>
  <c r="D11" i="7"/>
  <c r="D23" i="7"/>
  <c r="D24" i="7"/>
  <c r="D25" i="7"/>
  <c r="D8" i="7"/>
  <c r="D26" i="7"/>
  <c r="D5" i="7"/>
  <c r="D27" i="7"/>
  <c r="D50" i="7"/>
  <c r="D28" i="7"/>
  <c r="D29" i="7"/>
  <c r="D59" i="7"/>
  <c r="D31" i="7"/>
  <c r="D32" i="7"/>
  <c r="D33" i="7"/>
  <c r="D34" i="7"/>
  <c r="D35" i="7"/>
  <c r="D36" i="7"/>
  <c r="D37" i="7"/>
  <c r="D30" i="7"/>
  <c r="D38" i="7"/>
  <c r="D39" i="7"/>
  <c r="D40" i="7"/>
  <c r="D41" i="7"/>
  <c r="D16" i="7"/>
  <c r="D42" i="7"/>
  <c r="D21" i="7"/>
  <c r="D44" i="7"/>
  <c r="D45" i="7"/>
  <c r="D4" i="7"/>
  <c r="D46" i="7"/>
  <c r="D48" i="7"/>
  <c r="D49" i="7"/>
  <c r="D9" i="7"/>
  <c r="D53" i="7"/>
  <c r="D52" i="7"/>
  <c r="D85" i="7"/>
  <c r="D12" i="7"/>
  <c r="D62" i="7"/>
  <c r="D14" i="7"/>
  <c r="D55" i="7"/>
  <c r="D10" i="7"/>
  <c r="D56" i="7"/>
  <c r="D43" i="7"/>
  <c r="D86" i="7"/>
  <c r="D60" i="7"/>
  <c r="D61" i="7"/>
  <c r="D54" i="7"/>
  <c r="D63" i="7"/>
  <c r="D64" i="7"/>
  <c r="D65" i="7"/>
  <c r="D66" i="7"/>
  <c r="D67" i="7"/>
  <c r="D68" i="7"/>
  <c r="D69" i="7"/>
  <c r="D70" i="7"/>
  <c r="D71" i="7"/>
  <c r="D72" i="7"/>
  <c r="D18" i="7"/>
  <c r="D73" i="7"/>
  <c r="D74" i="7"/>
  <c r="D75" i="7"/>
  <c r="D6" i="7"/>
  <c r="D47" i="7"/>
  <c r="D15" i="7"/>
  <c r="D77" i="7"/>
  <c r="D78" i="7"/>
  <c r="D13" i="7"/>
  <c r="D22" i="7"/>
  <c r="D80" i="7"/>
  <c r="D81" i="7"/>
  <c r="D82" i="7"/>
  <c r="D7" i="7"/>
  <c r="D79" i="7"/>
  <c r="D3" i="7"/>
  <c r="D83" i="7"/>
  <c r="D76" i="7"/>
  <c r="D87" i="7"/>
  <c r="D88" i="7"/>
  <c r="D89" i="7"/>
  <c r="D90" i="7"/>
  <c r="D91" i="7"/>
  <c r="D92" i="7"/>
  <c r="D93" i="7"/>
  <c r="D94" i="7"/>
  <c r="D57" i="7"/>
  <c r="C2" i="19" l="1"/>
  <c r="C2" i="24"/>
  <c r="E2" i="24"/>
  <c r="F2" i="24"/>
  <c r="H2" i="24"/>
  <c r="D2" i="19"/>
  <c r="D47" i="28"/>
  <c r="F2" i="19"/>
  <c r="D82" i="28"/>
  <c r="D51" i="28"/>
  <c r="D6" i="28"/>
  <c r="D67" i="28"/>
  <c r="D43" i="28"/>
  <c r="D19" i="28"/>
  <c r="D50" i="28"/>
  <c r="D34" i="28"/>
  <c r="D4" i="28"/>
  <c r="D77" i="28"/>
  <c r="D12" i="28"/>
  <c r="D16" i="28"/>
  <c r="D48" i="28"/>
  <c r="D70" i="28"/>
  <c r="D62" i="28"/>
  <c r="D37" i="28"/>
  <c r="D29" i="28"/>
  <c r="D15" i="28"/>
  <c r="D3" i="28"/>
  <c r="I94" i="7"/>
  <c r="N94" i="7" s="1"/>
  <c r="H99" i="28" s="1"/>
  <c r="E99" i="28"/>
  <c r="I89" i="7"/>
  <c r="N89" i="7" s="1"/>
  <c r="H91" i="28" s="1"/>
  <c r="E91" i="28"/>
  <c r="I7" i="7"/>
  <c r="E7" i="28"/>
  <c r="I15" i="7"/>
  <c r="E15" i="28"/>
  <c r="I71" i="7"/>
  <c r="E73" i="28"/>
  <c r="I63" i="7"/>
  <c r="E65" i="28"/>
  <c r="I10" i="7"/>
  <c r="E10" i="28"/>
  <c r="I9" i="7"/>
  <c r="E9" i="28"/>
  <c r="I21" i="7"/>
  <c r="E21" i="28"/>
  <c r="I37" i="7"/>
  <c r="E38" i="28"/>
  <c r="I29" i="7"/>
  <c r="E30" i="28"/>
  <c r="I24" i="7"/>
  <c r="E24" i="28"/>
  <c r="I51" i="7"/>
  <c r="E52" i="28"/>
  <c r="K93" i="7"/>
  <c r="F95" i="28"/>
  <c r="K22" i="7"/>
  <c r="F22" i="28"/>
  <c r="K74" i="7"/>
  <c r="F76" i="28"/>
  <c r="K67" i="7"/>
  <c r="F69" i="28"/>
  <c r="H28" i="28"/>
  <c r="F28" i="28"/>
  <c r="K12" i="7"/>
  <c r="F12" i="28"/>
  <c r="K46" i="7"/>
  <c r="F47" i="28"/>
  <c r="K40" i="7"/>
  <c r="F41" i="28"/>
  <c r="K33" i="7"/>
  <c r="F34" i="28"/>
  <c r="K5" i="7"/>
  <c r="F5" i="28"/>
  <c r="K20" i="7"/>
  <c r="F20" i="28"/>
  <c r="K83" i="7"/>
  <c r="N83" i="7" s="1"/>
  <c r="H85" i="28" s="1"/>
  <c r="F85" i="28"/>
  <c r="K13" i="7"/>
  <c r="F13" i="28"/>
  <c r="K73" i="7"/>
  <c r="F75" i="28"/>
  <c r="K66" i="7"/>
  <c r="F68" i="28"/>
  <c r="K86" i="7"/>
  <c r="N86" i="7" s="1"/>
  <c r="H88" i="28" s="1"/>
  <c r="F88" i="28"/>
  <c r="K85" i="7"/>
  <c r="N85" i="7" s="1"/>
  <c r="H87" i="28" s="1"/>
  <c r="F87" i="28"/>
  <c r="K4" i="7"/>
  <c r="F4" i="28"/>
  <c r="K39" i="7"/>
  <c r="F40" i="28"/>
  <c r="K32" i="7"/>
  <c r="F33" i="28"/>
  <c r="K26" i="7"/>
  <c r="F26" i="28"/>
  <c r="K19" i="7"/>
  <c r="F19" i="28"/>
  <c r="E97" i="28"/>
  <c r="I87" i="7"/>
  <c r="N87" i="7" s="1"/>
  <c r="H89" i="28" s="1"/>
  <c r="E89" i="28"/>
  <c r="I81" i="7"/>
  <c r="E83" i="28"/>
  <c r="I6" i="7"/>
  <c r="E6" i="28"/>
  <c r="K3" i="7"/>
  <c r="F3" i="28"/>
  <c r="K78" i="7"/>
  <c r="F80" i="28"/>
  <c r="K18" i="7"/>
  <c r="F18" i="28"/>
  <c r="K65" i="7"/>
  <c r="F67" i="28"/>
  <c r="K43" i="7"/>
  <c r="L43" i="7" s="1"/>
  <c r="F44" i="28"/>
  <c r="K52" i="7"/>
  <c r="F53" i="28"/>
  <c r="K45" i="7"/>
  <c r="F46" i="28"/>
  <c r="K38" i="7"/>
  <c r="F39" i="28"/>
  <c r="K31" i="7"/>
  <c r="F32" i="28"/>
  <c r="K8" i="7"/>
  <c r="F8" i="28"/>
  <c r="K58" i="7"/>
  <c r="L58" i="7" s="1"/>
  <c r="F60" i="28"/>
  <c r="I35" i="7"/>
  <c r="E36" i="28"/>
  <c r="I50" i="7"/>
  <c r="E51" i="28"/>
  <c r="I11" i="7"/>
  <c r="E11" i="28"/>
  <c r="F101" i="28"/>
  <c r="K91" i="7"/>
  <c r="F93" i="28"/>
  <c r="E96" i="28"/>
  <c r="I76" i="7"/>
  <c r="E78" i="28"/>
  <c r="I80" i="7"/>
  <c r="E82" i="28"/>
  <c r="I75" i="7"/>
  <c r="E77" i="28"/>
  <c r="I68" i="7"/>
  <c r="E70" i="28"/>
  <c r="I60" i="7"/>
  <c r="E62" i="28"/>
  <c r="I62" i="7"/>
  <c r="E64" i="28"/>
  <c r="E54" i="28"/>
  <c r="I41" i="7"/>
  <c r="E42" i="28"/>
  <c r="I34" i="7"/>
  <c r="E35" i="28"/>
  <c r="I27" i="7"/>
  <c r="E27" i="28"/>
  <c r="I84" i="7"/>
  <c r="E86" i="28"/>
  <c r="F100" i="28"/>
  <c r="K90" i="7"/>
  <c r="F92" i="28"/>
  <c r="K79" i="7"/>
  <c r="L79" i="7" s="1"/>
  <c r="F81" i="28"/>
  <c r="K77" i="7"/>
  <c r="F79" i="28"/>
  <c r="K72" i="7"/>
  <c r="F74" i="28"/>
  <c r="K64" i="7"/>
  <c r="F66" i="28"/>
  <c r="K56" i="7"/>
  <c r="F58" i="28"/>
  <c r="K53" i="7"/>
  <c r="F55" i="28"/>
  <c r="K44" i="7"/>
  <c r="F45" i="28"/>
  <c r="K30" i="7"/>
  <c r="F31" i="28"/>
  <c r="K59" i="7"/>
  <c r="N59" i="7" s="1"/>
  <c r="H61" i="28" s="1"/>
  <c r="F61" i="28"/>
  <c r="K25" i="7"/>
  <c r="F25" i="28"/>
  <c r="K17" i="7"/>
  <c r="F17" i="28"/>
  <c r="I14" i="7"/>
  <c r="E14" i="28"/>
  <c r="I48" i="7"/>
  <c r="E49" i="28"/>
  <c r="I16" i="7"/>
  <c r="E16" i="28"/>
  <c r="I93" i="7"/>
  <c r="L93" i="7" s="1"/>
  <c r="E95" i="28"/>
  <c r="I22" i="7"/>
  <c r="E22" i="28"/>
  <c r="I74" i="7"/>
  <c r="E76" i="28"/>
  <c r="I67" i="7"/>
  <c r="E69" i="28"/>
  <c r="E28" i="28"/>
  <c r="I12" i="7"/>
  <c r="E12" i="28"/>
  <c r="I46" i="7"/>
  <c r="E47" i="28"/>
  <c r="I40" i="7"/>
  <c r="E41" i="28"/>
  <c r="I33" i="7"/>
  <c r="E34" i="28"/>
  <c r="I5" i="7"/>
  <c r="E5" i="28"/>
  <c r="I20" i="7"/>
  <c r="E20" i="28"/>
  <c r="K94" i="7"/>
  <c r="F99" i="28"/>
  <c r="K89" i="7"/>
  <c r="F91" i="28"/>
  <c r="K7" i="7"/>
  <c r="F7" i="28"/>
  <c r="K15" i="7"/>
  <c r="F15" i="28"/>
  <c r="K71" i="7"/>
  <c r="F73" i="28"/>
  <c r="K63" i="7"/>
  <c r="F65" i="28"/>
  <c r="K10" i="7"/>
  <c r="F10" i="28"/>
  <c r="K9" i="7"/>
  <c r="F9" i="28"/>
  <c r="K21" i="7"/>
  <c r="F21" i="28"/>
  <c r="K37" i="7"/>
  <c r="F38" i="28"/>
  <c r="K29" i="7"/>
  <c r="F30" i="28"/>
  <c r="K24" i="7"/>
  <c r="F24" i="28"/>
  <c r="K51" i="7"/>
  <c r="F52" i="28"/>
  <c r="I69" i="7"/>
  <c r="E71" i="28"/>
  <c r="I61" i="7"/>
  <c r="E63" i="28"/>
  <c r="I57" i="7"/>
  <c r="E59" i="28"/>
  <c r="I92" i="7"/>
  <c r="N92" i="7" s="1"/>
  <c r="H94" i="28" s="1"/>
  <c r="E94" i="28"/>
  <c r="I83" i="7"/>
  <c r="E85" i="28"/>
  <c r="I13" i="7"/>
  <c r="E13" i="28"/>
  <c r="I73" i="7"/>
  <c r="E75" i="28"/>
  <c r="I66" i="7"/>
  <c r="E68" i="28"/>
  <c r="I86" i="7"/>
  <c r="E88" i="28"/>
  <c r="I85" i="7"/>
  <c r="E87" i="28"/>
  <c r="I4" i="7"/>
  <c r="E4" i="28"/>
  <c r="I39" i="7"/>
  <c r="E40" i="28"/>
  <c r="I32" i="7"/>
  <c r="E33" i="28"/>
  <c r="I26" i="7"/>
  <c r="E26" i="28"/>
  <c r="I19" i="7"/>
  <c r="E19" i="28"/>
  <c r="F98" i="28"/>
  <c r="K88" i="7"/>
  <c r="F90" i="28"/>
  <c r="K82" i="7"/>
  <c r="F84" i="28"/>
  <c r="K47" i="7"/>
  <c r="F48" i="28"/>
  <c r="K70" i="7"/>
  <c r="F72" i="28"/>
  <c r="K54" i="7"/>
  <c r="L54" i="7" s="1"/>
  <c r="F56" i="28"/>
  <c r="K55" i="7"/>
  <c r="F57" i="28"/>
  <c r="K49" i="7"/>
  <c r="F50" i="28"/>
  <c r="K42" i="7"/>
  <c r="F43" i="28"/>
  <c r="K36" i="7"/>
  <c r="F37" i="28"/>
  <c r="K28" i="7"/>
  <c r="F29" i="28"/>
  <c r="K23" i="7"/>
  <c r="F23" i="28"/>
  <c r="H101" i="28"/>
  <c r="E101" i="28"/>
  <c r="I91" i="7"/>
  <c r="L91" i="7" s="1"/>
  <c r="E93" i="28"/>
  <c r="I3" i="7"/>
  <c r="E3" i="28"/>
  <c r="I78" i="7"/>
  <c r="E80" i="28"/>
  <c r="I18" i="7"/>
  <c r="E18" i="28"/>
  <c r="I65" i="7"/>
  <c r="E67" i="28"/>
  <c r="I43" i="7"/>
  <c r="E44" i="28"/>
  <c r="I52" i="7"/>
  <c r="E53" i="28"/>
  <c r="I45" i="7"/>
  <c r="E46" i="28"/>
  <c r="I38" i="7"/>
  <c r="E39" i="28"/>
  <c r="I31" i="7"/>
  <c r="E32" i="28"/>
  <c r="I8" i="7"/>
  <c r="E8" i="28"/>
  <c r="I58" i="7"/>
  <c r="E60" i="28"/>
  <c r="F97" i="28"/>
  <c r="K87" i="7"/>
  <c r="F89" i="28"/>
  <c r="K81" i="7"/>
  <c r="F83" i="28"/>
  <c r="K6" i="7"/>
  <c r="F6" i="28"/>
  <c r="K69" i="7"/>
  <c r="F71" i="28"/>
  <c r="K61" i="7"/>
  <c r="F63" i="28"/>
  <c r="K14" i="7"/>
  <c r="F14" i="28"/>
  <c r="K48" i="7"/>
  <c r="F49" i="28"/>
  <c r="K16" i="7"/>
  <c r="F16" i="28"/>
  <c r="K35" i="7"/>
  <c r="F36" i="28"/>
  <c r="K50" i="7"/>
  <c r="F51" i="28"/>
  <c r="K11" i="7"/>
  <c r="F11" i="28"/>
  <c r="E98" i="28"/>
  <c r="I88" i="7"/>
  <c r="N88" i="7" s="1"/>
  <c r="H90" i="28" s="1"/>
  <c r="E90" i="28"/>
  <c r="I82" i="7"/>
  <c r="E84" i="28"/>
  <c r="I47" i="7"/>
  <c r="E48" i="28"/>
  <c r="I70" i="7"/>
  <c r="E72" i="28"/>
  <c r="I54" i="7"/>
  <c r="E56" i="28"/>
  <c r="I55" i="7"/>
  <c r="E57" i="28"/>
  <c r="I49" i="7"/>
  <c r="E50" i="28"/>
  <c r="I42" i="7"/>
  <c r="E43" i="28"/>
  <c r="I36" i="7"/>
  <c r="E37" i="28"/>
  <c r="I28" i="7"/>
  <c r="E29" i="28"/>
  <c r="I23" i="7"/>
  <c r="E23" i="28"/>
  <c r="K57" i="7"/>
  <c r="L57" i="7" s="1"/>
  <c r="F59" i="28"/>
  <c r="K92" i="7"/>
  <c r="F94" i="28"/>
  <c r="E100" i="28"/>
  <c r="I90" i="7"/>
  <c r="N90" i="7" s="1"/>
  <c r="H92" i="28" s="1"/>
  <c r="E92" i="28"/>
  <c r="I79" i="7"/>
  <c r="E81" i="28"/>
  <c r="I77" i="7"/>
  <c r="E79" i="28"/>
  <c r="I72" i="7"/>
  <c r="E74" i="28"/>
  <c r="I64" i="7"/>
  <c r="E66" i="28"/>
  <c r="I56" i="7"/>
  <c r="E58" i="28"/>
  <c r="I53" i="7"/>
  <c r="E55" i="28"/>
  <c r="I44" i="7"/>
  <c r="E45" i="28"/>
  <c r="I30" i="7"/>
  <c r="E31" i="28"/>
  <c r="I59" i="7"/>
  <c r="E61" i="28"/>
  <c r="I25" i="7"/>
  <c r="E25" i="28"/>
  <c r="I17" i="7"/>
  <c r="E17" i="28"/>
  <c r="F96" i="28"/>
  <c r="K76" i="7"/>
  <c r="N76" i="7" s="1"/>
  <c r="H78" i="28" s="1"/>
  <c r="F78" i="28"/>
  <c r="K80" i="7"/>
  <c r="F82" i="28"/>
  <c r="K75" i="7"/>
  <c r="F77" i="28"/>
  <c r="K68" i="7"/>
  <c r="F70" i="28"/>
  <c r="K60" i="7"/>
  <c r="F62" i="28"/>
  <c r="K62" i="7"/>
  <c r="L62" i="7" s="1"/>
  <c r="F64" i="28"/>
  <c r="F54" i="28"/>
  <c r="K41" i="7"/>
  <c r="F42" i="28"/>
  <c r="K34" i="7"/>
  <c r="F35" i="28"/>
  <c r="K27" i="7"/>
  <c r="F27" i="28"/>
  <c r="K84" i="7"/>
  <c r="L84" i="7" s="1"/>
  <c r="F86" i="28"/>
  <c r="E93" i="7"/>
  <c r="C95" i="28"/>
  <c r="E22" i="7"/>
  <c r="C22" i="28"/>
  <c r="E74" i="7"/>
  <c r="C76" i="28"/>
  <c r="E68" i="7"/>
  <c r="C70" i="28"/>
  <c r="E60" i="7"/>
  <c r="C62" i="28"/>
  <c r="E62" i="7"/>
  <c r="C64" i="28"/>
  <c r="C54" i="28"/>
  <c r="E41" i="7"/>
  <c r="C42" i="28"/>
  <c r="E34" i="7"/>
  <c r="C35" i="28"/>
  <c r="E83" i="7"/>
  <c r="C85" i="28"/>
  <c r="E13" i="7"/>
  <c r="C13" i="28"/>
  <c r="E73" i="7"/>
  <c r="L73" i="7" s="1"/>
  <c r="C75" i="28"/>
  <c r="E67" i="7"/>
  <c r="C69" i="28"/>
  <c r="C28" i="28"/>
  <c r="E12" i="7"/>
  <c r="C12" i="28"/>
  <c r="E46" i="7"/>
  <c r="C47" i="28"/>
  <c r="E40" i="7"/>
  <c r="N40" i="7" s="1"/>
  <c r="H41" i="28" s="1"/>
  <c r="C41" i="28"/>
  <c r="E33" i="7"/>
  <c r="C34" i="28"/>
  <c r="E5" i="7"/>
  <c r="C5" i="28"/>
  <c r="E20" i="7"/>
  <c r="L20" i="7" s="1"/>
  <c r="C20" i="28"/>
  <c r="E57" i="7"/>
  <c r="C59" i="28"/>
  <c r="E92" i="7"/>
  <c r="C94" i="28"/>
  <c r="C101" i="28"/>
  <c r="E91" i="7"/>
  <c r="C93" i="28"/>
  <c r="E3" i="7"/>
  <c r="C3" i="28"/>
  <c r="E78" i="7"/>
  <c r="C80" i="28"/>
  <c r="E18" i="7"/>
  <c r="C18" i="28"/>
  <c r="E66" i="7"/>
  <c r="C68" i="28"/>
  <c r="E86" i="7"/>
  <c r="C88" i="28"/>
  <c r="E85" i="7"/>
  <c r="C87" i="28"/>
  <c r="E4" i="7"/>
  <c r="C4" i="28"/>
  <c r="E39" i="7"/>
  <c r="C40" i="28"/>
  <c r="E32" i="7"/>
  <c r="C33" i="28"/>
  <c r="E26" i="7"/>
  <c r="C26" i="28"/>
  <c r="E19" i="7"/>
  <c r="C19" i="28"/>
  <c r="E27" i="7"/>
  <c r="L27" i="7" s="1"/>
  <c r="C27" i="28"/>
  <c r="E84" i="7"/>
  <c r="C86" i="28"/>
  <c r="C100" i="28"/>
  <c r="E90" i="7"/>
  <c r="C92" i="28"/>
  <c r="E79" i="7"/>
  <c r="C81" i="28"/>
  <c r="E77" i="7"/>
  <c r="C79" i="28"/>
  <c r="E72" i="7"/>
  <c r="C74" i="28"/>
  <c r="E65" i="7"/>
  <c r="C67" i="28"/>
  <c r="E43" i="7"/>
  <c r="C44" i="28"/>
  <c r="E52" i="7"/>
  <c r="C53" i="28"/>
  <c r="E45" i="7"/>
  <c r="C46" i="28"/>
  <c r="E38" i="7"/>
  <c r="C39" i="28"/>
  <c r="E31" i="7"/>
  <c r="C32" i="28"/>
  <c r="E8" i="7"/>
  <c r="C8" i="28"/>
  <c r="E58" i="7"/>
  <c r="C60" i="28"/>
  <c r="E7" i="7"/>
  <c r="C7" i="28"/>
  <c r="E15" i="7"/>
  <c r="C15" i="28"/>
  <c r="E71" i="7"/>
  <c r="C73" i="28"/>
  <c r="E64" i="7"/>
  <c r="N64" i="7" s="1"/>
  <c r="H66" i="28" s="1"/>
  <c r="C66" i="28"/>
  <c r="E56" i="7"/>
  <c r="N56" i="7" s="1"/>
  <c r="H58" i="28" s="1"/>
  <c r="C58" i="28"/>
  <c r="E53" i="7"/>
  <c r="C55" i="28"/>
  <c r="E44" i="7"/>
  <c r="C45" i="28"/>
  <c r="E30" i="7"/>
  <c r="C31" i="28"/>
  <c r="E59" i="7"/>
  <c r="C61" i="28"/>
  <c r="E25" i="7"/>
  <c r="C25" i="28"/>
  <c r="E17" i="7"/>
  <c r="C17" i="28"/>
  <c r="E89" i="7"/>
  <c r="C91" i="28"/>
  <c r="E88" i="7"/>
  <c r="C90" i="28"/>
  <c r="E82" i="7"/>
  <c r="C84" i="28"/>
  <c r="E47" i="7"/>
  <c r="C48" i="28"/>
  <c r="E70" i="7"/>
  <c r="C72" i="28"/>
  <c r="E63" i="7"/>
  <c r="C65" i="28"/>
  <c r="E10" i="7"/>
  <c r="C10" i="28"/>
  <c r="E9" i="7"/>
  <c r="C9" i="28"/>
  <c r="E21" i="7"/>
  <c r="C21" i="28"/>
  <c r="E37" i="7"/>
  <c r="L37" i="7" s="1"/>
  <c r="C38" i="28"/>
  <c r="E29" i="7"/>
  <c r="C30" i="28"/>
  <c r="E24" i="7"/>
  <c r="L24" i="7" s="1"/>
  <c r="C24" i="28"/>
  <c r="E51" i="7"/>
  <c r="C52" i="28"/>
  <c r="E94" i="7"/>
  <c r="C99" i="28"/>
  <c r="C97" i="28"/>
  <c r="E87" i="7"/>
  <c r="C89" i="28"/>
  <c r="E81" i="7"/>
  <c r="L81" i="7" s="1"/>
  <c r="C83" i="28"/>
  <c r="E6" i="7"/>
  <c r="C6" i="28"/>
  <c r="E69" i="7"/>
  <c r="N69" i="7" s="1"/>
  <c r="H71" i="28" s="1"/>
  <c r="C71" i="28"/>
  <c r="E54" i="7"/>
  <c r="C56" i="28"/>
  <c r="E55" i="7"/>
  <c r="C57" i="28"/>
  <c r="E49" i="7"/>
  <c r="C50" i="28"/>
  <c r="E42" i="7"/>
  <c r="C43" i="28"/>
  <c r="E36" i="7"/>
  <c r="C37" i="28"/>
  <c r="E28" i="7"/>
  <c r="C29" i="28"/>
  <c r="E23" i="7"/>
  <c r="C23" i="28"/>
  <c r="C98" i="28"/>
  <c r="C96" i="28"/>
  <c r="E76" i="7"/>
  <c r="C78" i="28"/>
  <c r="E80" i="7"/>
  <c r="C82" i="28"/>
  <c r="E75" i="7"/>
  <c r="C77" i="28"/>
  <c r="E61" i="7"/>
  <c r="C63" i="28"/>
  <c r="E14" i="7"/>
  <c r="C14" i="28"/>
  <c r="E48" i="7"/>
  <c r="C49" i="28"/>
  <c r="E16" i="7"/>
  <c r="C16" i="28"/>
  <c r="E35" i="7"/>
  <c r="C36" i="28"/>
  <c r="E50" i="7"/>
  <c r="C51" i="28"/>
  <c r="E11" i="7"/>
  <c r="C11" i="28"/>
  <c r="M95" i="7"/>
  <c r="G71" i="7"/>
  <c r="L71" i="7" s="1"/>
  <c r="O71" i="7"/>
  <c r="I73" i="28" s="1"/>
  <c r="G63" i="7"/>
  <c r="L63" i="7" s="1"/>
  <c r="O63" i="7"/>
  <c r="I65" i="28" s="1"/>
  <c r="G55" i="7"/>
  <c r="L55" i="7" s="1"/>
  <c r="O55" i="7"/>
  <c r="I57" i="28" s="1"/>
  <c r="G48" i="7"/>
  <c r="L48" i="7" s="1"/>
  <c r="O48" i="7"/>
  <c r="I49" i="28" s="1"/>
  <c r="G40" i="7"/>
  <c r="O40" i="7"/>
  <c r="I41" i="28" s="1"/>
  <c r="G32" i="7"/>
  <c r="L32" i="7" s="1"/>
  <c r="O32" i="7"/>
  <c r="I33" i="28" s="1"/>
  <c r="G25" i="7"/>
  <c r="O25" i="7"/>
  <c r="I25" i="28" s="1"/>
  <c r="G17" i="7"/>
  <c r="N17" i="7" s="1"/>
  <c r="H17" i="28" s="1"/>
  <c r="O17" i="7"/>
  <c r="I17" i="28" s="1"/>
  <c r="G10" i="7"/>
  <c r="N10" i="7" s="1"/>
  <c r="H10" i="28" s="1"/>
  <c r="O10" i="7"/>
  <c r="I10" i="28" s="1"/>
  <c r="G78" i="7"/>
  <c r="L78" i="7"/>
  <c r="O78" i="7"/>
  <c r="I80" i="28" s="1"/>
  <c r="N78" i="7"/>
  <c r="H80" i="28" s="1"/>
  <c r="G70" i="7"/>
  <c r="N70" i="7" s="1"/>
  <c r="H72" i="28" s="1"/>
  <c r="O70" i="7"/>
  <c r="I72" i="28" s="1"/>
  <c r="G54" i="7"/>
  <c r="O54" i="7"/>
  <c r="I56" i="28" s="1"/>
  <c r="G62" i="7"/>
  <c r="O62" i="7"/>
  <c r="I64" i="28" s="1"/>
  <c r="I54" i="28"/>
  <c r="G39" i="7"/>
  <c r="N39" i="7" s="1"/>
  <c r="H40" i="28" s="1"/>
  <c r="O39" i="7"/>
  <c r="I40" i="28" s="1"/>
  <c r="G31" i="7"/>
  <c r="N31" i="7" s="1"/>
  <c r="H32" i="28" s="1"/>
  <c r="O31" i="7"/>
  <c r="I32" i="28" s="1"/>
  <c r="G24" i="7"/>
  <c r="O24" i="7"/>
  <c r="I24" i="28" s="1"/>
  <c r="G51" i="7"/>
  <c r="O51" i="7"/>
  <c r="I52" i="28" s="1"/>
  <c r="G14" i="7"/>
  <c r="O14" i="7"/>
  <c r="I14" i="28" s="1"/>
  <c r="G77" i="7"/>
  <c r="N77" i="7" s="1"/>
  <c r="H79" i="28" s="1"/>
  <c r="O77" i="7"/>
  <c r="I79" i="28" s="1"/>
  <c r="G69" i="7"/>
  <c r="O69" i="7"/>
  <c r="I71" i="28" s="1"/>
  <c r="G61" i="7"/>
  <c r="O61" i="7"/>
  <c r="I63" i="28" s="1"/>
  <c r="G12" i="7"/>
  <c r="O12" i="7"/>
  <c r="I12" i="28" s="1"/>
  <c r="G46" i="7"/>
  <c r="N46" i="7" s="1"/>
  <c r="H47" i="28" s="1"/>
  <c r="O46" i="7"/>
  <c r="I47" i="28" s="1"/>
  <c r="G38" i="7"/>
  <c r="N38" i="7" s="1"/>
  <c r="H39" i="28" s="1"/>
  <c r="O38" i="7"/>
  <c r="I39" i="28" s="1"/>
  <c r="G59" i="7"/>
  <c r="O59" i="7"/>
  <c r="I61" i="28" s="1"/>
  <c r="G23" i="7"/>
  <c r="N23" i="7" s="1"/>
  <c r="H23" i="28" s="1"/>
  <c r="O23" i="7"/>
  <c r="I23" i="28" s="1"/>
  <c r="G57" i="7"/>
  <c r="O57" i="7"/>
  <c r="I59" i="28" s="1"/>
  <c r="G4" i="7"/>
  <c r="O4" i="7"/>
  <c r="I4" i="28" s="1"/>
  <c r="G47" i="7"/>
  <c r="O47" i="7"/>
  <c r="I48" i="28" s="1"/>
  <c r="G68" i="7"/>
  <c r="L68" i="7" s="1"/>
  <c r="O68" i="7"/>
  <c r="I70" i="28" s="1"/>
  <c r="G60" i="7"/>
  <c r="N60" i="7" s="1"/>
  <c r="H62" i="28" s="1"/>
  <c r="O60" i="7"/>
  <c r="I62" i="28" s="1"/>
  <c r="G85" i="7"/>
  <c r="O85" i="7"/>
  <c r="I87" i="28" s="1"/>
  <c r="G45" i="7"/>
  <c r="L45" i="7" s="1"/>
  <c r="O45" i="7"/>
  <c r="I46" i="28" s="1"/>
  <c r="G37" i="7"/>
  <c r="O37" i="7"/>
  <c r="I38" i="28" s="1"/>
  <c r="G29" i="7"/>
  <c r="O29" i="7"/>
  <c r="I30" i="28" s="1"/>
  <c r="G11" i="7"/>
  <c r="O11" i="7"/>
  <c r="I11" i="28" s="1"/>
  <c r="G3" i="7"/>
  <c r="O3" i="7"/>
  <c r="I3" i="28" s="1"/>
  <c r="G16" i="7"/>
  <c r="O16" i="7"/>
  <c r="I16" i="28" s="1"/>
  <c r="G67" i="7"/>
  <c r="L67" i="7" s="1"/>
  <c r="O67" i="7"/>
  <c r="I69" i="28" s="1"/>
  <c r="I28" i="28"/>
  <c r="G52" i="7"/>
  <c r="L52" i="7" s="1"/>
  <c r="O52" i="7"/>
  <c r="I53" i="28" s="1"/>
  <c r="G44" i="7"/>
  <c r="N44" i="7" s="1"/>
  <c r="H45" i="28" s="1"/>
  <c r="O44" i="7"/>
  <c r="I45" i="28" s="1"/>
  <c r="G36" i="7"/>
  <c r="O36" i="7"/>
  <c r="I37" i="28" s="1"/>
  <c r="G28" i="7"/>
  <c r="N28" i="7" s="1"/>
  <c r="H29" i="28" s="1"/>
  <c r="O28" i="7"/>
  <c r="I29" i="28" s="1"/>
  <c r="G84" i="7"/>
  <c r="O84" i="7"/>
  <c r="I86" i="28" s="1"/>
  <c r="G15" i="7"/>
  <c r="O15" i="7"/>
  <c r="I15" i="28" s="1"/>
  <c r="G30" i="7"/>
  <c r="O30" i="7"/>
  <c r="I31" i="28" s="1"/>
  <c r="I96" i="28"/>
  <c r="G76" i="7"/>
  <c r="O76" i="7"/>
  <c r="I78" i="28" s="1"/>
  <c r="G93" i="7"/>
  <c r="O93" i="7"/>
  <c r="I95" i="28" s="1"/>
  <c r="G8" i="7"/>
  <c r="O8" i="7"/>
  <c r="I8" i="28" s="1"/>
  <c r="G92" i="7"/>
  <c r="O92" i="7"/>
  <c r="I94" i="28" s="1"/>
  <c r="G83" i="7"/>
  <c r="O83" i="7"/>
  <c r="I85" i="28" s="1"/>
  <c r="I101" i="28"/>
  <c r="G91" i="7"/>
  <c r="O91" i="7"/>
  <c r="I93" i="28" s="1"/>
  <c r="G79" i="7"/>
  <c r="O79" i="7"/>
  <c r="I81" i="28" s="1"/>
  <c r="I100" i="28"/>
  <c r="G90" i="7"/>
  <c r="O90" i="7"/>
  <c r="I92" i="28" s="1"/>
  <c r="G7" i="7"/>
  <c r="O7" i="7"/>
  <c r="I7" i="28" s="1"/>
  <c r="G75" i="7"/>
  <c r="N75" i="7" s="1"/>
  <c r="H77" i="28" s="1"/>
  <c r="O75" i="7"/>
  <c r="I77" i="28" s="1"/>
  <c r="G94" i="7"/>
  <c r="O94" i="7"/>
  <c r="I99" i="28" s="1"/>
  <c r="G89" i="7"/>
  <c r="O89" i="7"/>
  <c r="I91" i="28" s="1"/>
  <c r="G82" i="7"/>
  <c r="L82" i="7" s="1"/>
  <c r="O82" i="7"/>
  <c r="I84" i="28" s="1"/>
  <c r="G74" i="7"/>
  <c r="N74" i="7" s="1"/>
  <c r="H76" i="28" s="1"/>
  <c r="O74" i="7"/>
  <c r="I76" i="28" s="1"/>
  <c r="G66" i="7"/>
  <c r="L66" i="7" s="1"/>
  <c r="O66" i="7"/>
  <c r="I68" i="28" s="1"/>
  <c r="G86" i="7"/>
  <c r="O86" i="7"/>
  <c r="I88" i="28" s="1"/>
  <c r="G53" i="7"/>
  <c r="O53" i="7"/>
  <c r="I55" i="28" s="1"/>
  <c r="G21" i="7"/>
  <c r="O21" i="7"/>
  <c r="I21" i="28" s="1"/>
  <c r="G35" i="7"/>
  <c r="L35" i="7" s="1"/>
  <c r="O35" i="7"/>
  <c r="I36" i="28" s="1"/>
  <c r="G50" i="7"/>
  <c r="O50" i="7"/>
  <c r="I51" i="28" s="1"/>
  <c r="G20" i="7"/>
  <c r="O20" i="7"/>
  <c r="I20" i="28" s="1"/>
  <c r="G6" i="7"/>
  <c r="O6" i="7"/>
  <c r="I6" i="28" s="1"/>
  <c r="G13" i="7"/>
  <c r="O13" i="7"/>
  <c r="I13" i="28" s="1"/>
  <c r="G73" i="7"/>
  <c r="O73" i="7"/>
  <c r="I75" i="28" s="1"/>
  <c r="G65" i="7"/>
  <c r="L65" i="7" s="1"/>
  <c r="O65" i="7"/>
  <c r="I67" i="28" s="1"/>
  <c r="G43" i="7"/>
  <c r="O43" i="7"/>
  <c r="I44" i="28" s="1"/>
  <c r="G9" i="7"/>
  <c r="O9" i="7"/>
  <c r="I9" i="28" s="1"/>
  <c r="G42" i="7"/>
  <c r="N42" i="7" s="1"/>
  <c r="H43" i="28" s="1"/>
  <c r="O42" i="7"/>
  <c r="I43" i="28" s="1"/>
  <c r="G34" i="7"/>
  <c r="L34" i="7" s="1"/>
  <c r="O34" i="7"/>
  <c r="I35" i="28" s="1"/>
  <c r="G27" i="7"/>
  <c r="O27" i="7"/>
  <c r="I27" i="28" s="1"/>
  <c r="G19" i="7"/>
  <c r="L19" i="7" s="1"/>
  <c r="O19" i="7"/>
  <c r="I19" i="28" s="1"/>
  <c r="G18" i="7"/>
  <c r="O18" i="7"/>
  <c r="I18" i="28" s="1"/>
  <c r="G5" i="7"/>
  <c r="O5" i="7"/>
  <c r="I5" i="28" s="1"/>
  <c r="G22" i="7"/>
  <c r="O22" i="7"/>
  <c r="I22" i="28" s="1"/>
  <c r="I98" i="28"/>
  <c r="G88" i="7"/>
  <c r="O88" i="7"/>
  <c r="I90" i="28" s="1"/>
  <c r="G81" i="7"/>
  <c r="O81" i="7"/>
  <c r="I83" i="28" s="1"/>
  <c r="I97" i="28"/>
  <c r="G87" i="7"/>
  <c r="O87" i="7"/>
  <c r="I89" i="28" s="1"/>
  <c r="G80" i="7"/>
  <c r="N80" i="7" s="1"/>
  <c r="H82" i="28" s="1"/>
  <c r="O80" i="7"/>
  <c r="I82" i="28" s="1"/>
  <c r="G72" i="7"/>
  <c r="L72" i="7" s="1"/>
  <c r="O72" i="7"/>
  <c r="I74" i="28" s="1"/>
  <c r="G64" i="7"/>
  <c r="O64" i="7"/>
  <c r="I66" i="28" s="1"/>
  <c r="G56" i="7"/>
  <c r="O56" i="7"/>
  <c r="I58" i="28" s="1"/>
  <c r="G49" i="7"/>
  <c r="O49" i="7"/>
  <c r="I50" i="28" s="1"/>
  <c r="G41" i="7"/>
  <c r="L41" i="7" s="1"/>
  <c r="O41" i="7"/>
  <c r="I42" i="28" s="1"/>
  <c r="G33" i="7"/>
  <c r="N33" i="7" s="1"/>
  <c r="H34" i="28" s="1"/>
  <c r="O33" i="7"/>
  <c r="I34" i="28" s="1"/>
  <c r="G26" i="7"/>
  <c r="O26" i="7"/>
  <c r="I26" i="28" s="1"/>
  <c r="G58" i="7"/>
  <c r="O58" i="7"/>
  <c r="I60" i="28" s="1"/>
  <c r="L29" i="7" l="1"/>
  <c r="L53" i="7"/>
  <c r="N62" i="7"/>
  <c r="H64" i="28" s="1"/>
  <c r="L59" i="7"/>
  <c r="L40" i="7"/>
  <c r="N53" i="7"/>
  <c r="H55" i="28" s="1"/>
  <c r="L5" i="7"/>
  <c r="M5" i="7" s="1"/>
  <c r="L26" i="7"/>
  <c r="M26" i="7" s="1"/>
  <c r="L9" i="7"/>
  <c r="M9" i="7" s="1"/>
  <c r="N58" i="7"/>
  <c r="H60" i="28" s="1"/>
  <c r="N79" i="7"/>
  <c r="H81" i="28" s="1"/>
  <c r="N18" i="7"/>
  <c r="H18" i="28" s="1"/>
  <c r="L85" i="7"/>
  <c r="M85" i="7" s="1"/>
  <c r="N47" i="7"/>
  <c r="H48" i="28" s="1"/>
  <c r="H98" i="28"/>
  <c r="L7" i="7"/>
  <c r="M7" i="7" s="1"/>
  <c r="N5" i="7"/>
  <c r="H5" i="28" s="1"/>
  <c r="L88" i="7"/>
  <c r="M88" i="7" s="1"/>
  <c r="N54" i="7"/>
  <c r="H56" i="28" s="1"/>
  <c r="L89" i="7"/>
  <c r="M89" i="7" s="1"/>
  <c r="N27" i="7"/>
  <c r="H27" i="28" s="1"/>
  <c r="H97" i="28"/>
  <c r="N81" i="7"/>
  <c r="H83" i="28" s="1"/>
  <c r="N73" i="7"/>
  <c r="H75" i="28" s="1"/>
  <c r="N20" i="7"/>
  <c r="H20" i="28" s="1"/>
  <c r="N21" i="7"/>
  <c r="H21" i="28" s="1"/>
  <c r="L94" i="7"/>
  <c r="M94" i="7" s="1"/>
  <c r="N29" i="7"/>
  <c r="H30" i="28" s="1"/>
  <c r="N84" i="7"/>
  <c r="H86" i="28" s="1"/>
  <c r="H96" i="28"/>
  <c r="N43" i="7"/>
  <c r="H44" i="28" s="1"/>
  <c r="L56" i="7"/>
  <c r="M56" i="7" s="1"/>
  <c r="L90" i="7"/>
  <c r="M90" i="7" s="1"/>
  <c r="N93" i="7"/>
  <c r="H95" i="28" s="1"/>
  <c r="N16" i="7"/>
  <c r="H16" i="28" s="1"/>
  <c r="N14" i="7"/>
  <c r="H14" i="28" s="1"/>
  <c r="L69" i="7"/>
  <c r="M69" i="7" s="1"/>
  <c r="N25" i="7"/>
  <c r="H25" i="28" s="1"/>
  <c r="L49" i="7"/>
  <c r="M49" i="7" s="1"/>
  <c r="L92" i="7"/>
  <c r="M92" i="7" s="1"/>
  <c r="N51" i="7"/>
  <c r="H52" i="28" s="1"/>
  <c r="H54" i="28"/>
  <c r="L13" i="7"/>
  <c r="M13" i="7" s="1"/>
  <c r="N50" i="7"/>
  <c r="H51" i="28" s="1"/>
  <c r="H100" i="28"/>
  <c r="N24" i="7"/>
  <c r="H24" i="28" s="1"/>
  <c r="N11" i="7"/>
  <c r="H11" i="28" s="1"/>
  <c r="N6" i="7"/>
  <c r="H6" i="28" s="1"/>
  <c r="N15" i="7"/>
  <c r="H15" i="28" s="1"/>
  <c r="N49" i="7"/>
  <c r="H50" i="28" s="1"/>
  <c r="N91" i="7"/>
  <c r="H93" i="28" s="1"/>
  <c r="L83" i="7"/>
  <c r="M83" i="7" s="1"/>
  <c r="L76" i="7"/>
  <c r="M76" i="7" s="1"/>
  <c r="N37" i="7"/>
  <c r="H38" i="28" s="1"/>
  <c r="N57" i="7"/>
  <c r="H59" i="28" s="1"/>
  <c r="L64" i="7"/>
  <c r="M64" i="7" s="1"/>
  <c r="L87" i="7"/>
  <c r="M87" i="7" s="1"/>
  <c r="N8" i="7"/>
  <c r="H8" i="28" s="1"/>
  <c r="N36" i="7"/>
  <c r="H37" i="28" s="1"/>
  <c r="L61" i="7"/>
  <c r="M61" i="7" s="1"/>
  <c r="L86" i="7"/>
  <c r="M86" i="7" s="1"/>
  <c r="N22" i="7"/>
  <c r="H22" i="28" s="1"/>
  <c r="N30" i="7"/>
  <c r="H31" i="28" s="1"/>
  <c r="N3" i="7"/>
  <c r="H3" i="28" s="1"/>
  <c r="N4" i="7"/>
  <c r="H4" i="28" s="1"/>
  <c r="N12" i="7"/>
  <c r="H12" i="28" s="1"/>
  <c r="L80" i="7"/>
  <c r="L8" i="7"/>
  <c r="L25" i="7"/>
  <c r="N61" i="7"/>
  <c r="H63" i="28" s="1"/>
  <c r="L33" i="7"/>
  <c r="N72" i="7"/>
  <c r="H74" i="28" s="1"/>
  <c r="L15" i="7"/>
  <c r="L12" i="7"/>
  <c r="N26" i="7"/>
  <c r="H26" i="28" s="1"/>
  <c r="L51" i="7"/>
  <c r="N67" i="7"/>
  <c r="H69" i="28" s="1"/>
  <c r="N52" i="7"/>
  <c r="H53" i="28" s="1"/>
  <c r="N41" i="7"/>
  <c r="H42" i="28" s="1"/>
  <c r="L16" i="7"/>
  <c r="M16" i="7" s="1"/>
  <c r="L10" i="7"/>
  <c r="M10" i="7" s="1"/>
  <c r="L77" i="7"/>
  <c r="L21" i="7"/>
  <c r="L30" i="7"/>
  <c r="L3" i="7"/>
  <c r="M3" i="7" s="1"/>
  <c r="L47" i="7"/>
  <c r="L6" i="7"/>
  <c r="N7" i="7"/>
  <c r="H7" i="28" s="1"/>
  <c r="L44" i="7"/>
  <c r="M44" i="7" s="1"/>
  <c r="L74" i="7"/>
  <c r="M74" i="7" s="1"/>
  <c r="L28" i="7"/>
  <c r="N68" i="7"/>
  <c r="H70" i="28" s="1"/>
  <c r="L39" i="7"/>
  <c r="M39" i="7" s="1"/>
  <c r="L36" i="7"/>
  <c r="M36" i="7" s="1"/>
  <c r="L17" i="7"/>
  <c r="N13" i="7"/>
  <c r="H13" i="28" s="1"/>
  <c r="L22" i="7"/>
  <c r="M22" i="7" s="1"/>
  <c r="L42" i="7"/>
  <c r="N66" i="7"/>
  <c r="H68" i="28" s="1"/>
  <c r="L11" i="7"/>
  <c r="N82" i="7"/>
  <c r="H84" i="28" s="1"/>
  <c r="N65" i="7"/>
  <c r="H67" i="28" s="1"/>
  <c r="L18" i="7"/>
  <c r="M18" i="7" s="1"/>
  <c r="N9" i="7"/>
  <c r="H9" i="28" s="1"/>
  <c r="L50" i="7"/>
  <c r="L23" i="7"/>
  <c r="N34" i="7"/>
  <c r="H35" i="28" s="1"/>
  <c r="L75" i="7"/>
  <c r="M75" i="7" s="1"/>
  <c r="N19" i="7"/>
  <c r="H19" i="28" s="1"/>
  <c r="N35" i="7"/>
  <c r="H36" i="28" s="1"/>
  <c r="L70" i="7"/>
  <c r="L46" i="7"/>
  <c r="L60" i="7"/>
  <c r="L14" i="7"/>
  <c r="N45" i="7"/>
  <c r="H46" i="28" s="1"/>
  <c r="L38" i="7"/>
  <c r="L31" i="7"/>
  <c r="L4" i="7"/>
  <c r="M4" i="7" s="1"/>
  <c r="N32" i="7"/>
  <c r="H33" i="28" s="1"/>
  <c r="N48" i="7"/>
  <c r="H49" i="28" s="1"/>
  <c r="N63" i="7"/>
  <c r="H65" i="28" s="1"/>
  <c r="N55" i="7"/>
  <c r="H57" i="28" s="1"/>
  <c r="N71" i="7"/>
  <c r="H73" i="28" s="1"/>
  <c r="M19" i="7"/>
  <c r="M48" i="7"/>
  <c r="M41" i="7"/>
  <c r="M65" i="7"/>
  <c r="M91" i="7"/>
  <c r="M40" i="7"/>
  <c r="M53" i="7"/>
  <c r="M54" i="7"/>
  <c r="M81" i="7"/>
  <c r="M32" i="7"/>
  <c r="M34" i="7"/>
  <c r="M93" i="7"/>
  <c r="M63" i="7"/>
  <c r="M67" i="7"/>
  <c r="M20" i="7"/>
  <c r="M52" i="7"/>
  <c r="M68" i="7"/>
  <c r="M57" i="7"/>
  <c r="M71" i="7"/>
  <c r="M59" i="7"/>
  <c r="M82" i="7"/>
  <c r="M43" i="7"/>
  <c r="M24" i="7"/>
  <c r="M73" i="7"/>
  <c r="M29" i="7"/>
  <c r="M84" i="7"/>
  <c r="M45" i="7"/>
  <c r="M78" i="7"/>
  <c r="M55" i="7"/>
  <c r="M79" i="7"/>
  <c r="M72" i="7"/>
  <c r="M58" i="7"/>
  <c r="M66" i="7"/>
  <c r="M37" i="7"/>
  <c r="M62" i="7"/>
  <c r="M27" i="7"/>
  <c r="M35" i="7"/>
  <c r="M80" i="7" l="1"/>
  <c r="M33" i="7"/>
  <c r="M25" i="7"/>
  <c r="M77" i="7"/>
  <c r="M47" i="7"/>
  <c r="M6" i="7"/>
  <c r="M17" i="7"/>
  <c r="M14" i="7"/>
  <c r="M42" i="7"/>
  <c r="M23" i="7"/>
  <c r="M12" i="7"/>
  <c r="M46" i="7"/>
  <c r="M30" i="7"/>
  <c r="M8" i="7"/>
  <c r="M50" i="7"/>
  <c r="M51" i="7"/>
  <c r="M15" i="7"/>
  <c r="M21" i="7"/>
  <c r="M28" i="7"/>
  <c r="M11" i="7"/>
  <c r="M38" i="7"/>
  <c r="M70" i="7"/>
  <c r="M31" i="7"/>
  <c r="M60"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tc={D40DAFD9-5112-4781-AC64-4ED9F9E557A9}</author>
    <author>tc={1754FBB4-5B73-48E1-B6D1-96C11372F5B3}</author>
  </authors>
  <commentList>
    <comment ref="G2" authorId="0" shapeId="0" xr:uid="{D40DAFD9-5112-4781-AC64-4ED9F9E557A9}">
      <text>
        <t>[Threaded comment]
Your version of Excel allows you to read this threaded comment; however, any edits to it will get removed if the file is opened in a newer version of Excel. Learn more: https://go.microsoft.com/fwlink/?linkid=870924
Comment:
    amended</t>
      </text>
    </comment>
    <comment ref="D8" authorId="1" shapeId="0" xr:uid="{1754FBB4-5B73-48E1-B6D1-96C11372F5B3}">
      <text>
        <t>[Threaded comment]
Your version of Excel allows you to read this threaded comment; however, any edits to it will get removed if the file is opened in a newer version of Excel. Learn more: https://go.microsoft.com/fwlink/?linkid=870924
Comment:
    Need to be checked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tc={6EBB73CC-1B3E-4B92-A81C-CA6C05A5D3E5}</author>
    <author>IdealRatings Review</author>
  </authors>
  <commentList>
    <comment ref="E39" authorId="0" shapeId="0" xr:uid="{6EBB73CC-1B3E-4B92-A81C-CA6C05A5D3E5}">
      <text>
        <t xml:space="preserve">[Threaded comment]
Your version of Excel allows you to read this threaded comment; however, any edits to it will get removed if the file is opened in a newer version of Excel. Learn more: https://go.microsoft.com/fwlink/?linkid=870924
Comment:
    What about MIDF shariah ESG delivery </t>
      </text>
    </comment>
    <comment ref="D41" authorId="1" shapeId="0" xr:uid="{1C0B322E-B0F8-484C-B934-8E1B6E0183E8}">
      <text>
        <r>
          <rPr>
            <b/>
            <sz val="10"/>
            <color rgb="FF000000"/>
            <rFont val="Tahoma"/>
            <family val="2"/>
          </rPr>
          <t>IdealRatings Review:</t>
        </r>
        <r>
          <rPr>
            <sz val="10"/>
            <color rgb="FF000000"/>
            <rFont val="Tahoma"/>
            <family val="2"/>
          </rPr>
          <t xml:space="preserve">
</t>
        </r>
        <r>
          <rPr>
            <sz val="10"/>
            <color rgb="FF000000"/>
            <rFont val="Tahoma"/>
            <family val="2"/>
          </rPr>
          <t xml:space="preserve">IR fields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<sst xmlns="http://schemas.openxmlformats.org/spreadsheetml/2006/main" count="3848" uniqueCount="989">
  <si>
    <t>Client</t>
  </si>
  <si>
    <t>FactSet</t>
  </si>
  <si>
    <t>Reuters</t>
  </si>
  <si>
    <t>Source</t>
  </si>
  <si>
    <t>Ashmore</t>
  </si>
  <si>
    <t>Cohen &amp; Steers</t>
  </si>
  <si>
    <t>Russell Investments</t>
  </si>
  <si>
    <t>NBK</t>
  </si>
  <si>
    <t>Axiom</t>
  </si>
  <si>
    <t>Comgest</t>
  </si>
  <si>
    <t>GQG</t>
  </si>
  <si>
    <t>KFH</t>
  </si>
  <si>
    <t>NQUI</t>
  </si>
  <si>
    <t>JOHambro</t>
  </si>
  <si>
    <t>Malacca Securities</t>
  </si>
  <si>
    <t>PSE</t>
  </si>
  <si>
    <t>Pure wealth</t>
  </si>
  <si>
    <t>Al Salam</t>
  </si>
  <si>
    <t>NORTH ATLANTIC (NAIS)</t>
  </si>
  <si>
    <t>Aghaz</t>
  </si>
  <si>
    <t>Alpha Capital</t>
  </si>
  <si>
    <t>AlRayan</t>
  </si>
  <si>
    <t>ARGA</t>
  </si>
  <si>
    <t>BMK</t>
  </si>
  <si>
    <t>Sameer Azzam</t>
  </si>
  <si>
    <t>Acadian</t>
  </si>
  <si>
    <t>AlBilad</t>
  </si>
  <si>
    <t>ADIB</t>
  </si>
  <si>
    <t>Alinma</t>
  </si>
  <si>
    <t>Introspect</t>
  </si>
  <si>
    <t>Manulife</t>
  </si>
  <si>
    <t>MIDF</t>
  </si>
  <si>
    <t>Rasameel</t>
  </si>
  <si>
    <t>AlJazira</t>
  </si>
  <si>
    <t>BlackRock</t>
  </si>
  <si>
    <t>Arabesque</t>
  </si>
  <si>
    <t>ARCA</t>
  </si>
  <si>
    <t>Arqaam Capital</t>
  </si>
  <si>
    <t>Boubyan</t>
  </si>
  <si>
    <t>Epicure</t>
  </si>
  <si>
    <t>MSM</t>
  </si>
  <si>
    <t>Nomura</t>
  </si>
  <si>
    <t>Omigsa</t>
  </si>
  <si>
    <t>PMB</t>
  </si>
  <si>
    <t>Riyad Capital</t>
  </si>
  <si>
    <t>Saudi Fransi Capital</t>
  </si>
  <si>
    <t>SEDCO</t>
  </si>
  <si>
    <t>Baillie Gifford</t>
  </si>
  <si>
    <t>CSRHub</t>
  </si>
  <si>
    <t>Jadwa</t>
  </si>
  <si>
    <t>Fields</t>
  </si>
  <si>
    <t>ASRHC</t>
  </si>
  <si>
    <t>Name,ISIN,SEDOL,Ticker,Weight,Underlying Shares,Market Values USD</t>
  </si>
  <si>
    <t>AIMS</t>
  </si>
  <si>
    <t>Name,ISIN,SEDOL,Ticker,Weight</t>
  </si>
  <si>
    <t>NCB</t>
  </si>
  <si>
    <t>Name,ISIN,SEDOL,Ticker,Price,Free Float Single,Capping Factor,Weight,AsOfDate,Benchmark Code</t>
  </si>
  <si>
    <t>Sattam AlRajhi</t>
  </si>
  <si>
    <t>Alawwal</t>
  </si>
  <si>
    <t>Name,ISIN,Ticker,Exchange Country,Exchange,Index Shares,Index Market Cap (USD),Total Shares Outstanding,Total Market Cap (USD),Weight</t>
  </si>
  <si>
    <t>Fransi Capital</t>
  </si>
  <si>
    <t>Name,ISIN,SEDOL,RIC,Weight,AsOfDate,Bench_Code</t>
  </si>
  <si>
    <t>KSB</t>
  </si>
  <si>
    <t>Miyar Capital</t>
  </si>
  <si>
    <t>Nefaie</t>
  </si>
  <si>
    <t>Osool and Bakheet</t>
  </si>
  <si>
    <t>Rassanah Capital</t>
  </si>
  <si>
    <t>Alkhair Capital</t>
  </si>
  <si>
    <t>Name,ISIN,Ticker,Weight</t>
  </si>
  <si>
    <t>WID, SEDOL, Name, RIC, ISIN, Country, Country Code, Corporate Action Status, Open Market Cap USD, Close Market Cap USD, Currency Code, Gross Dividend Per Share USD, Net Dividends Per Share USD, Float Market Cap %, Adjusted Open Float Market Cap USD, Close Float Market Cap USD, Ex-Div Date, Capping Factor, Weight</t>
  </si>
  <si>
    <t>Visio Fund</t>
  </si>
  <si>
    <t>Name,ISIN,RIC,Weight</t>
  </si>
  <si>
    <t>ANB</t>
  </si>
  <si>
    <t>BlomInvest</t>
  </si>
  <si>
    <t>Delivery Name</t>
  </si>
  <si>
    <t>Acadian - AlRajhi Delivery</t>
  </si>
  <si>
    <t>ISIN, Ticker, Name</t>
  </si>
  <si>
    <t>Acadian Global Delivery</t>
  </si>
  <si>
    <t>Name, ISIN, CUSIP, SEDOL, AAOIFI, Foreign, NVDR</t>
  </si>
  <si>
    <t>Acadian NCB</t>
  </si>
  <si>
    <t>ISIN, SEDOL, CUSIP, Ticker, Name, NCB Global</t>
  </si>
  <si>
    <t>ADIB SAUDI</t>
  </si>
  <si>
    <t>Name, ISIN, Ticker, Sector, Market Cap</t>
  </si>
  <si>
    <t>ADIB US</t>
  </si>
  <si>
    <t>Al Bilad Saudi Delivery</t>
  </si>
  <si>
    <t>Name, Nation, Ticker</t>
  </si>
  <si>
    <t>Albilad GCC and Saudi</t>
  </si>
  <si>
    <t>Name, Nation, ISIN, Ticker, Puridication status, Fiscal Period, Albilad, Albilad Old Methodology, [Albilad] Non-permissible Income, [Albilad] Interest-bearing Debts, [Albilad] Interest-bearing Investments, [Albilad] Purification (Hyb.), [Albilad Old Methodology] Non-permissible Income, [Albilad Old Methodology] Interest-bearing Debts, [Albilad Old Methodology] Interest-bearing Investments, [Albilad Old Methodology] Purification (Hyb.), Currency Code</t>
  </si>
  <si>
    <t>AlBilad US OTC &amp; HK Exchanges</t>
  </si>
  <si>
    <t>IR WID, Name, ISIN, Ticker, Albilad BA, Albilad (A/MC) Global</t>
  </si>
  <si>
    <t>Alinma Brokerage List</t>
  </si>
  <si>
    <t>Name, Nation, ISIN, Ticker</t>
  </si>
  <si>
    <t>Alinma Shariah List</t>
  </si>
  <si>
    <t>Ticker, Name, Nation, AAOIFI, [AAOIFI] Interest bearing Debts, [AAOIFI] Interest bearing Investments, [AAOIFI] Non permissible Income</t>
  </si>
  <si>
    <t>Aljazira Symbols</t>
  </si>
  <si>
    <t>ISIN, Ticker, Name, Exchanges, AlJazeera RB1, AlJazeera RB2</t>
  </si>
  <si>
    <t>AlRajhi Egypt</t>
  </si>
  <si>
    <t>Ticker, ISIN, Name, Nation, Sector, Fiscal Period, Al-Rajhi, [Al-Rajhi] Debt Ratio, [Al-Rajhi] Financial Status, [Al-Rajhi] Non Permissible Income Ratio, [Al-Rajhi] NPIN Status, [Al-Rajhi]  Preference Share, [Al-Rajhi]  Country of Incorporation, Al Rajhi Business Activity , Al Rajhi Brokerage Alternative</t>
  </si>
  <si>
    <t>AlRajhi GCC</t>
  </si>
  <si>
    <t>Ticker, Nation Code, ISIN, Name, Nation, Sector, Currency, Year, Period, Al-Rajhi, [Al-Rajhi] Debt Ratio, [Al-Rajhi] Financial Status, [Al-Rajhi] Non Permissible Income Ratio, [Al-Rajhi] NPIN Status, [Al-Rajhi]  Preference Share, [Al-Rajhi] Country of Incorporation, Al Rajhi Business Activity, Al Rajhi Brokerage Alternative, [Al-Rajhi] Purification (Hyb.)</t>
  </si>
  <si>
    <t>AlRajhi Global</t>
  </si>
  <si>
    <t>AlRajhi Saudi</t>
  </si>
  <si>
    <t>Aperio/blackrock</t>
  </si>
  <si>
    <t>SEDOL, ISIN, Name, IdealRatings</t>
  </si>
  <si>
    <t>ISIN, SEDOL, Ticker, FIGI, Nation, Name, AAOIFI, Cash and Cash Equivalents - Total (in USD), Assets - Total (in USD), Receivables - Total (in USD), [AAOIFI] Interest bearing Investments, Cash and Short Term Inv. - Conv. (in USD), Cash and Short Term Inv. - Total (in USD)
, Long Term Inv. - Conv. (in USD)
, Long Term Inv. - Total (in USD)
, Note Receivable - Long Term (in USD)
, Notes Receivable - Short Term (in USD)
, Trailing 12 Months Market Cap (Daily) (in USD)
, [AAOIFI] Interest bearing Debts, Debt - Conv. (in USD)
, Debt - Total (in USD)
, [AAOIFI] Non permissible Income, [AAOIFI] Preference Share, Dow Jones Islamic based, [Dow Jones Islamic-based] Non permissible Income, [Dow Jones Islamic-based] Interest bearing Investments, [Dow Jones Islamic-based] Interest bearing Debts, [Dow Jones Islamic-based] Liquidity, FTSE Shariah based, [FTSE Shariah-based] Non permissible Income, [FTSE Shariah-based] Interest bearing Investments, [FTSE Shariah-based] Interest bearing Debts, [FTSE Shariah-based] Liquidity, Ideal Ratings, [IdealRatings] NPIN Ratio, [IdealRatings] Interest Bearing Investments Ratio, [IdealRatings] Debt Ratio, [IdealRatings] Screening 3 , MSCI Islamic based, [MSCI Islamic-based] Non permissible Income, [MSCI Islamic-based] Interest bearing Investments, [MSCI Islamic-based] Interest bearing Debts, [MSCI Islamic-based] Liquidity, FTSE Russell Ideal Ratings, [FTSE Russell Ideal Ratings]  Non permissible Income, [FTSE Russell Ideal Ratings]  Interest bearing Ratio, [FTSE Russell Ideal Ratings]  Debt Ratio, [FTSE Russell Ideal Ratings]  Israel, [FTSE Russell Ideal Ratings]  Issue Type, [FTSE Russell Ideal Ratings]  Preference Share, S P Shariah based, [S&amp;P Shariah-based] NPIN Global, [S&amp;P Shariah-based] NPIN GCC, [S&amp;P Shariah-based] Media GCC, [S&amp;P Shariah-based] Interest bearing Investments, [S&amp;P Shariah-based] Interest bearing Debts, [S&amp;P Shariah-based] Liquidity, Malaysia SC, [Malaysia SC] Interest bearing and Non compliant Operations, [Malaysia SC] Investment Financial Services and Real Estate Operations, [Malaysia SC] Interest bearing and Non compliant Operations PBT, [Malaysia SC] Investment Financial services and Real Estate Operations PBT, [Malaysia SC] Interest bearing Debts, [Malaysia SC] Interest bearing Investments, [Malaysia SC]   Preference/Trust Share, Nation Code, Market Cap (in USD), Free Float Shares, Total Common Shares, Sector</t>
  </si>
  <si>
    <t>Arca</t>
  </si>
  <si>
    <t>Name, ISIN, Ticker, SEDOL, Nation</t>
  </si>
  <si>
    <t>Arqaam Capital Delivery</t>
  </si>
  <si>
    <t>Name, ISIN, Ticker</t>
  </si>
  <si>
    <t>Name, ISIN, Ticker, Exchanges, Boubyan Capital</t>
  </si>
  <si>
    <t>Epicure Islamic Investment</t>
  </si>
  <si>
    <t>Name, ISIN, Ticker, AAOIFI</t>
  </si>
  <si>
    <t>Introspect Mena</t>
  </si>
  <si>
    <t xml:space="preserve">Date, Name, ISIN, Ticker, RIC Code, Nation, Business Activities, [Introspect] NPIN Status, [Introspect] Interest-bearing Investments, [Introspect] Interest-bearing Debts, Introspect,  </t>
  </si>
  <si>
    <t>Introspect Saudi</t>
  </si>
  <si>
    <t xml:space="preserve">Date, Name, ISIN, Ticker, RIC Code, Nation, Business Activities, [Introspect] NPIN Status, [Introspect] Interest-bearing Investments, [Introspect] Interest-bearing Debts, [Introspect] Non-permissible Income, Introspect,  </t>
  </si>
  <si>
    <t>Name, ISIN, Ticker, AAOIFI, IdealRatings AM, Indonesia OJK Shariah-based</t>
  </si>
  <si>
    <t>MIDF - Global Shariah ESG Delivery</t>
  </si>
  <si>
    <t>Name, ISIN, [IdealRatings ESG/SRI]IdealRatings ESG/SRI - Rating, IdealRatings ESG/SRI - Total Score, IdealRatings ESG/SRI - Environmental Score, IdealRatings ESG/SRI - Social Score, IdealRatings ESG/SRI - Governance Score</t>
  </si>
  <si>
    <t>Ticker, ISIN, Name, AAOIFI, [AAOIFI] Non-permissible Income, [AAOIFI] Interest-bearing Debts, [AAOIFI] Interest-bearing Investments, [AAOIFI] Purification (Inv.), Fiscal Period, Period End Date, Last Trading Date, Comment</t>
  </si>
  <si>
    <t>Name, SEDOL, ISIN, Ticker, Exchanges, AAOIFI, FTSE Shariah-based, MSCI Islamic-based, Dow Jones Islamic-based, Malaysia SC Shariah-based, Nomura NPIN</t>
  </si>
  <si>
    <t>Name, ISIN, Ticker, Compliance status</t>
  </si>
  <si>
    <t>PMB Shariah &amp; ESG Delivery</t>
  </si>
  <si>
    <t>IR WID, Name, ISIN, IdealRatings ESG - Rating</t>
  </si>
  <si>
    <t>ISIN, SEDOL, Weight, Date, Code</t>
  </si>
  <si>
    <t xml:space="preserve">Saudi Fransi Capital </t>
  </si>
  <si>
    <t>Name, Nation, ISIN, Business Activities, Debt Conv , Cash and Cash Equivalents Total, Receivables Total, Cash and Short Term Inv Conv , [FransiCapital] Total NPIN (1) , Trailing 12 Months Market Cap Most Recent Statement, Income Total, [FransiCapital] Debt, [FransiCapital] Interest bearing Investments, [FransiCapital] Non permissible Income, FransiCapital, Fransi Capital Purification Div , Fiscal Period</t>
  </si>
  <si>
    <t>SEDCO Global Small &amp; Mid Cap</t>
  </si>
  <si>
    <t>Name, ISIN, Ticker, Compliance Status</t>
  </si>
  <si>
    <t>Baillie Gifford Delivery</t>
  </si>
  <si>
    <t>IR WID, ISIN, SEDOL, CUSIP, Ticker, Nation, Name, AAOIFI, Dow Jones Islamic based, FTSE Shariah based, Ideal Ratings, MSCI Islamic based, FTSE Russell Ideal Ratings, S P Shariah based</t>
  </si>
  <si>
    <t>CSRHUB</t>
  </si>
  <si>
    <t>Name, Business Activities, ISIN, Region, Sector, Ticker, IdealRatings ESG - Rating, IdealRatings ESG - Total Score, IdealRatings SRI - Rating, IdealRatings SRI - Total Score, Abides by ISO14001 or EMAS guidelines, Commits to stakeholder involvement, Company's output is recycled, Compare current achievement to its announced targets, Discloses the greenhouse gas emissions., Has a committee to ensure environmental protection, Has a statement of comprehensive environmental policy, Has environmental grievance mechanisms, Has Environmental Management System (EMS) certification, Has not been involved in environmental legal proceedings, Has policy that addresses product/service impact, Has programs and targets to protect biodiversity, Has programs to reduce air emissions, Has programs to reduce hazardous waste generation, Has renewable energy usage targets, Has waste management programs, Integrate sustainability plans in their business activity, Oversees a water strategy or plan, Participates in Carbon Disclosure Project, Plans to reduce emissions from company buildings, Plans to reduce emissions from company transportation vehicles, Products come from responsibly managed forests, Published numerical waste related data, Publishes expense of environmental improvement, Publishes numerical air related data, Publishes numerical hazardous waste related data, Publishes numerical water related data, Reports environmental committee results, Reports oil spills, Reports water recycling/reuse, Uses recycled or recyclable raw material, Addresses issue of political contributions, All members of audit committee have financial background expertise, Chairman is an independent director, Communicates corruption policy to employees, Complies with IFRS or GAAP in financial statements, Conducts anti-corruption audits, Directors have stock ownership, Discloses Accounting policies and financial transparency, Disseminates information regarding details of directorsâ€™ remuneration, Has a formal Corporate Governance policy, Has a policy for insider trading, Has a senior executives' code of ethics, Has a statement of responsible marketing, Has and Audit and Risk Committee to monitor internal/external auditors., Has anti-competitive/antitrust policy, Has anti-corruption policy, Has committee to recommend the nomination/ compensation of BoD, Has external verification of CSR reporting, Has in-house team for responsible investment, Has not been involved in anti competitive legal proceedings, Has not been involved in corruption legal proceedings, Has not been involved in patent infringement legal proceedings, Has procedures for bribery related investigations, Has whistle-blowing procedures, Provides anti-corruption training to employees, Publishes sustainability reports, Roles of Chairman and CEO are separate, The majority of directors are independent, Ties executive compensation to ESG performance, Non Involvement in Burma / Myanmar, Non Involvement in Cuba, Non Involvement in DR Congo, Non Involvement in Iran, Non Involvement in North Korea, Non Involvement in Russia, Non Involvement in South Sudan, Non Involvement in Sudan, Non Involvement in Syria, Non Involvement in Zimbabwe, Abides my country's regulations when testing animals, Allows its workers to join trade unions, Communicates chemical constituents in products, Conducts in-house/third-party inspections of suppliers, Does not allow third party access to personal information, Does not undertake testing of products on animals., Does not use animals in product manufacturing, Employs disabled individuals, Ensures individualâ€™s consent before processing personal data, Features organic foods, Has a fair trade certification, Has a policy not to use child labor, Has a policy not to use forced labor, Has a policy statement on customer data privacy, Has a policy statement on supplier/partner data privacy, Has a senior manager responsible for community programs, Has a statement of compensation policy for employees, Has a supplier Code of Conduct, Has Health and Safety Certifications, Has local community development programs, Has not been involved in customer related legal proceedings, Has not been involved in employee safety &amp; health legal proceedings, Has not been involved in human rights legal proceedings, Has not been involved in supply chain legal proceedings, Has policy/program on the elimination of discrimination, Has product safety and quality assurance initiatives, Has programs and targets to Reduce Health and Safety Incidents, Has programs for affordable housing access, Has programs for education access, Has programs for food access, Has programs for health care access, Has programs to develop medicines for neglected diseases, Has programs to manage access to medicines, Has programs to support increase supplier diversity, Has Quality Management System(QMS) certification, Has social grievance mechanisms, Has women and/or minorities representation (20%) in BOD, Has women and/or minorities representation (20%) in employees, Have a policy for work-life balance, Integrate social sustainability plans in their business activity, Makes charitable donations in excess of Â£50,000, Measures customer satisfaction, Measures employees satisfaction, Monitors implementation of policies on human rights, Performs safety training, Promotes financial services access for disadvantaged people, Provides employee human rights training, Provides medical insurance, Provides number of training hours or employees trained, Provides relevant training to employees, Provides training on supplier code of conduct, Publishes accidents rates, Publishes data about employees volunteering hours, Publishes employees' turnover rates, Reports Inspection on suppliers &amp; violation of Code of Conduct, Reports on human rights policy and performance, Respects current/previous employees privacy, Signatory of UN Global Compact/SA8000/OECD Guidelines, Signatory to the Voluntary Principles on Security and Human Rights, Uses biological-based fertilizers and insecticides, Businesses should support a precautionary approach to environmental challenges, Businesses should support and respect the protection of internationally proclaimed human rights, Businesses should uphold the freedom of association and the effective recognition of the right to collective bargaining, Businesses should work against corruption in all its forms, including extortion and bribery, Encourage the development and diffusion of environmentally friendly technologies, Make sure that they are not complicit in human rights abuses., The effective abolition of child labour, The elimination of all forms of forced and compulsory labour, The elimination of discrimination in respect of employment and occupation, Undertake initiatives to promote greater environmental responsibility, ILO, SDGs, UDHR, UNGC Signatory, Abortion/Contraceptives Medication (MRC), Adult Entertainment (MRC), Alcohol (MRC), Alcohol-Producer (MRC), Alcohol-Retailer (MRC), Alcohol-Supplier (MRC), Defense (MRC), Donation-based Fertility (MRC), Firearms Manufacturing (MRC), Firearms Retail (MRC), Gambling (MRC), Pork (MRC), Stem Cell Research (MRC), Stem Cells Research (Embryonic) (MRC), Tobacco (MRC), Tobacco-Producer (MRC), Tobacco-Retailer (MRC), Tobacco-Supplier (MRC), Abortion/Contraceptives Medication, Adult Entertainment, Alcohol, Alcohol-Producer, Alcohol-Retailer, Alcohol-Supplier, Defense, Donation-based Fertility, Firearms Manufacturing, Firearms Retail, Gambling, Pork, Stem Cell Research, Stem Cells Research (Embryonic), Tobacco, Tobacco-Producer, Tobacco-Retailer, Tobacco-Supplier, Alcohol Distributor, Alcohol Licensor, Animal Cruelty, Animal Testing, Anthracite Coal, Bituminous Coal, Black Coal, Brown Coal, Cannabis, Chemical and Biological Weapons, Cluster Bombs, Coking Coal, For Profit Hospital, Fossil Fuel, GM Drugs, GMO Products, GMO Research, GMO Retail, Hydraulic Fracking, Land-mines , Nuclear Power Generation, Nuclear Weapons, Oil Sands, Renewable Energy, Sub-Bituminous Coal, Thermal Coal, Tobacco Distributor, Tobacco Licensor, Uranium mining, [Fossil Fuel] Financials Status, [Fossil Fuel] NPIN Status, [Fossil Fuel] Purification (Div.), [Fossil Fuel] Purification (Hyb.), [Fossil Fuel] Purification (Inv.), [Fossil Fuel] Ratio NPIN (1), [Fossil Fuel] Total NPIN (1), [IdealRatings ESG] Environment, [IdealRatings ESG] Financials Status, [IdealRatings ESG] Governance, [IdealRatings ESG] NPIN Status, [IdealRatings ESG] Purification (Div.), [IdealRatings ESG] Purification (Hyb.), [IdealRatings ESG] Purification (Inv.), [IdealRatings ESG] Social, [IdealRatings ESG] Total NPIN (1), [IdealRatings ESG] Total NPIN (2), [IdealRatings ESG] Total NPIN (3), [IdealRatings SRI] Business Involvement, [IdealRatings SRI] Environment, [IdealRatings SRI] Financials Status, [IdealRatings SRI] Governance, [IdealRatings SRI] Management Effectiveness (Debt/MC), [IdealRatings SRI] NPIN Status, [IdealRatings SRI] Purification (Div.), [IdealRatings SRI] Purification (Hyb.), [IdealRatings SRI] Purification (Inv.), [IdealRatings SRI] Sin Stock, [IdealRatings SRI] Social, [IdealRatings SRI] Total NPIN (1), [IdealRatings SRI] Total NPIN (2), [IdealRatings SRI] Total NPIN (3), [IdealRatings SRI] Total NPIN (4), [IdealRatings SRI] Total NPIN (5), [UN Global Compact Principles] Financials Status, [UN Global Compact Principles] NPIN Status, [UN Global Compact Principles] Purification (Div.), [UN Global Compact Principles] Purification (Hyb.), [UN Global Compact Principles] Purification (Inv.), [UN Global Compact Principles] Total NPIN (1), [UN Global Compact Principles] UN Principles, Conventional, Fossil Fuel, IdealRatings ESG, IdealRatings SRI, UN Global Compact Principles</t>
  </si>
  <si>
    <t>Jadwa Saudi Delivery</t>
  </si>
  <si>
    <t>Exchanges, Fiscal Period, Period End Date, Ticker, ISIN, Name, Nation, Total Common Shares, Market Price, Date Of Current Price, Market Cap, Trailing 12 Months Market Cap (Daily), Assets - Total</t>
  </si>
  <si>
    <t>Bloomberg</t>
  </si>
  <si>
    <t>Name, ISIN, FIGI, Compliance status</t>
  </si>
  <si>
    <t>Refinitiv</t>
  </si>
  <si>
    <t>Name, ISIN, Display RIC, RepNo, Compliance status</t>
  </si>
  <si>
    <t>FranklinTempleton</t>
  </si>
  <si>
    <t>Franklin Templeton</t>
  </si>
  <si>
    <t>Date,WID,Ticker,Name,Description,Sector, Business Activities,Country, Economy,FT MSCI Interest bearing Debt, FT MSCI interest bearing investments,FT MSCI Liquidity, FT MSCI NPIN Status, FT MSCI Financial Status, Degree, Has shariah board, Preferrence Share
FTSE Russell IR
IdealRatings REITs</t>
  </si>
  <si>
    <t>SNB</t>
  </si>
  <si>
    <t>Name,ISIN,Ticker,NCB Compliance,Nation,Business Activities, Fiscal Period,Nation,Interest bearing Debt, Interest bearing Investments ,NPIN Ratio, Purification Ratio,Total Common Shares
NCB old mandates
SRB</t>
  </si>
  <si>
    <t>Thomson Reuters</t>
  </si>
  <si>
    <t>Date,Name,RIC,ISIN,SEDOL,Ticker,Compliance Thomson Reuters</t>
  </si>
  <si>
    <t>FTSE</t>
  </si>
  <si>
    <t>WID,Cons Code,Name,ISIN,SEDOL, Nation code, FTSE Yasaar Compliance,NPIN status,Financial Status, Debt Ration, Cash Ration, Receivables Ratio
Complinace Status , Pirification Ratio  based on FTSE Russell IR and IR REITS</t>
  </si>
  <si>
    <t>MSCI</t>
  </si>
  <si>
    <t>Name , ISIN, SEDOL, Fiscal Period, MSCI Compliance, NPIN Ratio, Fiscal Period, Total Debt, Interest bearing Debt, Lease Capital, Total Cash and Short term Investments, Interest bearing Cash and Short term investmnets, Notes long Receivables, Cash Total, Accout Receivables , Total Assets</t>
  </si>
  <si>
    <t>AlSalam Bank</t>
  </si>
  <si>
    <t>Factset</t>
  </si>
  <si>
    <t>Name, Ticker, Exchanges Code, AAOIFI</t>
  </si>
  <si>
    <t>Ashmore EM</t>
  </si>
  <si>
    <t>Name, ISIN, SEDOL, Jadwa (Ashmore)</t>
  </si>
  <si>
    <t>Name, ISIN, SEDOL, AAOIFI</t>
  </si>
  <si>
    <t>Name, ISIN, Ticker, SEDOL, Compliance Status</t>
  </si>
  <si>
    <t>Symbol, Name, GICS Sector Name, ISIN, Compliance</t>
  </si>
  <si>
    <t>IR WID, Name, ISIN, Ticker, SEDOL, Country, Compliance, Pork, Alcohol, Tobacco, Gambling, Adult Entertainment</t>
  </si>
  <si>
    <t>Name, ISIN, Ticker, Nation, Country Code, AAOIFI, [AAOIFI] Interest-bearing Investments, [AAOIFI] Interest-bearing Debts, [AAOIFI] Non-permissible Income</t>
  </si>
  <si>
    <t>Morgan Staneley Saudi</t>
  </si>
  <si>
    <t>Name, ISIN, SEDOL, IdealRatings</t>
  </si>
  <si>
    <t>NAIS Delivery</t>
  </si>
  <si>
    <t>Name, ISIN, Ticker, IdealRatings AM</t>
  </si>
  <si>
    <t>Name, ISIN, Ticker, AAOIFI, Exchanges, Currency Code, Country</t>
  </si>
  <si>
    <t>Russell Investments Australia Global</t>
  </si>
  <si>
    <t>IR WID, Name, ISIN, Ticker, SEDOL, FIGI, IdealRatings AM</t>
  </si>
  <si>
    <t>Russell Investments Global + REITs</t>
  </si>
  <si>
    <t>IR WID, Name, ISIN, Ticker, SEDOL, FIGI, IdealRatings AM, IdealRatings REITs</t>
  </si>
  <si>
    <t xml:space="preserve">Aghaz </t>
  </si>
  <si>
    <t>Alpha Capital Delivery</t>
  </si>
  <si>
    <t>Alrayan GCC</t>
  </si>
  <si>
    <t>Ticker, Nation, Overall Compliance, Name, Sector, ISIN, [Al Rayan] Debt Ratio, [Al Rayan] Interest-bearing Investments Ratio, [Al Rayan] Purification Factor, [Al Rayan] Sector Status, [Al Rayan] Financials Status</t>
  </si>
  <si>
    <t>ARGA Emerging Markets Delivery</t>
  </si>
  <si>
    <t>Ashmore Saudi Delivery</t>
  </si>
  <si>
    <t>Name, ISIN, SEDOL, Ticker</t>
  </si>
  <si>
    <t>BMK Saudi Delivery</t>
  </si>
  <si>
    <t>Name, Ticker</t>
  </si>
  <si>
    <t>Name, ISIN, Compliance Status, Ticker, Sector, Business Activities, Nation, Reporting Period, [Derraya Proposed] Non Permissible Income Ratio, [Derraya Proposed] Debt Ratio, Comments</t>
  </si>
  <si>
    <t>Derayah Saudi (ASRHC RB)</t>
  </si>
  <si>
    <t>IR WID, ISIN, CUSIP, Ticker, Name, IdealRatings</t>
  </si>
  <si>
    <t>NBK Mena</t>
  </si>
  <si>
    <t>NBK Saudi</t>
  </si>
  <si>
    <t>Name of company, Ticker, ISIN, Sector, Industry, RIC Code, AAOIFI, NPIN, IdealRatings REITs, Name of Fund, IdealRatings ETFs, Compliant Holdings, Non-compliant Holdings, Comments</t>
  </si>
  <si>
    <t>Sameer Azzam Global REITs</t>
  </si>
  <si>
    <t>ArrowStreet</t>
  </si>
  <si>
    <t>Data Type</t>
  </si>
  <si>
    <t>Clarity</t>
  </si>
  <si>
    <t>NPIN</t>
  </si>
  <si>
    <t>L, N ,G</t>
  </si>
  <si>
    <t>Datia</t>
  </si>
  <si>
    <t>%</t>
  </si>
  <si>
    <t>Carbonfoot print "Caclculated using Marketcap, debt and minority interest"</t>
  </si>
  <si>
    <t>Numeric</t>
  </si>
  <si>
    <t>Metric Intensity "Using Revenue"</t>
  </si>
  <si>
    <t>calculating intensity "Revenue in controversies"</t>
  </si>
  <si>
    <t>Severe, high medium</t>
  </si>
  <si>
    <t>JP Morgan</t>
  </si>
  <si>
    <t>PWC</t>
  </si>
  <si>
    <t>Northern Trust</t>
  </si>
  <si>
    <t>Owlshares</t>
  </si>
  <si>
    <t>State Street</t>
  </si>
  <si>
    <t>Motive</t>
  </si>
  <si>
    <t>Impact Cubed</t>
  </si>
  <si>
    <t>Blueonion</t>
  </si>
  <si>
    <t>Invetics</t>
  </si>
  <si>
    <t>Yves</t>
  </si>
  <si>
    <t>Covalence</t>
  </si>
  <si>
    <t>Channel</t>
  </si>
  <si>
    <t>Comment</t>
  </si>
  <si>
    <t>Funds Count</t>
  </si>
  <si>
    <t xml:space="preserve">Frequency </t>
  </si>
  <si>
    <t>Abyan Capital</t>
  </si>
  <si>
    <t>Purification (ETF)</t>
  </si>
  <si>
    <t>Quarterly</t>
  </si>
  <si>
    <t>Purification (Investment)</t>
  </si>
  <si>
    <t>Purification (Dividend)</t>
  </si>
  <si>
    <t>AEW</t>
  </si>
  <si>
    <t>Depend on FTSE-IdealRatings Islamic Index (REIT &amp; Non-REIT Purification Ratios)</t>
  </si>
  <si>
    <t>Annual</t>
  </si>
  <si>
    <t>70 DPMs + 5 Mutual Funds</t>
  </si>
  <si>
    <t>Semi-Annual</t>
  </si>
  <si>
    <t>2 (Saudi and Multi-Asset)</t>
  </si>
  <si>
    <t>Andalus Capital</t>
  </si>
  <si>
    <t>Purification (Dividend and Investment)</t>
  </si>
  <si>
    <t xml:space="preserve">Nothing from 2020 </t>
  </si>
  <si>
    <t>Derayah Capital</t>
  </si>
  <si>
    <t>Ezdehar</t>
  </si>
  <si>
    <t>FTSE Russell</t>
  </si>
  <si>
    <t>Purification (Dividend )</t>
  </si>
  <si>
    <t>1 property ETF + 1 Sukuk ETF</t>
  </si>
  <si>
    <t>GIB</t>
  </si>
  <si>
    <t>Invesense</t>
  </si>
  <si>
    <t>Audit and Purification (Dividend)</t>
  </si>
  <si>
    <t>La Salle - for SNB</t>
  </si>
  <si>
    <t>Leadedge</t>
  </si>
  <si>
    <t>Audit and Purification (Dividend + capital gain upon exit)</t>
  </si>
  <si>
    <t>3 VC funds</t>
  </si>
  <si>
    <t>Lifespan</t>
  </si>
  <si>
    <t>ETF Screening and Purification</t>
  </si>
  <si>
    <t>4 ETFs - agreement up to 10</t>
  </si>
  <si>
    <t>Shukr Investment</t>
  </si>
  <si>
    <t>Tamra</t>
  </si>
  <si>
    <t>4 equity ETFs + 1 Sukuk ETF</t>
  </si>
  <si>
    <t>Vision Investments</t>
  </si>
  <si>
    <t>Hayat Invest</t>
  </si>
  <si>
    <t>Zakat</t>
  </si>
  <si>
    <t xml:space="preserve">AJC ETF </t>
  </si>
  <si>
    <t>ETF Screening</t>
  </si>
  <si>
    <t>Fields Used</t>
  </si>
  <si>
    <t>Fields Distributed</t>
  </si>
  <si>
    <t>Total NPIN - Total Income</t>
  </si>
  <si>
    <t>Rulebook</t>
  </si>
  <si>
    <t>AAOIFI</t>
  </si>
  <si>
    <t>NCB Global</t>
  </si>
  <si>
    <t>Idealratings REITs for REITs 
FTSE Russel IdealRatings for REOP</t>
  </si>
  <si>
    <t>AlJazeera RB1</t>
  </si>
  <si>
    <t>AlJazeera RB1 &amp; AlJazeera RB2</t>
  </si>
  <si>
    <t>OMIGSA ASSETS or MARKETCAP - Directs</t>
  </si>
  <si>
    <t>FTSE Russell IdealRatings</t>
  </si>
  <si>
    <t>Jadwa (Ashmore)</t>
  </si>
  <si>
    <t>Derayah proposed</t>
  </si>
  <si>
    <t>-</t>
  </si>
  <si>
    <t>Alraya Assets modified for Equities and IR REITs for REITs</t>
  </si>
  <si>
    <t>Jadwa Compliance</t>
  </si>
  <si>
    <t>IdealRatings REITs</t>
  </si>
  <si>
    <t>IdealRatings REITs for REITs and NCB Global for RE operations</t>
  </si>
  <si>
    <t>AAOIFI for Equities and IdealRatings REITs for REITs</t>
  </si>
  <si>
    <t>Rasameel New </t>
  </si>
  <si>
    <t>AAOIFI Mandate</t>
  </si>
  <si>
    <t>SEDCO24</t>
  </si>
  <si>
    <t>S&amp;P Shariah-based guidelines for SP equity ETFs (SPRE and SPUS), MSCI Islamic-based guidelines for iShares equity ETFs (ISWD, ISDE), and AAOIFI for SP Sukuk ETF (SPSK)</t>
  </si>
  <si>
    <t>Leadedge VC Rulebook</t>
  </si>
  <si>
    <t>Email</t>
  </si>
  <si>
    <t>Weighted Sum of Non-permissible Income, Weighted Sum of Total Income, Purification per ETF Share</t>
  </si>
  <si>
    <t>API</t>
  </si>
  <si>
    <t>White-label</t>
  </si>
  <si>
    <t>No of End Users</t>
  </si>
  <si>
    <t>Retail customers</t>
  </si>
  <si>
    <t>Live4</t>
  </si>
  <si>
    <t> AAOIFI</t>
  </si>
  <si>
    <t>Notes</t>
  </si>
  <si>
    <t>Purification ratio includes the following fields:</t>
  </si>
  <si>
    <t>NPIN - total</t>
  </si>
  <si>
    <t>Income - total</t>
  </si>
  <si>
    <t>Revenue - total</t>
  </si>
  <si>
    <t>Interest income - non-operating - conv.</t>
  </si>
  <si>
    <t>Interest income - operating - total</t>
  </si>
  <si>
    <t>Investment income - non-operating - conv.</t>
  </si>
  <si>
    <t>Investment income - non-operating - mixed</t>
  </si>
  <si>
    <t>Identifiers used:</t>
  </si>
  <si>
    <t>Ticker</t>
  </si>
  <si>
    <t>ISIN</t>
  </si>
  <si>
    <t>Debt - conv.</t>
  </si>
  <si>
    <t>Total common shares outstanding</t>
  </si>
  <si>
    <t>Total NPIN - Total Common Shares Outstanding</t>
  </si>
  <si>
    <t>Distribute Dividends</t>
  </si>
  <si>
    <t>No</t>
  </si>
  <si>
    <t>Total NPIN - Total Income/Revenue</t>
  </si>
  <si>
    <t>Total NPIN - Total Income/Revenue - Financial Fields - Compliance</t>
  </si>
  <si>
    <t>Depend on FTSE-IdealRatings Islamic Index (REIT &amp; Non-REIT Purification Ratios) by research team</t>
  </si>
  <si>
    <t>AJC ETF Screening Guidelines - AlJazeera RB2</t>
  </si>
  <si>
    <t>Total NPIN - Total Income/Revenue - Compliance</t>
  </si>
  <si>
    <t>Compliance</t>
  </si>
  <si>
    <t>AJC ETF Screening Guidelines - Al-Rajhi</t>
  </si>
  <si>
    <r>
      <t xml:space="preserve">Total NPIN - Total Common Shares Outstanding - Compliance - </t>
    </r>
    <r>
      <rPr>
        <b/>
        <sz val="11"/>
        <color theme="1"/>
        <rFont val="Aptos Narrow"/>
        <family val="2"/>
        <scheme val="minor"/>
      </rPr>
      <t>Pricing Info for Market Value (can skip?)</t>
    </r>
  </si>
  <si>
    <t>AlphaCapital</t>
  </si>
  <si>
    <t>AAOIFI for Investment Purification
AAOIFI Mandate for Dividend Purification</t>
  </si>
  <si>
    <t>Total NPIN - Total Income/Revenue - Total Common Shares Outstanding - Compliance</t>
  </si>
  <si>
    <t>Nothing from 2022 - we should stop ditributing SEDOL</t>
  </si>
  <si>
    <t>Financial fields for audit and compliance:</t>
  </si>
  <si>
    <t>Ezdehar Div.</t>
  </si>
  <si>
    <t>Total NPIN - Total Income/Revenue - Compliance - Dividends</t>
  </si>
  <si>
    <t>Yes</t>
  </si>
  <si>
    <t>Purification (Investment) and Zakat</t>
  </si>
  <si>
    <t>Factset User Report + Live4 for missing fields</t>
  </si>
  <si>
    <t>Might require manual retrieval of missing fields from Live4 such as total common shares outstanding</t>
  </si>
  <si>
    <t>Current Assets – Current Liabilities - Total Common Shares Outstanding - Exchange Rate - Net Income - Total Long term debt - Provision for Risk and Charges - Other Liabilities - Deferred Tax Liability - Property Plant and Equipment PPE - Investment Property (for REITs only) - Intangible Assets - Goodwill - Other Assets - Interest Expenses - Tax Expenses - Unusual Expenses - Total Equity</t>
  </si>
  <si>
    <t>Total Zakat payable</t>
  </si>
  <si>
    <t>Purification (Dividend) and Zakat</t>
  </si>
  <si>
    <r>
      <t>Total NPIN - Total Income/Revenue - Compliance -</t>
    </r>
    <r>
      <rPr>
        <b/>
        <sz val="11"/>
        <color theme="1"/>
        <rFont val="Aptos Narrow"/>
        <family val="2"/>
        <scheme val="minor"/>
      </rPr>
      <t xml:space="preserve"> Pricing Info for Market Value (can skip?)</t>
    </r>
  </si>
  <si>
    <t>Total NPIN - Total Income/Revenue (for public holdings)</t>
  </si>
  <si>
    <t>Maybank 2 (Dow Jones Islamic-based) or Maybank (MSCI Islamic-based)</t>
  </si>
  <si>
    <t>FTSE Russell IdealRatings (we name it IdealRatings AM)</t>
  </si>
  <si>
    <t>AAOIFI for Equities - IdealRatings REITs for REITs - IdealRatings ETFs for ETFs</t>
  </si>
  <si>
    <t>FTSE Russell IdeaRatings for equities ( we name it IdealRatings AM) - IdealRatings REITs for REITs</t>
  </si>
  <si>
    <t>Audit and Purification (Dividends)</t>
  </si>
  <si>
    <t>Audit &gt; Monthly
Purification &gt; Annual</t>
  </si>
  <si>
    <t>Data Feed and Purification (Dividends)</t>
  </si>
  <si>
    <t>Data feed &gt; Monthly
Purification &gt; Annual</t>
  </si>
  <si>
    <t>Customer purification ratios + Live4 for holdings with missing ratios</t>
  </si>
  <si>
    <t>We deliver 3 reports in 1 file: financial ratios report for the unrealized holdings, purification report for realized and unrealized holginds, top holdings report</t>
  </si>
  <si>
    <t>Total NPIN - Total Income/Revenue - Compliance - Dividends - Pricing info for value in top holdings report</t>
  </si>
  <si>
    <t>Total NPIN - Total Income/Revenue - Compliance
Current Assets – Current Liabilities - Total Common Shares Outstanding - Exchange Rate - Net Income - Total Long term debt - Provision for Risk and Charges - Other Liabilities - Deferred Tax Liability - Property Plant and Equipment PPE - Investment Property (for REITs only) - Intangible Assets - Goodwill - Other Assets - Interest Expenses - Tax Expenses - Unusual Expenses - Total Equity</t>
  </si>
  <si>
    <t>Live4 for purification and for missing Zakat fields + Factset user report for Zakat</t>
  </si>
  <si>
    <t>200+</t>
  </si>
  <si>
    <t>Pure Wealth</t>
  </si>
  <si>
    <t>Equities, REITs and ETF Screening</t>
  </si>
  <si>
    <t>1 equity fund, 1 REITs fund, 2 ETFs</t>
  </si>
  <si>
    <t>Custom Fields</t>
  </si>
  <si>
    <t>Unknown</t>
  </si>
  <si>
    <t>380 users in Sep 2024 (varies monthly)</t>
  </si>
  <si>
    <t>Boursa service</t>
  </si>
  <si>
    <t>Need to check with CS/Rabie for user report</t>
  </si>
  <si>
    <t>Delivery Type</t>
  </si>
  <si>
    <t>Compliance based on business screening (includes public companies)</t>
  </si>
  <si>
    <t>Cash and Short Term Inv. - Conv.</t>
  </si>
  <si>
    <t>Assets - Total</t>
  </si>
  <si>
    <t>Trailing 12 Months Market Cap - Most Recent Statement</t>
  </si>
  <si>
    <t>Trailing 24 Months Market Cap - Most Recent Statement</t>
  </si>
  <si>
    <t>Trailing 36 Months Market Cap - Most Recent Statement</t>
  </si>
  <si>
    <t>Trailing 12 Months Market Cap - Daily</t>
  </si>
  <si>
    <t>Long Term Inv. - Conv.</t>
  </si>
  <si>
    <t>Long Term Inv. Global - Conv.</t>
  </si>
  <si>
    <t>Trailing 24 Months Market Cap - Daily</t>
  </si>
  <si>
    <t>Trailing 36 Months Market Cap - Daily</t>
  </si>
  <si>
    <t>Cash and Cash equiv. - Total</t>
  </si>
  <si>
    <t>Cash Restricted</t>
  </si>
  <si>
    <t>Receivables - Total</t>
  </si>
  <si>
    <t>Cash - Total</t>
  </si>
  <si>
    <t>Preferred stock - redeemable</t>
  </si>
  <si>
    <t>Preferred stock - non-redeemable</t>
  </si>
  <si>
    <t>Total liabilities</t>
  </si>
  <si>
    <t>Issue tyoe definition</t>
  </si>
  <si>
    <t>Preference/Trust share</t>
  </si>
  <si>
    <t>Accounts Receivable Trade, Net</t>
  </si>
  <si>
    <t>Market cap - Most Recent Statement</t>
  </si>
  <si>
    <t>Total NPIN includes the following fields:</t>
  </si>
  <si>
    <t>Al Rajhi</t>
  </si>
  <si>
    <t>Boursa</t>
  </si>
  <si>
    <t>Index</t>
  </si>
  <si>
    <t>Shariah DataFeed</t>
  </si>
  <si>
    <t>ESG</t>
  </si>
  <si>
    <t>Al-khabeer Capital</t>
  </si>
  <si>
    <t>Maybank</t>
  </si>
  <si>
    <t>Data Source</t>
  </si>
  <si>
    <t>NPIN, Carbonfoot print "Caclculated using Marketcap, debt and minority interest", Metric Intensity "Using Revenue", calculating intensity "Revenue in controversies"</t>
  </si>
  <si>
    <t>NPIN, Carbonfoot print "Caclculated using Marketcap, debt and minority interest", Metric Intensity "Using Revenue"</t>
  </si>
  <si>
    <t>NPIN, Metric Intensity "Using Revenue"</t>
  </si>
  <si>
    <t>%, Numeric, Numeric, Severe, high medium</t>
  </si>
  <si>
    <t>%, Numeric, Numeric</t>
  </si>
  <si>
    <t>%, Numeric</t>
  </si>
  <si>
    <t>Purification &amp; Zakat</t>
  </si>
  <si>
    <t>Products Count</t>
  </si>
  <si>
    <t>Products and Fields Count</t>
  </si>
  <si>
    <t>WID, SEDOL, Name, ISIN, Country, Country Code, Corporate Action Status, Adjusted Open Price Local, Open Exchange Rate, Open Price Local, Open Market Cap USD, Close Price Local, Close Market Cap USD, Close shares outstanding, Close float shares outstanding, Currency Code, Close Exchange Rate, Gross Dividend Per Share USD, Net Dividends Per Share USD, Float Market Cap %, Adjusted Open Float Market Cap USD, Close Float Market Cap USD, Ex-Div Date, Capping Factor, Weight, Gross Yield, Net Yield, Index Gross Yield, Index Net Yield</t>
  </si>
  <si>
    <t>Total Fields Count</t>
  </si>
  <si>
    <t>Aggregations</t>
  </si>
  <si>
    <t>FactSet: NPIN</t>
  </si>
  <si>
    <t>FactSet: NPIN &amp; Qual
Reuters: Metric</t>
  </si>
  <si>
    <t>Purification per share, Purification</t>
  </si>
  <si>
    <t>Purification ratios using weighted NPIN / weighted income for all constituents, Zakat per unit</t>
  </si>
  <si>
    <t>Ticker mapping, purification per share, Zakat integration (need to gather more info)</t>
  </si>
  <si>
    <t>Source Per Product</t>
  </si>
  <si>
    <t>Name, Purification</t>
  </si>
  <si>
    <t>Name,Compliance Status,Purification,Nation,Ticker,Business Activities,[NCB Global] Debt/ T36 MC,[NCB Global] Cash &amp; Short termInv./ T36 MC,[NCB Global] Purification (Div.)</t>
  </si>
  <si>
    <t>Name,Compliance,Purification</t>
  </si>
  <si>
    <t>Name,Compliance Status,Purification</t>
  </si>
  <si>
    <t>Compliance, [AlJazeera RB1]Purification (Div.)</t>
  </si>
  <si>
    <t>Name/History, Purification</t>
  </si>
  <si>
    <t>Name, Purification Per Share, Purification</t>
  </si>
  <si>
    <t>Name,ISIN,Purification Per Share</t>
  </si>
  <si>
    <t>Name, Ticker, ISIN, Compliance Status, Purification</t>
  </si>
  <si>
    <t>Name,Compliance Status,Dividends Per Share,Purification Per Share,Purification</t>
  </si>
  <si>
    <t>Name, Purification, Fiscal Period, Compliance Status, Market Value, Ratio of Failure</t>
  </si>
  <si>
    <t>Security Name, Dividend Purification Ratio
Originator, Structure, Purification Ratio (for Sukuk Index)</t>
  </si>
  <si>
    <r>
      <t>Name,Ticker,Purification,Compliance Status, Zakat Amount (</t>
    </r>
    <r>
      <rPr>
        <sz val="11"/>
        <color rgb="FFFF0000"/>
        <rFont val="Aptos Narrow (Body)"/>
      </rPr>
      <t>Ticker could be replaced by ISIN since they give us ISINs)</t>
    </r>
  </si>
  <si>
    <t>Name,Purification</t>
  </si>
  <si>
    <t>Name,Compliance Status,Purification,Zakat Amount</t>
  </si>
  <si>
    <t>Name,Nation,Fiscal Period,Compliance Status,Non-permissible Income,Debt Ratio, Purification</t>
  </si>
  <si>
    <t>Name,ISIN,AAOIFI compliance,Debt Ratio,Interest-bearing Investments Ratio,Non-permissible Income Ratio,NPIN Status,Purification per ETF Share</t>
  </si>
  <si>
    <t xml:space="preserve">Name,Compliance Status,Purification Per Share,Purification </t>
  </si>
  <si>
    <t>Name of company,AAOIFI compliance, IdealRatings REITs compliance, NPIN %, IdealRatings ETFs compliance</t>
  </si>
  <si>
    <t>Name,Compliance Status,Quantity,Purification</t>
  </si>
  <si>
    <t>Name/History,Purification,Compliance Status</t>
  </si>
  <si>
    <t>Name,Purification,Fiscal Period,Period End Date,Assets - Total ,Trailing 24 Months Market Cap (Daily),[SEDCO 24] Non-permissible Income Ratio,[SEDCO 6 Ratios] Debt (MC),[SEDCO 6 Ratios] Interest-bearing Investments (MC),[SEDCO 6 Ratios] Receivables (MC),[SEDCO 6 Ratios] Debt (Assets)	,[SEDCO 6 Ratios] Interest-bearing Investments (Assets),[SEDCO 6 Ratios] Receivables (Assets),Preference / Trust Share,Compliance Status</t>
  </si>
  <si>
    <t xml:space="preserve">Name,Compliance Status,Purification </t>
  </si>
  <si>
    <t>Name,ISIN,CUSIP,Dividends Per Share,[NCB Global]Debt Ratio,Debt - Conv.,[NCB Global]Cash &amp; Short term Investments Ratio,Cash and Short Term Inv. - Conv.,Assets - Total,Trailing 12 Months Market Cap - Most Recent Statement,Trailing 24 Months Market Cap - Most Recent Statement,Trailing 36 Months Market Cap - Most Recent Statement,[NCB Global]NPIN Ratio,[NCB Global]totalNpin1,Income - Total,[NCB Global]Purification (Div.),Compliance Status,Purification,Price, Value, %,Ex-Dividend Date</t>
  </si>
  <si>
    <r>
      <t xml:space="preserve">Name, Ticker, Purification </t>
    </r>
    <r>
      <rPr>
        <sz val="10"/>
        <color rgb="FFFF0000"/>
        <rFont val="Arial Unicode MS"/>
        <family val="2"/>
      </rPr>
      <t>(we can use ISIN instead of Ticker since they send us ISINs)</t>
    </r>
  </si>
  <si>
    <t>API + Boursa service</t>
  </si>
  <si>
    <t>Ticker mapping, purification per share, purification, Close prices for TA recommendations, AAOIFI compliance, close prices for market index and companies, business screening and financial screening ratios for Boursa service + TA, Fundamental report by fundamental team</t>
  </si>
  <si>
    <t>Ticker mapping, purification per share, Daily and intraday recommendations, close prices for market index and companies,  business screening and financial screening ratios for Boursa service</t>
  </si>
  <si>
    <t>AAOIFI compliance, purification, close prices for market index and companies,  business screening and financial screening ratios for Boursa service + TA</t>
  </si>
  <si>
    <t>Prices for change% and moving average, market cap, Total NPIN, Total Income/Revenue, Total Common Shares Outstanding, Financial Fields, Compliance</t>
  </si>
  <si>
    <t>Total NPIN, Total Income/Revenue, Total Common Shares Outstanding</t>
  </si>
  <si>
    <t>Technical recommendations daily report Saudi includes close prices for market index and companies, volume traded and value traded for the market index</t>
  </si>
  <si>
    <t>Prices for change%, close prices for market index and companies, volume traded and value traded for the market index</t>
  </si>
  <si>
    <t>*Close prices
*Volume Traded
*Value Traded</t>
  </si>
  <si>
    <t>*Close prices</t>
  </si>
  <si>
    <t>*Ticker Mapping
*Close prices</t>
  </si>
  <si>
    <t>Pass/Fail</t>
  </si>
  <si>
    <t>Market Data</t>
  </si>
  <si>
    <t>*ISIN
*SEDOL
*Ticker</t>
  </si>
  <si>
    <t>*ISIN
*SEDOL
*Country
*Price
*Exchange Rate
*Market Cap
*Outstanding Shares
*Dividends
*Yield</t>
  </si>
  <si>
    <t>*ISIN
*SEDOL
*RIC
*Country
*Market Cap
*Dividend</t>
  </si>
  <si>
    <t>*ISIN
*SEDOL
*RIC</t>
  </si>
  <si>
    <t>*ISIN
*SEDOL
*Ticker
*Underlying Shares
*Market Values</t>
  </si>
  <si>
    <t>*ISIN
*Ticker</t>
  </si>
  <si>
    <t>*Price
*Free Float
*ISIN
*SEDOL
*Ticker</t>
  </si>
  <si>
    <t>*Market Cap
*Shares Outstanding
*ISIN
*SEDOL
*Ticker
*Exchange
*Country</t>
  </si>
  <si>
    <t>*ISIN
*Ticker
*Fiscal Period
*Total Common Shares</t>
  </si>
  <si>
    <t>*ISIN
*Nation
*Debt
*Cash
*Receivables
*Market Cap
*Short term Investments
*Income
*Fiscal Period</t>
  </si>
  <si>
    <t>*ISIN
*Ticker
*SEDOL
*FIGI</t>
  </si>
  <si>
    <t>*ISIN
*SEDOL</t>
  </si>
  <si>
    <t>*ISIN
*RIC
*RepNO</t>
  </si>
  <si>
    <t>*ISIN
*Ticker
*Exchanges
*Fiscal Period
*Period End Date
*Nation
*Total Common Shares
*Market Price
*Date of Current Price
*Market Cap
*Assets</t>
  </si>
  <si>
    <t>*ISIN</t>
  </si>
  <si>
    <t>*ISIN
*Ticker
*SEDOL
*Exchanges</t>
  </si>
  <si>
    <t>*ISIN
*Ticker
*Fiscal Period
*Period End Date
*Last Trading Date</t>
  </si>
  <si>
    <t>*ISIN
*SEDOL
*Fiscal Period
*Debt
*Lease Capital
*Cash
*Receivables
*Assets</t>
  </si>
  <si>
    <t>*ISIN
*Ticker
*Nation
*Country</t>
  </si>
  <si>
    <t>*ISIN
*CUSIP
*Ticker</t>
  </si>
  <si>
    <t>*Ticker 
*Nation</t>
  </si>
  <si>
    <t>*ISIN
*Ticker
*RIC
*Nation</t>
  </si>
  <si>
    <t>*ISIN
*Ticker
*SEDOL
*Country</t>
  </si>
  <si>
    <t>*ISIN
*SEDOL
*Nation</t>
  </si>
  <si>
    <t>*Ticker
*Description
*Country
*Preferrence Shares</t>
  </si>
  <si>
    <t>*ISIN
*Ticker
*Nation
*Reporting Period</t>
  </si>
  <si>
    <t>*ISIN
*GICS</t>
  </si>
  <si>
    <t>*ISIN
*Ticker
*SEDOL</t>
  </si>
  <si>
    <t>*ISIN
*Ticker
*Exchanges</t>
  </si>
  <si>
    <t>*Ticker</t>
  </si>
  <si>
    <t>*ISIN
*SEDOL
*FIGI</t>
  </si>
  <si>
    <t>*ISIN
*SEDOL
*CUSIP
*Ticker
*Nation</t>
  </si>
  <si>
    <t>*ISIN
*Ticker
*SEDOL
*Nation</t>
  </si>
  <si>
    <t>*ISIN
*SEDOL
*Ticker
*FIGI
*Nation
*Cash &amp; Equivalent
*Assets
*Receivables
*Interest bearing Investments
*Cash &amp; Short term Investments
*Long term Investments
*Market Cap</t>
  </si>
  <si>
    <t>*ISIN
*Ticker
*Nation</t>
  </si>
  <si>
    <t>*Ticker
*Nation</t>
  </si>
  <si>
    <t>*Exchanges
*Ticker</t>
  </si>
  <si>
    <t>*ISIN
*Ticker
*Nation
*Fiscal Period
*Country</t>
  </si>
  <si>
    <t>*Market Cap
*ISIN
*Ticker</t>
  </si>
  <si>
    <t>Derived</t>
  </si>
  <si>
    <t>*ISIN
*CUSIP
*Dividends
*Cash
*Assets
*Market Cap
*Price
*Value
*Ex-Dividend Date</t>
  </si>
  <si>
    <t>*Fiscal Period
*Period End Date
*Assets
*Market Cap
*Receivables
*Preferrence Share</t>
  </si>
  <si>
    <t>*Nation
*Fiscal Period</t>
  </si>
  <si>
    <t>Ywa</t>
  </si>
  <si>
    <t>*Nation
*Ticker</t>
  </si>
  <si>
    <t>*Dividends</t>
  </si>
  <si>
    <t>Recipients</t>
  </si>
  <si>
    <t>DataFeed</t>
  </si>
  <si>
    <t>Clients</t>
  </si>
  <si>
    <t>Fund Manager</t>
  </si>
  <si>
    <t>Data Admin</t>
  </si>
  <si>
    <t>LaSalle</t>
  </si>
  <si>
    <t>Alpha Centrix</t>
  </si>
  <si>
    <t>JLL Asset Management</t>
  </si>
  <si>
    <t>RIMES</t>
  </si>
  <si>
    <t>AlRajhi</t>
  </si>
  <si>
    <t>Apex Group</t>
  </si>
  <si>
    <t>CACEIS</t>
  </si>
  <si>
    <t>Morgan Stanley</t>
  </si>
  <si>
    <t>Alkhabeer</t>
  </si>
  <si>
    <t>Derayah</t>
  </si>
  <si>
    <t>Universe</t>
  </si>
  <si>
    <t>Aghaz Investments</t>
  </si>
  <si>
    <t>US</t>
  </si>
  <si>
    <t>GCC</t>
  </si>
  <si>
    <t>Al Salam Bank</t>
  </si>
  <si>
    <t>Global</t>
  </si>
  <si>
    <t>Saudi</t>
  </si>
  <si>
    <t>SRB</t>
  </si>
  <si>
    <t>IdealRatings - Usage Report</t>
    <phoneticPr fontId="8" type="noConversion"/>
  </si>
  <si>
    <t>Email to:</t>
  </si>
  <si>
    <t>tr.partners-usagereports@thomsonreuters.com</t>
  </si>
  <si>
    <t>City</t>
  </si>
  <si>
    <t>State</t>
  </si>
  <si>
    <t>Country</t>
  </si>
  <si>
    <t>Alinma Bank</t>
    <phoneticPr fontId="8" type="noConversion"/>
  </si>
  <si>
    <t>Riyadh</t>
    <phoneticPr fontId="8" type="noConversion"/>
  </si>
  <si>
    <t>Saudi Arabia</t>
    <phoneticPr fontId="8" type="noConversion"/>
  </si>
  <si>
    <t>Jadwa Investment</t>
    <phoneticPr fontId="8" type="noConversion"/>
  </si>
  <si>
    <t xml:space="preserve">Riyad Capital </t>
    <phoneticPr fontId="8" type="noConversion"/>
  </si>
  <si>
    <t>RHB</t>
  </si>
  <si>
    <t>Kuala Lumpur</t>
  </si>
  <si>
    <t>Malaysia</t>
  </si>
  <si>
    <t>Alrajhi Capital</t>
  </si>
  <si>
    <t>Old Mutual Investment Group</t>
  </si>
  <si>
    <t>Cape Town</t>
  </si>
  <si>
    <t>South Africa</t>
  </si>
  <si>
    <t>Amanah Ethical</t>
  </si>
  <si>
    <t>Auckland</t>
  </si>
  <si>
    <t>New Zealand</t>
  </si>
  <si>
    <t>Albilad Capital</t>
  </si>
  <si>
    <t>Riyadh</t>
  </si>
  <si>
    <t>Frankfurt</t>
  </si>
  <si>
    <t>Germany</t>
  </si>
  <si>
    <t>Sedco Capital</t>
  </si>
  <si>
    <t>PMB Investment</t>
  </si>
  <si>
    <t>MayBank</t>
  </si>
  <si>
    <t>Arqam Capital</t>
  </si>
  <si>
    <t>Dubai</t>
  </si>
  <si>
    <t>UAE</t>
  </si>
  <si>
    <t>Awqaf Al-Rajhi</t>
  </si>
  <si>
    <t>Saudi Arabia</t>
  </si>
  <si>
    <t>PNB</t>
  </si>
  <si>
    <t>Allied Asset Advisor</t>
  </si>
  <si>
    <t>IL</t>
  </si>
  <si>
    <t>USA</t>
  </si>
  <si>
    <t>Hejaz Financial Services</t>
  </si>
  <si>
    <t>Melbourne</t>
  </si>
  <si>
    <t>Australia</t>
  </si>
  <si>
    <t>Principle Asset Management</t>
  </si>
  <si>
    <t>Baillie Gifford Overseas Limited</t>
  </si>
  <si>
    <t>Edinburgh</t>
  </si>
  <si>
    <t>UK</t>
  </si>
  <si>
    <t>Lifespan Financial</t>
  </si>
  <si>
    <t>Sydney</t>
  </si>
  <si>
    <t>Abu Dhabi</t>
  </si>
  <si>
    <t>Arca Investment</t>
  </si>
  <si>
    <t>Luxembourg</t>
  </si>
  <si>
    <t>AlJazira Capital</t>
  </si>
  <si>
    <t>Kuwait</t>
  </si>
  <si>
    <t>ManuLife</t>
  </si>
  <si>
    <t>San Francisco</t>
  </si>
  <si>
    <t>Korea Investment Management</t>
  </si>
  <si>
    <t>Seoul</t>
  </si>
  <si>
    <t>South Korea</t>
  </si>
  <si>
    <t>Total Number of Customers</t>
  </si>
  <si>
    <t>Shukr</t>
  </si>
  <si>
    <t>Grand Cayman</t>
  </si>
  <si>
    <t>Cayman Islands</t>
  </si>
  <si>
    <t>Bank Audi / FAB</t>
  </si>
  <si>
    <t>Cairo</t>
  </si>
  <si>
    <t>Egypt</t>
  </si>
  <si>
    <t>Illinois</t>
  </si>
  <si>
    <t>CA</t>
  </si>
  <si>
    <t>royalty-reporting@factset.com</t>
  </si>
  <si>
    <t>mathieu.springer@factset.com</t>
  </si>
  <si>
    <t>billing@idealratings.com</t>
  </si>
  <si>
    <t>IdealRatings - Service</t>
  </si>
  <si>
    <t>Fund Managers to Asset Owners</t>
  </si>
  <si>
    <t>Data Admin &amp; Analytics</t>
  </si>
  <si>
    <t>Live 4</t>
  </si>
  <si>
    <t>Customer Name</t>
  </si>
  <si>
    <t>#</t>
  </si>
  <si>
    <t>*ISIN
*Ticker
*Industry</t>
  </si>
  <si>
    <r>
      <t xml:space="preserve">*Ticker Mapping
</t>
    </r>
    <r>
      <rPr>
        <sz val="9"/>
        <color theme="5" tint="-0.249977111117893"/>
        <rFont val="Helvetica"/>
        <family val="2"/>
      </rPr>
      <t>*Close prices</t>
    </r>
  </si>
  <si>
    <t>The “Licensee Products” are as follows:</t>
  </si>
  <si>
    <t>1-</t>
  </si>
  <si>
    <t>2-</t>
  </si>
  <si>
    <t>3-</t>
  </si>
  <si>
    <t>4-</t>
  </si>
  <si>
    <t>1. Additional Redistribution Restrictions:</t>
  </si>
  <si>
    <t>Standard DataFeed ʹ Fundamentals V3 ʹ Basic ʹ Global:</t>
  </si>
  <si>
    <t>Standard DataFeed - Global Prices V1 ʹ Global:</t>
  </si>
  <si>
    <t>Filtered Datafeed for DMS Advanced Equity:</t>
  </si>
  <si>
    <t>2. Derived Data Permissions and Restrictions:</t>
  </si>
  <si>
    <t>Licensee is not permitted to use any other Content to create Derived Data.</t>
  </si>
  <si>
    <t>*</t>
  </si>
  <si>
    <t xml:space="preserve"> Licensee may only redistribute:</t>
  </si>
  <si>
    <t>up to 5 Data Items from this Content on IdealRatings Data Feed.</t>
  </si>
  <si>
    <t>a password-protected portal called IdealRatings and located at https://www.idealratings.com/clientslogin/. IdealRatings is a web-based platform that allows Clients to conduct ESG, Responsible and Shariah screening for equities, fixed income and REITs instruments issued by 40,000+ issuers globally (the “IdealRatings Service”);</t>
  </si>
  <si>
    <t>a solution called IdealRatings Index in which Licensee provides Clients with access to customized indices through XLS and/or CSV file format (the “IdealRatings Index”); and</t>
  </si>
  <si>
    <t>a password-protected mobile phone application called IdealRatings Mobile App in which Licensee provides retail Clients with access to information relating to Shariah compliant stocks (“IdealRatings Mobile App”).</t>
  </si>
  <si>
    <t>Licensee may not distribute the Content in bulk, via any type of data feed or in any form, other than via an expressly designated Licensee Productin this Order Schedule. Additionally, the following Content redistribution restrictions shall apply:</t>
  </si>
  <si>
    <t>Licensee is only permitted to redistribute this Content via the following Licensee Products only: (1) IdealRatings Service; and (2) IdealRatings Data Feed,</t>
  </si>
  <si>
    <t>up to 50 Data Items from this Content on IdealRatings Service; and</t>
  </si>
  <si>
    <t>Licensee may only redistribute up to 40,000 company names and identifiers from this Content.</t>
  </si>
  <si>
    <t>Licensee may only redistribute this Content to up to 60 Clients.</t>
  </si>
  <si>
    <t>Licensee is only permitted to redistribute this Content via the following Licensee Product only: IdealRatings Index, subject to the following:</t>
  </si>
  <si>
    <t xml:space="preserve"> Licensee may only redistribute this Content in the following formats: (1) XLS; and (2) CSV.</t>
  </si>
  <si>
    <t>Licensee may only redistribute the following Data Items from this Content:</t>
  </si>
  <si>
    <r>
      <rPr>
        <b/>
        <sz val="9"/>
        <color theme="1"/>
        <rFont val="Helvetica"/>
        <family val="2"/>
      </rPr>
      <t xml:space="preserve">Dividend fields: </t>
    </r>
    <r>
      <rPr>
        <sz val="9"/>
        <color theme="1"/>
        <rFont val="Helvetica"/>
        <family val="2"/>
      </rPr>
      <t>Trading and Declared Currency, Dividend Pay Date, Cash distribution amount per share, Price Adjustment Factor (split factor)</t>
    </r>
  </si>
  <si>
    <r>
      <rPr>
        <b/>
        <sz val="9"/>
        <color theme="1"/>
        <rFont val="Helvetica"/>
        <family val="2"/>
      </rPr>
      <t>Free Float and CSO Fields:</t>
    </r>
    <r>
      <rPr>
        <sz val="9"/>
        <color theme="1"/>
        <rFont val="Helvetica"/>
        <family val="2"/>
      </rPr>
      <t xml:space="preserve"> Common Shares Outstanding, Shares outstanding less Float, Date for Shares Outstanding, PILC</t>
    </r>
  </si>
  <si>
    <r>
      <rPr>
        <b/>
        <sz val="9"/>
        <color theme="1"/>
        <rFont val="Helvetica"/>
        <family val="2"/>
      </rPr>
      <t xml:space="preserve">Price Fields: </t>
    </r>
    <r>
      <rPr>
        <sz val="9"/>
        <color theme="1"/>
        <rFont val="Helvetica"/>
        <family val="2"/>
      </rPr>
      <t>Closing Price</t>
    </r>
  </si>
  <si>
    <t>Licensee may only redistribute up to 2,000 company names and identifiers from this Content.</t>
  </si>
  <si>
    <t>Licensee may redistribute this Content to Clients who are index or market data providers for attribution analysis.</t>
  </si>
  <si>
    <t>Licensee may only redistribute this Content to up to 100 Clients.</t>
  </si>
  <si>
    <t>FactSet FSYM_ID identifier representing a security, regional, or listing level instrument and FactSet_Entity_ID representing an entity; Licensee may only redistribute these Data Items to up to 15 Clients; and</t>
  </si>
  <si>
    <t>SEDOL, CUSIP, ISIN, Name, Country, Exchange, Sector and Industry; Licensee may only redistribute these Data Items to up to 100 Clients.</t>
  </si>
  <si>
    <t xml:space="preserve">Standard DataFeed ʹ Fundamentals V3 ʹ Basic ʹ Global: </t>
  </si>
  <si>
    <t>Licensee is permitted to use this Content to create Derived Data. Licensee may distribute such Derived Data via the following Licensee Products only: (1) IdealRatings Service; (2) IdealRatings Data Feed; and (3) IdealRatings Mobile App. Licensee may only create the following form of Derived Data to be distributed to Client via the permitted Licensee Products:</t>
  </si>
  <si>
    <t>an instrument Responsible Pass/Fail/Rating - to classify whether a security passes a specific screening criteria.</t>
  </si>
  <si>
    <t>Notwithstanding the foregoing, Licensee is permitted to redistribute such Derived Data as part of a general mailing or included in external websites or distributed in other mass communication vehicles or formats, including, but not distributed in other mass communication vehicles or formats, including, but not limited to, advertisements.</t>
  </si>
  <si>
    <t xml:space="preserve">Product </t>
  </si>
  <si>
    <t>Subscriber Number</t>
  </si>
  <si>
    <t>Parent name</t>
  </si>
  <si>
    <t>Entity name</t>
  </si>
  <si>
    <t>Application/Product/URL</t>
  </si>
  <si>
    <t>Membership</t>
  </si>
  <si>
    <t>Quantity</t>
  </si>
  <si>
    <t>Address 1</t>
  </si>
  <si>
    <t>Address 2</t>
  </si>
  <si>
    <t>Post/Zip code</t>
  </si>
  <si>
    <t>Primary contact</t>
  </si>
  <si>
    <t>Email address</t>
  </si>
  <si>
    <t>Telephone</t>
  </si>
  <si>
    <t>Report Date</t>
  </si>
  <si>
    <t>Current SEDOL Licence banding</t>
  </si>
  <si>
    <t>LSE Account Number</t>
  </si>
  <si>
    <t>LSE Account Name</t>
  </si>
  <si>
    <t>Approve/Deny</t>
  </si>
  <si>
    <t>Screening Service</t>
  </si>
  <si>
    <t>IR001</t>
  </si>
  <si>
    <t>~20,000</t>
  </si>
  <si>
    <t>United States</t>
  </si>
  <si>
    <t>260 FRANKLIN STREET</t>
  </si>
  <si>
    <t>Boston</t>
  </si>
  <si>
    <t>02110</t>
  </si>
  <si>
    <t>Massachusetts</t>
  </si>
  <si>
    <t>IR002</t>
  </si>
  <si>
    <t>~10,000</t>
  </si>
  <si>
    <t>United Kingdom</t>
  </si>
  <si>
    <t>Jamestown Wharf, 32 Jamestown Road</t>
  </si>
  <si>
    <t>London</t>
  </si>
  <si>
    <t>NW1 7BY</t>
  </si>
  <si>
    <t>IR003</t>
  </si>
  <si>
    <t>Arrowstreet</t>
  </si>
  <si>
    <t>~19,000</t>
  </si>
  <si>
    <t>200 Clarendon Street • 30th Floor</t>
  </si>
  <si>
    <t>02116</t>
  </si>
  <si>
    <t>IR004</t>
  </si>
  <si>
    <t>3rd Floor, Tower B, Olaya Towers, Olaya Main Street</t>
  </si>
  <si>
    <t>IR005</t>
  </si>
  <si>
    <t>~25,000</t>
  </si>
  <si>
    <t>33 Benedict Place</t>
  </si>
  <si>
    <t>Greenwich</t>
  </si>
  <si>
    <t>06830</t>
  </si>
  <si>
    <t>Connecticut</t>
  </si>
  <si>
    <t>IR006</t>
  </si>
  <si>
    <t>Calton Square, 1 Greenside Row</t>
  </si>
  <si>
    <t>EH1 3AN</t>
  </si>
  <si>
    <t>IR007</t>
  </si>
  <si>
    <t>Caceis</t>
  </si>
  <si>
    <t>~200</t>
  </si>
  <si>
    <t>France</t>
  </si>
  <si>
    <t>89-91 rue Gabriel Péri</t>
  </si>
  <si>
    <t>Montrouge</t>
  </si>
  <si>
    <t>IR008</t>
  </si>
  <si>
    <t>~2,000</t>
  </si>
  <si>
    <t>280 Park Ave, 10th Floor</t>
  </si>
  <si>
    <t>New York</t>
  </si>
  <si>
    <t>IR009</t>
  </si>
  <si>
    <t>~35,000</t>
  </si>
  <si>
    <t>701 Pike Street, Suite 2175</t>
  </si>
  <si>
    <t>Seattle</t>
  </si>
  <si>
    <t>Washington</t>
  </si>
  <si>
    <t>IR010</t>
  </si>
  <si>
    <t>~30,000</t>
  </si>
  <si>
    <t>383 Madison Ave. New York, NY 10179</t>
  </si>
  <si>
    <t>IR011</t>
  </si>
  <si>
    <t>100 East Pratt Street</t>
  </si>
  <si>
    <t>Baltimore</t>
  </si>
  <si>
    <t>Maryland</t>
  </si>
  <si>
    <t>IR012</t>
  </si>
  <si>
    <t xml:space="preserve">Menara Manulife, 6 Jalan Gelenggang, Damansara </t>
  </si>
  <si>
    <t>IR013</t>
  </si>
  <si>
    <t>Morning Star</t>
  </si>
  <si>
    <t>22 West Washington Street</t>
  </si>
  <si>
    <t>Chicago</t>
  </si>
  <si>
    <t>IR014</t>
  </si>
  <si>
    <t>Suite 12.2 Level 12 Menara IMC, 8 Jalan Sultan Ismail</t>
  </si>
  <si>
    <t>IR015</t>
  </si>
  <si>
    <t>50 Bank Street, Canary Wharf, London</t>
  </si>
  <si>
    <t>IR016</t>
  </si>
  <si>
    <t>Pictet</t>
  </si>
  <si>
    <t>~15,000</t>
  </si>
  <si>
    <t>15, avenue J. F. Kennedy</t>
  </si>
  <si>
    <t>B.P. 687, 2016</t>
  </si>
  <si>
    <t>IR017</t>
  </si>
  <si>
    <t>2, rue Gerhard Mercator</t>
  </si>
  <si>
    <t>1443 L-1014</t>
  </si>
  <si>
    <t>IR018</t>
  </si>
  <si>
    <t>84 Wooster St #404</t>
  </si>
  <si>
    <t>IR019</t>
  </si>
  <si>
    <t>1301 Second Ave, 18th Floor</t>
  </si>
  <si>
    <t>IR020</t>
  </si>
  <si>
    <t>1 Lincoln Street</t>
  </si>
  <si>
    <t>02111</t>
  </si>
  <si>
    <t>IR021</t>
  </si>
  <si>
    <t>IR024</t>
  </si>
  <si>
    <t>~18,000</t>
  </si>
  <si>
    <t>Balai PNB, Jalan Tun Razak</t>
  </si>
  <si>
    <t>Product/Service</t>
  </si>
  <si>
    <t xml:space="preserve">Universe </t>
  </si>
  <si>
    <t xml:space="preserve">Distributor Service Name </t>
  </si>
  <si>
    <t>Full Legal Entity Name</t>
  </si>
  <si>
    <t>Address</t>
  </si>
  <si>
    <t>Zip Code</t>
  </si>
  <si>
    <t>Contact Name</t>
  </si>
  <si>
    <t>Phone</t>
  </si>
  <si>
    <t>Audit and Purification / Data Feed</t>
  </si>
  <si>
    <t>ACADIAN ASSET MANAGEMENT LLC</t>
  </si>
  <si>
    <t>260 FRANKLIN STREET , BOSTON</t>
  </si>
  <si>
    <t>BOSTON</t>
  </si>
  <si>
    <t> MA 02110</t>
  </si>
  <si>
    <t>Jennifer McVay</t>
  </si>
  <si>
    <t>617 598 5973</t>
  </si>
  <si>
    <t>jmcvay@acadian-asset.com</t>
  </si>
  <si>
    <t>Audit and Purification</t>
  </si>
  <si>
    <t>ACADIAN ASSET MANAGEMENT (UK) LTD</t>
  </si>
  <si>
    <t> 24 King William Street , London</t>
  </si>
  <si>
    <t>EC4N 9AT</t>
  </si>
  <si>
    <t>Soleen Saadi</t>
  </si>
  <si>
    <t>+44 7469 859 183</t>
  </si>
  <si>
    <t> ssaadi@acadian-asset.com</t>
  </si>
  <si>
    <t>Al Jazeera (Brokerage)</t>
  </si>
  <si>
    <t>ALJAZIRA CAPITAL</t>
  </si>
  <si>
    <t>King Fahad Road , Riyadh</t>
  </si>
  <si>
    <t>Hafiz A. Baig</t>
  </si>
  <si>
    <t>+966 55 835 8223</t>
  </si>
  <si>
    <t>h.baig@Aljaziracapital.com.sa</t>
  </si>
  <si>
    <t xml:space="preserve">Global </t>
  </si>
  <si>
    <t>Al-Baraka</t>
  </si>
  <si>
    <t>alBaraka</t>
  </si>
  <si>
    <t>Stamford Hill, Durban</t>
  </si>
  <si>
    <t>Durban</t>
  </si>
  <si>
    <t>Musa Zuma</t>
  </si>
  <si>
    <t> +27 31 364 9000</t>
  </si>
  <si>
    <t>musaz@albaraka.co.za</t>
  </si>
  <si>
    <t>SNB Capital</t>
  </si>
  <si>
    <t>King Saud Road</t>
  </si>
  <si>
    <t>Rahaf  Al-Hajaj</t>
  </si>
  <si>
    <t>Rahaf.Alhajaj@alahlicapital.com</t>
  </si>
  <si>
    <t>Audit and Purification / Index / Data Feed</t>
  </si>
  <si>
    <t>Jadwa Investment</t>
  </si>
  <si>
    <t>King Fahad Road, Sky Tower Bldg., Fourth Floor. Olaya. Riyadh</t>
  </si>
  <si>
    <t>11555, SA</t>
  </si>
  <si>
    <t>Seba  H. AlTuwaijri</t>
  </si>
  <si>
    <t>   +966 5 08 69 9966</t>
  </si>
  <si>
    <t>saltuwaijri@jadwa.com</t>
  </si>
  <si>
    <t>ADGM Square, Al Maryah Island , Abu Dhabi, United Arab Emirates</t>
  </si>
  <si>
    <t>Mohamed Rafeeq    </t>
  </si>
  <si>
    <t>971 50 810 5393</t>
  </si>
  <si>
    <t>rafeeq@shukrinvestments.com</t>
  </si>
  <si>
    <t>Lazard</t>
  </si>
  <si>
    <t>N/A</t>
  </si>
  <si>
    <t>Index/DataFeed</t>
  </si>
  <si>
    <t>Menara Manulife, 6 Jalan Gelenggang, Damansara</t>
  </si>
  <si>
    <t>RIMEs</t>
  </si>
  <si>
    <t>Albilad</t>
  </si>
  <si>
    <t>AlKhair Capital</t>
  </si>
  <si>
    <t>Al-Rajhi</t>
  </si>
  <si>
    <t>ArqaamCapital</t>
  </si>
  <si>
    <t>InterPacific</t>
  </si>
  <si>
    <t>Jll asset management</t>
  </si>
  <si>
    <t>MorganStanley</t>
  </si>
  <si>
    <t>Nefaie investment</t>
  </si>
  <si>
    <t>Osool</t>
  </si>
  <si>
    <t>PureWealth</t>
  </si>
  <si>
    <t>RiyadCapital</t>
  </si>
  <si>
    <t>SameerAzzam-GlobalREITs</t>
  </si>
  <si>
    <t>SaudiFransi</t>
  </si>
  <si>
    <t>TCW</t>
  </si>
  <si>
    <t>VisioFund</t>
  </si>
  <si>
    <t>AwqafAlRajhi(ASRHC)</t>
  </si>
  <si>
    <t>BaillieGifford</t>
  </si>
  <si>
    <t>OMIGSA</t>
  </si>
  <si>
    <t>goldmanhenry</t>
  </si>
  <si>
    <t>HayatInvest</t>
  </si>
  <si>
    <t>Hejazfs</t>
  </si>
  <si>
    <t>ImanFund</t>
  </si>
  <si>
    <t>Investvis</t>
  </si>
  <si>
    <t>lifespan</t>
  </si>
  <si>
    <t>Manulife_Global</t>
  </si>
  <si>
    <t>MIDF_AM</t>
  </si>
  <si>
    <t>PAM-PIAM</t>
  </si>
  <si>
    <t>RHBIslamic</t>
  </si>
  <si>
    <t>shukr-investments</t>
  </si>
  <si>
    <t>ShuraInvest</t>
  </si>
  <si>
    <t>Maybank_APAC</t>
  </si>
  <si>
    <t>aljaziracapital</t>
  </si>
  <si>
    <t xml:space="preserve">Audit and Purification </t>
  </si>
  <si>
    <t>Aljaziracapital</t>
  </si>
  <si>
    <t>Type</t>
  </si>
  <si>
    <t>Shariah Data-feed</t>
  </si>
  <si>
    <t>ESG Data-feed</t>
  </si>
  <si>
    <t>Market Data Fields Count</t>
  </si>
  <si>
    <t>Customer</t>
  </si>
  <si>
    <t>Entity Name</t>
  </si>
  <si>
    <t>Index Name</t>
  </si>
  <si>
    <t>Universe Count</t>
  </si>
  <si>
    <t>Service</t>
  </si>
  <si>
    <t>Shariah</t>
  </si>
  <si>
    <t>Purification</t>
  </si>
  <si>
    <t>Frequency</t>
  </si>
  <si>
    <t>a datafeed service called Datafeed Service which is available to Licensee’s Clients via datafeed with API integration. Data Feed allows Clients to receive ESG, Responsible and Shariah compliant data and information in relation to 40,000+ issuers globally (the “IdealRatings Data Feed”);</t>
  </si>
  <si>
    <t>Licensee is permitted to allow Clients to download and export this Content.</t>
  </si>
  <si>
    <t>universe</t>
  </si>
  <si>
    <t>global</t>
  </si>
  <si>
    <t>saudi</t>
  </si>
  <si>
    <t>Asset Owner</t>
  </si>
  <si>
    <t>Custodian</t>
  </si>
  <si>
    <t>- Albilad Capital GCC Dividend
- Albilad Capital 
- Albilad Capital Saudi Dividend	
- Albilad Capital Saudi pure	
- Albilad Capital Saudi Ex-Albilad Bank	
- IR GCC REITs</t>
  </si>
  <si>
    <t xml:space="preserve">- KSB Saudi
- KSB Dividends	
- KSB GCC IPO	</t>
  </si>
  <si>
    <t>- Alinma Saudi IPO Equities Islamic Index
- Alinma- IdealRatings Saudi Index</t>
  </si>
  <si>
    <t>- AlKhabeer Saudi REITs Index
- Alkhabeer Global Equity Index</t>
  </si>
  <si>
    <t>Osool &amp; Bakheet</t>
  </si>
  <si>
    <t xml:space="preserve">- Osool &amp; Bakheet Saudi IPO Shariah Index
- Osool &amp; Bakheet Saudi IPO Conventional Index	
- IdealRatings Nomu Islamic Index	</t>
  </si>
  <si>
    <t xml:space="preserve">- Idealratings Saudi Index </t>
  </si>
  <si>
    <t>- Saudi Fransi Capital IPO GCC 5Yrs Index</t>
  </si>
  <si>
    <t xml:space="preserve">- IdealRatings Saudi Islamic 10% Index	</t>
  </si>
  <si>
    <t xml:space="preserve">- Idealratings Saudi Index	</t>
  </si>
  <si>
    <t>- IdealRatings Saudi Islamic Index</t>
  </si>
  <si>
    <t>- Idealratings Saudi Index</t>
  </si>
  <si>
    <t>- IdealRatings Global REITs Select Malaysia</t>
  </si>
  <si>
    <t>- IdealRatings Global REITs Select EV Index</t>
  </si>
  <si>
    <t>- AIMS-IdealRatings Saudi Islamic Equity Index</t>
  </si>
  <si>
    <t>- ASRHC MENA Ex-Saudi Index</t>
  </si>
  <si>
    <t>- ASRHC Saudi Index</t>
  </si>
  <si>
    <t>- ASRHC MENA Index</t>
  </si>
  <si>
    <t>- Jadwa Saudi Shariah Custom Index 1
- Jadwa Saudi Shariah Custom Index 2</t>
  </si>
  <si>
    <t xml:space="preserve">- IR Saudi REIT Index	</t>
  </si>
  <si>
    <t xml:space="preserve">- IdealRatings Digital &amp; IT Shariah Index	
- IdealRatings GCC Dividends Islamic Custom Index	</t>
  </si>
  <si>
    <t>Thomson reuters</t>
  </si>
  <si>
    <t xml:space="preserve">- Alkhair Capital MENA IPO Shariah Index	</t>
  </si>
  <si>
    <t>- Riyad Income Shariah Index	
- Riyad Income Shariah Balanced Index	
- Emmar Saudi Shariah Index
- IR Saudi L Cap Conventional Index SIF	
- IR Saudi MSM Cap shariah Index SIF	
- IR GCC shariah Index SIF Ex Saudi</t>
  </si>
  <si>
    <t xml:space="preserve">- Sattam AlRajhi Saudi Pure Positive TR	</t>
  </si>
  <si>
    <t>Al Rajhi Capital</t>
  </si>
  <si>
    <t>Far Venture</t>
  </si>
  <si>
    <t>PASS</t>
  </si>
  <si>
    <t>PASS/FAIL</t>
  </si>
  <si>
    <t>SAUDI</t>
  </si>
  <si>
    <t>U S OTC+HK EXCHANGES</t>
  </si>
  <si>
    <t>Aljazira</t>
  </si>
  <si>
    <t>MENA &amp; US</t>
  </si>
  <si>
    <t>Alpha capital</t>
  </si>
  <si>
    <t>EGYPT</t>
  </si>
  <si>
    <t>Alrayan</t>
  </si>
  <si>
    <t>AlSalam bank</t>
  </si>
  <si>
    <t>USA, France, Germany, United Kingdom, Switzerland, GCC, Japan, and Hong Kong</t>
  </si>
  <si>
    <t>Emerging markets</t>
  </si>
  <si>
    <t>Mena</t>
  </si>
  <si>
    <t>Developed Markets</t>
  </si>
  <si>
    <t>Arrow Street</t>
  </si>
  <si>
    <t>Global-ex reits</t>
  </si>
  <si>
    <t>Baillie gifford</t>
  </si>
  <si>
    <t>Global list</t>
  </si>
  <si>
    <t>Cohen &amp;steers</t>
  </si>
  <si>
    <t>REOCs + REITs</t>
  </si>
  <si>
    <t>Qatar equities</t>
  </si>
  <si>
    <t>US &amp; Hongkong</t>
  </si>
  <si>
    <t>Global- ex indonesia</t>
  </si>
  <si>
    <t>US traded companies</t>
  </si>
  <si>
    <t>United States of America, Canada, United Kingdom, Australia, New Zealand, Hong Kong, Taiwan, Japan, South Korea, India, Malaysia, Thailand, Singapore, Indonesia</t>
  </si>
  <si>
    <t>Morgan Staneley EM</t>
  </si>
  <si>
    <t>Oman securities</t>
  </si>
  <si>
    <t>NBK MENA</t>
  </si>
  <si>
    <t> Foreign and NVDR shares of Thai stocks</t>
  </si>
  <si>
    <t>Nuqi</t>
  </si>
  <si>
    <t>South Africa (Johannesburg Stock Exchange)</t>
  </si>
  <si>
    <t>PMB Shariah &amp; ESG Universe</t>
  </si>
  <si>
    <t>philippine stock exchange</t>
  </si>
  <si>
    <t>Rasameel Delivery</t>
  </si>
  <si>
    <t>Developed markets+GCC+South Korea+China+India</t>
  </si>
  <si>
    <t>Rasamel reits</t>
  </si>
  <si>
    <t>Global reits</t>
  </si>
  <si>
    <t>Russell investments</t>
  </si>
  <si>
    <t>Saudi-GCC</t>
  </si>
  <si>
    <t>SRB GCC</t>
  </si>
  <si>
    <t>blackrock</t>
  </si>
  <si>
    <t>Arga</t>
  </si>
  <si>
    <t>Cohen &amp; steers</t>
  </si>
  <si>
    <t>Nqui</t>
  </si>
  <si>
    <t>Equities/REITs/ETF</t>
  </si>
  <si>
    <t>Count</t>
  </si>
  <si>
    <t>~23,000</t>
  </si>
  <si>
    <t>~1,700</t>
  </si>
  <si>
    <t>~28,000</t>
  </si>
  <si>
    <t>~12,900</t>
  </si>
  <si>
    <t>Monthly</t>
  </si>
  <si>
    <t>~9,950</t>
  </si>
  <si>
    <t>1st of January</t>
  </si>
  <si>
    <t>1st of December</t>
  </si>
  <si>
    <t>1st of February</t>
  </si>
  <si>
    <t>1st of March</t>
  </si>
  <si>
    <t>~5300</t>
  </si>
  <si>
    <t>~570</t>
  </si>
  <si>
    <t>~740</t>
  </si>
  <si>
    <t>Montlhy</t>
  </si>
  <si>
    <t>~36,000</t>
  </si>
  <si>
    <t>~8000</t>
  </si>
  <si>
    <t>~37,000</t>
  </si>
  <si>
    <t>~340</t>
  </si>
  <si>
    <t>~800</t>
  </si>
  <si>
    <t>~300</t>
  </si>
  <si>
    <t>~50</t>
  </si>
  <si>
    <t>~21,000</t>
  </si>
  <si>
    <t>~1000</t>
  </si>
  <si>
    <t>~990</t>
  </si>
  <si>
    <t>~5,000</t>
  </si>
  <si>
    <t>~660</t>
  </si>
  <si>
    <t>~600</t>
  </si>
  <si>
    <t>~950</t>
  </si>
  <si>
    <t>~250</t>
  </si>
  <si>
    <t>~700</t>
  </si>
  <si>
    <t>~34,000</t>
  </si>
  <si>
    <t>~6450</t>
  </si>
  <si>
    <t>~150</t>
  </si>
  <si>
    <t>~27,600</t>
  </si>
  <si>
    <t>~330</t>
  </si>
  <si>
    <t>~4,000</t>
  </si>
  <si>
    <t>~26,000</t>
  </si>
  <si>
    <t>Name,Isin,Ticker</t>
  </si>
  <si>
    <t>~314</t>
  </si>
  <si>
    <t>Name,ISIN,S&amp;P shariah-based,[S&amp;P Shariah-based] Interest-bearing Debts</t>
  </si>
  <si>
    <t>Derayah Saudi (Derayah Proposed RB)</t>
  </si>
  <si>
    <t>Manulife Delivery (Indonesia OJK Shariah-based)</t>
  </si>
  <si>
    <t>Manulife Delivery (AAOIFI - IdealRatings AM</t>
  </si>
  <si>
    <t>Name,Isin,Ticker,Indonesia OJK Shariah-based</t>
  </si>
  <si>
    <t>SAUDI,GCC</t>
  </si>
  <si>
    <t>Saudi &amp;GCC</t>
  </si>
  <si>
    <t>Semi annually</t>
  </si>
  <si>
    <t>Semi Annually</t>
  </si>
  <si>
    <t>~6000</t>
  </si>
  <si>
    <t>~11,000</t>
  </si>
  <si>
    <t>~16,000</t>
  </si>
  <si>
    <t>Cohen &amp;steers REOs +Reits</t>
  </si>
  <si>
    <t>*Name
*ISIN</t>
  </si>
  <si>
    <t>~148</t>
  </si>
  <si>
    <t>~100</t>
  </si>
  <si>
    <t>FAB</t>
  </si>
  <si>
    <t>Has Service</t>
  </si>
  <si>
    <t>Indexes Names</t>
  </si>
  <si>
    <t>SEDOL Count</t>
  </si>
  <si>
    <t>ISIN Count</t>
  </si>
  <si>
    <t>CUSIP Count</t>
  </si>
  <si>
    <t>Morgan Stanley EM</t>
  </si>
  <si>
    <t>Investics</t>
  </si>
  <si>
    <t>E,S,G</t>
  </si>
  <si>
    <t>Text</t>
  </si>
  <si>
    <t xml:space="preserve"> Source</t>
  </si>
  <si>
    <t>Next delivery due date</t>
  </si>
  <si>
    <t>Derayah Delivery derayah Proposed RB</t>
  </si>
  <si>
    <t>Morgan Staneley</t>
  </si>
  <si>
    <t>Rassanah</t>
  </si>
  <si>
    <t xml:space="preserve">Rasameel </t>
  </si>
  <si>
    <t>Rasameel Reits</t>
  </si>
  <si>
    <t>Under investigation</t>
  </si>
  <si>
    <t>delivery_name</t>
  </si>
  <si>
    <t>universe_count</t>
  </si>
  <si>
    <t>IdealRatings</t>
  </si>
  <si>
    <t>fields</t>
  </si>
  <si>
    <t>Al Nahdi</t>
  </si>
  <si>
    <t>- Sattam Alrajhi Top 15 US Islamic Index	
- Sattam AlRajhi Saudi Pure Positive TR	
- IRGR Balanced Top 30 Index
- Sattan Alrajhi US Growth Index</t>
  </si>
  <si>
    <t>IdealRatings Saudi shariah Index SIF</t>
  </si>
  <si>
    <t>IdealRatings Saudi IPO 5Yrs Conv Index</t>
  </si>
  <si>
    <t>Riyad Capital  US</t>
  </si>
  <si>
    <t>Name,ISIN,Compliance Status,Purification</t>
  </si>
  <si>
    <t>~3,800</t>
  </si>
  <si>
    <t>Derayah Capital US</t>
  </si>
  <si>
    <t>~5,300</t>
  </si>
  <si>
    <t xml:space="preserve">SNB global  </t>
  </si>
  <si>
    <t>Name,Nation,ISIN,NCB Global</t>
  </si>
  <si>
    <t xml:space="preserve">ANB US </t>
  </si>
  <si>
    <t>Ticker,Compliance</t>
  </si>
  <si>
    <t>~4,400</t>
  </si>
  <si>
    <t>ANB  Saudi</t>
  </si>
  <si>
    <t>~360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</si>
</sst>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409]mmm\-yy;@"/>
  </numFmts>
  <fonts count="69">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2"/>
      <color theme="1"/>
      <name val="Aptos Narrow"/>
      <family val="2"/>
      <scheme val="minor"/>
    </font>
    <font>
      <sz val="11"/>
      <color theme="1"/>
      <name val="Aptos Narrow"/>
      <family val="2"/>
      <scheme val="minor"/>
    </font>
    <font>
      <sz val="11"/>
      <color theme="1"/>
      <name val="Aptos Narrow"/>
      <family val="2"/>
      <scheme val="minor"/>
    </font>
    <font>
      <b/>
      <sz val="11"/>
      <color theme="1"/>
      <name val="Aptos Narrow"/>
      <family val="2"/>
    </font>
    <font>
      <sz val="11"/>
      <color theme="1"/>
      <name val="Aptos Narrow"/>
      <family val="2"/>
    </font>
    <font>
      <sz val="11"/>
      <color theme="1"/>
      <name val="Aptos Narrow"/>
      <family val="2"/>
      <scheme val="minor"/>
    </font>
    <font>
      <sz val="11"/>
      <color theme="1"/>
      <name val="Arial"/>
      <family val="2"/>
    </font>
    <font>
      <sz val="11"/>
      <color rgb="FFBF4F14"/>
      <name val="Aptos Narrow"/>
      <family val="2"/>
    </font>
    <font>
      <b/>
      <sz val="11"/>
      <color theme="1"/>
      <name val="Aptos Narrow"/>
      <family val="2"/>
      <scheme val="minor"/>
    </font>
    <font>
      <sz val="11"/>
      <color rgb="FF000000"/>
      <name val="Aptos Narrow"/>
      <family val="2"/>
      <scheme val="minor"/>
    </font>
    <font>
      <b/>
      <sz val="11"/>
      <color rgb="FF000000"/>
      <name val="Aptos Narrow"/>
      <family val="2"/>
      <scheme val="minor"/>
    </font>
    <font>
      <sz val="8"/>
      <name val="Aptos Narrow"/>
      <family val="2"/>
      <scheme val="minor"/>
    </font>
    <font>
      <b/>
      <sz val="11"/>
      <color theme="1"/>
      <name val="Aptos Narrow"/>
      <family val="2"/>
      <scheme val="minor"/>
    </font>
    <font>
      <sz val="11"/>
      <name val="Aptos Narrow"/>
      <family val="2"/>
      <scheme val="minor"/>
    </font>
    <font>
      <b/>
      <sz val="11"/>
      <color theme="1"/>
      <name val="Arial"/>
      <family val="2"/>
    </font>
    <font>
      <sz val="10"/>
      <color theme="1"/>
      <name val="Arial Unicode MS"/>
      <family val="2"/>
    </font>
    <font>
      <sz val="11"/>
      <color rgb="FFFF0000"/>
      <name val="Aptos Narrow (Body)"/>
    </font>
    <font>
      <sz val="10"/>
      <color rgb="FFFF0000"/>
      <name val="Arial Unicode MS"/>
      <family val="2"/>
    </font>
    <font>
      <u/>
      <sz val="11"/>
      <color theme="10"/>
      <name val="Aptos Narrow"/>
      <family val="2"/>
      <scheme val="minor"/>
    </font>
    <font>
      <sz val="12"/>
      <color theme="1"/>
      <name val="Cambria"/>
      <family val="1"/>
    </font>
    <font>
      <b/>
      <sz val="12"/>
      <color indexed="8"/>
      <name val="Cambria"/>
      <family val="1"/>
    </font>
    <font>
      <sz val="12"/>
      <name val="Cambria"/>
      <family val="1"/>
    </font>
    <font>
      <sz val="12"/>
      <color indexed="8"/>
      <name val="Cambria"/>
      <family val="1"/>
    </font>
    <font>
      <b/>
      <sz val="14"/>
      <color indexed="53"/>
      <name val="Cambria"/>
      <family val="1"/>
    </font>
    <font>
      <b/>
      <sz val="11"/>
      <color theme="0"/>
      <name val="Aptos Narrow"/>
      <family val="2"/>
      <scheme val="minor"/>
    </font>
    <font>
      <b/>
      <sz val="11"/>
      <color theme="1"/>
      <name val="Helvetica"/>
      <family val="2"/>
    </font>
    <font>
      <b/>
      <sz val="12"/>
      <color theme="1"/>
      <name val="Helvetica"/>
      <family val="2"/>
    </font>
    <font>
      <b/>
      <sz val="10"/>
      <color theme="1"/>
      <name val="Helvetica"/>
      <family val="2"/>
    </font>
    <font>
      <sz val="9"/>
      <color theme="1"/>
      <name val="Helvetica"/>
      <family val="2"/>
    </font>
    <font>
      <sz val="9"/>
      <color rgb="FF000000"/>
      <name val="Helvetica"/>
      <family val="2"/>
    </font>
    <font>
      <b/>
      <sz val="9"/>
      <color theme="1"/>
      <name val="Helvetica"/>
      <family val="2"/>
    </font>
    <font>
      <sz val="10"/>
      <color rgb="FF000000"/>
      <name val="Tahoma"/>
      <family val="2"/>
    </font>
    <font>
      <b/>
      <sz val="10"/>
      <color rgb="FF000000"/>
      <name val="Tahoma"/>
      <family val="2"/>
    </font>
    <font>
      <sz val="9"/>
      <color theme="5" tint="-0.249977111117893"/>
      <name val="Helvetica"/>
      <family val="2"/>
    </font>
    <font>
      <b/>
      <sz val="10.5"/>
      <color theme="0"/>
      <name val="Aptos Narrow"/>
      <family val="2"/>
      <scheme val="minor"/>
    </font>
    <font>
      <sz val="10.5"/>
      <color theme="1"/>
      <name val="Aptos Narrow"/>
      <family val="2"/>
      <scheme val="minor"/>
    </font>
    <font>
      <b/>
      <sz val="10.5"/>
      <color theme="1"/>
      <name val="Aptos Narrow"/>
      <family val="2"/>
      <scheme val="minor"/>
    </font>
    <font>
      <i/>
      <sz val="10.5"/>
      <color theme="1"/>
      <name val="Aptos Narrow"/>
      <family val="2"/>
      <scheme val="minor"/>
    </font>
    <font>
      <sz val="6"/>
      <color rgb="FF808080"/>
      <name val="Mulish"/>
    </font>
    <font>
      <b/>
      <u/>
      <sz val="11"/>
      <color theme="1"/>
      <name val="Aptos Narrow"/>
      <family val="2"/>
      <scheme val="minor"/>
    </font>
    <font>
      <sz val="11"/>
      <color theme="0"/>
      <name val="Aptos Narrow"/>
      <family val="2"/>
      <scheme val="minor"/>
    </font>
    <font>
      <sz val="11"/>
      <color rgb="FFFF0000"/>
      <name val="Aptos Narrow"/>
      <family val="2"/>
      <scheme val="minor"/>
    </font>
    <font>
      <sz val="10"/>
      <color theme="1"/>
      <name val="Arial Unicode MS"/>
    </font>
    <font>
      <b/>
      <sz val="11"/>
      <color theme="0"/>
      <name val="Calibri"/>
      <family val="2"/>
    </font>
    <font>
      <sz val="11"/>
      <color theme="1"/>
      <name val="Calibri"/>
      <family val="2"/>
    </font>
    <font>
      <sz val="11"/>
      <color rgb="FF2D3031"/>
      <name val="Calibri"/>
      <family val="2"/>
    </font>
    <font>
      <b/>
      <sz val="11"/>
      <color theme="7" tint="-0.499984740745262"/>
      <name val="Aptos Narrow"/>
      <family val="2"/>
      <scheme val="minor"/>
    </font>
    <font>
      <b/>
      <sz val="10.5"/>
      <color rgb="FFFF0000"/>
      <name val="Aptos Narrow"/>
      <family val="2"/>
      <scheme val="minor"/>
    </font>
    <font>
      <sz val="10.5"/>
      <color rgb="FFFF0000"/>
      <name val="Aptos Narrow"/>
      <family val="2"/>
      <scheme val="minor"/>
    </font>
    <font>
      <sz val="9"/>
      <color rgb="FF333333"/>
      <name val="Segoe UI"/>
      <family val="2"/>
    </font>
    <font>
      <b/>
      <sz val="11"/>
      <color rgb="FFFF0000"/>
      <name val="Aptos Narrow"/>
      <family val="2"/>
      <scheme val="minor"/>
    </font>
    <font>
      <b/>
      <sz val="11"/>
      <color rgb="FFFF0000"/>
      <name val="Aptos Narrow"/>
      <family val="2"/>
    </font>
    <font>
      <b/>
      <sz val="11"/>
      <color rgb="FFFF0000"/>
      <name val="Arial"/>
      <family val="2"/>
    </font>
    <font>
      <b/>
      <sz val="11"/>
      <color theme="7" tint="-0.249977111117893"/>
      <name val="Aptos Narrow"/>
      <family val="2"/>
      <scheme val="minor"/>
    </font>
    <font>
      <sz val="11"/>
      <color theme="7" tint="-0.249977111117893"/>
      <name val="Aptos Narrow"/>
      <family val="2"/>
      <scheme val="minor"/>
    </font>
    <font>
      <sz val="10"/>
      <color theme="7" tint="-0.249977111117893"/>
      <name val="Arial Unicode MS"/>
      <family val="2"/>
    </font>
    <font>
      <b/>
      <sz val="11"/>
      <color theme="7" tint="-0.249977111117893"/>
      <name val="Aptos Narrow"/>
      <family val="2"/>
    </font>
    <font>
      <b/>
      <sz val="11"/>
      <color theme="4"/>
      <name val="Aptos Narrow"/>
      <family val="2"/>
      <scheme val="minor"/>
    </font>
    <font>
      <sz val="11"/>
      <color theme="4"/>
      <name val="Aptos Narrow"/>
      <family val="2"/>
      <scheme val="minor"/>
    </font>
    <font>
      <sz val="10"/>
      <color theme="4"/>
      <name val="Arial Unicode MS"/>
      <family val="2"/>
    </font>
    <font>
      <sz val="10"/>
      <color rgb="FFFF0000"/>
      <name val="Arial Unicode MS"/>
    </font>
    <font>
      <sz val="8"/>
      <color rgb="FFFFDEDE"/>
      <name val="Source Sans Pro"/>
      <family val="2"/>
    </font>
  </fonts>
  <fills count="27">
    <fill>
      <patternFill patternType="none"/>
    </fill>
    <fill>
      <patternFill patternType="gray125"/>
    </fill>
    <fill>
      <patternFill patternType="solid">
        <fgColor rgb="FFB3E5A1"/>
        <bgColor rgb="FFB3E5A1"/>
      </patternFill>
    </fill>
    <fill>
      <patternFill patternType="solid">
        <fgColor rgb="FFFF832F"/>
        <bgColor indexed="64"/>
      </patternFill>
    </fill>
    <fill>
      <patternFill patternType="solid">
        <fgColor rgb="FFFF0000"/>
        <bgColor indexed="64"/>
      </patternFill>
    </fill>
    <fill>
      <patternFill patternType="solid">
        <fgColor rgb="FFFF832F"/>
        <bgColor rgb="FF000000"/>
      </patternFill>
    </fill>
    <fill>
      <patternFill patternType="solid">
        <fgColor rgb="FFFF0000"/>
        <bgColor rgb="FF000000"/>
      </patternFill>
    </fill>
    <fill>
      <patternFill patternType="solid">
        <fgColor rgb="FFFFFF00"/>
        <bgColor indexed="64"/>
      </patternFill>
    </fill>
    <fill>
      <patternFill patternType="solid">
        <fgColor theme="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C00000"/>
        <bgColor indexed="64"/>
      </patternFill>
    </fill>
    <fill>
      <patternFill patternType="solid">
        <fgColor indexed="9"/>
        <bgColor indexed="64"/>
      </patternFill>
    </fill>
    <fill>
      <patternFill patternType="solid">
        <fgColor theme="9"/>
        <bgColor indexed="64"/>
      </patternFill>
    </fill>
    <fill>
      <patternFill patternType="solid">
        <fgColor theme="7" tint="-0.249977111117893"/>
        <bgColor indexed="64"/>
      </patternFill>
    </fill>
    <fill>
      <patternFill patternType="solid">
        <fgColor theme="3" tint="0.39997558519241921"/>
        <bgColor indexed="64"/>
      </patternFill>
    </fill>
    <fill>
      <patternFill patternType="solid">
        <fgColor theme="1" tint="4.9989318521683403E-2"/>
        <bgColor indexed="64"/>
      </patternFill>
    </fill>
    <fill>
      <patternFill patternType="solid">
        <fgColor theme="8" tint="0.79998168889431442"/>
        <bgColor indexed="64"/>
      </patternFill>
    </fill>
    <fill>
      <patternFill patternType="solid">
        <fgColor theme="8"/>
        <bgColor indexed="64"/>
      </patternFill>
    </fill>
    <fill>
      <patternFill patternType="solid">
        <fgColor theme="0"/>
        <bgColor indexed="64"/>
      </patternFill>
    </fill>
    <fill>
      <patternFill patternType="solid">
        <fgColor theme="2" tint="-4.9989318521683403E-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4" tint="0.79998168889431442"/>
        <bgColor rgb="FFCAEDFB"/>
      </patternFill>
    </fill>
    <fill>
      <patternFill patternType="solid">
        <fgColor theme="7" tint="0.79998168889431442"/>
        <bgColor indexed="64"/>
      </patternFill>
    </fill>
    <fill>
      <patternFill patternType="solid">
        <fgColor rgb="FFFFFF00"/>
        <bgColor rgb="FFCAEDFB"/>
      </patternFill>
    </fill>
  </fills>
  <borders count="3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top/>
      <bottom style="medium">
        <color indexed="64"/>
      </bottom>
      <diagonal/>
    </border>
    <border>
      <left/>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9" fontId="12" fillId="0" borderId="0" applyFont="0" applyFill="0" applyBorder="0" applyAlignment="0" applyProtection="0"/>
    <xf numFmtId="0" fontId="8" fillId="0" borderId="0"/>
    <xf numFmtId="43" fontId="8" fillId="0" borderId="0" applyFont="0" applyFill="0" applyBorder="0" applyAlignment="0" applyProtection="0"/>
    <xf numFmtId="0" fontId="25" fillId="0" borderId="0" applyNumberFormat="0" applyFill="0" applyBorder="0" applyAlignment="0" applyProtection="0"/>
  </cellStyleXfs>
  <cellXfs count="440">
    <xf numFmtId="0" fontId="0" fillId="0" borderId="0" xfId="0"/>
    <xf numFmtId="0" fontId="12" fillId="0" borderId="0" xfId="0" applyFont="1"/>
    <xf numFmtId="0" fontId="10" fillId="2" borderId="1" xfId="0" applyFont="1" applyFill="1" applyBorder="1" applyAlignment="1">
      <alignment vertical="top" wrapText="1"/>
    </xf>
    <xf numFmtId="0" fontId="11" fillId="0" borderId="1" xfId="0" applyFont="1" applyBorder="1" applyAlignment="1">
      <alignment vertical="top" wrapText="1"/>
    </xf>
    <xf numFmtId="0" fontId="11" fillId="0" borderId="0" xfId="0" applyFont="1" applyAlignment="1">
      <alignment vertical="top" wrapText="1"/>
    </xf>
    <xf numFmtId="0" fontId="15" fillId="3" borderId="2" xfId="0" applyFont="1" applyFill="1" applyBorder="1" applyAlignment="1">
      <alignment horizontal="center"/>
    </xf>
    <xf numFmtId="0" fontId="0" fillId="0" borderId="2" xfId="0" applyBorder="1" applyAlignment="1">
      <alignment horizontal="center"/>
    </xf>
    <xf numFmtId="0" fontId="0" fillId="0" borderId="2" xfId="0" applyBorder="1" applyAlignment="1">
      <alignment horizontal="left"/>
    </xf>
    <xf numFmtId="0" fontId="0" fillId="0" borderId="2" xfId="0" applyBorder="1"/>
    <xf numFmtId="0" fontId="0" fillId="0" borderId="2" xfId="0" applyBorder="1" applyAlignment="1">
      <alignment vertical="center"/>
    </xf>
    <xf numFmtId="0" fontId="16" fillId="0" borderId="2" xfId="0" applyFont="1" applyBorder="1"/>
    <xf numFmtId="0" fontId="0" fillId="4" borderId="2" xfId="0" applyFill="1" applyBorder="1" applyAlignment="1">
      <alignment horizontal="center"/>
    </xf>
    <xf numFmtId="0" fontId="0" fillId="4" borderId="2" xfId="0" applyFill="1" applyBorder="1"/>
    <xf numFmtId="0" fontId="0" fillId="0" borderId="2" xfId="0" applyBorder="1" applyAlignment="1">
      <alignment wrapText="1"/>
    </xf>
    <xf numFmtId="0" fontId="0" fillId="0" borderId="2" xfId="0" applyBorder="1" applyAlignment="1">
      <alignment horizontal="center" wrapText="1"/>
    </xf>
    <xf numFmtId="0" fontId="17" fillId="5" borderId="2" xfId="0" applyFont="1" applyFill="1" applyBorder="1" applyAlignment="1">
      <alignment horizontal="center" wrapText="1"/>
    </xf>
    <xf numFmtId="0" fontId="16" fillId="0" borderId="2" xfId="0" applyFont="1" applyBorder="1" applyAlignment="1">
      <alignment wrapText="1"/>
    </xf>
    <xf numFmtId="0" fontId="16" fillId="6" borderId="2" xfId="0" applyFont="1" applyFill="1" applyBorder="1" applyAlignment="1">
      <alignment wrapText="1"/>
    </xf>
    <xf numFmtId="0" fontId="19" fillId="0" borderId="0" xfId="0" applyFont="1"/>
    <xf numFmtId="9" fontId="0" fillId="0" borderId="2" xfId="1" applyFont="1" applyBorder="1" applyAlignment="1">
      <alignment wrapText="1"/>
    </xf>
    <xf numFmtId="0" fontId="10" fillId="2" borderId="2" xfId="0" applyFont="1" applyFill="1" applyBorder="1" applyAlignment="1">
      <alignment vertical="top" wrapText="1"/>
    </xf>
    <xf numFmtId="0" fontId="0" fillId="0" borderId="2" xfId="0" applyBorder="1" applyAlignment="1">
      <alignment horizontal="center" vertical="center"/>
    </xf>
    <xf numFmtId="0" fontId="20" fillId="0" borderId="0" xfId="0" applyFont="1"/>
    <xf numFmtId="0" fontId="0" fillId="0" borderId="0" xfId="0" applyAlignment="1">
      <alignment wrapText="1"/>
    </xf>
    <xf numFmtId="0" fontId="11" fillId="0" borderId="2" xfId="0" applyFont="1" applyBorder="1" applyAlignment="1">
      <alignment vertical="top" wrapText="1"/>
    </xf>
    <xf numFmtId="0" fontId="9" fillId="0" borderId="2" xfId="0" applyFont="1" applyBorder="1"/>
    <xf numFmtId="0" fontId="9" fillId="0" borderId="2" xfId="0" applyFont="1" applyBorder="1" applyAlignment="1">
      <alignment wrapText="1"/>
    </xf>
    <xf numFmtId="0" fontId="9" fillId="0" borderId="0" xfId="0" applyFont="1"/>
    <xf numFmtId="0" fontId="0" fillId="0" borderId="0" xfId="0" applyAlignment="1">
      <alignment vertical="top" wrapText="1"/>
    </xf>
    <xf numFmtId="0" fontId="12" fillId="0" borderId="0" xfId="0" applyFont="1" applyAlignment="1">
      <alignment vertical="top"/>
    </xf>
    <xf numFmtId="0" fontId="12" fillId="0" borderId="0" xfId="0" applyFont="1" applyAlignment="1">
      <alignment vertical="top" wrapText="1"/>
    </xf>
    <xf numFmtId="0" fontId="12" fillId="0" borderId="0" xfId="0" applyFont="1" applyAlignment="1">
      <alignment wrapText="1"/>
    </xf>
    <xf numFmtId="0" fontId="9" fillId="0" borderId="0" xfId="0" applyFont="1" applyAlignment="1">
      <alignment vertical="top"/>
    </xf>
    <xf numFmtId="0" fontId="15" fillId="3" borderId="3" xfId="0" applyFont="1" applyFill="1" applyBorder="1" applyAlignment="1">
      <alignment horizontal="center"/>
    </xf>
    <xf numFmtId="0" fontId="15" fillId="0" borderId="0" xfId="0" applyFont="1" applyAlignment="1">
      <alignment vertical="top" wrapText="1"/>
    </xf>
    <xf numFmtId="0" fontId="15" fillId="9" borderId="0" xfId="0" applyFont="1" applyFill="1" applyAlignment="1">
      <alignment vertical="top" wrapText="1"/>
    </xf>
    <xf numFmtId="0" fontId="10" fillId="0" borderId="2" xfId="0" applyFont="1" applyBorder="1" applyAlignment="1">
      <alignment vertical="top" wrapText="1"/>
    </xf>
    <xf numFmtId="0" fontId="15" fillId="0" borderId="2" xfId="0" applyFont="1" applyBorder="1" applyAlignment="1">
      <alignment vertical="top" wrapText="1"/>
    </xf>
    <xf numFmtId="0" fontId="17" fillId="0" borderId="2" xfId="0" applyFont="1" applyBorder="1" applyAlignment="1">
      <alignment vertical="top" wrapText="1"/>
    </xf>
    <xf numFmtId="0" fontId="15" fillId="4" borderId="2" xfId="0" applyFont="1" applyFill="1" applyBorder="1" applyAlignment="1">
      <alignment vertical="top" wrapText="1"/>
    </xf>
    <xf numFmtId="0" fontId="10" fillId="0" borderId="1" xfId="0" applyFont="1" applyBorder="1" applyAlignment="1">
      <alignment vertical="top" wrapText="1"/>
    </xf>
    <xf numFmtId="0" fontId="21" fillId="0" borderId="1" xfId="0" applyFont="1" applyBorder="1" applyAlignment="1">
      <alignment vertical="top" wrapText="1"/>
    </xf>
    <xf numFmtId="0" fontId="15" fillId="7" borderId="1" xfId="0" applyFont="1" applyFill="1" applyBorder="1" applyAlignment="1">
      <alignment vertical="top" wrapText="1"/>
    </xf>
    <xf numFmtId="0" fontId="15" fillId="0" borderId="1" xfId="0" applyFont="1" applyBorder="1" applyAlignment="1">
      <alignment vertical="top" wrapText="1"/>
    </xf>
    <xf numFmtId="0" fontId="15" fillId="0" borderId="4" xfId="0" applyFont="1" applyBorder="1" applyAlignment="1">
      <alignment vertical="top" wrapText="1"/>
    </xf>
    <xf numFmtId="0" fontId="15" fillId="0" borderId="2" xfId="0" applyFont="1" applyBorder="1" applyAlignment="1">
      <alignment horizontal="left" vertical="top" wrapText="1"/>
    </xf>
    <xf numFmtId="0" fontId="9" fillId="11" borderId="0" xfId="0" applyFont="1" applyFill="1" applyAlignment="1">
      <alignment vertical="top" wrapText="1"/>
    </xf>
    <xf numFmtId="0" fontId="8" fillId="0" borderId="0" xfId="0" applyFont="1" applyAlignment="1">
      <alignment vertical="top" wrapText="1"/>
    </xf>
    <xf numFmtId="0" fontId="8" fillId="0" borderId="0" xfId="0" applyFont="1"/>
    <xf numFmtId="0" fontId="8" fillId="0" borderId="2" xfId="0" applyFont="1" applyBorder="1" applyAlignment="1">
      <alignment wrapText="1"/>
    </xf>
    <xf numFmtId="0" fontId="8" fillId="0" borderId="2" xfId="0" applyFont="1" applyBorder="1"/>
    <xf numFmtId="0" fontId="8" fillId="4" borderId="2" xfId="0" applyFont="1" applyFill="1" applyBorder="1" applyAlignment="1">
      <alignment wrapText="1"/>
    </xf>
    <xf numFmtId="0" fontId="22" fillId="0" borderId="0" xfId="0" applyFont="1" applyAlignment="1">
      <alignment vertical="top" wrapText="1"/>
    </xf>
    <xf numFmtId="0" fontId="8" fillId="4" borderId="2" xfId="0" applyFont="1" applyFill="1" applyBorder="1"/>
    <xf numFmtId="0" fontId="11" fillId="0" borderId="1" xfId="0" applyFont="1" applyBorder="1" applyAlignment="1">
      <alignment wrapText="1"/>
    </xf>
    <xf numFmtId="0" fontId="22" fillId="0" borderId="2" xfId="0" applyFont="1" applyBorder="1" applyAlignment="1">
      <alignment vertical="center"/>
    </xf>
    <xf numFmtId="0" fontId="8" fillId="0" borderId="0" xfId="2"/>
    <xf numFmtId="0" fontId="8" fillId="0" borderId="2" xfId="2" applyBorder="1"/>
    <xf numFmtId="0" fontId="26" fillId="0" borderId="23" xfId="0" applyFont="1" applyBorder="1" applyAlignment="1">
      <alignment horizontal="center" vertical="center"/>
    </xf>
    <xf numFmtId="0" fontId="27" fillId="0" borderId="24" xfId="0" applyFont="1" applyBorder="1" applyAlignment="1">
      <alignment vertical="center"/>
    </xf>
    <xf numFmtId="0" fontId="27" fillId="0" borderId="24" xfId="0" applyFont="1" applyBorder="1" applyAlignment="1">
      <alignment horizontal="center" vertical="center"/>
    </xf>
    <xf numFmtId="0" fontId="27" fillId="0" borderId="0" xfId="0" applyFont="1" applyAlignment="1">
      <alignment vertical="center"/>
    </xf>
    <xf numFmtId="0" fontId="28" fillId="0" borderId="0" xfId="0" applyFont="1" applyAlignment="1">
      <alignment vertical="center"/>
    </xf>
    <xf numFmtId="0" fontId="26" fillId="0" borderId="26" xfId="0" applyFont="1" applyBorder="1" applyAlignment="1">
      <alignment horizontal="center" vertical="center"/>
    </xf>
    <xf numFmtId="0" fontId="27" fillId="0" borderId="4" xfId="0" applyFont="1" applyBorder="1" applyAlignment="1">
      <alignment horizontal="left" vertical="center"/>
    </xf>
    <xf numFmtId="0" fontId="27" fillId="0" borderId="4" xfId="0" applyFont="1" applyBorder="1" applyAlignment="1">
      <alignment horizontal="center" vertical="center"/>
    </xf>
    <xf numFmtId="0" fontId="27" fillId="0" borderId="21" xfId="0" applyFont="1" applyBorder="1" applyAlignment="1">
      <alignment horizontal="center" vertical="center"/>
    </xf>
    <xf numFmtId="0" fontId="27" fillId="0" borderId="0" xfId="0" applyFont="1" applyAlignment="1">
      <alignment horizontal="center" vertical="center"/>
    </xf>
    <xf numFmtId="0" fontId="28" fillId="0" borderId="0" xfId="0" applyFont="1" applyAlignment="1">
      <alignment horizontal="center" vertical="center"/>
    </xf>
    <xf numFmtId="0" fontId="26" fillId="0" borderId="8" xfId="0" applyFont="1" applyBorder="1" applyAlignment="1">
      <alignment horizontal="center" vertical="center"/>
    </xf>
    <xf numFmtId="0" fontId="29" fillId="0" borderId="2" xfId="0" applyFont="1" applyBorder="1" applyAlignment="1">
      <alignment vertical="center"/>
    </xf>
    <xf numFmtId="0" fontId="28" fillId="0" borderId="2" xfId="0" applyFont="1" applyBorder="1" applyAlignment="1">
      <alignment horizontal="center" vertical="center"/>
    </xf>
    <xf numFmtId="0" fontId="28" fillId="0" borderId="19" xfId="0" applyFont="1" applyBorder="1" applyAlignment="1">
      <alignment horizontal="center" vertical="center"/>
    </xf>
    <xf numFmtId="0" fontId="28" fillId="0" borderId="2" xfId="0" applyFont="1" applyBorder="1" applyAlignment="1">
      <alignment vertical="center" wrapText="1"/>
    </xf>
    <xf numFmtId="0" fontId="26" fillId="0" borderId="2" xfId="0" applyFont="1" applyBorder="1" applyAlignment="1">
      <alignment vertical="center" wrapText="1"/>
    </xf>
    <xf numFmtId="0" fontId="26" fillId="0" borderId="2" xfId="0" applyFont="1" applyBorder="1" applyAlignment="1">
      <alignment horizontal="center" vertical="center"/>
    </xf>
    <xf numFmtId="0" fontId="26" fillId="0" borderId="19" xfId="0" applyFont="1" applyBorder="1" applyAlignment="1">
      <alignment horizontal="center" vertical="center"/>
    </xf>
    <xf numFmtId="0" fontId="26" fillId="0" borderId="0" xfId="0" applyFont="1" applyAlignment="1">
      <alignment vertical="center"/>
    </xf>
    <xf numFmtId="0" fontId="26" fillId="13" borderId="2" xfId="0" applyFont="1" applyFill="1" applyBorder="1" applyAlignment="1">
      <alignment vertical="center" wrapText="1"/>
    </xf>
    <xf numFmtId="0" fontId="26" fillId="0" borderId="12" xfId="0" applyFont="1" applyBorder="1" applyAlignment="1">
      <alignment vertical="center" wrapText="1"/>
    </xf>
    <xf numFmtId="0" fontId="26" fillId="0" borderId="12" xfId="0" applyFont="1" applyBorder="1" applyAlignment="1">
      <alignment horizontal="center" vertical="center"/>
    </xf>
    <xf numFmtId="0" fontId="26" fillId="0" borderId="11" xfId="0" applyFont="1" applyBorder="1" applyAlignment="1">
      <alignment horizontal="center" vertical="center"/>
    </xf>
    <xf numFmtId="0" fontId="26" fillId="0" borderId="12" xfId="0" applyFont="1" applyBorder="1" applyAlignment="1">
      <alignment horizontal="center" vertical="center" wrapText="1"/>
    </xf>
    <xf numFmtId="0" fontId="26" fillId="0" borderId="11" xfId="0" applyFont="1" applyBorder="1" applyAlignment="1">
      <alignment horizontal="center" vertical="center" wrapText="1"/>
    </xf>
    <xf numFmtId="0" fontId="28" fillId="0" borderId="12" xfId="0" applyFont="1" applyBorder="1" applyAlignment="1">
      <alignment vertical="center" wrapText="1"/>
    </xf>
    <xf numFmtId="0" fontId="28" fillId="0" borderId="12" xfId="0" applyFont="1" applyBorder="1" applyAlignment="1">
      <alignment horizontal="center" vertical="center" wrapText="1"/>
    </xf>
    <xf numFmtId="0" fontId="28" fillId="0" borderId="11" xfId="0" applyFont="1" applyBorder="1" applyAlignment="1">
      <alignment horizontal="center" vertical="center" wrapText="1"/>
    </xf>
    <xf numFmtId="0" fontId="26" fillId="0" borderId="6" xfId="0" applyFont="1" applyBorder="1" applyAlignment="1">
      <alignment horizontal="center" vertical="center"/>
    </xf>
    <xf numFmtId="0" fontId="28" fillId="0" borderId="5" xfId="0" applyFont="1" applyBorder="1" applyAlignment="1">
      <alignment horizontal="center" vertical="center"/>
    </xf>
    <xf numFmtId="0" fontId="28" fillId="0" borderId="17" xfId="0" applyFont="1" applyBorder="1" applyAlignment="1">
      <alignment horizontal="center" vertical="center"/>
    </xf>
    <xf numFmtId="0" fontId="26" fillId="0" borderId="0" xfId="0" applyFont="1" applyAlignment="1">
      <alignment horizontal="center" vertical="center"/>
    </xf>
    <xf numFmtId="0" fontId="30" fillId="0" borderId="27" xfId="0" applyFont="1" applyBorder="1" applyAlignment="1">
      <alignment horizontal="center" vertical="center" wrapText="1"/>
    </xf>
    <xf numFmtId="0" fontId="30" fillId="0" borderId="7" xfId="0" applyFont="1" applyBorder="1" applyAlignment="1">
      <alignment horizontal="center" vertical="center"/>
    </xf>
    <xf numFmtId="0" fontId="25" fillId="0" borderId="24" xfId="4" applyBorder="1" applyAlignment="1" applyProtection="1">
      <alignment horizontal="left" vertical="center"/>
    </xf>
    <xf numFmtId="0" fontId="25" fillId="0" borderId="25" xfId="4" applyBorder="1" applyAlignment="1">
      <alignment horizontal="center" vertical="center"/>
    </xf>
    <xf numFmtId="0" fontId="25" fillId="0" borderId="0" xfId="4" applyAlignment="1">
      <alignment vertical="center"/>
    </xf>
    <xf numFmtId="0" fontId="8" fillId="0" borderId="0" xfId="2" applyAlignment="1">
      <alignment horizontal="center" vertical="center"/>
    </xf>
    <xf numFmtId="164" fontId="0" fillId="0" borderId="2" xfId="3" applyNumberFormat="1" applyFont="1" applyBorder="1" applyAlignment="1">
      <alignment horizontal="center" vertical="center"/>
    </xf>
    <xf numFmtId="0" fontId="8" fillId="0" borderId="0" xfId="2" applyAlignment="1">
      <alignment horizontal="center" vertical="center" wrapText="1"/>
    </xf>
    <xf numFmtId="0" fontId="0" fillId="0" borderId="2" xfId="0" applyBorder="1" applyAlignment="1">
      <alignment horizontal="left" vertical="center"/>
    </xf>
    <xf numFmtId="0" fontId="35" fillId="10" borderId="6" xfId="0" applyFont="1" applyFill="1" applyBorder="1" applyAlignment="1">
      <alignment horizontal="left" vertical="center" wrapText="1"/>
    </xf>
    <xf numFmtId="0" fontId="35" fillId="10" borderId="5" xfId="0" applyFont="1" applyFill="1" applyBorder="1" applyAlignment="1">
      <alignment horizontal="center" vertical="center" wrapText="1"/>
    </xf>
    <xf numFmtId="0" fontId="35" fillId="10" borderId="5" xfId="0" applyFont="1" applyFill="1" applyBorder="1" applyAlignment="1">
      <alignment horizontal="left" vertical="center" wrapText="1"/>
    </xf>
    <xf numFmtId="0" fontId="35" fillId="9" borderId="5" xfId="0" applyFont="1" applyFill="1" applyBorder="1" applyAlignment="1">
      <alignment horizontal="center" vertical="center" wrapText="1"/>
    </xf>
    <xf numFmtId="0" fontId="35" fillId="9" borderId="17" xfId="0" applyFont="1" applyFill="1" applyBorder="1" applyAlignment="1">
      <alignment horizontal="left" vertical="center" wrapText="1"/>
    </xf>
    <xf numFmtId="0" fontId="35" fillId="0" borderId="0" xfId="0" applyFont="1" applyAlignment="1">
      <alignment horizontal="center" vertical="center" wrapText="1"/>
    </xf>
    <xf numFmtId="0" fontId="35" fillId="0" borderId="4" xfId="0" applyFont="1" applyBorder="1" applyAlignment="1">
      <alignment horizontal="center" vertical="center" wrapText="1"/>
    </xf>
    <xf numFmtId="0" fontId="35" fillId="0" borderId="4" xfId="0" applyFont="1" applyBorder="1" applyAlignment="1">
      <alignment horizontal="left" vertical="center" wrapText="1"/>
    </xf>
    <xf numFmtId="0" fontId="35" fillId="0" borderId="20" xfId="0" applyFont="1" applyBorder="1" applyAlignment="1">
      <alignment horizontal="left" vertical="center" wrapText="1"/>
    </xf>
    <xf numFmtId="0" fontId="35" fillId="0" borderId="2" xfId="0" applyFont="1" applyBorder="1" applyAlignment="1">
      <alignment horizontal="center" vertical="center" wrapText="1"/>
    </xf>
    <xf numFmtId="0" fontId="35" fillId="0" borderId="2" xfId="0" applyFont="1" applyBorder="1" applyAlignment="1">
      <alignment horizontal="left" vertical="center" wrapText="1"/>
    </xf>
    <xf numFmtId="0" fontId="36" fillId="0" borderId="20" xfId="0" applyFont="1" applyBorder="1" applyAlignment="1">
      <alignment horizontal="left" vertical="center" wrapText="1"/>
    </xf>
    <xf numFmtId="0" fontId="36" fillId="0" borderId="2" xfId="0" applyFont="1" applyBorder="1" applyAlignment="1">
      <alignment horizontal="center" vertical="center" wrapText="1"/>
    </xf>
    <xf numFmtId="0" fontId="35" fillId="0" borderId="18" xfId="0" applyFont="1" applyBorder="1" applyAlignment="1">
      <alignment horizontal="left" vertical="center" wrapText="1"/>
    </xf>
    <xf numFmtId="0" fontId="35" fillId="0" borderId="5" xfId="0" applyFont="1" applyBorder="1" applyAlignment="1">
      <alignment horizontal="center" vertical="center" wrapText="1"/>
    </xf>
    <xf numFmtId="0" fontId="35" fillId="0" borderId="5" xfId="0" applyFont="1" applyBorder="1" applyAlignment="1">
      <alignment horizontal="left" vertical="center" wrapText="1"/>
    </xf>
    <xf numFmtId="0" fontId="35" fillId="0" borderId="0" xfId="0" applyFont="1" applyAlignment="1">
      <alignment horizontal="left" vertical="center" wrapText="1"/>
    </xf>
    <xf numFmtId="0" fontId="37" fillId="10" borderId="10" xfId="0" applyFont="1" applyFill="1" applyBorder="1" applyAlignment="1">
      <alignment horizontal="center" vertical="center" wrapText="1"/>
    </xf>
    <xf numFmtId="0" fontId="37" fillId="10" borderId="9" xfId="0" applyFont="1" applyFill="1" applyBorder="1" applyAlignment="1">
      <alignment horizontal="center" vertical="center" wrapText="1"/>
    </xf>
    <xf numFmtId="0" fontId="37" fillId="9" borderId="9" xfId="0" applyFont="1" applyFill="1" applyBorder="1" applyAlignment="1">
      <alignment horizontal="center" vertical="center" wrapText="1"/>
    </xf>
    <xf numFmtId="0" fontId="37" fillId="9" borderId="15" xfId="0" applyFont="1" applyFill="1" applyBorder="1" applyAlignment="1">
      <alignment horizontal="center" vertical="center" wrapText="1"/>
    </xf>
    <xf numFmtId="0" fontId="37" fillId="0" borderId="28" xfId="0" applyFont="1" applyBorder="1" applyAlignment="1">
      <alignment horizontal="center" vertical="center" wrapText="1"/>
    </xf>
    <xf numFmtId="0" fontId="35" fillId="12" borderId="2" xfId="0" applyFont="1" applyFill="1" applyBorder="1" applyAlignment="1">
      <alignment horizontal="left" vertical="center" wrapText="1"/>
    </xf>
    <xf numFmtId="0" fontId="37" fillId="0" borderId="20" xfId="0" applyFont="1" applyBorder="1" applyAlignment="1">
      <alignment horizontal="left" vertical="center" wrapText="1"/>
    </xf>
    <xf numFmtId="0" fontId="35" fillId="14" borderId="22" xfId="0" applyFont="1" applyFill="1" applyBorder="1" applyAlignment="1">
      <alignment horizontal="left" vertical="center" wrapText="1"/>
    </xf>
    <xf numFmtId="0" fontId="35" fillId="14" borderId="20" xfId="0" applyFont="1" applyFill="1" applyBorder="1" applyAlignment="1">
      <alignment horizontal="left" vertical="center" wrapText="1"/>
    </xf>
    <xf numFmtId="0" fontId="36" fillId="14" borderId="20" xfId="0" applyFont="1" applyFill="1" applyBorder="1" applyAlignment="1">
      <alignment horizontal="left" vertical="center" wrapText="1"/>
    </xf>
    <xf numFmtId="0" fontId="35" fillId="14" borderId="18" xfId="0" applyFont="1" applyFill="1" applyBorder="1" applyAlignment="1">
      <alignment horizontal="left" vertical="center" wrapText="1"/>
    </xf>
    <xf numFmtId="0" fontId="35" fillId="0" borderId="14" xfId="0" applyFont="1" applyBorder="1" applyAlignment="1">
      <alignment horizontal="center" vertical="center" wrapText="1"/>
    </xf>
    <xf numFmtId="0" fontId="37" fillId="10" borderId="6" xfId="0" applyFont="1" applyFill="1" applyBorder="1" applyAlignment="1">
      <alignment horizontal="center" vertical="center" wrapText="1"/>
    </xf>
    <xf numFmtId="0" fontId="37" fillId="9" borderId="5" xfId="0" applyFont="1" applyFill="1" applyBorder="1" applyAlignment="1">
      <alignment horizontal="center" vertical="center" wrapText="1"/>
    </xf>
    <xf numFmtId="0" fontId="37" fillId="9" borderId="17" xfId="0" applyFont="1" applyFill="1" applyBorder="1" applyAlignment="1">
      <alignment horizontal="center" vertical="center" wrapText="1"/>
    </xf>
    <xf numFmtId="0" fontId="37" fillId="0" borderId="14" xfId="0" applyFont="1" applyBorder="1" applyAlignment="1">
      <alignment horizontal="center" vertical="center" wrapText="1"/>
    </xf>
    <xf numFmtId="0" fontId="37" fillId="10" borderId="5" xfId="0" applyFont="1" applyFill="1" applyBorder="1" applyAlignment="1">
      <alignment horizontal="center" vertical="center" wrapText="1"/>
    </xf>
    <xf numFmtId="0" fontId="37" fillId="0" borderId="0" xfId="0" applyFont="1" applyAlignment="1">
      <alignment horizontal="center" vertical="center" wrapText="1"/>
    </xf>
    <xf numFmtId="0" fontId="35" fillId="10" borderId="6" xfId="0" applyFont="1" applyFill="1" applyBorder="1" applyAlignment="1">
      <alignment horizontal="center" vertical="center" wrapText="1"/>
    </xf>
    <xf numFmtId="0" fontId="35" fillId="9" borderId="17" xfId="0" applyFont="1" applyFill="1" applyBorder="1" applyAlignment="1">
      <alignment horizontal="center" vertical="center" wrapText="1"/>
    </xf>
    <xf numFmtId="0" fontId="35" fillId="0" borderId="20" xfId="0" applyFont="1" applyBorder="1" applyAlignment="1">
      <alignment horizontal="left" vertical="center"/>
    </xf>
    <xf numFmtId="0" fontId="35" fillId="14" borderId="2" xfId="0" applyFont="1" applyFill="1" applyBorder="1" applyAlignment="1">
      <alignment horizontal="center" vertical="center" wrapText="1"/>
    </xf>
    <xf numFmtId="0" fontId="36" fillId="0" borderId="4" xfId="0" applyFont="1" applyBorder="1" applyAlignment="1">
      <alignment horizontal="left" vertical="center" wrapText="1"/>
    </xf>
    <xf numFmtId="0" fontId="35" fillId="0" borderId="0" xfId="0" applyFont="1" applyAlignment="1">
      <alignment horizontal="left" vertical="top" wrapText="1"/>
    </xf>
    <xf numFmtId="0" fontId="35" fillId="12" borderId="4" xfId="0" applyFont="1" applyFill="1" applyBorder="1" applyAlignment="1">
      <alignment horizontal="left" vertical="center" wrapText="1"/>
    </xf>
    <xf numFmtId="0" fontId="36" fillId="12" borderId="2" xfId="0" applyFont="1" applyFill="1" applyBorder="1" applyAlignment="1">
      <alignment horizontal="left" vertical="center" wrapText="1"/>
    </xf>
    <xf numFmtId="0" fontId="37" fillId="10" borderId="16" xfId="0" applyFont="1" applyFill="1" applyBorder="1" applyAlignment="1">
      <alignment horizontal="center" vertical="center" wrapText="1"/>
    </xf>
    <xf numFmtId="0" fontId="35" fillId="10" borderId="2" xfId="0" applyFont="1" applyFill="1" applyBorder="1" applyAlignment="1">
      <alignment horizontal="center" vertical="center" wrapText="1"/>
    </xf>
    <xf numFmtId="0" fontId="37" fillId="9" borderId="2" xfId="0" applyFont="1" applyFill="1" applyBorder="1" applyAlignment="1">
      <alignment horizontal="center" vertical="center" wrapText="1"/>
    </xf>
    <xf numFmtId="0" fontId="35" fillId="0" borderId="9" xfId="0" applyFont="1" applyBorder="1" applyAlignment="1">
      <alignment horizontal="center" vertical="center" wrapText="1"/>
    </xf>
    <xf numFmtId="0" fontId="37" fillId="10" borderId="20" xfId="0" applyFont="1" applyFill="1" applyBorder="1" applyAlignment="1">
      <alignment horizontal="left" vertical="center" wrapText="1"/>
    </xf>
    <xf numFmtId="0" fontId="37" fillId="0" borderId="16" xfId="0" applyFont="1" applyBorder="1" applyAlignment="1">
      <alignment horizontal="left" vertical="center" wrapText="1"/>
    </xf>
    <xf numFmtId="0" fontId="35" fillId="10" borderId="2" xfId="0" applyFont="1" applyFill="1" applyBorder="1" applyAlignment="1">
      <alignment horizontal="left" vertical="center" wrapText="1"/>
    </xf>
    <xf numFmtId="0" fontId="35" fillId="0" borderId="9" xfId="0" applyFont="1" applyBorder="1" applyAlignment="1">
      <alignment horizontal="left" vertical="center" wrapText="1"/>
    </xf>
    <xf numFmtId="0" fontId="37" fillId="9" borderId="19" xfId="0" applyFont="1" applyFill="1" applyBorder="1" applyAlignment="1">
      <alignment horizontal="left" vertical="center" wrapText="1"/>
    </xf>
    <xf numFmtId="0" fontId="35" fillId="10" borderId="12" xfId="0" applyFont="1" applyFill="1" applyBorder="1" applyAlignment="1">
      <alignment horizontal="center" vertical="center" wrapText="1"/>
    </xf>
    <xf numFmtId="0" fontId="35" fillId="9" borderId="12" xfId="0" applyFont="1" applyFill="1" applyBorder="1" applyAlignment="1">
      <alignment horizontal="center" vertical="center" wrapText="1"/>
    </xf>
    <xf numFmtId="0" fontId="35" fillId="0" borderId="10" xfId="0" applyFont="1" applyBorder="1" applyAlignment="1">
      <alignment horizontal="left" vertical="center" wrapText="1"/>
    </xf>
    <xf numFmtId="0" fontId="35" fillId="0" borderId="8" xfId="0" applyFont="1" applyBorder="1" applyAlignment="1">
      <alignment horizontal="left" vertical="center" wrapText="1"/>
    </xf>
    <xf numFmtId="0" fontId="35" fillId="10" borderId="13" xfId="0" applyFont="1" applyFill="1" applyBorder="1" applyAlignment="1">
      <alignment horizontal="left" vertical="center" wrapText="1"/>
    </xf>
    <xf numFmtId="0" fontId="35" fillId="10" borderId="12" xfId="0" applyFont="1" applyFill="1" applyBorder="1" applyAlignment="1">
      <alignment horizontal="left" vertical="center" wrapText="1"/>
    </xf>
    <xf numFmtId="0" fontId="35" fillId="9" borderId="11" xfId="0" applyFont="1" applyFill="1" applyBorder="1" applyAlignment="1">
      <alignment horizontal="left" vertical="center" wrapText="1"/>
    </xf>
    <xf numFmtId="0" fontId="35" fillId="12" borderId="5" xfId="0" applyFont="1" applyFill="1" applyBorder="1" applyAlignment="1">
      <alignment horizontal="left" vertical="center" wrapText="1"/>
    </xf>
    <xf numFmtId="0" fontId="35" fillId="0" borderId="6" xfId="0" applyFont="1" applyBorder="1" applyAlignment="1">
      <alignment horizontal="left" vertical="center" wrapText="1"/>
    </xf>
    <xf numFmtId="0" fontId="32" fillId="0" borderId="0" xfId="0" applyFont="1" applyAlignment="1">
      <alignment vertical="top"/>
    </xf>
    <xf numFmtId="0" fontId="32" fillId="0" borderId="0" xfId="0" applyFont="1" applyAlignment="1">
      <alignment horizontal="left" vertical="top"/>
    </xf>
    <xf numFmtId="0" fontId="35" fillId="0" borderId="0" xfId="0" applyFont="1" applyAlignment="1">
      <alignment vertical="top"/>
    </xf>
    <xf numFmtId="0" fontId="35" fillId="0" borderId="0" xfId="0" applyFont="1" applyAlignment="1">
      <alignment horizontal="right" vertical="top"/>
    </xf>
    <xf numFmtId="0" fontId="35" fillId="0" borderId="0" xfId="0" applyFont="1" applyAlignment="1">
      <alignment horizontal="right" vertical="top" wrapText="1"/>
    </xf>
    <xf numFmtId="0" fontId="35" fillId="0" borderId="0" xfId="0" applyFont="1" applyAlignment="1">
      <alignment horizontal="left" vertical="top"/>
    </xf>
    <xf numFmtId="0" fontId="35" fillId="0" borderId="0" xfId="0" applyFont="1" applyAlignment="1">
      <alignment horizontal="left" vertical="top" wrapText="1" indent="2"/>
    </xf>
    <xf numFmtId="0" fontId="41" fillId="15" borderId="2" xfId="0" applyFont="1" applyFill="1" applyBorder="1" applyAlignment="1">
      <alignment horizontal="center"/>
    </xf>
    <xf numFmtId="0" fontId="41" fillId="16" borderId="2" xfId="0" applyFont="1" applyFill="1" applyBorder="1" applyAlignment="1">
      <alignment horizontal="center"/>
    </xf>
    <xf numFmtId="0" fontId="42" fillId="17" borderId="2" xfId="0" applyFont="1" applyFill="1" applyBorder="1"/>
    <xf numFmtId="0" fontId="43" fillId="8" borderId="2" xfId="0" applyFont="1" applyFill="1" applyBorder="1" applyAlignment="1">
      <alignment horizontal="center"/>
    </xf>
    <xf numFmtId="0" fontId="42" fillId="0" borderId="0" xfId="0" applyFont="1"/>
    <xf numFmtId="49" fontId="0" fillId="0" borderId="2" xfId="0" applyNumberFormat="1" applyBorder="1"/>
    <xf numFmtId="0" fontId="25" fillId="0" borderId="2" xfId="4" applyBorder="1" applyAlignment="1">
      <alignment horizontal="left"/>
    </xf>
    <xf numFmtId="165" fontId="0" fillId="0" borderId="2" xfId="0" applyNumberFormat="1" applyBorder="1" applyAlignment="1">
      <alignment horizontal="right"/>
    </xf>
    <xf numFmtId="0" fontId="44" fillId="17" borderId="2" xfId="0" applyFont="1" applyFill="1" applyBorder="1"/>
    <xf numFmtId="0" fontId="44" fillId="0" borderId="2" xfId="0" applyFont="1" applyBorder="1"/>
    <xf numFmtId="0" fontId="44" fillId="0" borderId="0" xfId="0" applyFont="1"/>
    <xf numFmtId="0" fontId="42" fillId="0" borderId="2" xfId="0" applyFont="1" applyBorder="1"/>
    <xf numFmtId="0" fontId="0" fillId="0" borderId="0" xfId="0" applyAlignment="1">
      <alignment vertical="center"/>
    </xf>
    <xf numFmtId="49" fontId="0" fillId="0" borderId="2" xfId="0" applyNumberFormat="1" applyBorder="1" applyAlignment="1">
      <alignment horizontal="left"/>
    </xf>
    <xf numFmtId="0" fontId="25" fillId="0" borderId="0" xfId="4" applyBorder="1" applyAlignment="1">
      <alignment horizontal="left"/>
    </xf>
    <xf numFmtId="0" fontId="42" fillId="0" borderId="2" xfId="0" applyFont="1" applyBorder="1" applyAlignment="1">
      <alignment horizontal="left"/>
    </xf>
    <xf numFmtId="0" fontId="25" fillId="0" borderId="2" xfId="4" applyBorder="1" applyAlignment="1"/>
    <xf numFmtId="0" fontId="42" fillId="0" borderId="2" xfId="0" applyFont="1" applyBorder="1" applyAlignment="1">
      <alignment wrapText="1"/>
    </xf>
    <xf numFmtId="0" fontId="25" fillId="0" borderId="2" xfId="4" applyBorder="1"/>
    <xf numFmtId="0" fontId="25" fillId="0" borderId="2" xfId="4" applyFill="1" applyBorder="1" applyAlignment="1"/>
    <xf numFmtId="0" fontId="42" fillId="0" borderId="2" xfId="0" applyFont="1" applyBorder="1" applyAlignment="1">
      <alignment horizontal="right"/>
    </xf>
    <xf numFmtId="0" fontId="42" fillId="17" borderId="0" xfId="0" applyFont="1" applyFill="1"/>
    <xf numFmtId="0" fontId="46" fillId="18" borderId="2" xfId="0" applyFont="1" applyFill="1" applyBorder="1"/>
    <xf numFmtId="0" fontId="15" fillId="18" borderId="2" xfId="0" applyFont="1" applyFill="1" applyBorder="1"/>
    <xf numFmtId="0" fontId="45" fillId="0" borderId="2" xfId="0" applyFont="1" applyBorder="1"/>
    <xf numFmtId="0" fontId="7" fillId="0" borderId="2" xfId="0" applyFont="1" applyBorder="1"/>
    <xf numFmtId="0" fontId="7" fillId="0" borderId="0" xfId="0" applyFont="1"/>
    <xf numFmtId="0" fontId="35" fillId="19" borderId="2" xfId="0" applyFont="1" applyFill="1" applyBorder="1" applyAlignment="1">
      <alignment horizontal="center" vertical="center" wrapText="1"/>
    </xf>
    <xf numFmtId="0" fontId="31" fillId="8" borderId="0" xfId="0" applyFont="1" applyFill="1" applyAlignment="1">
      <alignment horizontal="center" vertical="top" wrapText="1"/>
    </xf>
    <xf numFmtId="0" fontId="8" fillId="0" borderId="0" xfId="2" applyAlignment="1">
      <alignment vertical="center"/>
    </xf>
    <xf numFmtId="0" fontId="8" fillId="0" borderId="2" xfId="2" applyBorder="1" applyAlignment="1">
      <alignment vertical="center"/>
    </xf>
    <xf numFmtId="0" fontId="35" fillId="0" borderId="12" xfId="0" applyFont="1" applyBorder="1" applyAlignment="1">
      <alignment horizontal="left" vertical="center" wrapText="1"/>
    </xf>
    <xf numFmtId="0" fontId="0" fillId="0" borderId="4" xfId="0" applyBorder="1" applyAlignment="1">
      <alignment vertical="top" wrapText="1"/>
    </xf>
    <xf numFmtId="0" fontId="35" fillId="19" borderId="4" xfId="0" applyFont="1" applyFill="1" applyBorder="1" applyAlignment="1">
      <alignment horizontal="left" vertical="center" wrapText="1"/>
    </xf>
    <xf numFmtId="0" fontId="35" fillId="20" borderId="20" xfId="0" applyFont="1" applyFill="1" applyBorder="1" applyAlignment="1">
      <alignment horizontal="left" vertical="center" wrapText="1"/>
    </xf>
    <xf numFmtId="0" fontId="49" fillId="0" borderId="0" xfId="0" applyFont="1" applyAlignment="1">
      <alignment vertical="top" wrapText="1"/>
    </xf>
    <xf numFmtId="0" fontId="35" fillId="0" borderId="0" xfId="0" applyFont="1" applyAlignment="1">
      <alignment horizontal="center" vertical="top" wrapText="1"/>
    </xf>
    <xf numFmtId="0" fontId="47" fillId="8" borderId="2" xfId="2" applyFont="1" applyFill="1" applyBorder="1" applyAlignment="1">
      <alignment horizontal="center" vertical="center"/>
    </xf>
    <xf numFmtId="0" fontId="6" fillId="0" borderId="2" xfId="2" applyFont="1" applyBorder="1" applyAlignment="1">
      <alignment vertical="center"/>
    </xf>
    <xf numFmtId="0" fontId="6" fillId="0" borderId="2" xfId="2" applyFont="1" applyBorder="1" applyAlignment="1">
      <alignment horizontal="center" vertical="center"/>
    </xf>
    <xf numFmtId="0" fontId="51" fillId="21" borderId="2" xfId="2" applyFont="1" applyFill="1" applyBorder="1" applyAlignment="1">
      <alignment horizontal="center" vertical="center"/>
    </xf>
    <xf numFmtId="0" fontId="8" fillId="22" borderId="2" xfId="2" applyFill="1" applyBorder="1" applyAlignment="1">
      <alignment vertical="center"/>
    </xf>
    <xf numFmtId="0" fontId="51" fillId="20" borderId="2" xfId="2" applyFont="1" applyFill="1" applyBorder="1" applyAlignment="1">
      <alignment horizontal="center" vertical="center"/>
    </xf>
    <xf numFmtId="0" fontId="8" fillId="0" borderId="2" xfId="2" applyBorder="1" applyAlignment="1">
      <alignment horizontal="center" vertical="center"/>
    </xf>
    <xf numFmtId="0" fontId="51" fillId="0" borderId="0" xfId="2" applyFont="1" applyAlignment="1">
      <alignment horizontal="left" vertical="center"/>
    </xf>
    <xf numFmtId="0" fontId="51" fillId="0" borderId="2" xfId="2" applyFont="1" applyBorder="1" applyAlignment="1">
      <alignment horizontal="center" vertical="center"/>
    </xf>
    <xf numFmtId="0" fontId="8" fillId="0" borderId="5" xfId="2" applyBorder="1" applyAlignment="1">
      <alignment horizontal="center" vertical="center"/>
    </xf>
    <xf numFmtId="0" fontId="8" fillId="0" borderId="23" xfId="2" applyBorder="1" applyAlignment="1">
      <alignment horizontal="center" vertical="center"/>
    </xf>
    <xf numFmtId="0" fontId="51" fillId="0" borderId="24" xfId="2" quotePrefix="1" applyFont="1" applyBorder="1" applyAlignment="1">
      <alignment horizontal="left" vertical="center" wrapText="1"/>
    </xf>
    <xf numFmtId="0" fontId="11" fillId="21" borderId="24" xfId="0" applyFont="1" applyFill="1" applyBorder="1" applyAlignment="1">
      <alignment horizontal="center" vertical="center" wrapText="1"/>
    </xf>
    <xf numFmtId="0" fontId="47" fillId="8" borderId="12" xfId="2" applyFont="1" applyFill="1" applyBorder="1" applyAlignment="1">
      <alignment horizontal="center" vertical="center"/>
    </xf>
    <xf numFmtId="0" fontId="50" fillId="8" borderId="12" xfId="2" applyFont="1" applyFill="1" applyBorder="1" applyAlignment="1">
      <alignment horizontal="left" vertical="center"/>
    </xf>
    <xf numFmtId="0" fontId="8" fillId="21" borderId="23" xfId="2" applyFill="1" applyBorder="1" applyAlignment="1">
      <alignment horizontal="center" vertical="center"/>
    </xf>
    <xf numFmtId="0" fontId="8" fillId="9" borderId="23" xfId="2" applyFill="1" applyBorder="1" applyAlignment="1">
      <alignment horizontal="center" vertical="center"/>
    </xf>
    <xf numFmtId="0" fontId="11" fillId="9" borderId="24" xfId="0" applyFont="1" applyFill="1" applyBorder="1" applyAlignment="1">
      <alignment horizontal="center" vertical="center" wrapText="1"/>
    </xf>
    <xf numFmtId="0" fontId="8" fillId="21" borderId="24" xfId="2" applyFill="1" applyBorder="1" applyAlignment="1">
      <alignment horizontal="center" vertical="center"/>
    </xf>
    <xf numFmtId="0" fontId="52" fillId="9" borderId="24" xfId="0" quotePrefix="1" applyFont="1" applyFill="1" applyBorder="1" applyAlignment="1">
      <alignment horizontal="left" vertical="center" wrapText="1"/>
    </xf>
    <xf numFmtId="0" fontId="51" fillId="21" borderId="9" xfId="2" applyFont="1" applyFill="1" applyBorder="1" applyAlignment="1">
      <alignment horizontal="center" vertical="center"/>
    </xf>
    <xf numFmtId="0" fontId="51" fillId="21" borderId="5" xfId="2" applyFont="1" applyFill="1" applyBorder="1" applyAlignment="1">
      <alignment horizontal="center" vertical="center"/>
    </xf>
    <xf numFmtId="0" fontId="51" fillId="20" borderId="9" xfId="2" applyFont="1" applyFill="1" applyBorder="1" applyAlignment="1">
      <alignment horizontal="center" vertical="center"/>
    </xf>
    <xf numFmtId="0" fontId="51" fillId="21" borderId="24" xfId="2" applyFont="1" applyFill="1" applyBorder="1" applyAlignment="1">
      <alignment horizontal="center" vertical="center"/>
    </xf>
    <xf numFmtId="0" fontId="51" fillId="20" borderId="5" xfId="2" applyFont="1" applyFill="1" applyBorder="1" applyAlignment="1">
      <alignment horizontal="center" vertical="center"/>
    </xf>
    <xf numFmtId="0" fontId="51" fillId="0" borderId="9" xfId="2" applyFont="1" applyBorder="1" applyAlignment="1">
      <alignment horizontal="center" vertical="center"/>
    </xf>
    <xf numFmtId="0" fontId="51" fillId="0" borderId="5" xfId="2" applyFont="1" applyBorder="1" applyAlignment="1">
      <alignment horizontal="center" vertical="center"/>
    </xf>
    <xf numFmtId="0" fontId="51" fillId="21" borderId="15" xfId="2" applyFont="1" applyFill="1" applyBorder="1" applyAlignment="1">
      <alignment horizontal="center" vertical="center"/>
    </xf>
    <xf numFmtId="0" fontId="51" fillId="21" borderId="19" xfId="2" applyFont="1" applyFill="1" applyBorder="1" applyAlignment="1">
      <alignment horizontal="center" vertical="center"/>
    </xf>
    <xf numFmtId="0" fontId="8" fillId="0" borderId="24" xfId="2" applyBorder="1" applyAlignment="1">
      <alignment horizontal="center" vertical="center"/>
    </xf>
    <xf numFmtId="0" fontId="8" fillId="20" borderId="23" xfId="2" applyFill="1" applyBorder="1" applyAlignment="1">
      <alignment horizontal="center" vertical="center"/>
    </xf>
    <xf numFmtId="0" fontId="8" fillId="20" borderId="24" xfId="2" applyFill="1" applyBorder="1" applyAlignment="1">
      <alignment horizontal="center" vertical="center"/>
    </xf>
    <xf numFmtId="0" fontId="51" fillId="0" borderId="24" xfId="2" quotePrefix="1" applyFont="1" applyBorder="1" applyAlignment="1">
      <alignment horizontal="left" vertical="center"/>
    </xf>
    <xf numFmtId="0" fontId="52" fillId="20" borderId="24" xfId="0" quotePrefix="1" applyFont="1" applyFill="1" applyBorder="1" applyAlignment="1">
      <alignment horizontal="left" vertical="center" wrapText="1"/>
    </xf>
    <xf numFmtId="0" fontId="51" fillId="9" borderId="24" xfId="2" quotePrefix="1" applyFont="1" applyFill="1" applyBorder="1" applyAlignment="1">
      <alignment horizontal="left" vertical="center"/>
    </xf>
    <xf numFmtId="0" fontId="52" fillId="21" borderId="24" xfId="0" quotePrefix="1" applyFont="1" applyFill="1" applyBorder="1" applyAlignment="1">
      <alignment horizontal="left" vertical="center" wrapText="1"/>
    </xf>
    <xf numFmtId="0" fontId="51" fillId="21" borderId="24" xfId="2" quotePrefix="1" applyFont="1" applyFill="1" applyBorder="1" applyAlignment="1">
      <alignment horizontal="left" vertical="center"/>
    </xf>
    <xf numFmtId="0" fontId="51" fillId="9" borderId="24" xfId="2" quotePrefix="1" applyFont="1" applyFill="1" applyBorder="1" applyAlignment="1">
      <alignment horizontal="left" vertical="center" wrapText="1"/>
    </xf>
    <xf numFmtId="0" fontId="8" fillId="9" borderId="23" xfId="2" applyFill="1" applyBorder="1" applyAlignment="1">
      <alignment vertical="center"/>
    </xf>
    <xf numFmtId="0" fontId="8" fillId="9" borderId="24" xfId="2" applyFill="1" applyBorder="1" applyAlignment="1">
      <alignment horizontal="center" vertical="center"/>
    </xf>
    <xf numFmtId="0" fontId="8" fillId="20" borderId="23" xfId="2" applyFill="1" applyBorder="1" applyAlignment="1">
      <alignment vertical="center"/>
    </xf>
    <xf numFmtId="0" fontId="51" fillId="20" borderId="24" xfId="2" quotePrefix="1" applyFont="1" applyFill="1" applyBorder="1" applyAlignment="1">
      <alignment horizontal="left" vertical="center"/>
    </xf>
    <xf numFmtId="0" fontId="51" fillId="20" borderId="24" xfId="2" quotePrefix="1" applyFont="1" applyFill="1" applyBorder="1" applyAlignment="1">
      <alignment horizontal="left" vertical="center" wrapText="1"/>
    </xf>
    <xf numFmtId="0" fontId="11" fillId="9" borderId="9" xfId="0" applyFont="1" applyFill="1" applyBorder="1" applyAlignment="1">
      <alignment horizontal="center" vertical="top" wrapText="1"/>
    </xf>
    <xf numFmtId="0" fontId="8" fillId="9" borderId="5" xfId="2" applyFill="1" applyBorder="1" applyAlignment="1">
      <alignment horizontal="center" vertical="center"/>
    </xf>
    <xf numFmtId="0" fontId="11" fillId="0" borderId="24" xfId="0" applyFont="1" applyBorder="1" applyAlignment="1">
      <alignment horizontal="center" vertical="center" wrapText="1"/>
    </xf>
    <xf numFmtId="0" fontId="31" fillId="8" borderId="2" xfId="2" applyFont="1" applyFill="1" applyBorder="1" applyAlignment="1">
      <alignment horizontal="center" vertical="center"/>
    </xf>
    <xf numFmtId="0" fontId="6" fillId="22" borderId="2" xfId="2" applyFont="1" applyFill="1" applyBorder="1" applyAlignment="1">
      <alignment vertical="center"/>
    </xf>
    <xf numFmtId="0" fontId="6" fillId="0" borderId="2" xfId="2" applyFont="1" applyBorder="1"/>
    <xf numFmtId="0" fontId="6" fillId="0" borderId="2" xfId="0" applyFont="1" applyBorder="1"/>
    <xf numFmtId="0" fontId="0" fillId="22" borderId="2" xfId="0" applyFill="1" applyBorder="1"/>
    <xf numFmtId="0" fontId="6" fillId="22" borderId="2" xfId="0" applyFont="1" applyFill="1" applyBorder="1"/>
    <xf numFmtId="0" fontId="6" fillId="0" borderId="0" xfId="0" applyFont="1" applyAlignment="1">
      <alignment vertical="top" wrapText="1"/>
    </xf>
    <xf numFmtId="0" fontId="51" fillId="21" borderId="31" xfId="2" applyFont="1" applyFill="1" applyBorder="1" applyAlignment="1">
      <alignment horizontal="center" vertical="center"/>
    </xf>
    <xf numFmtId="0" fontId="51" fillId="21" borderId="29" xfId="2" applyFont="1" applyFill="1" applyBorder="1" applyAlignment="1">
      <alignment horizontal="center" vertical="center"/>
    </xf>
    <xf numFmtId="0" fontId="51" fillId="21" borderId="32" xfId="2" applyFont="1" applyFill="1" applyBorder="1" applyAlignment="1">
      <alignment horizontal="center" vertical="center"/>
    </xf>
    <xf numFmtId="0" fontId="51" fillId="20" borderId="31" xfId="2" applyFont="1" applyFill="1" applyBorder="1" applyAlignment="1">
      <alignment horizontal="center" vertical="center"/>
    </xf>
    <xf numFmtId="0" fontId="51" fillId="20" borderId="29" xfId="2" applyFont="1" applyFill="1" applyBorder="1" applyAlignment="1">
      <alignment horizontal="center" vertical="center"/>
    </xf>
    <xf numFmtId="0" fontId="51" fillId="20" borderId="32" xfId="2" applyFont="1" applyFill="1" applyBorder="1" applyAlignment="1">
      <alignment horizontal="center" vertical="center"/>
    </xf>
    <xf numFmtId="0" fontId="51" fillId="21" borderId="33" xfId="2" applyFont="1" applyFill="1" applyBorder="1" applyAlignment="1">
      <alignment horizontal="center" vertical="center"/>
    </xf>
    <xf numFmtId="0" fontId="51" fillId="0" borderId="31" xfId="2" applyFont="1" applyBorder="1" applyAlignment="1">
      <alignment horizontal="center" vertical="center"/>
    </xf>
    <xf numFmtId="0" fontId="51" fillId="0" borderId="29" xfId="2" applyFont="1" applyBorder="1" applyAlignment="1">
      <alignment horizontal="center" vertical="center"/>
    </xf>
    <xf numFmtId="0" fontId="51" fillId="0" borderId="32" xfId="2" applyFont="1" applyBorder="1" applyAlignment="1">
      <alignment horizontal="center" vertical="center"/>
    </xf>
    <xf numFmtId="164" fontId="53" fillId="0" borderId="2" xfId="3" applyNumberFormat="1" applyFont="1" applyBorder="1" applyAlignment="1">
      <alignment horizontal="center" vertical="center"/>
    </xf>
    <xf numFmtId="0" fontId="54" fillId="15" borderId="2" xfId="0" applyFont="1" applyFill="1" applyBorder="1" applyAlignment="1">
      <alignment horizontal="center"/>
    </xf>
    <xf numFmtId="164" fontId="48" fillId="0" borderId="2" xfId="3" applyNumberFormat="1" applyFont="1" applyFill="1" applyBorder="1" applyAlignment="1">
      <alignment horizontal="right"/>
    </xf>
    <xf numFmtId="164" fontId="48" fillId="0" borderId="2" xfId="3" applyNumberFormat="1" applyFont="1" applyBorder="1" applyAlignment="1">
      <alignment horizontal="right"/>
    </xf>
    <xf numFmtId="0" fontId="55" fillId="0" borderId="0" xfId="0" applyFont="1"/>
    <xf numFmtId="0" fontId="5" fillId="22" borderId="2" xfId="0" applyFont="1" applyFill="1" applyBorder="1"/>
    <xf numFmtId="0" fontId="6" fillId="22" borderId="2" xfId="2" applyFont="1" applyFill="1" applyBorder="1" applyAlignment="1">
      <alignment horizontal="center" vertical="center"/>
    </xf>
    <xf numFmtId="0" fontId="6" fillId="0" borderId="2" xfId="0" applyFont="1" applyBorder="1" applyAlignment="1">
      <alignment horizontal="center"/>
    </xf>
    <xf numFmtId="0" fontId="56" fillId="0" borderId="0" xfId="0" applyFont="1"/>
    <xf numFmtId="0" fontId="13" fillId="0" borderId="2" xfId="0" applyFont="1" applyBorder="1" applyAlignment="1">
      <alignment vertical="top" wrapText="1"/>
    </xf>
    <xf numFmtId="0" fontId="11" fillId="0" borderId="2" xfId="0" applyFont="1" applyBorder="1" applyAlignment="1">
      <alignment wrapText="1"/>
    </xf>
    <xf numFmtId="0" fontId="5" fillId="22" borderId="2" xfId="2" applyFont="1" applyFill="1" applyBorder="1" applyAlignment="1">
      <alignment vertical="center"/>
    </xf>
    <xf numFmtId="164" fontId="48" fillId="7" borderId="2" xfId="3" applyNumberFormat="1" applyFont="1" applyFill="1" applyBorder="1" applyAlignment="1">
      <alignment horizontal="right"/>
    </xf>
    <xf numFmtId="0" fontId="0" fillId="23" borderId="2" xfId="0" applyFill="1" applyBorder="1" applyAlignment="1">
      <alignment horizontal="left"/>
    </xf>
    <xf numFmtId="0" fontId="5" fillId="0" borderId="2" xfId="2" applyFont="1" applyBorder="1" applyAlignment="1">
      <alignment vertical="center"/>
    </xf>
    <xf numFmtId="0" fontId="5" fillId="0" borderId="2" xfId="0" applyFont="1" applyBorder="1"/>
    <xf numFmtId="0" fontId="6" fillId="22" borderId="2" xfId="2" applyFont="1" applyFill="1" applyBorder="1"/>
    <xf numFmtId="0" fontId="8" fillId="22" borderId="0" xfId="2" applyFill="1"/>
    <xf numFmtId="0" fontId="11" fillId="11" borderId="2" xfId="0" applyFont="1" applyFill="1" applyBorder="1" applyAlignment="1">
      <alignment vertical="top" wrapText="1"/>
    </xf>
    <xf numFmtId="0" fontId="11" fillId="24" borderId="2" xfId="0" applyFont="1" applyFill="1" applyBorder="1" applyAlignment="1">
      <alignment vertical="top" wrapText="1"/>
    </xf>
    <xf numFmtId="0" fontId="11" fillId="11" borderId="2" xfId="0" applyFont="1" applyFill="1" applyBorder="1" applyAlignment="1">
      <alignment wrapText="1"/>
    </xf>
    <xf numFmtId="0" fontId="0" fillId="11" borderId="0" xfId="0" applyFill="1"/>
    <xf numFmtId="0" fontId="8" fillId="22" borderId="2" xfId="2" applyFill="1" applyBorder="1"/>
    <xf numFmtId="0" fontId="5" fillId="0" borderId="2" xfId="2" applyFont="1" applyBorder="1"/>
    <xf numFmtId="0" fontId="11" fillId="22" borderId="2" xfId="0" applyFont="1" applyFill="1" applyBorder="1" applyAlignment="1">
      <alignment vertical="top" wrapText="1"/>
    </xf>
    <xf numFmtId="0" fontId="5" fillId="22" borderId="2" xfId="2" applyFont="1" applyFill="1" applyBorder="1"/>
    <xf numFmtId="0" fontId="49" fillId="0" borderId="0" xfId="0" applyFont="1" applyAlignment="1">
      <alignment vertical="center"/>
    </xf>
    <xf numFmtId="0" fontId="49" fillId="0" borderId="0" xfId="0" applyFont="1" applyAlignment="1">
      <alignment vertical="center" wrapText="1"/>
    </xf>
    <xf numFmtId="0" fontId="35" fillId="0" borderId="4" xfId="0" applyFont="1" applyBorder="1" applyAlignment="1">
      <alignment horizontal="left" vertical="top" wrapText="1"/>
    </xf>
    <xf numFmtId="0" fontId="4" fillId="0" borderId="0" xfId="0" applyFont="1"/>
    <xf numFmtId="0" fontId="10" fillId="2" borderId="3" xfId="0" applyFont="1" applyFill="1" applyBorder="1" applyAlignment="1">
      <alignment vertical="top" wrapText="1"/>
    </xf>
    <xf numFmtId="0" fontId="26" fillId="13" borderId="12" xfId="0" applyFont="1" applyFill="1" applyBorder="1" applyAlignment="1">
      <alignment vertical="center" wrapText="1"/>
    </xf>
    <xf numFmtId="0" fontId="29" fillId="0" borderId="12" xfId="0" applyFont="1" applyBorder="1" applyAlignment="1">
      <alignment vertical="center"/>
    </xf>
    <xf numFmtId="0" fontId="26" fillId="0" borderId="0" xfId="0" applyFont="1" applyAlignment="1">
      <alignment vertical="center" wrapText="1"/>
    </xf>
    <xf numFmtId="0" fontId="11" fillId="0" borderId="12" xfId="0" applyFont="1" applyBorder="1" applyAlignment="1">
      <alignment vertical="top" wrapText="1"/>
    </xf>
    <xf numFmtId="0" fontId="4" fillId="0" borderId="2" xfId="0" applyFont="1" applyBorder="1"/>
    <xf numFmtId="0" fontId="28" fillId="0" borderId="0" xfId="0" applyFont="1" applyAlignment="1">
      <alignment vertical="center" wrapText="1"/>
    </xf>
    <xf numFmtId="0" fontId="0" fillId="0" borderId="12" xfId="0" applyBorder="1"/>
    <xf numFmtId="0" fontId="0" fillId="0" borderId="3" xfId="0" applyBorder="1"/>
    <xf numFmtId="0" fontId="11" fillId="0" borderId="20" xfId="0" applyFont="1" applyBorder="1" applyAlignment="1">
      <alignment vertical="top" wrapText="1"/>
    </xf>
    <xf numFmtId="0" fontId="28" fillId="0" borderId="34" xfId="0" applyFont="1" applyBorder="1" applyAlignment="1">
      <alignment vertical="center" wrapText="1"/>
    </xf>
    <xf numFmtId="0" fontId="4" fillId="0" borderId="0" xfId="0" applyFont="1" applyAlignment="1">
      <alignment vertical="top" wrapText="1"/>
    </xf>
    <xf numFmtId="0" fontId="31" fillId="8" borderId="2" xfId="2" applyFont="1" applyFill="1" applyBorder="1" applyAlignment="1">
      <alignment horizontal="center" vertical="center" wrapText="1"/>
    </xf>
    <xf numFmtId="0" fontId="15" fillId="0" borderId="2" xfId="2" applyFont="1" applyBorder="1" applyAlignment="1">
      <alignment horizontal="left" vertical="center" wrapText="1"/>
    </xf>
    <xf numFmtId="0" fontId="35" fillId="0" borderId="9" xfId="0" applyFont="1" applyBorder="1" applyAlignment="1">
      <alignment horizontal="left" vertical="top" wrapText="1"/>
    </xf>
    <xf numFmtId="0" fontId="11" fillId="21" borderId="9" xfId="0" applyFont="1" applyFill="1" applyBorder="1" applyAlignment="1">
      <alignment vertical="center" wrapText="1"/>
    </xf>
    <xf numFmtId="0" fontId="11" fillId="21" borderId="2" xfId="0" applyFont="1" applyFill="1" applyBorder="1" applyAlignment="1">
      <alignment vertical="center" wrapText="1"/>
    </xf>
    <xf numFmtId="0" fontId="11" fillId="20" borderId="2" xfId="0" applyFont="1" applyFill="1" applyBorder="1" applyAlignment="1">
      <alignment vertical="center" wrapText="1"/>
    </xf>
    <xf numFmtId="0" fontId="8" fillId="0" borderId="9" xfId="2" applyBorder="1" applyAlignment="1">
      <alignment vertical="center"/>
    </xf>
    <xf numFmtId="0" fontId="11" fillId="9" borderId="9" xfId="0" applyFont="1" applyFill="1" applyBorder="1" applyAlignment="1">
      <alignment vertical="center" wrapText="1"/>
    </xf>
    <xf numFmtId="0" fontId="37" fillId="10" borderId="9" xfId="0" applyFont="1" applyFill="1" applyBorder="1" applyAlignment="1">
      <alignment horizontal="left" vertical="center" wrapText="1"/>
    </xf>
    <xf numFmtId="0" fontId="28" fillId="0" borderId="35" xfId="0" applyFont="1" applyBorder="1" applyAlignment="1">
      <alignment vertical="center" wrapText="1"/>
    </xf>
    <xf numFmtId="0" fontId="28" fillId="0" borderId="35" xfId="0" applyFont="1" applyBorder="1" applyAlignment="1">
      <alignment horizontal="center" vertical="center"/>
    </xf>
    <xf numFmtId="0" fontId="0" fillId="7" borderId="0" xfId="0" applyFill="1"/>
    <xf numFmtId="0" fontId="4" fillId="0" borderId="2" xfId="2" applyFont="1" applyBorder="1" applyAlignment="1">
      <alignment vertical="center"/>
    </xf>
    <xf numFmtId="0" fontId="42" fillId="7" borderId="2" xfId="0" applyFont="1" applyFill="1" applyBorder="1"/>
    <xf numFmtId="0" fontId="0" fillId="7" borderId="2" xfId="0" applyFill="1" applyBorder="1" applyAlignment="1">
      <alignment horizontal="left"/>
    </xf>
    <xf numFmtId="0" fontId="53" fillId="0" borderId="2" xfId="2" applyFont="1" applyBorder="1" applyAlignment="1">
      <alignment horizontal="left" vertical="center" wrapText="1"/>
    </xf>
    <xf numFmtId="0" fontId="49" fillId="0" borderId="2" xfId="0" applyFont="1" applyBorder="1" applyAlignment="1">
      <alignment vertical="center"/>
    </xf>
    <xf numFmtId="0" fontId="48" fillId="0" borderId="0" xfId="0" applyFont="1" applyAlignment="1">
      <alignment vertical="top" wrapText="1"/>
    </xf>
    <xf numFmtId="0" fontId="57" fillId="0" borderId="2" xfId="0" applyFont="1" applyBorder="1" applyAlignment="1">
      <alignment vertical="top" wrapText="1"/>
    </xf>
    <xf numFmtId="0" fontId="48" fillId="0" borderId="0" xfId="0" applyFont="1" applyAlignment="1">
      <alignment vertical="top"/>
    </xf>
    <xf numFmtId="0" fontId="24" fillId="0" borderId="0" xfId="0" applyFont="1" applyAlignment="1">
      <alignment vertical="top" wrapText="1"/>
    </xf>
    <xf numFmtId="0" fontId="59" fillId="0" borderId="2" xfId="0" applyFont="1" applyBorder="1" applyAlignment="1">
      <alignment vertical="top" wrapText="1"/>
    </xf>
    <xf numFmtId="0" fontId="48" fillId="7" borderId="0" xfId="0" applyFont="1" applyFill="1" applyAlignment="1">
      <alignment vertical="top" wrapText="1"/>
    </xf>
    <xf numFmtId="0" fontId="58" fillId="0" borderId="1" xfId="0" applyFont="1" applyBorder="1" applyAlignment="1">
      <alignment vertical="top" wrapText="1"/>
    </xf>
    <xf numFmtId="0" fontId="60" fillId="0" borderId="2" xfId="0" applyFont="1" applyBorder="1" applyAlignment="1">
      <alignment vertical="top" wrapText="1"/>
    </xf>
    <xf numFmtId="0" fontId="61" fillId="0" borderId="0" xfId="0" applyFont="1" applyAlignment="1">
      <alignment vertical="top" wrapText="1"/>
    </xf>
    <xf numFmtId="0" fontId="61" fillId="0" borderId="0" xfId="0" applyFont="1" applyAlignment="1">
      <alignment vertical="top"/>
    </xf>
    <xf numFmtId="0" fontId="62" fillId="0" borderId="0" xfId="0" applyFont="1" applyAlignment="1">
      <alignment vertical="top" wrapText="1"/>
    </xf>
    <xf numFmtId="0" fontId="63" fillId="0" borderId="2" xfId="0" applyFont="1" applyBorder="1" applyAlignment="1">
      <alignment vertical="top" wrapText="1"/>
    </xf>
    <xf numFmtId="0" fontId="65" fillId="0" borderId="0" xfId="0" applyFont="1" applyAlignment="1">
      <alignment vertical="top" wrapText="1"/>
    </xf>
    <xf numFmtId="0" fontId="65" fillId="0" borderId="0" xfId="0" applyFont="1" applyAlignment="1">
      <alignment vertical="top"/>
    </xf>
    <xf numFmtId="0" fontId="66" fillId="0" borderId="0" xfId="0" applyFont="1" applyAlignment="1">
      <alignment vertical="top" wrapText="1"/>
    </xf>
    <xf numFmtId="0" fontId="64" fillId="0" borderId="1" xfId="0" applyFont="1" applyBorder="1" applyAlignment="1">
      <alignment vertical="top" wrapText="1"/>
    </xf>
    <xf numFmtId="0" fontId="3" fillId="0" borderId="0" xfId="2" applyFont="1" applyAlignment="1">
      <alignment horizontal="center" vertical="center"/>
    </xf>
    <xf numFmtId="0" fontId="57" fillId="0" borderId="2" xfId="2" applyFont="1" applyBorder="1" applyAlignment="1">
      <alignment horizontal="left" vertical="center" wrapText="1"/>
    </xf>
    <xf numFmtId="0" fontId="67" fillId="0" borderId="2" xfId="0" applyFont="1" applyBorder="1" applyAlignment="1">
      <alignment vertical="center"/>
    </xf>
    <xf numFmtId="164" fontId="57" fillId="0" borderId="2" xfId="3" applyNumberFormat="1" applyFont="1" applyBorder="1" applyAlignment="1">
      <alignment horizontal="center" vertical="center"/>
    </xf>
    <xf numFmtId="0" fontId="57" fillId="0" borderId="0" xfId="0" applyFont="1" applyAlignment="1">
      <alignment vertical="top" wrapText="1"/>
    </xf>
    <xf numFmtId="0" fontId="59" fillId="25" borderId="2" xfId="0" applyFont="1" applyFill="1" applyBorder="1" applyAlignment="1">
      <alignment vertical="top" wrapText="1"/>
    </xf>
    <xf numFmtId="0" fontId="48" fillId="25" borderId="0" xfId="0" applyFont="1" applyFill="1" applyAlignment="1">
      <alignment vertical="top" wrapText="1"/>
    </xf>
    <xf numFmtId="0" fontId="48" fillId="25" borderId="0" xfId="0" applyFont="1" applyFill="1" applyAlignment="1">
      <alignment vertical="top"/>
    </xf>
    <xf numFmtId="0" fontId="24" fillId="25" borderId="0" xfId="0" applyFont="1" applyFill="1" applyAlignment="1">
      <alignment vertical="top" wrapText="1"/>
    </xf>
    <xf numFmtId="0" fontId="58" fillId="25" borderId="2" xfId="0" applyFont="1" applyFill="1" applyBorder="1" applyAlignment="1">
      <alignment vertical="top" wrapText="1"/>
    </xf>
    <xf numFmtId="0" fontId="57" fillId="25" borderId="1" xfId="0" applyFont="1" applyFill="1" applyBorder="1" applyAlignment="1">
      <alignment vertical="top" wrapText="1"/>
    </xf>
    <xf numFmtId="0" fontId="57" fillId="22" borderId="0" xfId="0" applyFont="1" applyFill="1" applyAlignment="1">
      <alignment vertical="top" wrapText="1"/>
    </xf>
    <xf numFmtId="0" fontId="48" fillId="22" borderId="0" xfId="0" applyFont="1" applyFill="1" applyAlignment="1">
      <alignment vertical="top"/>
    </xf>
    <xf numFmtId="0" fontId="3" fillId="0" borderId="0" xfId="0" applyFont="1"/>
    <xf numFmtId="0" fontId="15" fillId="11" borderId="2" xfId="0" applyFont="1" applyFill="1" applyBorder="1"/>
    <xf numFmtId="0" fontId="15" fillId="11" borderId="0" xfId="0" applyFont="1" applyFill="1"/>
    <xf numFmtId="0" fontId="48" fillId="0" borderId="2" xfId="0" applyFont="1" applyBorder="1"/>
    <xf numFmtId="0" fontId="48" fillId="0" borderId="0" xfId="0" applyFont="1"/>
    <xf numFmtId="0" fontId="48" fillId="0" borderId="34" xfId="0" applyFont="1" applyBorder="1"/>
    <xf numFmtId="0" fontId="11" fillId="7" borderId="2" xfId="0" applyFont="1" applyFill="1" applyBorder="1" applyAlignment="1">
      <alignment vertical="top" wrapText="1"/>
    </xf>
    <xf numFmtId="0" fontId="11" fillId="7" borderId="2" xfId="0" applyFont="1" applyFill="1" applyBorder="1" applyAlignment="1">
      <alignment wrapText="1"/>
    </xf>
    <xf numFmtId="0" fontId="11" fillId="26" borderId="2" xfId="0" applyFont="1" applyFill="1" applyBorder="1" applyAlignment="1">
      <alignment vertical="top" wrapText="1"/>
    </xf>
    <xf numFmtId="0" fontId="0" fillId="7" borderId="2" xfId="0" applyFill="1" applyBorder="1"/>
    <xf numFmtId="0" fontId="14" fillId="26" borderId="2" xfId="0" applyFont="1" applyFill="1" applyBorder="1" applyAlignment="1">
      <alignment vertical="top" wrapText="1"/>
    </xf>
    <xf numFmtId="0" fontId="35" fillId="7" borderId="2" xfId="0" applyFont="1" applyFill="1" applyBorder="1" applyAlignment="1">
      <alignment horizontal="left" vertical="center" wrapText="1"/>
    </xf>
    <xf numFmtId="164" fontId="8" fillId="0" borderId="0" xfId="2" applyNumberFormat="1" applyAlignment="1">
      <alignment horizontal="center" vertical="center"/>
    </xf>
    <xf numFmtId="0" fontId="4" fillId="7" borderId="0" xfId="0" applyFont="1" applyFill="1" applyAlignment="1">
      <alignment vertical="top" wrapText="1"/>
    </xf>
    <xf numFmtId="0" fontId="35" fillId="7" borderId="20" xfId="0" applyFont="1" applyFill="1" applyBorder="1" applyAlignment="1">
      <alignment horizontal="left" vertical="center" wrapText="1"/>
    </xf>
    <xf numFmtId="0" fontId="2" fillId="0" borderId="0" xfId="0" applyFont="1"/>
    <xf numFmtId="0" fontId="68" fillId="0" borderId="0" xfId="0" applyFont="1"/>
    <xf numFmtId="0" fontId="34" fillId="0" borderId="0" xfId="0" applyFont="1" applyAlignment="1">
      <alignment horizontal="left" vertical="top" indent="3"/>
    </xf>
    <xf numFmtId="0" fontId="33" fillId="0" borderId="0" xfId="0" applyFont="1" applyAlignment="1">
      <alignment horizontal="left" vertical="top"/>
    </xf>
    <xf numFmtId="0" fontId="15" fillId="8" borderId="0" xfId="0" applyFont="1" applyFill="1" applyAlignment="1">
      <alignment horizontal="center" vertical="top" wrapText="1"/>
    </xf>
    <xf numFmtId="0" fontId="15" fillId="10" borderId="0" xfId="0" applyFont="1" applyFill="1" applyAlignment="1">
      <alignment horizontal="center" vertical="top" wrapText="1"/>
    </xf>
    <xf numFmtId="0" fontId="8" fillId="0" borderId="10" xfId="2" applyBorder="1" applyAlignment="1">
      <alignment horizontal="center" vertical="center"/>
    </xf>
    <xf numFmtId="0" fontId="8" fillId="0" borderId="8" xfId="2" applyBorder="1" applyAlignment="1">
      <alignment horizontal="center" vertical="center"/>
    </xf>
    <xf numFmtId="0" fontId="8" fillId="0" borderId="6" xfId="2" applyBorder="1" applyAlignment="1">
      <alignment horizontal="center" vertical="center"/>
    </xf>
    <xf numFmtId="0" fontId="51" fillId="0" borderId="9" xfId="2" quotePrefix="1" applyFont="1" applyBorder="1" applyAlignment="1">
      <alignment horizontal="left" vertical="center" wrapText="1"/>
    </xf>
    <xf numFmtId="0" fontId="51" fillId="0" borderId="5" xfId="2" quotePrefix="1" applyFont="1" applyBorder="1" applyAlignment="1">
      <alignment horizontal="left" vertical="center" wrapText="1"/>
    </xf>
    <xf numFmtId="0" fontId="51" fillId="0" borderId="9" xfId="2" quotePrefix="1" applyFont="1" applyBorder="1" applyAlignment="1">
      <alignment horizontal="left" vertical="center"/>
    </xf>
    <xf numFmtId="0" fontId="51" fillId="0" borderId="2" xfId="2" applyFont="1" applyBorder="1" applyAlignment="1">
      <alignment horizontal="left" vertical="center"/>
    </xf>
    <xf numFmtId="0" fontId="51" fillId="0" borderId="5" xfId="2" applyFont="1" applyBorder="1" applyAlignment="1">
      <alignment horizontal="left" vertical="center"/>
    </xf>
    <xf numFmtId="0" fontId="51" fillId="21" borderId="37" xfId="2" quotePrefix="1" applyFont="1" applyFill="1" applyBorder="1" applyAlignment="1">
      <alignment horizontal="center" vertical="center" wrapText="1"/>
    </xf>
    <xf numFmtId="0" fontId="51" fillId="21" borderId="4" xfId="2" quotePrefix="1" applyFont="1" applyFill="1" applyBorder="1" applyAlignment="1">
      <alignment horizontal="center" vertical="center" wrapText="1"/>
    </xf>
    <xf numFmtId="0" fontId="8" fillId="21" borderId="36" xfId="2" applyFill="1" applyBorder="1" applyAlignment="1">
      <alignment horizontal="center" vertical="center"/>
    </xf>
    <xf numFmtId="0" fontId="8" fillId="21" borderId="26" xfId="2" applyFill="1" applyBorder="1" applyAlignment="1">
      <alignment horizontal="center" vertical="center"/>
    </xf>
    <xf numFmtId="0" fontId="8" fillId="9" borderId="10" xfId="2" applyFill="1" applyBorder="1" applyAlignment="1">
      <alignment horizontal="center" vertical="center"/>
    </xf>
    <xf numFmtId="0" fontId="8" fillId="9" borderId="8" xfId="2" applyFill="1" applyBorder="1" applyAlignment="1">
      <alignment horizontal="center" vertical="center"/>
    </xf>
    <xf numFmtId="0" fontId="8" fillId="9" borderId="6" xfId="2" applyFill="1" applyBorder="1" applyAlignment="1">
      <alignment horizontal="center" vertical="center"/>
    </xf>
    <xf numFmtId="0" fontId="8" fillId="20" borderId="10" xfId="2" applyFill="1" applyBorder="1" applyAlignment="1">
      <alignment horizontal="center" vertical="center"/>
    </xf>
    <xf numFmtId="0" fontId="8" fillId="20" borderId="8" xfId="2" applyFill="1" applyBorder="1" applyAlignment="1">
      <alignment horizontal="center" vertical="center"/>
    </xf>
    <xf numFmtId="0" fontId="8" fillId="20" borderId="6" xfId="2" applyFill="1" applyBorder="1" applyAlignment="1">
      <alignment horizontal="center" vertical="center"/>
    </xf>
    <xf numFmtId="0" fontId="8" fillId="21" borderId="10" xfId="2" applyFill="1" applyBorder="1" applyAlignment="1">
      <alignment horizontal="center" vertical="center"/>
    </xf>
    <xf numFmtId="0" fontId="8" fillId="21" borderId="8" xfId="2" applyFill="1" applyBorder="1" applyAlignment="1">
      <alignment horizontal="center" vertical="center"/>
    </xf>
    <xf numFmtId="0" fontId="8" fillId="21" borderId="6" xfId="2" applyFill="1" applyBorder="1" applyAlignment="1">
      <alignment horizontal="center" vertical="center"/>
    </xf>
    <xf numFmtId="0" fontId="51" fillId="20" borderId="9" xfId="2" quotePrefix="1" applyFont="1" applyFill="1" applyBorder="1" applyAlignment="1">
      <alignment horizontal="left" vertical="center"/>
    </xf>
    <xf numFmtId="0" fontId="51" fillId="20" borderId="2" xfId="2" applyFont="1" applyFill="1" applyBorder="1" applyAlignment="1">
      <alignment horizontal="left" vertical="center"/>
    </xf>
    <xf numFmtId="0" fontId="51" fillId="20" borderId="5" xfId="2" applyFont="1" applyFill="1" applyBorder="1" applyAlignment="1">
      <alignment horizontal="left" vertical="center"/>
    </xf>
    <xf numFmtId="0" fontId="51" fillId="21" borderId="9" xfId="2" quotePrefix="1" applyFont="1" applyFill="1" applyBorder="1" applyAlignment="1">
      <alignment horizontal="left" vertical="center"/>
    </xf>
    <xf numFmtId="0" fontId="51" fillId="21" borderId="2" xfId="2" applyFont="1" applyFill="1" applyBorder="1" applyAlignment="1">
      <alignment horizontal="left" vertical="center"/>
    </xf>
    <xf numFmtId="0" fontId="51" fillId="21" borderId="5" xfId="2" applyFont="1" applyFill="1" applyBorder="1" applyAlignment="1">
      <alignment horizontal="left" vertical="center"/>
    </xf>
    <xf numFmtId="0" fontId="52" fillId="20" borderId="9" xfId="0" quotePrefix="1" applyFont="1" applyFill="1" applyBorder="1" applyAlignment="1">
      <alignment horizontal="left" vertical="center" wrapText="1"/>
    </xf>
    <xf numFmtId="0" fontId="52" fillId="20" borderId="2" xfId="0" applyFont="1" applyFill="1" applyBorder="1" applyAlignment="1">
      <alignment horizontal="left" vertical="center" wrapText="1"/>
    </xf>
    <xf numFmtId="0" fontId="52" fillId="20" borderId="5" xfId="0" applyFont="1" applyFill="1" applyBorder="1" applyAlignment="1">
      <alignment horizontal="left" vertical="center" wrapText="1"/>
    </xf>
    <xf numFmtId="0" fontId="51" fillId="21" borderId="5" xfId="2" quotePrefix="1" applyFont="1" applyFill="1" applyBorder="1" applyAlignment="1">
      <alignment horizontal="left" vertical="center"/>
    </xf>
    <xf numFmtId="0" fontId="11" fillId="9" borderId="9" xfId="0" quotePrefix="1" applyFont="1" applyFill="1" applyBorder="1" applyAlignment="1">
      <alignment horizontal="left" vertical="center" wrapText="1"/>
    </xf>
    <xf numFmtId="0" fontId="11" fillId="9" borderId="5" xfId="0" quotePrefix="1" applyFont="1" applyFill="1" applyBorder="1" applyAlignment="1">
      <alignment horizontal="left" vertical="center" wrapText="1"/>
    </xf>
    <xf numFmtId="0" fontId="31" fillId="8" borderId="0" xfId="0" applyFont="1" applyFill="1" applyAlignment="1">
      <alignment horizontal="center" vertical="top" wrapText="1"/>
    </xf>
    <xf numFmtId="0" fontId="6" fillId="0" borderId="2" xfId="2" applyFont="1" applyBorder="1" applyAlignment="1">
      <alignment horizontal="center" vertical="center"/>
    </xf>
    <xf numFmtId="0" fontId="5" fillId="0" borderId="2" xfId="2" applyFont="1" applyBorder="1" applyAlignment="1">
      <alignment horizontal="center" vertical="center"/>
    </xf>
    <xf numFmtId="0" fontId="1" fillId="0" borderId="0" xfId="0" applyFont="1"/>
    <xf numFmtId="0" fontId="31" fillId="8" borderId="12" xfId="2" applyFont="1" applyFill="1" applyBorder="1" applyAlignment="1">
      <alignment horizontal="center" vertical="center"/>
    </xf>
    <xf numFmtId="0" fontId="1" fillId="0" borderId="2" xfId="2" applyFont="1" applyBorder="1" applyAlignment="1">
      <alignment vertical="center"/>
    </xf>
    <xf numFmtId="0" fontId="1" fillId="0" borderId="5" xfId="2" applyFont="1" applyBorder="1" applyAlignment="1">
      <alignment horizontal="center" vertical="center"/>
    </xf>
    <xf numFmtId="0" fontId="1" fillId="20" borderId="9" xfId="2" applyFont="1" applyFill="1" applyBorder="1" applyAlignment="1">
      <alignment vertical="center"/>
    </xf>
    <xf numFmtId="0" fontId="1" fillId="0" borderId="9" xfId="2" applyFont="1" applyBorder="1" applyAlignment="1">
      <alignment vertical="center"/>
    </xf>
    <xf numFmtId="0" fontId="1" fillId="21" borderId="9" xfId="2" applyFont="1" applyFill="1" applyBorder="1" applyAlignment="1">
      <alignment vertical="center"/>
    </xf>
    <xf numFmtId="0" fontId="1" fillId="0" borderId="30" xfId="2" applyFont="1" applyBorder="1" applyAlignment="1">
      <alignment vertical="center"/>
    </xf>
    <xf numFmtId="0" fontId="1" fillId="0" borderId="9" xfId="2" applyFont="1" applyBorder="1" applyAlignment="1">
      <alignment horizontal="center" vertical="center"/>
    </xf>
    <xf numFmtId="0" fontId="1" fillId="0" borderId="15" xfId="2" applyFont="1" applyBorder="1" applyAlignment="1">
      <alignment horizontal="center" vertical="center"/>
    </xf>
    <xf numFmtId="0" fontId="1" fillId="0" borderId="17" xfId="2" applyFont="1" applyBorder="1" applyAlignment="1">
      <alignment horizontal="center" vertical="center"/>
    </xf>
    <xf numFmtId="0" fontId="1" fillId="21" borderId="25" xfId="2" applyFont="1" applyFill="1" applyBorder="1" applyAlignment="1">
      <alignment horizontal="center" vertical="center"/>
    </xf>
    <xf numFmtId="0" fontId="1" fillId="0" borderId="0" xfId="2" applyFont="1" applyAlignment="1">
      <alignment horizontal="center" vertical="center"/>
    </xf>
    <xf numFmtId="0" fontId="1" fillId="0" borderId="24" xfId="2" applyFont="1" applyBorder="1" applyAlignment="1">
      <alignment horizontal="center" vertical="center"/>
    </xf>
    <xf numFmtId="0" fontId="1" fillId="0" borderId="25" xfId="2" applyFont="1" applyBorder="1" applyAlignment="1">
      <alignment horizontal="center" vertical="center"/>
    </xf>
    <xf numFmtId="0" fontId="1" fillId="9" borderId="25" xfId="2" applyFont="1" applyFill="1" applyBorder="1" applyAlignment="1">
      <alignment horizontal="center" vertical="center"/>
    </xf>
    <xf numFmtId="0" fontId="1" fillId="20" borderId="24" xfId="2" applyFont="1" applyFill="1" applyBorder="1" applyAlignment="1">
      <alignment horizontal="center" vertical="center"/>
    </xf>
    <xf numFmtId="0" fontId="1" fillId="20" borderId="25" xfId="2" applyFont="1" applyFill="1" applyBorder="1" applyAlignment="1">
      <alignment horizontal="center" vertical="center"/>
    </xf>
    <xf numFmtId="0" fontId="1" fillId="9" borderId="24" xfId="2" applyFont="1" applyFill="1" applyBorder="1" applyAlignment="1">
      <alignment horizontal="center" vertical="center"/>
    </xf>
    <xf numFmtId="0" fontId="1" fillId="0" borderId="9" xfId="2" applyFont="1" applyBorder="1" applyAlignment="1">
      <alignment horizontal="center" vertical="center"/>
    </xf>
    <xf numFmtId="0" fontId="1" fillId="0" borderId="5" xfId="2" applyFont="1" applyBorder="1" applyAlignment="1">
      <alignment horizontal="center" vertical="center"/>
    </xf>
    <xf numFmtId="0" fontId="1" fillId="9" borderId="15" xfId="2" applyFont="1" applyFill="1" applyBorder="1" applyAlignment="1">
      <alignment horizontal="center" vertical="center"/>
    </xf>
    <xf numFmtId="0" fontId="1" fillId="9" borderId="17" xfId="2" applyFont="1" applyFill="1" applyBorder="1" applyAlignment="1">
      <alignment horizontal="center" vertical="center"/>
    </xf>
    <xf numFmtId="0" fontId="1" fillId="21" borderId="9" xfId="2" applyFont="1" applyFill="1" applyBorder="1" applyAlignment="1">
      <alignment horizontal="center" vertical="center"/>
    </xf>
    <xf numFmtId="0" fontId="1" fillId="21" borderId="15" xfId="2" applyFont="1" applyFill="1" applyBorder="1" applyAlignment="1">
      <alignment horizontal="center" vertical="center"/>
    </xf>
    <xf numFmtId="0" fontId="1" fillId="21" borderId="5" xfId="2" applyFont="1" applyFill="1" applyBorder="1" applyAlignment="1">
      <alignment horizontal="center" vertical="center"/>
    </xf>
    <xf numFmtId="0" fontId="1" fillId="21" borderId="17" xfId="2" applyFont="1" applyFill="1" applyBorder="1" applyAlignment="1">
      <alignment horizontal="center" vertical="center"/>
    </xf>
  </cellXfs>
  <cellStyles count="5">
    <cellStyle name="Comma 2" xfId="3" xr:uid="{93C36F38-BA5D-E146-8ACB-4877267C8201}"/>
    <cellStyle name="Hyperlink" xfId="4" builtinId="8"/>
    <cellStyle name="Normal" xfId="0" builtinId="0"/>
    <cellStyle name="Normal 2" xfId="2" xr:uid="{4F4D0DD9-E7F5-AE4E-93EA-605A74734930}"/>
    <cellStyle name="Percent" xfId="1" builtinId="5"/>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35" Type="http://schemas.openxmlformats.org/officeDocument/2006/relationships/calcChain" Target="calcChain.xml"/><Relationship Id="rId8" Type="http://schemas.openxmlformats.org/officeDocument/2006/relationships/worksheet" Target="worksheets/sheet8.xml"/></Relationships>
</file>

<file path=xl/persons/person.xml><?xml version="1.0" encoding="utf-8"?>
<personList xmlns="http://schemas.microsoft.com/office/spreadsheetml/2018/threadedcomments" xmlns:x="http://schemas.openxmlformats.org/spreadsheetml/2006/main">
  <person displayName="Research 1" id="{9A03BEF8-781B-4175-B184-CD999C5D4E9F}" userId="S::Research_1@idealratings.onmicrosoft.com::1df4e649-f1f4-4e71-a793-d48fa97d1cca"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2" dT="2024-11-14T20:02:54.14" personId="{9A03BEF8-781B-4175-B184-CD999C5D4E9F}" id="{D40DAFD9-5112-4781-AC64-4ED9F9E557A9}">
    <text>amended</text>
  </threadedComment>
  <threadedComment ref="D8" dT="2024-11-14T20:03:30.03" personId="{9A03BEF8-781B-4175-B184-CD999C5D4E9F}" id="{1754FBB4-5B73-48E1-B6D1-96C11372F5B3}">
    <text>Need to be checked</text>
  </threadedComment>
</ThreadedComments>
</file>

<file path=xl/threadedComments/threadedComment2.xml><?xml version="1.0" encoding="utf-8"?>
<ThreadedComments xmlns="http://schemas.microsoft.com/office/spreadsheetml/2018/threadedcomments" xmlns:x="http://schemas.openxmlformats.org/spreadsheetml/2006/main">
  <threadedComment ref="E39" dT="2024-11-14T15:54:10.27" personId="{9A03BEF8-781B-4175-B184-CD999C5D4E9F}" id="{6EBB73CC-1B3E-4B92-A81C-CA6C05A5D3E5}">
    <text xml:space="preserve">What about MIDF shariah ESG delivery </text>
  </threadedComment>
</ThreadedComments>
</file>

<file path=xl/worksheets/_rels/sheet9.xml.rels><?xml version="1.0" encoding="UTF-8" standalone="yes"?>
<Relationships xmlns="http://schemas.openxmlformats.org/package/2006/relationships"><Relationship Id="rId2" Type="http://schemas.openxmlformats.org/officeDocument/2006/relationships/hyperlink" Target="mailto:billing@idealratings.com" TargetMode="External"/><Relationship Id="rId1" Type="http://schemas.openxmlformats.org/officeDocument/2006/relationships/hyperlink" Target="mailto:tr.partners-usagereports@thomsonreuters.com" TargetMode="Externa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hyperlink" Target="mailto:billing@idealratings.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89947-74AD-CA4C-846C-AE4EE20D7004}">
  <sheetPr>
    <tabColor rgb="FFFF0000"/>
  </sheetPr>
  <dimension ref="A1:B41"/>
  <sheetViews>
    <sheetView topLeftCell="A16" zoomScale="170" zoomScaleNormal="170" workbookViewId="0">
      <selection activeCell="B16" sqref="B16"/>
    </sheetView>
  </sheetViews>
  <sheetFormatPr defaultColWidth="10.81640625" defaultRowHeight="18" customHeight="1"/>
  <cols>
    <col min="1" max="1" width="6.6328125" style="164" customWidth="1"/>
    <col min="2" max="2" width="70.6328125" style="140" customWidth="1"/>
    <col min="3" max="16384" width="10.81640625" style="163"/>
  </cols>
  <sheetData>
    <row r="1" spans="1:2" s="161" customFormat="1" ht="18" customHeight="1">
      <c r="A1" s="374" t="s">
        <v>577</v>
      </c>
      <c r="B1" s="374"/>
    </row>
    <row r="2" spans="1:2" ht="46">
      <c r="A2" s="164" t="s">
        <v>578</v>
      </c>
      <c r="B2" s="140" t="s">
        <v>591</v>
      </c>
    </row>
    <row r="3" spans="1:2" ht="46">
      <c r="A3" s="164" t="s">
        <v>579</v>
      </c>
      <c r="B3" s="140" t="s">
        <v>816</v>
      </c>
    </row>
    <row r="4" spans="1:2" ht="23">
      <c r="A4" s="164" t="s">
        <v>580</v>
      </c>
      <c r="B4" s="140" t="s">
        <v>592</v>
      </c>
    </row>
    <row r="5" spans="1:2" ht="34.5">
      <c r="A5" s="164" t="s">
        <v>581</v>
      </c>
      <c r="B5" s="140" t="s">
        <v>593</v>
      </c>
    </row>
    <row r="7" spans="1:2" s="161" customFormat="1" ht="18" customHeight="1">
      <c r="A7" s="374" t="s">
        <v>582</v>
      </c>
      <c r="B7" s="374"/>
    </row>
    <row r="8" spans="1:2" ht="34.5">
      <c r="A8" s="165"/>
      <c r="B8" s="140" t="s">
        <v>594</v>
      </c>
    </row>
    <row r="9" spans="1:2" ht="18" customHeight="1">
      <c r="A9" s="165"/>
    </row>
    <row r="10" spans="1:2" s="162" customFormat="1" ht="18" customHeight="1">
      <c r="A10" s="373" t="s">
        <v>583</v>
      </c>
      <c r="B10" s="373"/>
    </row>
    <row r="11" spans="1:2" s="166" customFormat="1" ht="23">
      <c r="A11" s="164"/>
      <c r="B11" s="140" t="s">
        <v>595</v>
      </c>
    </row>
    <row r="12" spans="1:2" s="166" customFormat="1" ht="18" customHeight="1">
      <c r="A12" s="164" t="s">
        <v>588</v>
      </c>
      <c r="B12" s="140" t="s">
        <v>589</v>
      </c>
    </row>
    <row r="13" spans="1:2" s="166" customFormat="1" ht="18" customHeight="1">
      <c r="A13" s="164" t="s">
        <v>262</v>
      </c>
      <c r="B13" s="167" t="s">
        <v>596</v>
      </c>
    </row>
    <row r="14" spans="1:2" s="166" customFormat="1" ht="18" customHeight="1">
      <c r="A14" s="164" t="s">
        <v>262</v>
      </c>
      <c r="B14" s="167" t="s">
        <v>590</v>
      </c>
    </row>
    <row r="15" spans="1:2" s="166" customFormat="1" ht="18" customHeight="1">
      <c r="A15" s="164" t="s">
        <v>588</v>
      </c>
      <c r="B15" s="140" t="s">
        <v>597</v>
      </c>
    </row>
    <row r="16" spans="1:2" s="166" customFormat="1" ht="18" customHeight="1">
      <c r="A16" s="164" t="s">
        <v>588</v>
      </c>
      <c r="B16" s="140" t="s">
        <v>598</v>
      </c>
    </row>
    <row r="17" spans="1:2" s="166" customFormat="1" ht="18" customHeight="1">
      <c r="A17" s="164" t="s">
        <v>588</v>
      </c>
      <c r="B17" s="140" t="s">
        <v>817</v>
      </c>
    </row>
    <row r="18" spans="1:2" s="166" customFormat="1" ht="18" customHeight="1">
      <c r="A18" s="164"/>
      <c r="B18" s="140"/>
    </row>
    <row r="19" spans="1:2" s="166" customFormat="1" ht="18" customHeight="1">
      <c r="A19" s="373" t="s">
        <v>584</v>
      </c>
      <c r="B19" s="373"/>
    </row>
    <row r="20" spans="1:2" s="166" customFormat="1" ht="23">
      <c r="A20" s="164"/>
      <c r="B20" s="140" t="s">
        <v>599</v>
      </c>
    </row>
    <row r="21" spans="1:2" s="166" customFormat="1" ht="18" customHeight="1">
      <c r="A21" s="164" t="s">
        <v>588</v>
      </c>
      <c r="B21" s="140" t="s">
        <v>600</v>
      </c>
    </row>
    <row r="22" spans="1:2" s="166" customFormat="1" ht="18" customHeight="1">
      <c r="A22" s="164" t="s">
        <v>588</v>
      </c>
      <c r="B22" s="140" t="s">
        <v>601</v>
      </c>
    </row>
    <row r="23" spans="1:2" s="166" customFormat="1" ht="23">
      <c r="A23" s="164" t="s">
        <v>262</v>
      </c>
      <c r="B23" s="167" t="s">
        <v>602</v>
      </c>
    </row>
    <row r="24" spans="1:2" s="166" customFormat="1" ht="23">
      <c r="A24" s="164" t="s">
        <v>262</v>
      </c>
      <c r="B24" s="167" t="s">
        <v>603</v>
      </c>
    </row>
    <row r="25" spans="1:2" s="166" customFormat="1" ht="18" customHeight="1">
      <c r="A25" s="164" t="s">
        <v>262</v>
      </c>
      <c r="B25" s="167" t="s">
        <v>604</v>
      </c>
    </row>
    <row r="26" spans="1:2" s="166" customFormat="1" ht="18" customHeight="1">
      <c r="A26" s="164" t="s">
        <v>588</v>
      </c>
      <c r="B26" s="140" t="s">
        <v>605</v>
      </c>
    </row>
    <row r="27" spans="1:2" s="166" customFormat="1" ht="23">
      <c r="A27" s="164" t="s">
        <v>588</v>
      </c>
      <c r="B27" s="140" t="s">
        <v>606</v>
      </c>
    </row>
    <row r="28" spans="1:2" s="166" customFormat="1" ht="18" customHeight="1">
      <c r="A28" s="164" t="s">
        <v>588</v>
      </c>
      <c r="B28" s="140" t="s">
        <v>607</v>
      </c>
    </row>
    <row r="29" spans="1:2" s="166" customFormat="1" ht="18" customHeight="1">
      <c r="A29" s="164"/>
      <c r="B29" s="140"/>
    </row>
    <row r="30" spans="1:2" s="166" customFormat="1" ht="18" customHeight="1">
      <c r="A30" s="373" t="s">
        <v>585</v>
      </c>
      <c r="B30" s="373"/>
    </row>
    <row r="31" spans="1:2" s="166" customFormat="1" ht="23">
      <c r="A31" s="164"/>
      <c r="B31" s="140" t="s">
        <v>599</v>
      </c>
    </row>
    <row r="32" spans="1:2" s="166" customFormat="1" ht="18" customHeight="1">
      <c r="A32" s="164" t="s">
        <v>588</v>
      </c>
      <c r="B32" s="140" t="s">
        <v>601</v>
      </c>
    </row>
    <row r="33" spans="1:2" s="166" customFormat="1" ht="34.5">
      <c r="A33" s="164" t="s">
        <v>262</v>
      </c>
      <c r="B33" s="167" t="s">
        <v>608</v>
      </c>
    </row>
    <row r="34" spans="1:2" s="166" customFormat="1" ht="23">
      <c r="A34" s="164" t="s">
        <v>262</v>
      </c>
      <c r="B34" s="167" t="s">
        <v>609</v>
      </c>
    </row>
    <row r="36" spans="1:2" ht="18" customHeight="1">
      <c r="A36" s="374" t="s">
        <v>586</v>
      </c>
      <c r="B36" s="374"/>
    </row>
    <row r="37" spans="1:2" ht="18" customHeight="1">
      <c r="A37" s="373" t="s">
        <v>610</v>
      </c>
      <c r="B37" s="373"/>
    </row>
    <row r="38" spans="1:2" ht="46">
      <c r="B38" s="140" t="s">
        <v>611</v>
      </c>
    </row>
    <row r="39" spans="1:2" ht="23">
      <c r="A39" s="164" t="s">
        <v>588</v>
      </c>
      <c r="B39" s="140" t="s">
        <v>612</v>
      </c>
    </row>
    <row r="40" spans="1:2" ht="46">
      <c r="B40" s="140" t="s">
        <v>613</v>
      </c>
    </row>
    <row r="41" spans="1:2" ht="18" customHeight="1">
      <c r="A41" s="164" t="s">
        <v>588</v>
      </c>
      <c r="B41" s="140" t="s">
        <v>587</v>
      </c>
    </row>
  </sheetData>
  <mergeCells count="7">
    <mergeCell ref="A37:B37"/>
    <mergeCell ref="A1:B1"/>
    <mergeCell ref="A7:B7"/>
    <mergeCell ref="A10:B10"/>
    <mergeCell ref="A19:B19"/>
    <mergeCell ref="A30:B30"/>
    <mergeCell ref="A36:B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009B9-F078-104B-851A-40F5E3A94AE5}">
  <sheetPr>
    <tabColor theme="7"/>
  </sheetPr>
  <dimension ref="A1:H4"/>
  <sheetViews>
    <sheetView workbookViewId="0">
      <selection activeCell="F2" sqref="F2"/>
    </sheetView>
  </sheetViews>
  <sheetFormatPr defaultColWidth="25.81640625" defaultRowHeight="14.5"/>
  <cols>
    <col min="1" max="1" width="25.81640625" style="98"/>
    <col min="2" max="16384" width="25.81640625" style="96"/>
  </cols>
  <sheetData>
    <row r="1" spans="1:8" ht="30" customHeight="1">
      <c r="A1" s="310" t="s">
        <v>478</v>
      </c>
      <c r="B1" s="251" t="s">
        <v>370</v>
      </c>
      <c r="C1" s="251" t="s">
        <v>479</v>
      </c>
      <c r="D1" s="251" t="s">
        <v>572</v>
      </c>
      <c r="E1" s="251" t="s">
        <v>369</v>
      </c>
      <c r="F1" s="251" t="s">
        <v>382</v>
      </c>
    </row>
    <row r="2" spans="1:8" ht="45" customHeight="1">
      <c r="A2" s="311" t="s">
        <v>480</v>
      </c>
      <c r="B2" s="97" cm="1">
        <f t="array" ref="B2">SUM(IF(FREQUENCY(IF('FactSet Index Reporting'!F2:F973="Reuters",ROW('FactSet Index Reporting'!F2:F973)),ROW('FactSet Index Reporting'!F2:F973))&gt;0,1))</f>
        <v>0</v>
      </c>
      <c r="C2" s="97">
        <f>COUNTIFS(Consolidation!F:F,"Reuters",Consolidation!P:P,"No")
+ COUNTIFS(Consolidation!H:H,"Reuters",Consolidation!P:P,"No")</f>
        <v>7</v>
      </c>
      <c r="D2" s="97">
        <f>COUNTIFS(Consolidation!P:P,"=Yes")</f>
        <v>34</v>
      </c>
      <c r="E2" s="97">
        <f>COUNTIFS(Consolidation!B:B,"=*Reuters*",Consolidation!P:P,"=No",Consolidation!F:F,"&lt;&gt;*Reuters*",Consolidation!H:H,"&lt;&gt;*Reuters*")</f>
        <v>4</v>
      </c>
      <c r="F2" s="97">
        <f>COUNTIFS(Consolidation!P:P,"=No",Consolidation!B:B,"&lt;&gt;*REuters*",Consolidation!F:F,"&lt;&gt;*Reuters*",Consolidation!J:J,"=*Reuters*")</f>
        <v>19</v>
      </c>
      <c r="G2" s="343"/>
      <c r="H2" s="368">
        <f>D2-G2</f>
        <v>34</v>
      </c>
    </row>
    <row r="3" spans="1:8" ht="45" customHeight="1">
      <c r="A3" s="311" t="s">
        <v>570</v>
      </c>
      <c r="B3" s="97">
        <v>0</v>
      </c>
      <c r="C3" s="97">
        <v>0</v>
      </c>
      <c r="D3" s="97">
        <v>0</v>
      </c>
      <c r="E3" s="97">
        <v>0</v>
      </c>
      <c r="F3" s="97">
        <v>0</v>
      </c>
    </row>
    <row r="4" spans="1:8" ht="45" customHeight="1">
      <c r="A4" s="311" t="s">
        <v>571</v>
      </c>
      <c r="B4" s="97">
        <v>0</v>
      </c>
      <c r="C4" s="97">
        <v>0</v>
      </c>
      <c r="D4" s="97">
        <v>0</v>
      </c>
      <c r="E4" s="97">
        <v>0</v>
      </c>
      <c r="F4" s="9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9D322-7FA6-B047-8F9A-0CA03E0D3C71}">
  <sheetPr>
    <tabColor theme="7"/>
  </sheetPr>
  <dimension ref="A1:G7"/>
  <sheetViews>
    <sheetView tabSelected="1" workbookViewId="0">
      <selection activeCell="B2" sqref="B2"/>
    </sheetView>
  </sheetViews>
  <sheetFormatPr defaultColWidth="25.81640625" defaultRowHeight="14.5"/>
  <cols>
    <col min="1" max="1" width="25.81640625" style="98"/>
    <col min="2" max="16384" width="25.81640625" style="96"/>
  </cols>
  <sheetData>
    <row r="1" spans="1:7" ht="30" customHeight="1">
      <c r="A1" s="310" t="s">
        <v>478</v>
      </c>
      <c r="B1" s="251" t="s">
        <v>370</v>
      </c>
      <c r="C1" s="251" t="s">
        <v>479</v>
      </c>
      <c r="D1" s="251" t="s">
        <v>572</v>
      </c>
      <c r="E1" s="251" t="s">
        <v>369</v>
      </c>
      <c r="F1" s="251" t="s">
        <v>382</v>
      </c>
    </row>
    <row r="2" spans="1:7" ht="45" customHeight="1">
      <c r="A2" s="325" t="s">
        <v>480</v>
      </c>
      <c r="B2" s="268" cm="1">
        <f t="array" ref="B2">COUNTA(_xlfn.UNIQUE(_xlfn._xlws.FILTER('FactSet Index Reporting'!D:D, ('FactSet Index Reporting'!E:E&lt;&gt;""))))</f>
        <v>38</v>
      </c>
      <c r="C2" s="268">
        <f>COUNTIFS(Consolidation!F:F,"*FactSet*") + COUNTIFS(Consolidation!H:H,"*FactSet*")</f>
        <v>39</v>
      </c>
      <c r="D2" s="97">
        <f>COUNTIFS(Consolidation!P:P,"Yes",Consolidation!F:F,"=FactSet")</f>
        <v>0</v>
      </c>
      <c r="E2" s="268">
        <f>COUNTIFS(Consolidation!B2:B95,"*FactSet*")</f>
        <v>0</v>
      </c>
      <c r="F2" s="268">
        <f>COUNTIFS(Consolidation!J2:J95,"*FactSet*")</f>
        <v>2</v>
      </c>
      <c r="G2" s="343"/>
    </row>
    <row r="3" spans="1:7" ht="45" customHeight="1">
      <c r="A3" s="325" t="s">
        <v>821</v>
      </c>
      <c r="B3" s="326" cm="1">
        <f t="array" ref="B3">COUNTA(_xlfn.UNIQUE(_xlfn._xlws.FILTER('FactSet Index Reporting'!D:D, 'FactSet Index Reporting'!E:E="Asset Owner")))</f>
        <v>4</v>
      </c>
      <c r="C3" s="268"/>
      <c r="D3" s="268"/>
      <c r="E3" s="268"/>
      <c r="F3" s="268"/>
    </row>
    <row r="4" spans="1:7" ht="45" customHeight="1">
      <c r="A4" s="311" t="s">
        <v>570</v>
      </c>
      <c r="B4" s="326" cm="1">
        <f t="array" ref="B4">COUNTA(_xlfn.UNIQUE(_xlfn._xlws.FILTER('FactSet Index Reporting'!D:D, 'FactSet Index Reporting'!E:E="Fund Manager")))</f>
        <v>28</v>
      </c>
      <c r="C4" s="97">
        <v>0</v>
      </c>
      <c r="D4" s="97">
        <v>0</v>
      </c>
      <c r="E4" s="97">
        <v>0</v>
      </c>
      <c r="F4" s="97">
        <v>0</v>
      </c>
    </row>
    <row r="5" spans="1:7" ht="45" customHeight="1">
      <c r="A5" s="344" t="s">
        <v>571</v>
      </c>
      <c r="B5" s="345" cm="1">
        <f t="array" ref="B5">COUNTA(_xlfn.UNIQUE(_xlfn._xlws.FILTER('FactSet Index Reporting'!D:D, 'FactSet Index Reporting'!E:E="Data Admin")))</f>
        <v>5</v>
      </c>
      <c r="C5" s="97">
        <v>0</v>
      </c>
      <c r="D5" s="97">
        <v>0</v>
      </c>
      <c r="E5" s="97">
        <v>0</v>
      </c>
      <c r="F5" s="97">
        <v>0</v>
      </c>
    </row>
    <row r="6" spans="1:7">
      <c r="A6" s="344" t="s">
        <v>822</v>
      </c>
      <c r="B6" s="346" cm="1">
        <f t="array" ref="B6">COUNTA(_xlfn.UNIQUE(_xlfn._xlws.FILTER('FactSet Index Reporting'!D:D, ('FactSet Index Reporting'!E:E="Custodian"))))</f>
        <v>1</v>
      </c>
      <c r="C6" s="211"/>
      <c r="D6" s="211"/>
      <c r="E6" s="211"/>
      <c r="F6" s="211"/>
    </row>
    <row r="7" spans="1:7">
      <c r="B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3B5DB-5849-449C-A978-8BD7307590DD}">
  <dimension ref="A1:Q107"/>
  <sheetViews>
    <sheetView workbookViewId="0">
      <pane xSplit="1" ySplit="1" topLeftCell="B49" activePane="bottomRight" state="frozen"/>
      <selection activeCell="E1" sqref="E1"/>
      <selection pane="topRight" activeCell="E1" sqref="E1"/>
      <selection pane="bottomLeft" activeCell="E1" sqref="E1"/>
      <selection pane="bottomRight" activeCell="A50" sqref="A50"/>
    </sheetView>
  </sheetViews>
  <sheetFormatPr defaultColWidth="21.1796875" defaultRowHeight="14.5"/>
  <cols>
    <col min="1" max="1" width="20.90625" style="28" bestFit="1" customWidth="1"/>
    <col min="2" max="2" width="13.1796875" style="28" bestFit="1" customWidth="1"/>
    <col min="3" max="3" width="35.36328125" style="28" bestFit="1" customWidth="1"/>
    <col min="4" max="4" width="13.1796875" style="28" bestFit="1" customWidth="1"/>
    <col min="5" max="5" width="42.26953125" style="28" customWidth="1"/>
    <col min="6" max="6" width="13.1796875" style="28" bestFit="1" customWidth="1"/>
    <col min="7" max="7" width="20.26953125" style="28" bestFit="1" customWidth="1"/>
    <col min="8" max="8" width="18" style="28" bestFit="1" customWidth="1"/>
    <col min="9" max="9" width="20.90625" style="28" bestFit="1" customWidth="1"/>
    <col min="10" max="10" width="13.1796875" style="28" bestFit="1" customWidth="1"/>
    <col min="11" max="11" width="47.08984375" style="28" customWidth="1"/>
    <col min="12" max="12" width="30.26953125" style="28" bestFit="1" customWidth="1"/>
    <col min="13" max="13" width="15.7265625" style="28" bestFit="1" customWidth="1"/>
    <col min="14" max="14" width="17.6328125" style="28" bestFit="1" customWidth="1"/>
    <col min="15" max="15" width="35.1796875" style="28" bestFit="1" customWidth="1"/>
    <col min="16" max="16384" width="21.1796875" style="28"/>
  </cols>
  <sheetData>
    <row r="1" spans="1:17">
      <c r="A1" s="376" t="s">
        <v>0</v>
      </c>
      <c r="B1" s="375" t="s">
        <v>369</v>
      </c>
      <c r="C1" s="375"/>
      <c r="D1" s="375" t="s">
        <v>370</v>
      </c>
      <c r="E1" s="375"/>
      <c r="F1" s="375" t="s">
        <v>371</v>
      </c>
      <c r="G1" s="375"/>
      <c r="H1" s="375" t="s">
        <v>372</v>
      </c>
      <c r="I1" s="375"/>
      <c r="J1" s="375" t="s">
        <v>382</v>
      </c>
      <c r="K1" s="375"/>
      <c r="L1" s="375" t="s">
        <v>387</v>
      </c>
      <c r="M1" s="375"/>
      <c r="N1" s="375"/>
      <c r="O1" s="375"/>
      <c r="P1" s="309" t="s">
        <v>952</v>
      </c>
      <c r="Q1" s="309" t="s">
        <v>954</v>
      </c>
    </row>
    <row r="2" spans="1:17">
      <c r="A2" s="376"/>
      <c r="B2" s="35" t="s">
        <v>375</v>
      </c>
      <c r="C2" s="35" t="s">
        <v>50</v>
      </c>
      <c r="D2" s="35" t="s">
        <v>375</v>
      </c>
      <c r="E2" s="35" t="s">
        <v>50</v>
      </c>
      <c r="F2" s="35" t="s">
        <v>375</v>
      </c>
      <c r="G2" s="35" t="s">
        <v>50</v>
      </c>
      <c r="H2" s="35" t="s">
        <v>375</v>
      </c>
      <c r="I2" s="35" t="s">
        <v>50</v>
      </c>
      <c r="J2" s="35" t="s">
        <v>375</v>
      </c>
      <c r="K2" s="35" t="s">
        <v>50</v>
      </c>
      <c r="L2" s="46" t="s">
        <v>384</v>
      </c>
      <c r="M2" s="46" t="s">
        <v>383</v>
      </c>
      <c r="N2" s="46" t="s">
        <v>386</v>
      </c>
      <c r="O2" s="47" t="s">
        <v>393</v>
      </c>
    </row>
    <row r="3" spans="1:17" ht="75" customHeight="1">
      <c r="A3" s="44" t="s">
        <v>142</v>
      </c>
      <c r="B3" s="28" t="str">
        <f>IF(ISNA(VLOOKUP(A3,Boursa!A:G,6,0)),"",VLOOKUP(A3,Boursa!A:G,6,0))</f>
        <v>Reuters</v>
      </c>
      <c r="C3" s="28" t="str">
        <f>IF(ISNA(VLOOKUP(A3,Boursa!A:G,7,0)),"",VLOOKUP(A3,Boursa!A:G,7,0))</f>
        <v>Prices for change%, close prices for market index and companies, volume traded and value traded for the market index</v>
      </c>
      <c r="D3" s="28" t="str">
        <f>IF(ISNA(VLOOKUP(A3,Index!A:C,3,0)),"",VLOOKUP(A3,Index!A:C,3,0))</f>
        <v>FactSet</v>
      </c>
      <c r="E3" s="28" t="str">
        <f>IF(D3&lt;&gt;"",VLOOKUP(A3,Index!A:B,2,0),"")</f>
        <v>WID, SEDOL, Name, ISIN, Country, Country Code, Corporate Action Status, Adjusted Open Price Local, Open Exchange Rate, Open Price Local, Open Market Cap USD, Close Price Local, Close Market Cap USD, Close shares outstanding, Close float shares outstanding, Currency Code, Close Exchange Rate, Gross Dividend Per Share USD, Net Dividends Per Share USD, Float Market Cap %, Adjusted Open Float Market Cap USD, Close Float Market Cap USD, Ex-Div Date, Capping Factor, Weight, Gross Yield, Net Yield, Index Gross Yield, Index Net Yield</v>
      </c>
      <c r="F3" s="28" t="str">
        <f>IF(ISNA(VLOOKUP(A3,'Shariah DataFeed'!A:B,2,0)),"",VLOOKUP(A3,'Shariah DataFeed'!A:B,2,0))</f>
        <v>Reuters</v>
      </c>
      <c r="G3" s="28" t="str">
        <f>IF(F3&lt;&gt;"",VLOOKUP(A3,'Shariah DataFeed'!A:D,4,0),"")</f>
        <v>Name,ISIN,Ticker,NCB Compliance,Nation,Business Activities, Fiscal Period,Nation,Interest bearing Debt, Interest bearing Investments ,NPIN Ratio, Purification Ratio,Total Common Shares
NCB old mandates
SRB</v>
      </c>
      <c r="H3" s="28" t="str">
        <f>IF(ISNA(VLOOKUP(A3,'ESG Consalidated'!A:D,4,0)),"",VLOOKUP(A3,'ESG Consalidated'!A:D,4,0))</f>
        <v/>
      </c>
      <c r="I3" s="28" t="str">
        <f>IF(H3&lt;&gt;"",VLOOKUP(A3,'ESG Consalidated'!A:B,2,0),"")</f>
        <v/>
      </c>
      <c r="J3" s="28" t="str">
        <f>IF(ISNA(VLOOKUP(A3,'Purif &amp; Zakat'!C:K,9,0)),"",VLOOKUP(A3,'Purif &amp; Zakat'!C:K,9,0))</f>
        <v>Reuters</v>
      </c>
      <c r="K3" s="28" t="str">
        <f>IF(J3&lt;&gt;"",VLOOKUP(A3,'Purif &amp; Zakat'!C:E,3,0),"")</f>
        <v>Name,ISIN,CUSIP,Dividends Per Share,[NCB Global]Debt Ratio,Debt - Conv.,[NCB Global]Cash &amp; Short term Investments Ratio,Cash and Short Term Inv. - Conv.,Assets - Total,Trailing 12 Months Market Cap - Most Recent Statement,Trailing 24 Months Market Cap - Most Recent Statement,Trailing 36 Months Market Cap - Most Recent Statement,[NCB Global]NPIN Ratio,[NCB Global]totalNpin1,Income - Total,[NCB Global]Purification (Div.),Compliance Status,Purification,Price, Value, %,Ex-Dividend Date</v>
      </c>
      <c r="L3" s="28" t="str">
        <f t="shared" ref="L3:L32" si="0">IF(B3&lt;&gt;"", TEXT($B$1, "0") &amp; " Fields Count: " &amp; COUNTA(_xlfn.TEXTSPLIT(C3, ",")), "") &amp;
IF(AND(D3&lt;&gt;"", B3&lt;&gt;""), CHAR(10), "") &amp; IF(D3&lt;&gt;"", TEXT($D$1, "0") &amp; " Fields Count: " &amp; COUNTA(_xlfn.TEXTSPLIT(E3, ",")), "") &amp;
IF(AND(F3&lt;&gt;"", OR(B3&lt;&gt;"", D3&lt;&gt;"")), CHAR(10), "") &amp; IF(F3&lt;&gt;"", TEXT($F$1, "0") &amp; " Fields Count: " &amp; COUNTA(_xlfn.TEXTSPLIT(G3, ",")), "") &amp;
IF(AND(H3&lt;&gt;"", OR(B3&lt;&gt;"", D3&lt;&gt;"", F3&lt;&gt;"")), CHAR(10), "") &amp; IF(H3&lt;&gt;"", TEXT($H$1, "0") &amp; " Fields Count: " &amp; COUNTA(_xlfn.TEXTSPLIT(I3, ",")), "") &amp;
IF(AND(J3&lt;&gt;"", OR(B3&lt;&gt;"", D3&lt;&gt;"", F3&lt;&gt;"", H3&lt;&gt;"")), CHAR(10), "") &amp; IF(J3&lt;&gt;"", TEXT($J$1, "0") &amp; " Fields Count: " &amp; COUNTA(_xlfn.TEXTSPLIT(K3, ",")), "")</f>
        <v>Boursa Fields Count: 3
Index Fields Count: 29
Shariah DataFeed Fields Count: 13
Purification &amp; Zakat Fields Count: 22</v>
      </c>
      <c r="M3" s="28">
        <f t="shared" ref="M3:M32" si="1" xml:space="preserve"> LEN(L3) - LEN(SUBSTITUTE(L3, CHAR(10), "")) +1</f>
        <v>4</v>
      </c>
      <c r="N3" s="32">
        <f t="shared" ref="N3:N32" si="2">IF(B3&lt;&gt;"", COUNTA(_xlfn.TEXTSPLIT(C3, ",")), 0) + IF(D3&lt;&gt;"", COUNTA(_xlfn.TEXTSPLIT(E3, ",")), 0) + IF(F3&lt;&gt;"", COUNTA(_xlfn.TEXTSPLIT(G3, ",")), 0) + IF(H3&lt;&gt;"", COUNTA(_xlfn.TEXTSPLIT(I3, ",")), 0) + IF(J3&lt;&gt;"", COUNTA(_xlfn.TEXTSPLIT(K3, ",")), 0)</f>
        <v>67</v>
      </c>
      <c r="O3" s="52" t="str">
        <f t="shared" ref="O3:O32" si="3">IF(B3&lt;&gt;"", TEXT($B$1, "0") &amp; " Fields Source: " &amp; B3, "") &amp;
IF(AND(D3&lt;&gt;"", B3&lt;&gt;""), CHAR(10), "") &amp; IF(D3&lt;&gt;"", TEXT($D$1, "0") &amp; " Fields Source: " &amp; D3, "") &amp;
IF(AND(F3&lt;&gt;"", OR(B3&lt;&gt;"", D3&lt;&gt;"")), CHAR(10), "") &amp; IF(F3&lt;&gt;"", TEXT($F$1, "0") &amp; " Fields Source: " &amp; F3, "") &amp;
IF(AND(H3&lt;&gt;"", OR(B3&lt;&gt;"", D3&lt;&gt;"", F3&lt;&gt;"")), CHAR(10), "") &amp; IF(H3&lt;&gt;"", TEXT($H$1, "0") &amp; " Fields Source: " &amp; H3, "") &amp;
IF(AND(J3&lt;&gt;"", OR(B3&lt;&gt;"", D3&lt;&gt;"", F3&lt;&gt;"", H3&lt;&gt;"")), CHAR(10), "") &amp; IF(J3&lt;&gt;"", TEXT($J$1, "0") &amp; " Fields Source: " &amp; J3, "")</f>
        <v>Boursa Fields Source: Reuters
Index Fields Source: FactSet
Shariah DataFeed Fields Source: Reuters
Purification &amp; Zakat Fields Source: Reuters</v>
      </c>
      <c r="P3" s="28" t="str">
        <f>IF(ISNA(VLOOKUP(A3,Service!B:B,1,0)),"No","Yes")</f>
        <v>Yes</v>
      </c>
      <c r="Q3" s="28">
        <f>IFERROR(IFERROR(VLOOKUP(A3,'Shariah DataFeed'!A:H,10,0),VLOOKUP(A3,'ESG Consalidated'!A:E,5,0)),0)</f>
        <v>0</v>
      </c>
    </row>
    <row r="4" spans="1:17" ht="145">
      <c r="A4" s="37" t="s">
        <v>226</v>
      </c>
      <c r="B4" s="28" t="str">
        <f>IF(ISNA(VLOOKUP(A4,Boursa!A:G,6,0)),"",VLOOKUP(A4,Boursa!A:G,6,0))</f>
        <v>Reuters</v>
      </c>
      <c r="C4" s="28" t="str">
        <f>IF(ISNA(VLOOKUP(A4,Boursa!A:G,7,0)),"",VLOOKUP(A4,Boursa!A:G,7,0))</f>
        <v>Prices for change% and moving average, market cap, Total NPIN, Total Income/Revenue, Total Common Shares Outstanding, Financial Fields, Compliance</v>
      </c>
      <c r="D4" s="28" t="str">
        <f>IF(ISNA(VLOOKUP(A4,Index!A:C,3,0)),"",VLOOKUP(A4,Index!A:C,3,0))</f>
        <v/>
      </c>
      <c r="E4" s="28" t="str">
        <f>IF(D4&lt;&gt;"",VLOOKUP(A4,Index!A:B,2,0),"")</f>
        <v/>
      </c>
      <c r="F4" s="28" t="str">
        <f>IF(ISNA(VLOOKUP(A4,'Shariah DataFeed'!A:B,2,0)),"",VLOOKUP(A4,'Shariah DataFeed'!A:B,2,0))</f>
        <v>Factset</v>
      </c>
      <c r="G4" s="28" t="str">
        <f>IF(F4&lt;&gt;"",VLOOKUP(A4,'Shariah DataFeed'!A:D,4,0),"")</f>
        <v>Name, ISIN, Compliance Status, Ticker, Sector, Business Activities, Nation, Reporting Period, [Derraya Proposed] Non Permissible Income Ratio, [Derraya Proposed] Debt Ratio, Comments</v>
      </c>
      <c r="H4" s="28" t="str">
        <f>IF(ISNA(VLOOKUP(A4,'ESG Consalidated'!A:D,4,0)),"",VLOOKUP(A4,'ESG Consalidated'!A:D,4,0))</f>
        <v/>
      </c>
      <c r="I4" s="28" t="str">
        <f>IF(H4&lt;&gt;"",VLOOKUP(A4,'ESG Consalidated'!A:B,2,0),"")</f>
        <v/>
      </c>
      <c r="J4" s="28" t="str">
        <f>IF(ISNA(VLOOKUP(A4,'Purif &amp; Zakat'!C:K,9,0)),"",VLOOKUP(A4,'Purif &amp; Zakat'!C:K,9,0))</f>
        <v>Reuters</v>
      </c>
      <c r="K4" s="28" t="str">
        <f>IF(J4&lt;&gt;"",VLOOKUP(A4,'Purif &amp; Zakat'!C:E,3,0),"")</f>
        <v>Name,Compliance Status,Purification</v>
      </c>
      <c r="L4" s="28" t="str">
        <f t="shared" si="0"/>
        <v>Boursa Fields Count: 7
Shariah DataFeed Fields Count: 11
Purification &amp; Zakat Fields Count: 3</v>
      </c>
      <c r="M4" s="28">
        <f t="shared" si="1"/>
        <v>3</v>
      </c>
      <c r="N4" s="32">
        <f t="shared" si="2"/>
        <v>21</v>
      </c>
      <c r="O4" s="52" t="str">
        <f t="shared" si="3"/>
        <v>Boursa Fields Source: Reuters
Shariah DataFeed Fields Source: Factset
Purification &amp; Zakat Fields Source: Reuters</v>
      </c>
      <c r="P4" s="28" t="str">
        <f>IF(ISNA(VLOOKUP(A4,Service!B:B,1,0)),"No","Yes")</f>
        <v>No</v>
      </c>
      <c r="Q4" s="28">
        <f>IFERROR(IFERROR(VLOOKUP(A4,'Shariah DataFeed'!A:H,10,0),VLOOKUP(A4,'ESG Consalidated'!A:E,5,0)),0)</f>
        <v>0</v>
      </c>
    </row>
    <row r="5" spans="1:17" ht="58" customHeight="1">
      <c r="A5" s="37" t="s">
        <v>373</v>
      </c>
      <c r="B5" s="28" t="str">
        <f>IF(ISNA(VLOOKUP(A5,Boursa!A:G,6,0)),"",VLOOKUP(A5,Boursa!A:G,6,0))</f>
        <v>Reuters</v>
      </c>
      <c r="C5" s="28" t="str">
        <f>IF(ISNA(VLOOKUP(A5,Boursa!A:G,7,0)),"",VLOOKUP(A5,Boursa!A:G,7,0))</f>
        <v>Prices for change% and moving average, market cap, Total NPIN, Total Income/Revenue, Total Common Shares Outstanding, Financial Fields, Compliance</v>
      </c>
      <c r="D5" s="28" t="str">
        <f>IF(ISNA(VLOOKUP(A5,Index!A:C,3,0)),"",VLOOKUP(A5,Index!A:C,3,0))</f>
        <v>FactSet</v>
      </c>
      <c r="E5" s="28" t="str">
        <f>IF(D5&lt;&gt;"",VLOOKUP(A5,Index!A:B,2,0),"")</f>
        <v>Name,ISIN,Ticker,Exchange Country,Exchange,Index Shares,Index Market Cap (USD),Total Shares Outstanding,Total Market Cap (USD),Weight</v>
      </c>
      <c r="F5" s="28" t="str">
        <f>IF(ISNA(VLOOKUP(A5,'Shariah DataFeed'!A:B,2,0)),"",VLOOKUP(A5,'Shariah DataFeed'!A:B,2,0))</f>
        <v/>
      </c>
      <c r="G5" s="28" t="str">
        <f>IF(F5&lt;&gt;"",VLOOKUP(A5,'Shariah DataFeed'!A:D,4,0),"")</f>
        <v/>
      </c>
      <c r="H5" s="28" t="str">
        <f>IF(ISNA(VLOOKUP(A5,'ESG Consalidated'!A:D,4,0)),"",VLOOKUP(A5,'ESG Consalidated'!A:D,4,0))</f>
        <v/>
      </c>
      <c r="I5" s="28" t="str">
        <f>IF(H5&lt;&gt;"",VLOOKUP(A5,'ESG Consalidated'!A:B,2,0),"")</f>
        <v/>
      </c>
      <c r="J5" s="28" t="str">
        <f>IF(ISNA(VLOOKUP(A5,'Purif &amp; Zakat'!C:K,9,0)),"",VLOOKUP(A5,'Purif &amp; Zakat'!C:K,9,0))</f>
        <v>Reuters</v>
      </c>
      <c r="K5" s="28" t="str">
        <f>IF(J5&lt;&gt;"",VLOOKUP(A5,'Purif &amp; Zakat'!C:E,3,0),"")</f>
        <v>Name, Purification</v>
      </c>
      <c r="L5" s="28" t="str">
        <f t="shared" si="0"/>
        <v>Boursa Fields Count: 7
Index Fields Count: 10
Purification &amp; Zakat Fields Count: 2</v>
      </c>
      <c r="M5" s="28">
        <f t="shared" si="1"/>
        <v>3</v>
      </c>
      <c r="N5" s="32">
        <f t="shared" si="2"/>
        <v>19</v>
      </c>
      <c r="O5" s="52" t="str">
        <f t="shared" si="3"/>
        <v>Boursa Fields Source: Reuters
Index Fields Source: FactSet
Purification &amp; Zakat Fields Source: Reuters</v>
      </c>
      <c r="P5" s="28" t="str">
        <f>IF(ISNA(VLOOKUP(A5,Service!B:B,1,0)),"No","Yes")</f>
        <v>No</v>
      </c>
      <c r="Q5" s="28">
        <f>IFERROR(IFERROR(VLOOKUP(A5,'Shariah DataFeed'!A:H,10,0),VLOOKUP(A5,'ESG Consalidated'!A:E,5,0)),0)</f>
        <v>0</v>
      </c>
    </row>
    <row r="6" spans="1:17" s="327" customFormat="1" ht="58" customHeight="1">
      <c r="A6" s="334" t="s">
        <v>336</v>
      </c>
      <c r="B6" s="335" t="str">
        <f>IF(ISNA(VLOOKUP(A6,Boursa!A:G,6,0)),"",VLOOKUP(A6,Boursa!A:G,6,0))</f>
        <v/>
      </c>
      <c r="C6" s="335" t="str">
        <f>IF(ISNA(VLOOKUP(A6,Boursa!A:G,7,0)),"",VLOOKUP(A6,Boursa!A:G,7,0))</f>
        <v/>
      </c>
      <c r="D6" s="335" t="str">
        <f>IF(ISNA(VLOOKUP(A6,Index!A:C,3,0)),"",VLOOKUP(A6,Index!A:C,3,0))</f>
        <v/>
      </c>
      <c r="E6" s="335" t="str">
        <f>IF(D6&lt;&gt;"",VLOOKUP(A6,Index!A:B,2,0),"")</f>
        <v/>
      </c>
      <c r="F6" s="335" t="str">
        <f>IF(ISNA(VLOOKUP(A6,'Shariah DataFeed'!A:B,2,0)),"",VLOOKUP(A6,'Shariah DataFeed'!A:B,2,0))</f>
        <v>Factset</v>
      </c>
      <c r="G6" s="335" t="str">
        <f>IF(F6&lt;&gt;"",VLOOKUP(A6,'Shariah DataFeed'!A:D,4,0),"")</f>
        <v>Name of company, Ticker, ISIN, Sector, Industry, RIC Code, AAOIFI, NPIN, IdealRatings REITs, Name of Fund, IdealRatings ETFs, Compliant Holdings, Non-compliant Holdings, Comments</v>
      </c>
      <c r="H6" s="335" t="str">
        <f>IF(ISNA(VLOOKUP(A6,'ESG Consalidated'!A:D,4,0)),"",VLOOKUP(A6,'ESG Consalidated'!A:D,4,0))</f>
        <v/>
      </c>
      <c r="I6" s="335" t="str">
        <f>IF(H6&lt;&gt;"",VLOOKUP(A6,'ESG Consalidated'!A:B,2,0),"")</f>
        <v/>
      </c>
      <c r="J6" s="335" t="str">
        <f>IF(ISNA(VLOOKUP(A6,'Purif &amp; Zakat'!C:K,9,0)),"",VLOOKUP(A6,'Purif &amp; Zakat'!C:K,9,0))</f>
        <v>Reuters</v>
      </c>
      <c r="K6" s="335" t="str">
        <f>IF(J6&lt;&gt;"",VLOOKUP(A6,'Purif &amp; Zakat'!C:E,3,0),"")</f>
        <v>Name of company,AAOIFI compliance, IdealRatings REITs compliance, NPIN %, IdealRatings ETFs compliance</v>
      </c>
      <c r="L6" s="335" t="str">
        <f t="shared" si="0"/>
        <v>Shariah DataFeed Fields Count: 14
Purification &amp; Zakat Fields Count: 5</v>
      </c>
      <c r="M6" s="335">
        <f t="shared" si="1"/>
        <v>2</v>
      </c>
      <c r="N6" s="336">
        <f t="shared" si="2"/>
        <v>19</v>
      </c>
      <c r="O6" s="337" t="str">
        <f t="shared" si="3"/>
        <v>Shariah DataFeed Fields Source: Factset
Purification &amp; Zakat Fields Source: Reuters</v>
      </c>
      <c r="P6" s="335" t="str">
        <f>IF(ISNA(VLOOKUP(A6,Service!B:B,1,0)),"No","Yes")</f>
        <v>No</v>
      </c>
      <c r="Q6" s="335">
        <f>IFERROR(IFERROR(VLOOKUP(A6,'Shariah DataFeed'!A:H,10,0),VLOOKUP(A6,'ESG Consalidated'!A:E,5,0)),0)</f>
        <v>0</v>
      </c>
    </row>
    <row r="7" spans="1:17" ht="58" customHeight="1">
      <c r="A7" s="36" t="s">
        <v>46</v>
      </c>
      <c r="B7" s="28" t="str">
        <f>IF(ISNA(VLOOKUP(A7,Boursa!A:G,6,0)),"",VLOOKUP(A7,Boursa!A:G,6,0))</f>
        <v/>
      </c>
      <c r="C7" s="28" t="str">
        <f>IF(ISNA(VLOOKUP(A7,Boursa!A:G,7,0)),"",VLOOKUP(A7,Boursa!A:G,7,0))</f>
        <v/>
      </c>
      <c r="D7" s="28" t="str">
        <f>IF(ISNA(VLOOKUP(A7,Index!A:C,3,0)),"",VLOOKUP(A7,Index!A:C,3,0))</f>
        <v/>
      </c>
      <c r="E7" s="28" t="str">
        <f>IF(D7&lt;&gt;"",VLOOKUP(A7,Index!A:B,2,0),"")</f>
        <v/>
      </c>
      <c r="F7" s="28" t="str">
        <f>IF(ISNA(VLOOKUP(A7,'Shariah DataFeed'!A:B,2,0)),"",VLOOKUP(A7,'Shariah DataFeed'!A:B,2,0))</f>
        <v>Reuters</v>
      </c>
      <c r="G7" s="28" t="str">
        <f>IF(F7&lt;&gt;"",VLOOKUP(A7,'Shariah DataFeed'!A:D,4,0),"")</f>
        <v>Name, ISIN, Ticker, Compliance Status</v>
      </c>
      <c r="H7" s="28" t="str">
        <f>IF(ISNA(VLOOKUP(A7,'ESG Consalidated'!A:D,4,0)),"",VLOOKUP(A7,'ESG Consalidated'!A:D,4,0))</f>
        <v/>
      </c>
      <c r="I7" s="28" t="str">
        <f>IF(H7&lt;&gt;"",VLOOKUP(A7,'ESG Consalidated'!A:B,2,0),"")</f>
        <v/>
      </c>
      <c r="J7" s="28" t="str">
        <f>IF(ISNA(VLOOKUP(A7,'Purif &amp; Zakat'!C:K,9,0)),"",VLOOKUP(A7,'Purif &amp; Zakat'!C:K,9,0))</f>
        <v>Reuters</v>
      </c>
      <c r="K7" s="28" t="str">
        <f>IF(J7&lt;&gt;"",VLOOKUP(A7,'Purif &amp; Zakat'!C:E,3,0),"")</f>
        <v>Name,Purification,Fiscal Period,Period End Date,Assets - Total ,Trailing 24 Months Market Cap (Daily),[SEDCO 24] Non-permissible Income Ratio,[SEDCO 6 Ratios] Debt (MC),[SEDCO 6 Ratios] Interest-bearing Investments (MC),[SEDCO 6 Ratios] Receivables (MC),[SEDCO 6 Ratios] Debt (Assets)	,[SEDCO 6 Ratios] Interest-bearing Investments (Assets),[SEDCO 6 Ratios] Receivables (Assets),Preference / Trust Share,Compliance Status</v>
      </c>
      <c r="L7" s="28" t="str">
        <f t="shared" si="0"/>
        <v>Shariah DataFeed Fields Count: 4
Purification &amp; Zakat Fields Count: 15</v>
      </c>
      <c r="M7" s="28">
        <f t="shared" si="1"/>
        <v>2</v>
      </c>
      <c r="N7" s="32">
        <f t="shared" si="2"/>
        <v>19</v>
      </c>
      <c r="O7" s="52" t="str">
        <f t="shared" si="3"/>
        <v>Shariah DataFeed Fields Source: Reuters
Purification &amp; Zakat Fields Source: Reuters</v>
      </c>
      <c r="P7" s="28" t="str">
        <f>IF(ISNA(VLOOKUP(A7,Service!B:B,1,0)),"No","Yes")</f>
        <v>Yes</v>
      </c>
      <c r="Q7" s="28">
        <f>IFERROR(IFERROR(VLOOKUP(A7,'Shariah DataFeed'!A:H,10,0),VLOOKUP(A7,'ESG Consalidated'!A:E,5,0)),0)</f>
        <v>0</v>
      </c>
    </row>
    <row r="8" spans="1:17" ht="62.5">
      <c r="A8" s="37" t="s">
        <v>28</v>
      </c>
      <c r="B8" s="28" t="str">
        <f>IF(ISNA(VLOOKUP(A8,Boursa!A:G,6,0)),"",VLOOKUP(A8,Boursa!A:G,6,0))</f>
        <v>Reuters</v>
      </c>
      <c r="C8" s="28" t="str">
        <f>IF(ISNA(VLOOKUP(A8,Boursa!A:G,7,0)),"",VLOOKUP(A8,Boursa!A:G,7,0))</f>
        <v>Prices for change% and moving average, market cap, Total NPIN, Total Income/Revenue, Total Common Shares Outstanding, Financial Fields, Compliance</v>
      </c>
      <c r="D8" s="28" t="str">
        <f>IF(ISNA(VLOOKUP(A8,Index!A:C,3,0)),"",VLOOKUP(A8,Index!A:C,3,0))</f>
        <v>FactSet</v>
      </c>
      <c r="E8" s="28" t="str">
        <f>IF(D8&lt;&gt;"",VLOOKUP(A8,Index!A:B,2,0),"")</f>
        <v>Name,ISIN,SEDOL,Ticker,Weight</v>
      </c>
      <c r="F8" s="28" t="str">
        <f>IF(ISNA(VLOOKUP(A8,'Shariah DataFeed'!A:B,2,0)),"",VLOOKUP(A8,'Shariah DataFeed'!A:B,2,0))</f>
        <v>Reuters</v>
      </c>
      <c r="G8" s="28" t="str">
        <f>IF(F8&lt;&gt;"",VLOOKUP(A8,'Shariah DataFeed'!A:D,4,0),"")</f>
        <v>Name, Nation, ISIN, Ticker</v>
      </c>
      <c r="H8" s="28" t="str">
        <f>IF(ISNA(VLOOKUP(A8,'ESG Consalidated'!A:D,4,0)),"",VLOOKUP(A8,'ESG Consalidated'!A:D,4,0))</f>
        <v/>
      </c>
      <c r="I8" s="28" t="str">
        <f>IF(H8&lt;&gt;"",VLOOKUP(A8,'ESG Consalidated'!A:B,2,0),"")</f>
        <v/>
      </c>
      <c r="J8" s="28" t="str">
        <f>IF(ISNA(VLOOKUP(A8,'Purif &amp; Zakat'!C:K,9,0)),"",VLOOKUP(A8,'Purif &amp; Zakat'!C:K,9,0))</f>
        <v>Reuters</v>
      </c>
      <c r="K8" s="28" t="str">
        <f>IF(J8&lt;&gt;"",VLOOKUP(A8,'Purif &amp; Zakat'!C:E,3,0),"")</f>
        <v>Name/History, Purification</v>
      </c>
      <c r="L8" s="28" t="str">
        <f t="shared" si="0"/>
        <v>Boursa Fields Count: 7
Index Fields Count: 5
Shariah DataFeed Fields Count: 4
Purification &amp; Zakat Fields Count: 2</v>
      </c>
      <c r="M8" s="28">
        <f t="shared" si="1"/>
        <v>4</v>
      </c>
      <c r="N8" s="32">
        <f t="shared" si="2"/>
        <v>18</v>
      </c>
      <c r="O8" s="52" t="str">
        <f t="shared" si="3"/>
        <v>Boursa Fields Source: Reuters
Index Fields Source: FactSet
Shariah DataFeed Fields Source: Reuters
Purification &amp; Zakat Fields Source: Reuters</v>
      </c>
      <c r="P8" s="28" t="str">
        <f>IF(ISNA(VLOOKUP(A8,Service!B:B,1,0)),"No","Yes")</f>
        <v>Yes</v>
      </c>
      <c r="Q8" s="28">
        <f>IFERROR(IFERROR(VLOOKUP(A8,'Shariah DataFeed'!A:H,10,0),VLOOKUP(A8,'ESG Consalidated'!A:E,5,0)),0)</f>
        <v>0</v>
      </c>
    </row>
    <row r="9" spans="1:17" ht="188.5">
      <c r="A9" s="37" t="s">
        <v>228</v>
      </c>
      <c r="B9" s="28" t="str">
        <f>IF(ISNA(VLOOKUP(A9,Boursa!A:G,6,0)),"",VLOOKUP(A9,Boursa!A:G,6,0))</f>
        <v/>
      </c>
      <c r="C9" s="28" t="str">
        <f>IF(ISNA(VLOOKUP(A9,Boursa!A:G,7,0)),"",VLOOKUP(A9,Boursa!A:G,7,0))</f>
        <v/>
      </c>
      <c r="D9" s="28" t="str">
        <f>IF(ISNA(VLOOKUP(A9,Index!A:C,3,0)),"",VLOOKUP(A9,Index!A:C,3,0))</f>
        <v/>
      </c>
      <c r="E9" s="28" t="str">
        <f>IF(D9&lt;&gt;"",VLOOKUP(A9,Index!A:B,2,0),"")</f>
        <v/>
      </c>
      <c r="F9" s="28" t="str">
        <f>IF(ISNA(VLOOKUP(A9,'Shariah DataFeed'!A:B,2,0)),"",VLOOKUP(A9,'Shariah DataFeed'!A:B,2,0))</f>
        <v>Reuters</v>
      </c>
      <c r="G9" s="28" t="str">
        <f>IF(F9&lt;&gt;"",VLOOKUP(A9,'Shariah DataFeed'!A:D,4,0),"")</f>
        <v>WID,Cons Code,Name,ISIN,SEDOL, Nation code, FTSE Yasaar Compliance,NPIN status,Financial Status, Debt Ration, Cash Ration, Receivables Ratio
Complinace Status , Pirification Ratio  based on FTSE Russell IR and IR REITS</v>
      </c>
      <c r="H9" s="28" t="str">
        <f>IF(ISNA(VLOOKUP(A9,'ESG Consalidated'!A:D,4,0)),"",VLOOKUP(A9,'ESG Consalidated'!A:D,4,0))</f>
        <v/>
      </c>
      <c r="I9" s="28" t="str">
        <f>IF(H9&lt;&gt;"",VLOOKUP(A9,'ESG Consalidated'!A:B,2,0),"")</f>
        <v/>
      </c>
      <c r="J9" s="28" t="str">
        <f>IF(ISNA(VLOOKUP(A9,'Purif &amp; Zakat'!C:K,9,0)),"",VLOOKUP(A9,'Purif &amp; Zakat'!C:K,9,0))</f>
        <v>Reuters</v>
      </c>
      <c r="K9" s="28" t="str">
        <f>IF(J9&lt;&gt;"",VLOOKUP(A9,'Purif &amp; Zakat'!C:E,3,0),"")</f>
        <v>Security Name, Dividend Purification Ratio
Originator, Structure, Purification Ratio (for Sukuk Index)</v>
      </c>
      <c r="L9" s="28" t="str">
        <f t="shared" si="0"/>
        <v>Shariah DataFeed Fields Count: 13
Purification &amp; Zakat Fields Count: 4</v>
      </c>
      <c r="M9" s="28">
        <f t="shared" si="1"/>
        <v>2</v>
      </c>
      <c r="N9" s="32">
        <f t="shared" si="2"/>
        <v>17</v>
      </c>
      <c r="O9" s="52" t="str">
        <f t="shared" si="3"/>
        <v>Shariah DataFeed Fields Source: Reuters
Purification &amp; Zakat Fields Source: Reuters</v>
      </c>
      <c r="P9" s="28" t="str">
        <f>IF(ISNA(VLOOKUP(A9,Service!B:B,1,0)),"No","Yes")</f>
        <v>No</v>
      </c>
      <c r="Q9" s="28">
        <f>IFERROR(IFERROR(VLOOKUP(A9,'Shariah DataFeed'!A:H,10,0),VLOOKUP(A9,'ESG Consalidated'!A:E,5,0)),0)</f>
        <v>0</v>
      </c>
    </row>
    <row r="10" spans="1:17" ht="116">
      <c r="A10" s="37" t="s">
        <v>11</v>
      </c>
      <c r="B10" s="28" t="str">
        <f>IF(ISNA(VLOOKUP(A10,Boursa!A:G,6,0)),"",VLOOKUP(A10,Boursa!A:G,6,0))</f>
        <v>Reuters</v>
      </c>
      <c r="C10" s="28" t="str">
        <f>IF(ISNA(VLOOKUP(A10,Boursa!A:G,7,0)),"",VLOOKUP(A10,Boursa!A:G,7,0))</f>
        <v>Total NPIN, Total Income/Revenue, Total Common Shares Outstanding</v>
      </c>
      <c r="D10" s="28" t="str">
        <f>IF(ISNA(VLOOKUP(A10,Index!A:C,3,0)),"",VLOOKUP(A10,Index!A:C,3,0))</f>
        <v/>
      </c>
      <c r="E10" s="28" t="str">
        <f>IF(D10&lt;&gt;"",VLOOKUP(A10,Index!A:B,2,0),"")</f>
        <v/>
      </c>
      <c r="F10" s="28" t="str">
        <f>IF(ISNA(VLOOKUP(A10,'Shariah DataFeed'!A:B,2,0)),"",VLOOKUP(A10,'Shariah DataFeed'!A:B,2,0))</f>
        <v>Factset</v>
      </c>
      <c r="G10" s="28" t="str">
        <f>IF(F10&lt;&gt;"",VLOOKUP(A10,'Shariah DataFeed'!A:D,4,0),"")</f>
        <v>Name, ISIN, Ticker, Nation, Country Code, AAOIFI, [AAOIFI] Interest-bearing Investments, [AAOIFI] Interest-bearing Debts, [AAOIFI] Non-permissible Income</v>
      </c>
      <c r="H10" s="28" t="str">
        <f>IF(ISNA(VLOOKUP(A10,'ESG Consalidated'!A:D,4,0)),"",VLOOKUP(A10,'ESG Consalidated'!A:D,4,0))</f>
        <v/>
      </c>
      <c r="I10" s="28" t="str">
        <f>IF(H10&lt;&gt;"",VLOOKUP(A10,'ESG Consalidated'!A:B,2,0),"")</f>
        <v/>
      </c>
      <c r="J10" s="28" t="str">
        <f>IF(ISNA(VLOOKUP(A10,'Purif &amp; Zakat'!C:K,9,0)),"",VLOOKUP(A10,'Purif &amp; Zakat'!C:K,9,0))</f>
        <v/>
      </c>
      <c r="K10" s="28" t="str">
        <f>IF(J10&lt;&gt;"",VLOOKUP(A10,'Purif &amp; Zakat'!C:E,3,0),"")</f>
        <v/>
      </c>
      <c r="L10" s="28" t="str">
        <f t="shared" si="0"/>
        <v>Boursa Fields Count: 3
Shariah DataFeed Fields Count: 9</v>
      </c>
      <c r="M10" s="28">
        <f t="shared" si="1"/>
        <v>2</v>
      </c>
      <c r="N10" s="32">
        <f t="shared" si="2"/>
        <v>12</v>
      </c>
      <c r="O10" s="52" t="str">
        <f t="shared" si="3"/>
        <v>Boursa Fields Source: Reuters
Shariah DataFeed Fields Source: Factset</v>
      </c>
      <c r="P10" s="28" t="str">
        <f>IF(ISNA(VLOOKUP(A10,Service!B:B,1,0)),"No","Yes")</f>
        <v>No</v>
      </c>
      <c r="Q10" s="28">
        <f>IFERROR(IFERROR(VLOOKUP(A10,'Shariah DataFeed'!A:H,10,0),VLOOKUP(A10,'ESG Consalidated'!A:E,5,0)),0)</f>
        <v>0</v>
      </c>
    </row>
    <row r="11" spans="1:17" ht="217.5">
      <c r="A11" s="37" t="s">
        <v>368</v>
      </c>
      <c r="B11" s="28" t="str">
        <f>IF(ISNA(VLOOKUP(A11,Boursa!A:G,6,0)),"",VLOOKUP(A11,Boursa!A:G,6,0))</f>
        <v/>
      </c>
      <c r="C11" s="28" t="str">
        <f>IF(ISNA(VLOOKUP(A11,Boursa!A:G,7,0)),"",VLOOKUP(A11,Boursa!A:G,7,0))</f>
        <v/>
      </c>
      <c r="D11" s="28" t="str">
        <f>IF(ISNA(VLOOKUP(A11,Index!A:C,3,0)),"",VLOOKUP(A11,Index!A:C,3,0))</f>
        <v/>
      </c>
      <c r="E11" s="28" t="str">
        <f>IF(D11&lt;&gt;"",VLOOKUP(A11,Index!A:B,2,0),"")</f>
        <v/>
      </c>
      <c r="F11" s="28" t="str">
        <f>IF(ISNA(VLOOKUP(A11,'Shariah DataFeed'!A:B,2,0)),"",VLOOKUP(A11,'Shariah DataFeed'!A:B,2,0))</f>
        <v>Reuters</v>
      </c>
      <c r="G11" s="28" t="str">
        <f>IF(F11&lt;&gt;"",VLOOKUP(A11,'Shariah DataFeed'!A:D,4,0),"")</f>
        <v>Ticker, ISIN, Name, Nation, Sector, Fiscal Period, Al-Rajhi, [Al-Rajhi] Debt Ratio, [Al-Rajhi] Financial Status, [Al-Rajhi] Non Permissible Income Ratio, [Al-Rajhi] NPIN Status, [Al-Rajhi]  Preference Share, [Al-Rajhi]  Country of Incorporation, Al Rajhi Business Activity , Al Rajhi Brokerage Alternative</v>
      </c>
      <c r="H11" s="28" t="str">
        <f>IF(ISNA(VLOOKUP(A11,'ESG Consalidated'!A:D,4,0)),"",VLOOKUP(A11,'ESG Consalidated'!A:D,4,0))</f>
        <v/>
      </c>
      <c r="I11" s="28" t="str">
        <f>IF(H11&lt;&gt;"",VLOOKUP(A11,'ESG Consalidated'!A:B,2,0),"")</f>
        <v/>
      </c>
      <c r="J11" s="28" t="str">
        <f>IF(ISNA(VLOOKUP(A11,'Purif &amp; Zakat'!C:K,9,0)),"",VLOOKUP(A11,'Purif &amp; Zakat'!C:K,9,0))</f>
        <v>Reuters</v>
      </c>
      <c r="K11" s="28" t="str">
        <f>IF(J11&lt;&gt;"",VLOOKUP(A11,'Purif &amp; Zakat'!C:E,3,0),"")</f>
        <v>Compliance</v>
      </c>
      <c r="L11" s="28" t="str">
        <f t="shared" si="0"/>
        <v>Shariah DataFeed Fields Count: 15
Purification &amp; Zakat Fields Count: 1</v>
      </c>
      <c r="M11" s="28">
        <f t="shared" si="1"/>
        <v>2</v>
      </c>
      <c r="N11" s="32">
        <f t="shared" si="2"/>
        <v>16</v>
      </c>
      <c r="O11" s="52" t="str">
        <f t="shared" si="3"/>
        <v>Shariah DataFeed Fields Source: Reuters
Purification &amp; Zakat Fields Source: Reuters</v>
      </c>
      <c r="P11" s="28" t="str">
        <f>IF(ISNA(VLOOKUP(A11,Service!B:B,1,0)),"No","Yes")</f>
        <v>Yes</v>
      </c>
      <c r="Q11" s="28">
        <f>IFERROR(IFERROR(VLOOKUP(A11,'Shariah DataFeed'!A:H,10,0),VLOOKUP(A11,'ESG Consalidated'!A:E,5,0)),0)</f>
        <v>0</v>
      </c>
    </row>
    <row r="12" spans="1:17" ht="145">
      <c r="A12" s="37" t="s">
        <v>29</v>
      </c>
      <c r="B12" s="28" t="str">
        <f>IF(ISNA(VLOOKUP(A12,Boursa!A:G,6,0)),"",VLOOKUP(A12,Boursa!A:G,6,0))</f>
        <v/>
      </c>
      <c r="C12" s="28" t="str">
        <f>IF(ISNA(VLOOKUP(A12,Boursa!A:G,7,0)),"",VLOOKUP(A12,Boursa!A:G,7,0))</f>
        <v/>
      </c>
      <c r="D12" s="28" t="str">
        <f>IF(ISNA(VLOOKUP(A12,Index!A:C,3,0)),"",VLOOKUP(A12,Index!A:C,3,0))</f>
        <v/>
      </c>
      <c r="E12" s="28" t="str">
        <f>IF(D12&lt;&gt;"",VLOOKUP(A12,Index!A:B,2,0),"")</f>
        <v/>
      </c>
      <c r="F12" s="28" t="str">
        <f>IF(ISNA(VLOOKUP(A12,'Shariah DataFeed'!A:B,2,0)),"",VLOOKUP(A12,'Shariah DataFeed'!A:B,2,0))</f>
        <v>Factset</v>
      </c>
      <c r="G12" s="28" t="str">
        <f>IF(F12&lt;&gt;"",VLOOKUP(A12,'Shariah DataFeed'!A:D,4,0),"")</f>
        <v xml:space="preserve">Date, Name, ISIN, Ticker, RIC Code, Nation, Business Activities, [Introspect] NPIN Status, [Introspect] Interest-bearing Investments, [Introspect] Interest-bearing Debts, Introspect,  </v>
      </c>
      <c r="H12" s="28" t="str">
        <f>IF(ISNA(VLOOKUP(A12,'ESG Consalidated'!A:D,4,0)),"",VLOOKUP(A12,'ESG Consalidated'!A:D,4,0))</f>
        <v/>
      </c>
      <c r="I12" s="28" t="str">
        <f>IF(H12&lt;&gt;"",VLOOKUP(A12,'ESG Consalidated'!A:B,2,0),"")</f>
        <v/>
      </c>
      <c r="J12" s="28" t="str">
        <f>IF(ISNA(VLOOKUP(A12,'Purif &amp; Zakat'!C:K,9,0)),"",VLOOKUP(A12,'Purif &amp; Zakat'!C:K,9,0))</f>
        <v>Reuters</v>
      </c>
      <c r="K12" s="28" t="str">
        <f>IF(J12&lt;&gt;"",VLOOKUP(A12,'Purif &amp; Zakat'!C:E,3,0),"")</f>
        <v>Name,Purification</v>
      </c>
      <c r="L12" s="28" t="str">
        <f t="shared" si="0"/>
        <v>Shariah DataFeed Fields Count: 12
Purification &amp; Zakat Fields Count: 2</v>
      </c>
      <c r="M12" s="28">
        <f t="shared" si="1"/>
        <v>2</v>
      </c>
      <c r="N12" s="32">
        <f t="shared" si="2"/>
        <v>14</v>
      </c>
      <c r="O12" s="52" t="str">
        <f t="shared" si="3"/>
        <v>Shariah DataFeed Fields Source: Factset
Purification &amp; Zakat Fields Source: Reuters</v>
      </c>
      <c r="P12" s="28" t="str">
        <f>IF(ISNA(VLOOKUP(A12,Service!B:B,1,0)),"No","Yes")</f>
        <v>No</v>
      </c>
      <c r="Q12" s="28">
        <f>IFERROR(IFERROR(VLOOKUP(A12,'Shariah DataFeed'!A:H,10,0),VLOOKUP(A12,'ESG Consalidated'!A:E,5,0)),0)</f>
        <v>0</v>
      </c>
    </row>
    <row r="13" spans="1:17" ht="50">
      <c r="A13" s="37" t="s">
        <v>44</v>
      </c>
      <c r="B13" s="28" t="str">
        <f>IF(ISNA(VLOOKUP(A13,Boursa!A:G,6,0)),"",VLOOKUP(A13,Boursa!A:G,6,0))</f>
        <v/>
      </c>
      <c r="C13" s="28" t="str">
        <f>IF(ISNA(VLOOKUP(A13,Boursa!A:G,7,0)),"",VLOOKUP(A13,Boursa!A:G,7,0))</f>
        <v/>
      </c>
      <c r="D13" s="28" t="str">
        <f>IF(ISNA(VLOOKUP(A13,Index!A:C,3,0)),"",VLOOKUP(A13,Index!A:C,3,0))</f>
        <v>FactSet</v>
      </c>
      <c r="E13" s="28" t="str">
        <f>IF(D13&lt;&gt;"",VLOOKUP(A13,Index!A:B,2,0),"")</f>
        <v>Name,ISIN,SEDOL,Ticker,Weight</v>
      </c>
      <c r="F13" s="28" t="str">
        <f>IF(ISNA(VLOOKUP(A13,'Shariah DataFeed'!A:B,2,0)),"",VLOOKUP(A13,'Shariah DataFeed'!A:B,2,0))</f>
        <v>Reuters</v>
      </c>
      <c r="G13" s="28" t="str">
        <f>IF(F13&lt;&gt;"",VLOOKUP(A13,'Shariah DataFeed'!A:D,4,0),"")</f>
        <v>ISIN, SEDOL, Weight, Date, Code</v>
      </c>
      <c r="H13" s="28" t="str">
        <f>IF(ISNA(VLOOKUP(A13,'ESG Consalidated'!A:D,4,0)),"",VLOOKUP(A13,'ESG Consalidated'!A:D,4,0))</f>
        <v/>
      </c>
      <c r="I13" s="28" t="str">
        <f>IF(H13&lt;&gt;"",VLOOKUP(A13,'ESG Consalidated'!A:B,2,0),"")</f>
        <v/>
      </c>
      <c r="J13" s="28" t="str">
        <f>IF(ISNA(VLOOKUP(A13,'Purif &amp; Zakat'!C:K,9,0)),"",VLOOKUP(A13,'Purif &amp; Zakat'!C:K,9,0))</f>
        <v>Reuters</v>
      </c>
      <c r="K13" s="28" t="str">
        <f>IF(J13&lt;&gt;"",VLOOKUP(A13,'Purif &amp; Zakat'!C:E,3,0),"")</f>
        <v>Name,Compliance Status,Purification</v>
      </c>
      <c r="L13" s="28" t="str">
        <f t="shared" si="0"/>
        <v>Index Fields Count: 5
Shariah DataFeed Fields Count: 5
Purification &amp; Zakat Fields Count: 3</v>
      </c>
      <c r="M13" s="28">
        <f t="shared" si="1"/>
        <v>3</v>
      </c>
      <c r="N13" s="32">
        <f t="shared" si="2"/>
        <v>13</v>
      </c>
      <c r="O13" s="52" t="str">
        <f t="shared" si="3"/>
        <v>Index Fields Source: FactSet
Shariah DataFeed Fields Source: Reuters
Purification &amp; Zakat Fields Source: Reuters</v>
      </c>
      <c r="P13" s="28" t="str">
        <f>IF(ISNA(VLOOKUP(A13,Service!B:B,1,0)),"No","Yes")</f>
        <v>Yes</v>
      </c>
      <c r="Q13" s="28">
        <f>IFERROR(IFERROR(VLOOKUP(A13,'Shariah DataFeed'!A:H,10,0),VLOOKUP(A13,'ESG Consalidated'!A:E,5,0)),0)</f>
        <v>0</v>
      </c>
    </row>
    <row r="14" spans="1:17" ht="50">
      <c r="A14" s="37" t="s">
        <v>49</v>
      </c>
      <c r="B14" s="28" t="str">
        <f>IF(ISNA(VLOOKUP(A14,Boursa!A:G,6,0)),"",VLOOKUP(A14,Boursa!A:G,6,0))</f>
        <v/>
      </c>
      <c r="C14" s="28" t="str">
        <f>IF(ISNA(VLOOKUP(A14,Boursa!A:G,7,0)),"",VLOOKUP(A14,Boursa!A:G,7,0))</f>
        <v/>
      </c>
      <c r="D14" s="28" t="str">
        <f>IF(ISNA(VLOOKUP(A14,Index!A:C,3,0)),"",VLOOKUP(A14,Index!A:C,3,0))</f>
        <v>FactSet</v>
      </c>
      <c r="E14" s="28" t="str">
        <f>IF(D14&lt;&gt;"",VLOOKUP(A14,Index!A:B,2,0),"")</f>
        <v>Name,ISIN,SEDOL,Ticker,Weight</v>
      </c>
      <c r="F14" s="28" t="str">
        <f>IF(ISNA(VLOOKUP(A14,'Shariah DataFeed'!A:B,2,0)),"",VLOOKUP(A14,'Shariah DataFeed'!A:B,2,0))</f>
        <v>Reuters</v>
      </c>
      <c r="G14" s="28" t="str">
        <f>IF(F14&lt;&gt;"",VLOOKUP(A14,'Shariah DataFeed'!A:D,4,0),"")</f>
        <v>Name, Nation, Ticker</v>
      </c>
      <c r="H14" s="28" t="str">
        <f>IF(ISNA(VLOOKUP(A14,'ESG Consalidated'!A:D,4,0)),"",VLOOKUP(A14,'ESG Consalidated'!A:D,4,0))</f>
        <v/>
      </c>
      <c r="I14" s="28" t="str">
        <f>IF(H14&lt;&gt;"",VLOOKUP(A14,'ESG Consalidated'!A:B,2,0),"")</f>
        <v/>
      </c>
      <c r="J14" s="28" t="str">
        <f>IF(ISNA(VLOOKUP(A14,'Purif &amp; Zakat'!C:K,9,0)),"",VLOOKUP(A14,'Purif &amp; Zakat'!C:K,9,0))</f>
        <v>Reuters</v>
      </c>
      <c r="K14" s="28" t="str">
        <f>IF(J14&lt;&gt;"",VLOOKUP(A14,'Purif &amp; Zakat'!C:E,3,0),"")</f>
        <v>Name,Compliance Status,Purification,Zakat Amount</v>
      </c>
      <c r="L14" s="28" t="str">
        <f t="shared" si="0"/>
        <v>Index Fields Count: 5
Shariah DataFeed Fields Count: 3
Purification &amp; Zakat Fields Count: 4</v>
      </c>
      <c r="M14" s="28">
        <f t="shared" si="1"/>
        <v>3</v>
      </c>
      <c r="N14" s="32">
        <f t="shared" si="2"/>
        <v>12</v>
      </c>
      <c r="O14" s="52" t="str">
        <f t="shared" si="3"/>
        <v>Index Fields Source: FactSet
Shariah DataFeed Fields Source: Reuters
Purification &amp; Zakat Fields Source: Reuters</v>
      </c>
      <c r="P14" s="28" t="str">
        <f>IF(ISNA(VLOOKUP(A14,Service!B:B,1,0)),"No","Yes")</f>
        <v>Yes</v>
      </c>
      <c r="Q14" s="28">
        <f>IFERROR(IFERROR(VLOOKUP(A14,'Shariah DataFeed'!A:H,10,0),VLOOKUP(A14,'ESG Consalidated'!A:E,5,0)),0)</f>
        <v>0</v>
      </c>
    </row>
    <row r="15" spans="1:17" ht="50">
      <c r="A15" s="36" t="s">
        <v>66</v>
      </c>
      <c r="B15" s="28" t="str">
        <f>IF(ISNA(VLOOKUP(A15,Boursa!A:G,6,0)),"",VLOOKUP(A15,Boursa!A:G,6,0))</f>
        <v/>
      </c>
      <c r="C15" s="28" t="str">
        <f>IF(ISNA(VLOOKUP(A15,Boursa!A:G,7,0)),"",VLOOKUP(A15,Boursa!A:G,7,0))</f>
        <v/>
      </c>
      <c r="D15" s="28" t="str">
        <f>IF(ISNA(VLOOKUP(A15,Index!A:C,3,0)),"",VLOOKUP(A15,Index!A:C,3,0))</f>
        <v>FactSet</v>
      </c>
      <c r="E15" s="28" t="str">
        <f>IF(D15&lt;&gt;"",VLOOKUP(A15,Index!A:B,2,0),"")</f>
        <v>Name,ISIN,SEDOL,Ticker,Weight</v>
      </c>
      <c r="F15" s="28" t="str">
        <f>IF(ISNA(VLOOKUP(A15,'Shariah DataFeed'!A:B,2,0)),"",VLOOKUP(A15,'Shariah DataFeed'!A:B,2,0))</f>
        <v>Factset</v>
      </c>
      <c r="G15" s="28" t="str">
        <f>IF(F15&lt;&gt;"",VLOOKUP(A15,'Shariah DataFeed'!A:D,4,0),"")</f>
        <v>Name, ISIN, Ticker, AAOIFI</v>
      </c>
      <c r="H15" s="28" t="str">
        <f>IF(ISNA(VLOOKUP(A15,'ESG Consalidated'!A:D,4,0)),"",VLOOKUP(A15,'ESG Consalidated'!A:D,4,0))</f>
        <v/>
      </c>
      <c r="I15" s="28" t="str">
        <f>IF(H15&lt;&gt;"",VLOOKUP(A15,'ESG Consalidated'!A:B,2,0),"")</f>
        <v/>
      </c>
      <c r="J15" s="28" t="str">
        <f>IF(ISNA(VLOOKUP(A15,'Purif &amp; Zakat'!C:K,9,0)),"",VLOOKUP(A15,'Purif &amp; Zakat'!C:K,9,0))</f>
        <v>Reuters</v>
      </c>
      <c r="K15" s="28" t="str">
        <f>IF(J15&lt;&gt;"",VLOOKUP(A15,'Purif &amp; Zakat'!C:E,3,0),"")</f>
        <v>Name/History,Purification,Compliance Status</v>
      </c>
      <c r="L15" s="28" t="str">
        <f t="shared" si="0"/>
        <v>Index Fields Count: 5
Shariah DataFeed Fields Count: 4
Purification &amp; Zakat Fields Count: 3</v>
      </c>
      <c r="M15" s="28">
        <f t="shared" si="1"/>
        <v>3</v>
      </c>
      <c r="N15" s="32">
        <f t="shared" si="2"/>
        <v>12</v>
      </c>
      <c r="O15" s="52" t="str">
        <f t="shared" si="3"/>
        <v>Index Fields Source: FactSet
Shariah DataFeed Fields Source: Factset
Purification &amp; Zakat Fields Source: Reuters</v>
      </c>
      <c r="P15" s="28" t="str">
        <f>IF(ISNA(VLOOKUP(A15,Service!B:B,1,0)),"No","Yes")</f>
        <v>No</v>
      </c>
      <c r="Q15" s="28">
        <f>IFERROR(IFERROR(VLOOKUP(A15,'Shariah DataFeed'!A:H,10,0),VLOOKUP(A15,'ESG Consalidated'!A:E,5,0)),0)</f>
        <v>0</v>
      </c>
    </row>
    <row r="16" spans="1:17" ht="50">
      <c r="A16" s="39" t="s">
        <v>23</v>
      </c>
      <c r="B16" s="28" t="str">
        <f>IF(ISNA(VLOOKUP(A16,Boursa!A:G,6,0)),"",VLOOKUP(A16,Boursa!A:G,6,0))</f>
        <v/>
      </c>
      <c r="C16" s="28" t="str">
        <f>IF(ISNA(VLOOKUP(A16,Boursa!A:G,7,0)),"",VLOOKUP(A16,Boursa!A:G,7,0))</f>
        <v/>
      </c>
      <c r="D16" s="28" t="str">
        <f>IF(ISNA(VLOOKUP(A16,Index!A:C,3,0)),"",VLOOKUP(A16,Index!A:C,3,0))</f>
        <v>FactSet</v>
      </c>
      <c r="E16" s="28" t="str">
        <f>IF(D16&lt;&gt;"",VLOOKUP(A16,Index!A:B,2,0),"")</f>
        <v>Name,ISIN,SEDOL,Ticker,Weight</v>
      </c>
      <c r="F16" s="28" t="str">
        <f>IF(ISNA(VLOOKUP(A16,'Shariah DataFeed'!A:B,2,0)),"",VLOOKUP(A16,'Shariah DataFeed'!A:B,2,0))</f>
        <v>Factset</v>
      </c>
      <c r="G16" s="28" t="str">
        <f>IF(F16&lt;&gt;"",VLOOKUP(A16,'Shariah DataFeed'!A:D,4,0),"")</f>
        <v>Name, Ticker</v>
      </c>
      <c r="H16" s="28" t="str">
        <f>IF(ISNA(VLOOKUP(A16,'ESG Consalidated'!A:D,4,0)),"",VLOOKUP(A16,'ESG Consalidated'!A:D,4,0))</f>
        <v/>
      </c>
      <c r="I16" s="28" t="str">
        <f>IF(H16&lt;&gt;"",VLOOKUP(A16,'ESG Consalidated'!A:B,2,0),"")</f>
        <v/>
      </c>
      <c r="J16" s="28" t="str">
        <f>IF(ISNA(VLOOKUP(A16,'Purif &amp; Zakat'!C:K,9,0)),"",VLOOKUP(A16,'Purif &amp; Zakat'!C:K,9,0))</f>
        <v>Reuters</v>
      </c>
      <c r="K16" s="28" t="str">
        <f>IF(J16&lt;&gt;"",VLOOKUP(A16,'Purif &amp; Zakat'!C:E,3,0),"")</f>
        <v>Name,Compliance Status,Purification</v>
      </c>
      <c r="L16" s="28" t="str">
        <f t="shared" si="0"/>
        <v>Index Fields Count: 5
Shariah DataFeed Fields Count: 2
Purification &amp; Zakat Fields Count: 3</v>
      </c>
      <c r="M16" s="28">
        <f t="shared" si="1"/>
        <v>3</v>
      </c>
      <c r="N16" s="32">
        <f t="shared" si="2"/>
        <v>10</v>
      </c>
      <c r="O16" s="52" t="str">
        <f t="shared" si="3"/>
        <v>Index Fields Source: FactSet
Shariah DataFeed Fields Source: Factset
Purification &amp; Zakat Fields Source: Reuters</v>
      </c>
      <c r="P16" s="28" t="str">
        <f>IF(ISNA(VLOOKUP(A16,Service!B:B,1,0)),"No","Yes")</f>
        <v>No</v>
      </c>
      <c r="Q16" s="28">
        <f>IFERROR(IFERROR(VLOOKUP(A16,'Shariah DataFeed'!A:H,10,0),VLOOKUP(A16,'ESG Consalidated'!A:E,5,0)),0)</f>
        <v>0</v>
      </c>
    </row>
    <row r="17" spans="1:17" ht="29">
      <c r="A17" s="36" t="s">
        <v>27</v>
      </c>
      <c r="B17" s="28" t="str">
        <f>IF(ISNA(VLOOKUP(A17,Boursa!A:G,6,0)),"",VLOOKUP(A17,Boursa!A:G,6,0))</f>
        <v/>
      </c>
      <c r="C17" s="28" t="str">
        <f>IF(ISNA(VLOOKUP(A17,Boursa!A:G,7,0)),"",VLOOKUP(A17,Boursa!A:G,7,0))</f>
        <v/>
      </c>
      <c r="D17" s="28" t="str">
        <f>IF(ISNA(VLOOKUP(A17,Index!A:C,3,0)),"",VLOOKUP(A17,Index!A:C,3,0))</f>
        <v/>
      </c>
      <c r="E17" s="28" t="str">
        <f>IF(D17&lt;&gt;"",VLOOKUP(A17,Index!A:B,2,0),"")</f>
        <v/>
      </c>
      <c r="F17" s="28" t="str">
        <f>IF(ISNA(VLOOKUP(A17,'Shariah DataFeed'!A:B,2,0)),"",VLOOKUP(A17,'Shariah DataFeed'!A:B,2,0))</f>
        <v>Reuters</v>
      </c>
      <c r="G17" s="28" t="str">
        <f>IF(F17&lt;&gt;"",VLOOKUP(A17,'Shariah DataFeed'!A:D,4,0),"")</f>
        <v>Name, ISIN, Ticker, Sector, Market Cap</v>
      </c>
      <c r="H17" s="28" t="str">
        <f>IF(ISNA(VLOOKUP(A17,'ESG Consalidated'!A:D,4,0)),"",VLOOKUP(A17,'ESG Consalidated'!A:D,4,0))</f>
        <v/>
      </c>
      <c r="I17" s="28" t="str">
        <f>IF(H17&lt;&gt;"",VLOOKUP(A17,'ESG Consalidated'!A:B,2,0),"")</f>
        <v/>
      </c>
      <c r="J17" s="28" t="str">
        <f>IF(ISNA(VLOOKUP(A17,'Purif &amp; Zakat'!C:K,9,0)),"",VLOOKUP(A17,'Purif &amp; Zakat'!C:K,9,0))</f>
        <v/>
      </c>
      <c r="K17" s="28" t="str">
        <f>IF(J17&lt;&gt;"",VLOOKUP(A17,'Purif &amp; Zakat'!C:E,3,0),"")</f>
        <v/>
      </c>
      <c r="L17" s="28" t="str">
        <f t="shared" si="0"/>
        <v>Shariah DataFeed Fields Count: 5</v>
      </c>
      <c r="M17" s="28">
        <f t="shared" si="1"/>
        <v>1</v>
      </c>
      <c r="N17" s="32">
        <f t="shared" si="2"/>
        <v>5</v>
      </c>
      <c r="O17" s="52" t="str">
        <f t="shared" si="3"/>
        <v>Shariah DataFeed Fields Source: Reuters</v>
      </c>
      <c r="P17" s="28" t="str">
        <f>IF(ISNA(VLOOKUP(A17,Service!B:B,1,0)),"No","Yes")</f>
        <v>Yes</v>
      </c>
      <c r="Q17" s="28">
        <f>IFERROR(IFERROR(VLOOKUP(A17,'Shariah DataFeed'!A:H,10,0),VLOOKUP(A17,'ESG Consalidated'!A:E,5,0)),0)</f>
        <v>0</v>
      </c>
    </row>
    <row r="18" spans="1:17" ht="37.5">
      <c r="A18" s="36" t="s">
        <v>42</v>
      </c>
      <c r="B18" s="28" t="str">
        <f>IF(ISNA(VLOOKUP(A18,Boursa!A:G,6,0)),"",VLOOKUP(A18,Boursa!A:G,6,0))</f>
        <v/>
      </c>
      <c r="C18" s="28" t="str">
        <f>IF(ISNA(VLOOKUP(A18,Boursa!A:G,7,0)),"",VLOOKUP(A18,Boursa!A:G,7,0))</f>
        <v/>
      </c>
      <c r="D18" s="28" t="str">
        <f>IF(ISNA(VLOOKUP(A18,Index!A:C,3,0)),"",VLOOKUP(A18,Index!A:C,3,0))</f>
        <v/>
      </c>
      <c r="E18" s="28" t="str">
        <f>IF(D18&lt;&gt;"",VLOOKUP(A18,Index!A:B,2,0),"")</f>
        <v/>
      </c>
      <c r="F18" s="28" t="str">
        <f>IF(ISNA(VLOOKUP(A18,'Shariah DataFeed'!A:B,2,0)),"",VLOOKUP(A18,'Shariah DataFeed'!A:B,2,0))</f>
        <v>Reuters</v>
      </c>
      <c r="G18" s="28" t="str">
        <f>IF(F18&lt;&gt;"",VLOOKUP(A18,'Shariah DataFeed'!A:D,4,0),"")</f>
        <v>Name, ISIN, Ticker, Compliance status</v>
      </c>
      <c r="H18" s="28" t="str">
        <f>IF(ISNA(VLOOKUP(A18,'ESG Consalidated'!A:D,4,0)),"",VLOOKUP(A18,'ESG Consalidated'!A:D,4,0))</f>
        <v/>
      </c>
      <c r="I18" s="28" t="str">
        <f>IF(H18&lt;&gt;"",VLOOKUP(A18,'ESG Consalidated'!A:B,2,0),"")</f>
        <v/>
      </c>
      <c r="J18" s="28" t="str">
        <f>IF(ISNA(VLOOKUP(A18,'Purif &amp; Zakat'!C:K,9,0)),"",VLOOKUP(A18,'Purif &amp; Zakat'!C:K,9,0))</f>
        <v>Reuters</v>
      </c>
      <c r="K18" s="28" t="str">
        <f>IF(J18&lt;&gt;"",VLOOKUP(A18,'Purif &amp; Zakat'!C:E,3,0),"")</f>
        <v>Name, Purification, Fiscal Period, Compliance Status, Market Value, Ratio of Failure</v>
      </c>
      <c r="L18" s="28" t="str">
        <f t="shared" si="0"/>
        <v>Shariah DataFeed Fields Count: 4
Purification &amp; Zakat Fields Count: 6</v>
      </c>
      <c r="M18" s="28">
        <f t="shared" si="1"/>
        <v>2</v>
      </c>
      <c r="N18" s="32">
        <f t="shared" si="2"/>
        <v>10</v>
      </c>
      <c r="O18" s="52" t="str">
        <f t="shared" si="3"/>
        <v>Shariah DataFeed Fields Source: Reuters
Purification &amp; Zakat Fields Source: Reuters</v>
      </c>
      <c r="P18" s="28" t="str">
        <f>IF(ISNA(VLOOKUP(A18,Service!B:B,1,0)),"No","Yes")</f>
        <v>Yes</v>
      </c>
      <c r="Q18" s="28">
        <f>IFERROR(IFERROR(VLOOKUP(A18,'Shariah DataFeed'!A:H,10,0),VLOOKUP(A18,'ESG Consalidated'!A:E,5,0)),0)</f>
        <v>0</v>
      </c>
    </row>
    <row r="19" spans="1:17" s="335" customFormat="1" ht="29">
      <c r="A19" s="338" t="s">
        <v>19</v>
      </c>
      <c r="B19" s="335" t="str">
        <f>IF(ISNA(VLOOKUP(A19,Boursa!A:G,6,0)),"",VLOOKUP(A19,Boursa!A:G,6,0))</f>
        <v/>
      </c>
      <c r="C19" s="335" t="str">
        <f>IF(ISNA(VLOOKUP(A19,Boursa!A:G,7,0)),"",VLOOKUP(A19,Boursa!A:G,7,0))</f>
        <v/>
      </c>
      <c r="D19" s="335" t="str">
        <f>IF(ISNA(VLOOKUP(A19,Index!A:C,3,0)),"",VLOOKUP(A19,Index!A:C,3,0))</f>
        <v/>
      </c>
      <c r="E19" s="335" t="str">
        <f>IF(D19&lt;&gt;"",VLOOKUP(A19,Index!A:B,2,0),"")</f>
        <v/>
      </c>
      <c r="F19" s="335" t="str">
        <f>IF(ISNA(VLOOKUP(A19,'Shariah DataFeed'!A:B,2,0)),"",VLOOKUP(A19,'Shariah DataFeed'!A:B,2,0))</f>
        <v/>
      </c>
      <c r="G19" s="335" t="str">
        <f>IF(F19&lt;&gt;"",VLOOKUP(A19,'Shariah DataFeed'!A:D,4,0),"")</f>
        <v/>
      </c>
      <c r="H19" s="335" t="str">
        <f>IF(ISNA(VLOOKUP(A19,'ESG Consalidated'!A:D,4,0)),"",VLOOKUP(A19,'ESG Consalidated'!A:D,4,0))</f>
        <v/>
      </c>
      <c r="I19" s="335" t="str">
        <f>IF(H19&lt;&gt;"",VLOOKUP(A19,'ESG Consalidated'!A:B,2,0),"")</f>
        <v/>
      </c>
      <c r="J19" s="335" t="str">
        <f>IF(ISNA(VLOOKUP(A19,'Purif &amp; Zakat'!C:K,9,0)),"",VLOOKUP(A19,'Purif &amp; Zakat'!C:K,9,0))</f>
        <v/>
      </c>
      <c r="K19" s="335" t="str">
        <f>IF(J19&lt;&gt;"",VLOOKUP(A19,'Purif &amp; Zakat'!C:E,3,0),"")</f>
        <v/>
      </c>
      <c r="L19" s="335" t="str">
        <f t="shared" si="0"/>
        <v/>
      </c>
      <c r="M19" s="335">
        <f t="shared" si="1"/>
        <v>1</v>
      </c>
      <c r="N19" s="336">
        <f t="shared" si="2"/>
        <v>0</v>
      </c>
      <c r="O19" s="337" t="str">
        <f t="shared" si="3"/>
        <v/>
      </c>
      <c r="P19" s="335" t="str">
        <f>IF(ISNA(VLOOKUP(A19,Service!B:B,1,0)),"No","Yes")</f>
        <v>No</v>
      </c>
      <c r="Q19" s="335">
        <f>IFERROR(IFERROR(VLOOKUP(A19,'Shariah DataFeed'!A:H,10,0),VLOOKUP(A19,'ESG Consalidated'!A:E,5,0)),0)</f>
        <v>0</v>
      </c>
    </row>
    <row r="20" spans="1:17">
      <c r="A20" s="36" t="s">
        <v>53</v>
      </c>
      <c r="B20" s="28" t="str">
        <f>IF(ISNA(VLOOKUP(A20,Boursa!A:G,6,0)),"",VLOOKUP(A20,Boursa!A:G,6,0))</f>
        <v/>
      </c>
      <c r="C20" s="28" t="str">
        <f>IF(ISNA(VLOOKUP(A20,Boursa!A:G,7,0)),"",VLOOKUP(A20,Boursa!A:G,7,0))</f>
        <v/>
      </c>
      <c r="D20" s="28" t="str">
        <f>IF(ISNA(VLOOKUP(A20,Index!A:C,3,0)),"",VLOOKUP(A20,Index!A:C,3,0))</f>
        <v>FactSet</v>
      </c>
      <c r="E20" s="28" t="str">
        <f>IF(D20&lt;&gt;"",VLOOKUP(A20,Index!A:B,2,0),"")</f>
        <v>Name,ISIN,SEDOL,Ticker,Weight</v>
      </c>
      <c r="F20" s="28" t="str">
        <f>IF(ISNA(VLOOKUP(A20,'Shariah DataFeed'!A:B,2,0)),"",VLOOKUP(A20,'Shariah DataFeed'!A:B,2,0))</f>
        <v/>
      </c>
      <c r="G20" s="28" t="str">
        <f>IF(F20&lt;&gt;"",VLOOKUP(A20,'Shariah DataFeed'!A:D,4,0),"")</f>
        <v/>
      </c>
      <c r="H20" s="28" t="str">
        <f>IF(ISNA(VLOOKUP(A20,'ESG Consalidated'!A:D,4,0)),"",VLOOKUP(A20,'ESG Consalidated'!A:D,4,0))</f>
        <v/>
      </c>
      <c r="I20" s="28" t="str">
        <f>IF(H20&lt;&gt;"",VLOOKUP(A20,'ESG Consalidated'!A:B,2,0),"")</f>
        <v/>
      </c>
      <c r="J20" s="28" t="str">
        <f>IF(ISNA(VLOOKUP(A20,'Purif &amp; Zakat'!C:K,9,0)),"",VLOOKUP(A20,'Purif &amp; Zakat'!C:K,9,0))</f>
        <v/>
      </c>
      <c r="K20" s="28" t="str">
        <f>IF(J20&lt;&gt;"",VLOOKUP(A20,'Purif &amp; Zakat'!C:E,3,0),"")</f>
        <v/>
      </c>
      <c r="L20" s="28" t="str">
        <f t="shared" si="0"/>
        <v>Index Fields Count: 5</v>
      </c>
      <c r="M20" s="28">
        <f t="shared" si="1"/>
        <v>1</v>
      </c>
      <c r="N20" s="32">
        <f t="shared" si="2"/>
        <v>5</v>
      </c>
      <c r="O20" s="52" t="str">
        <f t="shared" si="3"/>
        <v>Index Fields Source: FactSet</v>
      </c>
      <c r="P20" s="28" t="str">
        <f>IF(ISNA(VLOOKUP(A20,Service!B:B,1,0)),"No","Yes")</f>
        <v>No</v>
      </c>
      <c r="Q20" s="28">
        <f>IFERROR(IFERROR(VLOOKUP(A20,'Shariah DataFeed'!A:H,10,0),VLOOKUP(A20,'ESG Consalidated'!A:E,5,0)),0)</f>
        <v>0</v>
      </c>
    </row>
    <row r="21" spans="1:17" ht="43.5">
      <c r="A21" s="39" t="s">
        <v>5</v>
      </c>
      <c r="B21" s="28" t="str">
        <f>IF(ISNA(VLOOKUP(A21,Boursa!A:G,6,0)),"",VLOOKUP(A21,Boursa!A:G,6,0))</f>
        <v/>
      </c>
      <c r="C21" s="28" t="str">
        <f>IF(ISNA(VLOOKUP(A21,Boursa!A:G,7,0)),"",VLOOKUP(A21,Boursa!A:G,7,0))</f>
        <v/>
      </c>
      <c r="D21" s="28" t="str">
        <f>IF(ISNA(VLOOKUP(A21,Index!A:C,3,0)),"",VLOOKUP(A21,Index!A:C,3,0))</f>
        <v/>
      </c>
      <c r="E21" s="28" t="str">
        <f>IF(D21&lt;&gt;"",VLOOKUP(A21,Index!A:B,2,0),"")</f>
        <v/>
      </c>
      <c r="F21" s="28" t="str">
        <f>IF(ISNA(VLOOKUP(A21,'Shariah DataFeed'!A:B,2,0)),"",VLOOKUP(A21,'Shariah DataFeed'!A:B,2,0))</f>
        <v>Factset</v>
      </c>
      <c r="G21" s="28" t="str">
        <f>IF(F21&lt;&gt;"",VLOOKUP(A21,'Shariah DataFeed'!A:D,4,0),"")</f>
        <v>Name, ISIN, Ticker, SEDOL, Compliance Status</v>
      </c>
      <c r="H21" s="28" t="str">
        <f>IF(ISNA(VLOOKUP(A21,'ESG Consalidated'!A:D,4,0)),"",VLOOKUP(A21,'ESG Consalidated'!A:D,4,0))</f>
        <v/>
      </c>
      <c r="I21" s="28" t="str">
        <f>IF(H21&lt;&gt;"",VLOOKUP(A21,'ESG Consalidated'!A:B,2,0),"")</f>
        <v/>
      </c>
      <c r="J21" s="28" t="str">
        <f>IF(ISNA(VLOOKUP(A21,'Purif &amp; Zakat'!C:K,9,0)),"",VLOOKUP(A21,'Purif &amp; Zakat'!C:K,9,0))</f>
        <v>Reuters</v>
      </c>
      <c r="K21" s="28" t="str">
        <f>IF(J21&lt;&gt;"",VLOOKUP(A21,'Purif &amp; Zakat'!C:E,3,0),"")</f>
        <v>Name, Ticker, ISIN, Compliance Status, Purification</v>
      </c>
      <c r="L21" s="28" t="str">
        <f t="shared" si="0"/>
        <v>Shariah DataFeed Fields Count: 5
Purification &amp; Zakat Fields Count: 5</v>
      </c>
      <c r="M21" s="28">
        <f t="shared" si="1"/>
        <v>2</v>
      </c>
      <c r="N21" s="32">
        <f t="shared" si="2"/>
        <v>10</v>
      </c>
      <c r="O21" s="52" t="str">
        <f t="shared" si="3"/>
        <v>Shariah DataFeed Fields Source: Factset
Purification &amp; Zakat Fields Source: Reuters</v>
      </c>
      <c r="P21" s="28" t="str">
        <f>IF(ISNA(VLOOKUP(A21,Service!B:B,1,0)),"No","Yes")</f>
        <v>No</v>
      </c>
      <c r="Q21" s="28">
        <f>IFERROR(IFERROR(VLOOKUP(A21,'Shariah DataFeed'!A:H,10,0),VLOOKUP(A21,'ESG Consalidated'!A:E,5,0)),0)</f>
        <v>0</v>
      </c>
    </row>
    <row r="22" spans="1:17" ht="43.5">
      <c r="A22" s="37" t="s">
        <v>6</v>
      </c>
      <c r="B22" s="28" t="str">
        <f>IF(ISNA(VLOOKUP(A22,Boursa!A:G,6,0)),"",VLOOKUP(A22,Boursa!A:G,6,0))</f>
        <v/>
      </c>
      <c r="C22" s="28" t="str">
        <f>IF(ISNA(VLOOKUP(A22,Boursa!A:G,7,0)),"",VLOOKUP(A22,Boursa!A:G,7,0))</f>
        <v/>
      </c>
      <c r="D22" s="28" t="str">
        <f>IF(ISNA(VLOOKUP(A22,Index!A:C,3,0)),"",VLOOKUP(A22,Index!A:C,3,0))</f>
        <v/>
      </c>
      <c r="E22" s="28" t="str">
        <f>IF(D22&lt;&gt;"",VLOOKUP(A22,Index!A:B,2,0),"")</f>
        <v/>
      </c>
      <c r="F22" s="28" t="str">
        <f>IF(ISNA(VLOOKUP(A22,'Shariah DataFeed'!A:B,2,0)),"",VLOOKUP(A22,'Shariah DataFeed'!A:B,2,0))</f>
        <v>Factset</v>
      </c>
      <c r="G22" s="28" t="str">
        <f>IF(F22&lt;&gt;"",VLOOKUP(A22,'Shariah DataFeed'!A:D,4,0),"")</f>
        <v>IR WID, Name, ISIN, Ticker, SEDOL, FIGI, IdealRatings AM</v>
      </c>
      <c r="H22" s="28" t="str">
        <f>IF(ISNA(VLOOKUP(A22,'ESG Consalidated'!A:D,4,0)),"",VLOOKUP(A22,'ESG Consalidated'!A:D,4,0))</f>
        <v/>
      </c>
      <c r="I22" s="28" t="str">
        <f>IF(H22&lt;&gt;"",VLOOKUP(A22,'ESG Consalidated'!A:B,2,0),"")</f>
        <v/>
      </c>
      <c r="J22" s="28" t="str">
        <f>IF(ISNA(VLOOKUP(A22,'Purif &amp; Zakat'!C:K,9,0)),"",VLOOKUP(A22,'Purif &amp; Zakat'!C:K,9,0))</f>
        <v>Reuters</v>
      </c>
      <c r="K22" s="28" t="str">
        <f>IF(J22&lt;&gt;"",VLOOKUP(A22,'Purif &amp; Zakat'!C:E,3,0),"")</f>
        <v>Name,Compliance Status,Purification</v>
      </c>
      <c r="L22" s="28" t="str">
        <f t="shared" si="0"/>
        <v>Shariah DataFeed Fields Count: 7
Purification &amp; Zakat Fields Count: 3</v>
      </c>
      <c r="M22" s="28">
        <f t="shared" si="1"/>
        <v>2</v>
      </c>
      <c r="N22" s="32">
        <f t="shared" si="2"/>
        <v>10</v>
      </c>
      <c r="O22" s="52" t="str">
        <f t="shared" si="3"/>
        <v>Shariah DataFeed Fields Source: Factset
Purification &amp; Zakat Fields Source: Reuters</v>
      </c>
      <c r="P22" s="28" t="str">
        <f>IF(ISNA(VLOOKUP(A22,Service!B:B,1,0)),"No","Yes")</f>
        <v>No</v>
      </c>
      <c r="Q22" s="28">
        <f>IFERROR(IFERROR(VLOOKUP(A22,'Shariah DataFeed'!A:H,10,0),VLOOKUP(A22,'ESG Consalidated'!A:E,5,0)),0)</f>
        <v>0</v>
      </c>
    </row>
    <row r="23" spans="1:17" ht="43.5">
      <c r="A23" s="36" t="s">
        <v>17</v>
      </c>
      <c r="B23" s="28" t="str">
        <f>IF(ISNA(VLOOKUP(A23,Boursa!A:G,6,0)),"",VLOOKUP(A23,Boursa!A:G,6,0))</f>
        <v/>
      </c>
      <c r="C23" s="28" t="str">
        <f>IF(ISNA(VLOOKUP(A23,Boursa!A:G,7,0)),"",VLOOKUP(A23,Boursa!A:G,7,0))</f>
        <v/>
      </c>
      <c r="D23" s="28" t="str">
        <f>IF(ISNA(VLOOKUP(A23,Index!A:C,3,0)),"",VLOOKUP(A23,Index!A:C,3,0))</f>
        <v/>
      </c>
      <c r="E23" s="28" t="str">
        <f>IF(D23&lt;&gt;"",VLOOKUP(A23,Index!A:B,2,0),"")</f>
        <v/>
      </c>
      <c r="F23" s="28" t="str">
        <f>IF(ISNA(VLOOKUP(A23,'Shariah DataFeed'!A:B,2,0)),"",VLOOKUP(A23,'Shariah DataFeed'!A:B,2,0))</f>
        <v>Factset</v>
      </c>
      <c r="G23" s="28" t="str">
        <f>IF(F23&lt;&gt;"",VLOOKUP(A23,'Shariah DataFeed'!A:D,4,0),"")</f>
        <v>Name, Ticker, Exchanges Code, AAOIFI</v>
      </c>
      <c r="H23" s="28" t="str">
        <f>IF(ISNA(VLOOKUP(A23,'ESG Consalidated'!A:D,4,0)),"",VLOOKUP(A23,'ESG Consalidated'!A:D,4,0))</f>
        <v/>
      </c>
      <c r="I23" s="28" t="str">
        <f>IF(H23&lt;&gt;"",VLOOKUP(A23,'ESG Consalidated'!A:B,2,0),"")</f>
        <v/>
      </c>
      <c r="J23" s="28" t="str">
        <f>IF(ISNA(VLOOKUP(A23,'Purif &amp; Zakat'!C:K,9,0)),"",VLOOKUP(A23,'Purif &amp; Zakat'!C:K,9,0))</f>
        <v/>
      </c>
      <c r="K23" s="28" t="str">
        <f>IF(J23&lt;&gt;"",VLOOKUP(A23,'Purif &amp; Zakat'!C:E,3,0),"")</f>
        <v/>
      </c>
      <c r="L23" s="28" t="str">
        <f t="shared" si="0"/>
        <v>Shariah DataFeed Fields Count: 4</v>
      </c>
      <c r="M23" s="28">
        <f t="shared" si="1"/>
        <v>1</v>
      </c>
      <c r="N23" s="32">
        <f t="shared" si="2"/>
        <v>4</v>
      </c>
      <c r="O23" s="52" t="str">
        <f t="shared" si="3"/>
        <v>Shariah DataFeed Fields Source: Factset</v>
      </c>
      <c r="P23" s="28" t="str">
        <f>IF(ISNA(VLOOKUP(A23,Service!B:B,1,0)),"No","Yes")</f>
        <v>No</v>
      </c>
      <c r="Q23" s="28">
        <f>IFERROR(IFERROR(VLOOKUP(A23,'Shariah DataFeed'!A:H,10,0),VLOOKUP(A23,'ESG Consalidated'!A:E,5,0)),0)</f>
        <v>0</v>
      </c>
    </row>
    <row r="24" spans="1:17">
      <c r="A24" s="36" t="s">
        <v>58</v>
      </c>
      <c r="B24" s="28" t="str">
        <f>IF(ISNA(VLOOKUP(A24,Boursa!A:G,6,0)),"",VLOOKUP(A24,Boursa!A:G,6,0))</f>
        <v/>
      </c>
      <c r="C24" s="28" t="str">
        <f>IF(ISNA(VLOOKUP(A24,Boursa!A:G,7,0)),"",VLOOKUP(A24,Boursa!A:G,7,0))</f>
        <v/>
      </c>
      <c r="D24" s="28" t="str">
        <f>IF(ISNA(VLOOKUP(A24,Index!A:C,3,0)),"",VLOOKUP(A24,Index!A:C,3,0))</f>
        <v>FactSet</v>
      </c>
      <c r="E24" s="28" t="str">
        <f>IF(D24&lt;&gt;"",VLOOKUP(A24,Index!A:B,2,0),"")</f>
        <v>Name,ISIN,SEDOL,Ticker,Weight</v>
      </c>
      <c r="F24" s="28" t="str">
        <f>IF(ISNA(VLOOKUP(A24,'Shariah DataFeed'!A:B,2,0)),"",VLOOKUP(A24,'Shariah DataFeed'!A:B,2,0))</f>
        <v/>
      </c>
      <c r="G24" s="28" t="str">
        <f>IF(F24&lt;&gt;"",VLOOKUP(A24,'Shariah DataFeed'!A:D,4,0),"")</f>
        <v/>
      </c>
      <c r="H24" s="28" t="str">
        <f>IF(ISNA(VLOOKUP(A24,'ESG Consalidated'!A:D,4,0)),"",VLOOKUP(A24,'ESG Consalidated'!A:D,4,0))</f>
        <v/>
      </c>
      <c r="I24" s="28" t="str">
        <f>IF(H24&lt;&gt;"",VLOOKUP(A24,'ESG Consalidated'!A:B,2,0),"")</f>
        <v/>
      </c>
      <c r="J24" s="28" t="str">
        <f>IF(ISNA(VLOOKUP(A24,'Purif &amp; Zakat'!C:K,9,0)),"",VLOOKUP(A24,'Purif &amp; Zakat'!C:K,9,0))</f>
        <v/>
      </c>
      <c r="K24" s="28" t="str">
        <f>IF(J24&lt;&gt;"",VLOOKUP(A24,'Purif &amp; Zakat'!C:E,3,0),"")</f>
        <v/>
      </c>
      <c r="L24" s="28" t="str">
        <f t="shared" si="0"/>
        <v>Index Fields Count: 5</v>
      </c>
      <c r="M24" s="28">
        <f t="shared" si="1"/>
        <v>1</v>
      </c>
      <c r="N24" s="32">
        <f t="shared" si="2"/>
        <v>5</v>
      </c>
      <c r="O24" s="52" t="str">
        <f t="shared" si="3"/>
        <v>Index Fields Source: FactSet</v>
      </c>
      <c r="P24" s="28" t="str">
        <f>IF(ISNA(VLOOKUP(A24,Service!B:B,1,0)),"No","Yes")</f>
        <v>No</v>
      </c>
      <c r="Q24" s="28">
        <f>IFERROR(IFERROR(VLOOKUP(A24,'Shariah DataFeed'!A:H,10,0),VLOOKUP(A24,'ESG Consalidated'!A:E,5,0)),0)</f>
        <v>0</v>
      </c>
    </row>
    <row r="25" spans="1:17" ht="43.5">
      <c r="A25" s="36" t="s">
        <v>26</v>
      </c>
      <c r="B25" s="28" t="str">
        <f>IF(ISNA(VLOOKUP(A25,Boursa!A:G,6,0)),"",VLOOKUP(A25,Boursa!A:G,6,0))</f>
        <v/>
      </c>
      <c r="C25" s="28" t="str">
        <f>IF(ISNA(VLOOKUP(A25,Boursa!A:G,7,0)),"",VLOOKUP(A25,Boursa!A:G,7,0))</f>
        <v/>
      </c>
      <c r="D25" s="28" t="str">
        <f>IF(ISNA(VLOOKUP(A25,Index!A:C,3,0)),"",VLOOKUP(A25,Index!A:C,3,0))</f>
        <v>FactSet</v>
      </c>
      <c r="E25" s="28" t="str">
        <f>IF(D25&lt;&gt;"",VLOOKUP(A25,Index!A:B,2,0),"")</f>
        <v>Name,ISIN,SEDOL,Ticker,Price,Free Float Single,Capping Factor,Weight,AsOfDate,Benchmark Code</v>
      </c>
      <c r="F25" s="28" t="str">
        <f>IF(ISNA(VLOOKUP(A25,'Shariah DataFeed'!A:B,2,0)),"",VLOOKUP(A25,'Shariah DataFeed'!A:B,2,0))</f>
        <v>Reuters</v>
      </c>
      <c r="G25" s="28" t="str">
        <f>IF(F25&lt;&gt;"",VLOOKUP(A25,'Shariah DataFeed'!A:D,4,0),"")</f>
        <v>Name, Nation, Ticker</v>
      </c>
      <c r="H25" s="28" t="str">
        <f>IF(ISNA(VLOOKUP(A25,'ESG Consalidated'!A:D,4,0)),"",VLOOKUP(A25,'ESG Consalidated'!A:D,4,0))</f>
        <v/>
      </c>
      <c r="I25" s="28" t="str">
        <f>IF(H25&lt;&gt;"",VLOOKUP(A25,'ESG Consalidated'!A:B,2,0),"")</f>
        <v/>
      </c>
      <c r="J25" s="28" t="str">
        <f>IF(ISNA(VLOOKUP(A25,'Purif &amp; Zakat'!C:K,9,0)),"",VLOOKUP(A25,'Purif &amp; Zakat'!C:K,9,0))</f>
        <v/>
      </c>
      <c r="K25" s="28" t="str">
        <f>IF(J25&lt;&gt;"",VLOOKUP(A25,'Purif &amp; Zakat'!C:E,3,0),"")</f>
        <v/>
      </c>
      <c r="L25" s="28" t="str">
        <f t="shared" si="0"/>
        <v>Index Fields Count: 10
Shariah DataFeed Fields Count: 3</v>
      </c>
      <c r="M25" s="28">
        <f t="shared" si="1"/>
        <v>2</v>
      </c>
      <c r="N25" s="32">
        <f t="shared" si="2"/>
        <v>13</v>
      </c>
      <c r="O25" s="52" t="str">
        <f t="shared" si="3"/>
        <v>Index Fields Source: FactSet
Shariah DataFeed Fields Source: Reuters</v>
      </c>
      <c r="P25" s="28" t="str">
        <f>IF(ISNA(VLOOKUP(A25,Service!B:B,1,0)),"No","Yes")</f>
        <v>Yes</v>
      </c>
      <c r="Q25" s="28">
        <f>IFERROR(IFERROR(VLOOKUP(A25,'Shariah DataFeed'!A:H,10,0),VLOOKUP(A25,'ESG Consalidated'!A:E,5,0)),0)</f>
        <v>0</v>
      </c>
    </row>
    <row r="26" spans="1:17" ht="43.5">
      <c r="A26" s="36" t="s">
        <v>33</v>
      </c>
      <c r="B26" s="28" t="str">
        <f>IF(ISNA(VLOOKUP(A26,Boursa!A:G,6,0)),"",VLOOKUP(A26,Boursa!A:G,6,0))</f>
        <v/>
      </c>
      <c r="C26" s="28" t="str">
        <f>IF(ISNA(VLOOKUP(A26,Boursa!A:G,7,0)),"",VLOOKUP(A26,Boursa!A:G,7,0))</f>
        <v/>
      </c>
      <c r="D26" s="28" t="str">
        <f>IF(ISNA(VLOOKUP(A26,Index!A:C,3,0)),"",VLOOKUP(A26,Index!A:C,3,0))</f>
        <v/>
      </c>
      <c r="E26" s="28" t="str">
        <f>IF(D26&lt;&gt;"",VLOOKUP(A26,Index!A:B,2,0),"")</f>
        <v/>
      </c>
      <c r="F26" s="28" t="str">
        <f>IF(ISNA(VLOOKUP(A26,'Shariah DataFeed'!A:B,2,0)),"",VLOOKUP(A26,'Shariah DataFeed'!A:B,2,0))</f>
        <v>Reuters</v>
      </c>
      <c r="G26" s="28" t="str">
        <f>IF(F26&lt;&gt;"",VLOOKUP(A26,'Shariah DataFeed'!A:D,4,0),"")</f>
        <v>ISIN, Ticker, Name, Exchanges, AlJazeera RB1, AlJazeera RB2</v>
      </c>
      <c r="H26" s="28" t="str">
        <f>IF(ISNA(VLOOKUP(A26,'ESG Consalidated'!A:D,4,0)),"",VLOOKUP(A26,'ESG Consalidated'!A:D,4,0))</f>
        <v/>
      </c>
      <c r="I26" s="28" t="str">
        <f>IF(H26&lt;&gt;"",VLOOKUP(A26,'ESG Consalidated'!A:B,2,0),"")</f>
        <v/>
      </c>
      <c r="J26" s="28" t="str">
        <f>IF(ISNA(VLOOKUP(A26,'Purif &amp; Zakat'!C:K,9,0)),"",VLOOKUP(A26,'Purif &amp; Zakat'!C:K,9,0))</f>
        <v>Reuters</v>
      </c>
      <c r="K26" s="28" t="str">
        <f>IF(J26&lt;&gt;"",VLOOKUP(A26,'Purif &amp; Zakat'!C:E,3,0),"")</f>
        <v>Name,Compliance Status,Purification</v>
      </c>
      <c r="L26" s="28" t="str">
        <f t="shared" si="0"/>
        <v>Shariah DataFeed Fields Count: 6
Purification &amp; Zakat Fields Count: 3</v>
      </c>
      <c r="M26" s="28">
        <f t="shared" si="1"/>
        <v>2</v>
      </c>
      <c r="N26" s="32">
        <f t="shared" si="2"/>
        <v>9</v>
      </c>
      <c r="O26" s="52" t="str">
        <f t="shared" si="3"/>
        <v>Shariah DataFeed Fields Source: Reuters
Purification &amp; Zakat Fields Source: Reuters</v>
      </c>
      <c r="P26" s="28" t="str">
        <f>IF(ISNA(VLOOKUP(A26,Service!B:B,1,0)),"No","Yes")</f>
        <v>Yes</v>
      </c>
      <c r="Q26" s="28">
        <f>IFERROR(IFERROR(VLOOKUP(A26,'Shariah DataFeed'!A:H,10,0),VLOOKUP(A26,'ESG Consalidated'!A:E,5,0)),0)</f>
        <v>0</v>
      </c>
    </row>
    <row r="27" spans="1:17">
      <c r="A27" s="36" t="s">
        <v>67</v>
      </c>
      <c r="B27" s="28" t="str">
        <f>IF(ISNA(VLOOKUP(A27,Boursa!A:G,6,0)),"",VLOOKUP(A27,Boursa!A:G,6,0))</f>
        <v/>
      </c>
      <c r="C27" s="28" t="str">
        <f>IF(ISNA(VLOOKUP(A27,Boursa!A:G,7,0)),"",VLOOKUP(A27,Boursa!A:G,7,0))</f>
        <v/>
      </c>
      <c r="D27" s="28" t="str">
        <f>IF(ISNA(VLOOKUP(A27,Index!A:C,3,0)),"",VLOOKUP(A27,Index!A:C,3,0))</f>
        <v>FactSet</v>
      </c>
      <c r="E27" s="28" t="str">
        <f>IF(D27&lt;&gt;"",VLOOKUP(A27,Index!A:B,2,0),"")</f>
        <v>Name,ISIN,Ticker,Weight</v>
      </c>
      <c r="F27" s="28" t="str">
        <f>IF(ISNA(VLOOKUP(A27,'Shariah DataFeed'!A:B,2,0)),"",VLOOKUP(A27,'Shariah DataFeed'!A:B,2,0))</f>
        <v/>
      </c>
      <c r="G27" s="28" t="str">
        <f>IF(F27&lt;&gt;"",VLOOKUP(A27,'Shariah DataFeed'!A:D,4,0),"")</f>
        <v/>
      </c>
      <c r="H27" s="28" t="str">
        <f>IF(ISNA(VLOOKUP(A27,'ESG Consalidated'!A:D,4,0)),"",VLOOKUP(A27,'ESG Consalidated'!A:D,4,0))</f>
        <v/>
      </c>
      <c r="I27" s="28" t="str">
        <f>IF(H27&lt;&gt;"",VLOOKUP(A27,'ESG Consalidated'!A:B,2,0),"")</f>
        <v/>
      </c>
      <c r="J27" s="28" t="str">
        <f>IF(ISNA(VLOOKUP(A27,'Purif &amp; Zakat'!C:K,9,0)),"",VLOOKUP(A27,'Purif &amp; Zakat'!C:K,9,0))</f>
        <v/>
      </c>
      <c r="K27" s="28" t="str">
        <f>IF(J27&lt;&gt;"",VLOOKUP(A27,'Purif &amp; Zakat'!C:E,3,0),"")</f>
        <v/>
      </c>
      <c r="L27" s="28" t="str">
        <f t="shared" si="0"/>
        <v>Index Fields Count: 4</v>
      </c>
      <c r="M27" s="28">
        <f t="shared" si="1"/>
        <v>1</v>
      </c>
      <c r="N27" s="32">
        <f t="shared" si="2"/>
        <v>4</v>
      </c>
      <c r="O27" s="52" t="str">
        <f t="shared" si="3"/>
        <v>Index Fields Source: FactSet</v>
      </c>
      <c r="P27" s="28" t="str">
        <f>IF(ISNA(VLOOKUP(A27,Service!B:B,1,0)),"No","Yes")</f>
        <v>No</v>
      </c>
      <c r="Q27" s="28">
        <f>IFERROR(IFERROR(VLOOKUP(A27,'Shariah DataFeed'!A:H,10,0),VLOOKUP(A27,'ESG Consalidated'!A:E,5,0)),0)</f>
        <v>0</v>
      </c>
    </row>
    <row r="28" spans="1:17" ht="159.5">
      <c r="A28" s="36" t="s">
        <v>21</v>
      </c>
      <c r="B28" s="28" t="str">
        <f>IF(ISNA(VLOOKUP(A28,Boursa!A:G,6,0)),"",VLOOKUP(A28,Boursa!A:G,6,0))</f>
        <v/>
      </c>
      <c r="C28" s="28" t="str">
        <f>IF(ISNA(VLOOKUP(A28,Boursa!A:G,7,0)),"",VLOOKUP(A28,Boursa!A:G,7,0))</f>
        <v/>
      </c>
      <c r="D28" s="28" t="str">
        <f>IF(ISNA(VLOOKUP(A28,Index!A:C,3,0)),"",VLOOKUP(A28,Index!A:C,3,0))</f>
        <v/>
      </c>
      <c r="E28" s="28" t="str">
        <f>IF(D28&lt;&gt;"",VLOOKUP(A28,Index!A:B,2,0),"")</f>
        <v/>
      </c>
      <c r="F28" s="28" t="str">
        <f>IF(ISNA(VLOOKUP(A28,'Shariah DataFeed'!A:B,2,0)),"",VLOOKUP(A28,'Shariah DataFeed'!A:B,2,0))</f>
        <v>Factset</v>
      </c>
      <c r="G28" s="28" t="str">
        <f>IF(F28&lt;&gt;"",VLOOKUP(A28,'Shariah DataFeed'!A:D,4,0),"")</f>
        <v>Ticker, Nation, Overall Compliance, Name, Sector, ISIN, [Al Rayan] Debt Ratio, [Al Rayan] Interest-bearing Investments Ratio, [Al Rayan] Purification Factor, [Al Rayan] Sector Status, [Al Rayan] Financials Status</v>
      </c>
      <c r="H28" s="28" t="str">
        <f>IF(ISNA(VLOOKUP(A28,'ESG Consalidated'!A:D,4,0)),"",VLOOKUP(A28,'ESG Consalidated'!A:D,4,0))</f>
        <v/>
      </c>
      <c r="I28" s="28" t="str">
        <f>IF(H28&lt;&gt;"",VLOOKUP(A28,'ESG Consalidated'!A:B,2,0),"")</f>
        <v/>
      </c>
      <c r="J28" s="28" t="str">
        <f>IF(ISNA(VLOOKUP(A28,'Purif &amp; Zakat'!C:K,9,0)),"",VLOOKUP(A28,'Purif &amp; Zakat'!C:K,9,0))</f>
        <v/>
      </c>
      <c r="K28" s="28" t="str">
        <f>IF(J28&lt;&gt;"",VLOOKUP(A28,'Purif &amp; Zakat'!C:E,3,0),"")</f>
        <v/>
      </c>
      <c r="L28" s="28" t="str">
        <f t="shared" si="0"/>
        <v>Shariah DataFeed Fields Count: 11</v>
      </c>
      <c r="M28" s="28">
        <f t="shared" si="1"/>
        <v>1</v>
      </c>
      <c r="N28" s="32">
        <f t="shared" si="2"/>
        <v>11</v>
      </c>
      <c r="O28" s="52" t="str">
        <f t="shared" si="3"/>
        <v>Shariah DataFeed Fields Source: Factset</v>
      </c>
      <c r="P28" s="28" t="str">
        <f>IF(ISNA(VLOOKUP(A28,Service!B:B,1,0)),"No","Yes")</f>
        <v>No</v>
      </c>
      <c r="Q28" s="28">
        <f>IFERROR(IFERROR(VLOOKUP(A28,'Shariah DataFeed'!A:H,10,0),VLOOKUP(A28,'ESG Consalidated'!A:E,5,0)),0)</f>
        <v>0</v>
      </c>
    </row>
    <row r="29" spans="1:17">
      <c r="A29" s="36" t="s">
        <v>72</v>
      </c>
      <c r="B29" s="28" t="str">
        <f>IF(ISNA(VLOOKUP(A29,Boursa!A:G,6,0)),"",VLOOKUP(A29,Boursa!A:G,6,0))</f>
        <v/>
      </c>
      <c r="C29" s="28" t="str">
        <f>IF(ISNA(VLOOKUP(A29,Boursa!A:G,7,0)),"",VLOOKUP(A29,Boursa!A:G,7,0))</f>
        <v/>
      </c>
      <c r="D29" s="28" t="str">
        <f>IF(ISNA(VLOOKUP(A29,Index!A:C,3,0)),"",VLOOKUP(A29,Index!A:C,3,0))</f>
        <v>FactSet</v>
      </c>
      <c r="E29" s="28" t="str">
        <f>IF(D29&lt;&gt;"",VLOOKUP(A29,Index!A:B,2,0),"")</f>
        <v>Name,ISIN,SEDOL,Ticker,Weight</v>
      </c>
      <c r="F29" s="28" t="str">
        <f>IF(ISNA(VLOOKUP(A29,'Shariah DataFeed'!A:B,2,0)),"",VLOOKUP(A29,'Shariah DataFeed'!A:B,2,0))</f>
        <v>Reuters</v>
      </c>
      <c r="G29" s="28" t="str">
        <f>IF(F29&lt;&gt;"",VLOOKUP(A29,'Shariah DataFeed'!A:D,4,0),"")</f>
        <v>Ticker,Compliance</v>
      </c>
      <c r="H29" s="28" t="str">
        <f>IF(ISNA(VLOOKUP(A29,'ESG Consalidated'!A:D,4,0)),"",VLOOKUP(A29,'ESG Consalidated'!A:D,4,0))</f>
        <v/>
      </c>
      <c r="I29" s="28" t="str">
        <f>IF(H29&lt;&gt;"",VLOOKUP(A29,'ESG Consalidated'!A:B,2,0),"")</f>
        <v/>
      </c>
      <c r="J29" s="28" t="str">
        <f>IF(ISNA(VLOOKUP(A29,'Purif &amp; Zakat'!C:K,9,0)),"",VLOOKUP(A29,'Purif &amp; Zakat'!C:K,9,0))</f>
        <v/>
      </c>
      <c r="K29" s="28" t="str">
        <f>IF(J29&lt;&gt;"",VLOOKUP(A29,'Purif &amp; Zakat'!C:E,3,0),"")</f>
        <v/>
      </c>
      <c r="L29" s="28" t="str">
        <f t="shared" si="0"/>
        <v>Index Fields Count: 5
Shariah DataFeed Fields Count: 2</v>
      </c>
      <c r="M29" s="28">
        <f t="shared" si="1"/>
        <v>2</v>
      </c>
      <c r="N29" s="32">
        <f t="shared" si="2"/>
        <v>7</v>
      </c>
      <c r="O29" s="52" t="str">
        <f t="shared" si="3"/>
        <v>Index Fields Source: FactSet
Shariah DataFeed Fields Source: Reuters</v>
      </c>
      <c r="P29" s="28" t="str">
        <f>IF(ISNA(VLOOKUP(A29,Service!B:B,1,0)),"No","Yes")</f>
        <v>Yes</v>
      </c>
      <c r="Q29" s="28">
        <f>IFERROR(IFERROR(VLOOKUP(A29,'Shariah DataFeed'!A:H,10,0),VLOOKUP(A29,'ESG Consalidated'!A:E,5,0)),0)</f>
        <v>0</v>
      </c>
    </row>
    <row r="30" spans="1:17" ht="37.5">
      <c r="A30" s="36" t="s">
        <v>8</v>
      </c>
      <c r="B30" s="28" t="str">
        <f>IF(ISNA(VLOOKUP(A30,Boursa!A:G,6,0)),"",VLOOKUP(A30,Boursa!A:G,6,0))</f>
        <v/>
      </c>
      <c r="C30" s="28" t="str">
        <f>IF(ISNA(VLOOKUP(A30,Boursa!A:G,7,0)),"",VLOOKUP(A30,Boursa!A:G,7,0))</f>
        <v/>
      </c>
      <c r="D30" s="28" t="str">
        <f>IF(ISNA(VLOOKUP(A30,Index!A:C,3,0)),"",VLOOKUP(A30,Index!A:C,3,0))</f>
        <v/>
      </c>
      <c r="E30" s="28" t="str">
        <f>IF(D30&lt;&gt;"",VLOOKUP(A30,Index!A:B,2,0),"")</f>
        <v/>
      </c>
      <c r="F30" s="28" t="str">
        <f>IF(ISNA(VLOOKUP(A30,'Shariah DataFeed'!A:B,2,0)),"",VLOOKUP(A30,'Shariah DataFeed'!A:B,2,0))</f>
        <v>Factset</v>
      </c>
      <c r="G30" s="28" t="str">
        <f>IF(F30&lt;&gt;"",VLOOKUP(A30,'Shariah DataFeed'!A:D,4,0),"")</f>
        <v>Name, ISIN, SEDOL, AAOIFI</v>
      </c>
      <c r="H30" s="28" t="str">
        <f>IF(ISNA(VLOOKUP(A30,'ESG Consalidated'!A:D,4,0)),"",VLOOKUP(A30,'ESG Consalidated'!A:D,4,0))</f>
        <v/>
      </c>
      <c r="I30" s="28" t="str">
        <f>IF(H30&lt;&gt;"",VLOOKUP(A30,'ESG Consalidated'!A:B,2,0),"")</f>
        <v/>
      </c>
      <c r="J30" s="28" t="str">
        <f>IF(ISNA(VLOOKUP(A30,'Purif &amp; Zakat'!C:K,9,0)),"",VLOOKUP(A30,'Purif &amp; Zakat'!C:K,9,0))</f>
        <v>Reuters</v>
      </c>
      <c r="K30" s="28" t="str">
        <f>IF(J30&lt;&gt;"",VLOOKUP(A30,'Purif &amp; Zakat'!C:E,3,0),"")</f>
        <v>Name,Compliance Status,Purification</v>
      </c>
      <c r="L30" s="28" t="str">
        <f t="shared" si="0"/>
        <v>Shariah DataFeed Fields Count: 4
Purification &amp; Zakat Fields Count: 3</v>
      </c>
      <c r="M30" s="28">
        <f t="shared" si="1"/>
        <v>2</v>
      </c>
      <c r="N30" s="32">
        <f t="shared" si="2"/>
        <v>7</v>
      </c>
      <c r="O30" s="52" t="str">
        <f t="shared" si="3"/>
        <v>Shariah DataFeed Fields Source: Factset
Purification &amp; Zakat Fields Source: Reuters</v>
      </c>
      <c r="P30" s="28" t="str">
        <f>IF(ISNA(VLOOKUP(A30,Service!B:B,1,0)),"No","Yes")</f>
        <v>No</v>
      </c>
      <c r="Q30" s="28">
        <f>IFERROR(IFERROR(VLOOKUP(A30,'Shariah DataFeed'!A:H,10,0),VLOOKUP(A30,'ESG Consalidated'!A:E,5,0)),0)</f>
        <v>0</v>
      </c>
    </row>
    <row r="31" spans="1:17" ht="409.5">
      <c r="A31" s="36" t="s">
        <v>35</v>
      </c>
      <c r="B31" s="28" t="str">
        <f>IF(ISNA(VLOOKUP(A31,Boursa!A:G,6,0)),"",VLOOKUP(A31,Boursa!A:G,6,0))</f>
        <v/>
      </c>
      <c r="C31" s="28" t="str">
        <f>IF(ISNA(VLOOKUP(A31,Boursa!A:G,7,0)),"",VLOOKUP(A31,Boursa!A:G,7,0))</f>
        <v/>
      </c>
      <c r="D31" s="28" t="str">
        <f>IF(ISNA(VLOOKUP(A31,Index!A:C,3,0)),"",VLOOKUP(A31,Index!A:C,3,0))</f>
        <v/>
      </c>
      <c r="E31" s="28" t="str">
        <f>IF(D31&lt;&gt;"",VLOOKUP(A31,Index!A:B,2,0),"")</f>
        <v/>
      </c>
      <c r="F31" s="28" t="str">
        <f>IF(ISNA(VLOOKUP(A31,'Shariah DataFeed'!A:B,2,0)),"",VLOOKUP(A31,'Shariah DataFeed'!A:B,2,0))</f>
        <v>Reuters</v>
      </c>
      <c r="G31" s="28" t="str">
        <f>IF(F31&lt;&gt;"",VLOOKUP(A31,'Shariah DataFeed'!A:D,4,0),"")</f>
        <v>ISIN, SEDOL, Ticker, FIGI, Nation, Name, AAOIFI, Cash and Cash Equivalents - Total (in USD), Assets - Total (in USD), Receivables - Total (in USD), [AAOIFI] Interest bearing Investments, Cash and Short Term Inv. - Conv. (in USD), Cash and Short Term Inv. - Total (in USD)
, Long Term Inv. - Conv. (in USD)
, Long Term Inv. - Total (in USD)
, Note Receivable - Long Term (in USD)
, Notes Receivable - Short Term (in USD)
, Trailing 12 Months Market Cap (Daily) (in USD)
, [AAOIFI] Interest bearing Debts, Debt - Conv. (in USD)
, Debt - Total (in USD)
, [AAOIFI] Non permissible Income, [AAOIFI] Preference Share, Dow Jones Islamic based, [Dow Jones Islamic-based] Non permissible Income, [Dow Jones Islamic-based] Interest bearing Investments, [Dow Jones Islamic-based] Interest bearing Debts, [Dow Jones Islamic-based] Liquidity, FTSE Shariah based, [FTSE Shariah-based] Non permissible Income, [FTSE Shariah-based] Interest bearing Investments, [FTSE Shariah-based] Interest bearing Debts, [FTSE Shariah-based] Liquidity, Ideal Ratings, [IdealRatings] NPIN Ratio, [IdealRatings] Interest Bearing Investments Ratio, [IdealRatings] Debt Ratio, [IdealRatings] Screening 3 , MSCI Islamic based, [MSCI Islamic-based] Non permissible Income, [MSCI Islamic-based] Interest bearing Investments, [MSCI Islamic-based] Interest bearing Debts, [MSCI Islamic-based] Liquidity, FTSE Russell Ideal Ratings, [FTSE Russell Ideal Ratings]  Non permissible Income, [FTSE Russell Ideal Ratings]  Interest bearing Ratio, [FTSE Russell Ideal Ratings]  Debt Ratio, [FTSE Russell Ideal Ratings]  Israel, [FTSE Russell Ideal Ratings]  Issue Type, [FTSE Russell Ideal Ratings]  Preference Share, S P Shariah based, [S&amp;P Shariah-based] NPIN Global, [S&amp;P Shariah-based] NPIN GCC, [S&amp;P Shariah-based] Media GCC, [S&amp;P Shariah-based] Interest bearing Investments, [S&amp;P Shariah-based] Interest bearing Debts, [S&amp;P Shariah-based] Liquidity, Malaysia SC, [Malaysia SC] Interest bearing and Non compliant Operations, [Malaysia SC] Investment Financial Services and Real Estate Operations, [Malaysia SC] Interest bearing and Non compliant Operations PBT, [Malaysia SC] Investment Financial services and Real Estate Operations PBT, [Malaysia SC] Interest bearing Debts, [Malaysia SC] Interest bearing Investments, [Malaysia SC]   Preference/Trust Share, Nation Code, Market Cap (in USD), Free Float Shares, Total Common Shares, Sector</v>
      </c>
      <c r="H31" s="28" t="str">
        <f>IF(ISNA(VLOOKUP(A31,'ESG Consalidated'!A:D,4,0)),"",VLOOKUP(A31,'ESG Consalidated'!A:D,4,0))</f>
        <v/>
      </c>
      <c r="I31" s="28" t="str">
        <f>IF(H31&lt;&gt;"",VLOOKUP(A31,'ESG Consalidated'!A:B,2,0),"")</f>
        <v/>
      </c>
      <c r="J31" s="28" t="str">
        <f>IF(ISNA(VLOOKUP(A31,'Purif &amp; Zakat'!C:K,9,0)),"",VLOOKUP(A31,'Purif &amp; Zakat'!C:K,9,0))</f>
        <v/>
      </c>
      <c r="K31" s="28" t="str">
        <f>IF(J31&lt;&gt;"",VLOOKUP(A31,'Purif &amp; Zakat'!C:E,3,0),"")</f>
        <v/>
      </c>
      <c r="L31" s="28" t="str">
        <f t="shared" si="0"/>
        <v>Shariah DataFeed Fields Count: 70</v>
      </c>
      <c r="M31" s="28">
        <f t="shared" si="1"/>
        <v>1</v>
      </c>
      <c r="N31" s="32">
        <f t="shared" si="2"/>
        <v>70</v>
      </c>
      <c r="O31" s="52" t="str">
        <f t="shared" si="3"/>
        <v>Shariah DataFeed Fields Source: Reuters</v>
      </c>
      <c r="P31" s="28" t="str">
        <f>IF(ISNA(VLOOKUP(A31,Service!B:B,1,0)),"No","Yes")</f>
        <v>Yes</v>
      </c>
      <c r="Q31" s="28">
        <f>IFERROR(IFERROR(VLOOKUP(A31,'Shariah DataFeed'!A:H,10,0),VLOOKUP(A31,'ESG Consalidated'!A:E,5,0)),0)</f>
        <v>0</v>
      </c>
    </row>
    <row r="32" spans="1:17" ht="29">
      <c r="A32" s="36" t="s">
        <v>36</v>
      </c>
      <c r="B32" s="28" t="str">
        <f>IF(ISNA(VLOOKUP(A32,Boursa!A:G,6,0)),"",VLOOKUP(A32,Boursa!A:G,6,0))</f>
        <v/>
      </c>
      <c r="C32" s="28" t="str">
        <f>IF(ISNA(VLOOKUP(A32,Boursa!A:G,7,0)),"",VLOOKUP(A32,Boursa!A:G,7,0))</f>
        <v/>
      </c>
      <c r="D32" s="28" t="str">
        <f>IF(ISNA(VLOOKUP(A32,Index!A:C,3,0)),"",VLOOKUP(A32,Index!A:C,3,0))</f>
        <v/>
      </c>
      <c r="E32" s="28" t="str">
        <f>IF(D32&lt;&gt;"",VLOOKUP(A32,Index!A:B,2,0),"")</f>
        <v/>
      </c>
      <c r="F32" s="28" t="str">
        <f>IF(ISNA(VLOOKUP(A32,'Shariah DataFeed'!A:B,2,0)),"",VLOOKUP(A32,'Shariah DataFeed'!A:B,2,0))</f>
        <v>Reuters</v>
      </c>
      <c r="G32" s="28" t="str">
        <f>IF(F32&lt;&gt;"",VLOOKUP(A32,'Shariah DataFeed'!A:D,4,0),"")</f>
        <v>Name, ISIN, Ticker, SEDOL, Nation</v>
      </c>
      <c r="H32" s="28" t="str">
        <f>IF(ISNA(VLOOKUP(A32,'ESG Consalidated'!A:D,4,0)),"",VLOOKUP(A32,'ESG Consalidated'!A:D,4,0))</f>
        <v/>
      </c>
      <c r="I32" s="28" t="str">
        <f>IF(H32&lt;&gt;"",VLOOKUP(A32,'ESG Consalidated'!A:B,2,0),"")</f>
        <v/>
      </c>
      <c r="J32" s="28" t="str">
        <f>IF(ISNA(VLOOKUP(A32,'Purif &amp; Zakat'!C:K,9,0)),"",VLOOKUP(A32,'Purif &amp; Zakat'!C:K,9,0))</f>
        <v/>
      </c>
      <c r="K32" s="28" t="str">
        <f>IF(J32&lt;&gt;"",VLOOKUP(A32,'Purif &amp; Zakat'!C:E,3,0),"")</f>
        <v/>
      </c>
      <c r="L32" s="28" t="str">
        <f t="shared" si="0"/>
        <v>Shariah DataFeed Fields Count: 5</v>
      </c>
      <c r="M32" s="28">
        <f t="shared" si="1"/>
        <v>1</v>
      </c>
      <c r="N32" s="32">
        <f t="shared" si="2"/>
        <v>5</v>
      </c>
      <c r="O32" s="52" t="str">
        <f t="shared" si="3"/>
        <v>Shariah DataFeed Fields Source: Reuters</v>
      </c>
      <c r="P32" s="28" t="str">
        <f>IF(ISNA(VLOOKUP(A32,Service!B:B,1,0)),"No","Yes")</f>
        <v>Yes</v>
      </c>
      <c r="Q32" s="28">
        <f>IFERROR(IFERROR(VLOOKUP(A32,'Shariah DataFeed'!A:H,10,0),VLOOKUP(A32,'ESG Consalidated'!A:E,5,0)),0)</f>
        <v>0</v>
      </c>
    </row>
    <row r="33" spans="1:17">
      <c r="A33" s="36" t="s">
        <v>22</v>
      </c>
      <c r="B33" s="28" t="str">
        <f>IF(ISNA(VLOOKUP(A33,Boursa!A:G,6,0)),"",VLOOKUP(A33,Boursa!A:G,6,0))</f>
        <v/>
      </c>
      <c r="C33" s="28" t="str">
        <f>IF(ISNA(VLOOKUP(A33,Boursa!A:G,7,0)),"",VLOOKUP(A33,Boursa!A:G,7,0))</f>
        <v/>
      </c>
      <c r="D33" s="28" t="str">
        <f>IF(ISNA(VLOOKUP(A33,Index!A:C,3,0)),"",VLOOKUP(A33,Index!A:C,3,0))</f>
        <v/>
      </c>
      <c r="E33" s="28" t="str">
        <f>IF(D33&lt;&gt;"",VLOOKUP(A33,Index!A:B,2,0),"")</f>
        <v/>
      </c>
      <c r="F33" s="28" t="str">
        <f>IF(ISNA(VLOOKUP(A33,'Shariah DataFeed'!A:B,2,0)),"",VLOOKUP(A33,'Shariah DataFeed'!A:B,2,0))</f>
        <v>Factset</v>
      </c>
      <c r="G33" s="28" t="str">
        <f>IF(F33&lt;&gt;"",VLOOKUP(A33,'Shariah DataFeed'!A:D,4,0),"")</f>
        <v>Name, ISIN, Ticker</v>
      </c>
      <c r="H33" s="28" t="str">
        <f>IF(ISNA(VLOOKUP(A33,'ESG Consalidated'!A:D,4,0)),"",VLOOKUP(A33,'ESG Consalidated'!A:D,4,0))</f>
        <v/>
      </c>
      <c r="I33" s="28" t="str">
        <f>IF(H33&lt;&gt;"",VLOOKUP(A33,'ESG Consalidated'!A:B,2,0),"")</f>
        <v/>
      </c>
      <c r="J33" s="28" t="str">
        <f>IF(ISNA(VLOOKUP(A33,'Purif &amp; Zakat'!C:K,9,0)),"",VLOOKUP(A33,'Purif &amp; Zakat'!C:K,9,0))</f>
        <v/>
      </c>
      <c r="K33" s="28" t="str">
        <f>IF(J33&lt;&gt;"",VLOOKUP(A33,'Purif &amp; Zakat'!C:E,3,0),"")</f>
        <v/>
      </c>
      <c r="L33" s="28" t="str">
        <f t="shared" ref="L33:L63" si="4">IF(B33&lt;&gt;"", TEXT($B$1, "0") &amp; " Fields Count: " &amp; COUNTA(_xlfn.TEXTSPLIT(C33, ",")), "") &amp;
IF(AND(D33&lt;&gt;"", B33&lt;&gt;""), CHAR(10), "") &amp; IF(D33&lt;&gt;"", TEXT($D$1, "0") &amp; " Fields Count: " &amp; COUNTA(_xlfn.TEXTSPLIT(E33, ",")), "") &amp;
IF(AND(F33&lt;&gt;"", OR(B33&lt;&gt;"", D33&lt;&gt;"")), CHAR(10), "") &amp; IF(F33&lt;&gt;"", TEXT($F$1, "0") &amp; " Fields Count: " &amp; COUNTA(_xlfn.TEXTSPLIT(G33, ",")), "") &amp;
IF(AND(H33&lt;&gt;"", OR(B33&lt;&gt;"", D33&lt;&gt;"", F33&lt;&gt;"")), CHAR(10), "") &amp; IF(H33&lt;&gt;"", TEXT($H$1, "0") &amp; " Fields Count: " &amp; COUNTA(_xlfn.TEXTSPLIT(I33, ",")), "") &amp;
IF(AND(J33&lt;&gt;"", OR(B33&lt;&gt;"", D33&lt;&gt;"", F33&lt;&gt;"", H33&lt;&gt;"")), CHAR(10), "") &amp; IF(J33&lt;&gt;"", TEXT($J$1, "0") &amp; " Fields Count: " &amp; COUNTA(_xlfn.TEXTSPLIT(K33, ",")), "")</f>
        <v>Shariah DataFeed Fields Count: 3</v>
      </c>
      <c r="M33" s="28">
        <f t="shared" ref="M33:M63" si="5" xml:space="preserve"> LEN(L33) - LEN(SUBSTITUTE(L33, CHAR(10), "")) +1</f>
        <v>1</v>
      </c>
      <c r="N33" s="32">
        <f t="shared" ref="N33:N63" si="6">IF(B33&lt;&gt;"", COUNTA(_xlfn.TEXTSPLIT(C33, ",")), 0) + IF(D33&lt;&gt;"", COUNTA(_xlfn.TEXTSPLIT(E33, ",")), 0) + IF(F33&lt;&gt;"", COUNTA(_xlfn.TEXTSPLIT(G33, ",")), 0) + IF(H33&lt;&gt;"", COUNTA(_xlfn.TEXTSPLIT(I33, ",")), 0) + IF(J33&lt;&gt;"", COUNTA(_xlfn.TEXTSPLIT(K33, ",")), 0)</f>
        <v>3</v>
      </c>
      <c r="O33" s="52" t="str">
        <f t="shared" ref="O33:O63" si="7">IF(B33&lt;&gt;"", TEXT($B$1, "0") &amp; " Fields Source: " &amp; B33, "") &amp;
IF(AND(D33&lt;&gt;"", B33&lt;&gt;""), CHAR(10), "") &amp; IF(D33&lt;&gt;"", TEXT($D$1, "0") &amp; " Fields Source: " &amp; D33, "") &amp;
IF(AND(F33&lt;&gt;"", OR(B33&lt;&gt;"", D33&lt;&gt;"")), CHAR(10), "") &amp; IF(F33&lt;&gt;"", TEXT($F$1, "0") &amp; " Fields Source: " &amp; F33, "") &amp;
IF(AND(H33&lt;&gt;"", OR(B33&lt;&gt;"", D33&lt;&gt;"", F33&lt;&gt;"")), CHAR(10), "") &amp; IF(H33&lt;&gt;"", TEXT($H$1, "0") &amp; " Fields Source: " &amp; H33, "") &amp;
IF(AND(J33&lt;&gt;"", OR(B33&lt;&gt;"", D33&lt;&gt;"", F33&lt;&gt;"", H33&lt;&gt;"")), CHAR(10), "") &amp; IF(J33&lt;&gt;"", TEXT($J$1, "0") &amp; " Fields Source: " &amp; J33, "")</f>
        <v>Shariah DataFeed Fields Source: Factset</v>
      </c>
      <c r="P33" s="28" t="str">
        <f>IF(ISNA(VLOOKUP(A33,Service!B:B,1,0)),"No","Yes")</f>
        <v>No</v>
      </c>
      <c r="Q33" s="28">
        <f>IFERROR(IFERROR(VLOOKUP(A33,'Shariah DataFeed'!A:H,10,0),VLOOKUP(A33,'ESG Consalidated'!A:E,5,0)),0)</f>
        <v>0</v>
      </c>
    </row>
    <row r="34" spans="1:17">
      <c r="A34" s="36" t="s">
        <v>37</v>
      </c>
      <c r="B34" s="28" t="str">
        <f>IF(ISNA(VLOOKUP(A34,Boursa!A:G,6,0)),"",VLOOKUP(A34,Boursa!A:G,6,0))</f>
        <v/>
      </c>
      <c r="C34" s="28" t="str">
        <f>IF(ISNA(VLOOKUP(A34,Boursa!A:G,7,0)),"",VLOOKUP(A34,Boursa!A:G,7,0))</f>
        <v/>
      </c>
      <c r="D34" s="28" t="str">
        <f>IF(ISNA(VLOOKUP(A34,Index!A:C,3,0)),"",VLOOKUP(A34,Index!A:C,3,0))</f>
        <v/>
      </c>
      <c r="E34" s="28" t="str">
        <f>IF(D34&lt;&gt;"",VLOOKUP(A34,Index!A:B,2,0),"")</f>
        <v/>
      </c>
      <c r="F34" s="28" t="str">
        <f>IF(ISNA(VLOOKUP(A34,'Shariah DataFeed'!A:B,2,0)),"",VLOOKUP(A34,'Shariah DataFeed'!A:B,2,0))</f>
        <v>Reuters</v>
      </c>
      <c r="G34" s="28" t="str">
        <f>IF(F34&lt;&gt;"",VLOOKUP(A34,'Shariah DataFeed'!A:D,4,0),"")</f>
        <v>Name, ISIN, Ticker</v>
      </c>
      <c r="H34" s="28" t="str">
        <f>IF(ISNA(VLOOKUP(A34,'ESG Consalidated'!A:D,4,0)),"",VLOOKUP(A34,'ESG Consalidated'!A:D,4,0))</f>
        <v/>
      </c>
      <c r="I34" s="28" t="str">
        <f>IF(H34&lt;&gt;"",VLOOKUP(A34,'ESG Consalidated'!A:B,2,0),"")</f>
        <v/>
      </c>
      <c r="J34" s="28" t="str">
        <f>IF(ISNA(VLOOKUP(A34,'Purif &amp; Zakat'!C:K,9,0)),"",VLOOKUP(A34,'Purif &amp; Zakat'!C:K,9,0))</f>
        <v/>
      </c>
      <c r="K34" s="28" t="str">
        <f>IF(J34&lt;&gt;"",VLOOKUP(A34,'Purif &amp; Zakat'!C:E,3,0),"")</f>
        <v/>
      </c>
      <c r="L34" s="28" t="str">
        <f t="shared" si="4"/>
        <v>Shariah DataFeed Fields Count: 3</v>
      </c>
      <c r="M34" s="28">
        <f t="shared" si="5"/>
        <v>1</v>
      </c>
      <c r="N34" s="32">
        <f t="shared" si="6"/>
        <v>3</v>
      </c>
      <c r="O34" s="52" t="str">
        <f t="shared" si="7"/>
        <v>Shariah DataFeed Fields Source: Reuters</v>
      </c>
      <c r="P34" s="28" t="str">
        <f>IF(ISNA(VLOOKUP(A34,Service!B:B,1,0)),"No","Yes")</f>
        <v>Yes</v>
      </c>
      <c r="Q34" s="28">
        <f>IFERROR(IFERROR(VLOOKUP(A34,'Shariah DataFeed'!A:H,10,0),VLOOKUP(A34,'ESG Consalidated'!A:E,5,0)),0)</f>
        <v>0</v>
      </c>
    </row>
    <row r="35" spans="1:17" ht="87">
      <c r="A35" s="36" t="s">
        <v>185</v>
      </c>
      <c r="B35" s="28" t="str">
        <f>IF(ISNA(VLOOKUP(A35,Boursa!A:G,6,0)),"",VLOOKUP(A35,Boursa!A:G,6,0))</f>
        <v/>
      </c>
      <c r="C35" s="28" t="str">
        <f>IF(ISNA(VLOOKUP(A35,Boursa!A:G,7,0)),"",VLOOKUP(A35,Boursa!A:G,7,0))</f>
        <v/>
      </c>
      <c r="D35" s="28" t="str">
        <f>IF(ISNA(VLOOKUP(A35,Index!A:C,3,0)),"",VLOOKUP(A35,Index!A:C,3,0))</f>
        <v/>
      </c>
      <c r="E35" s="28" t="str">
        <f>IF(D35&lt;&gt;"",VLOOKUP(A35,Index!A:B,2,0),"")</f>
        <v/>
      </c>
      <c r="F35" s="28" t="str">
        <f>IF(ISNA(VLOOKUP(A35,'Shariah DataFeed'!A:B,2,0)),"",VLOOKUP(A35,'Shariah DataFeed'!A:B,2,0))</f>
        <v>Factset</v>
      </c>
      <c r="G35" s="28" t="str">
        <f>IF(F35&lt;&gt;"",VLOOKUP(A35,'Shariah DataFeed'!A:D,4,0),"")</f>
        <v>IR WID, Name, ISIN, Ticker, SEDOL, Country, Compliance, Pork, Alcohol, Tobacco, Gambling, Adult Entertainment</v>
      </c>
      <c r="H35" s="28" t="str">
        <f>IF(ISNA(VLOOKUP(A35,'ESG Consalidated'!A:D,4,0)),"",VLOOKUP(A35,'ESG Consalidated'!A:D,4,0))</f>
        <v/>
      </c>
      <c r="I35" s="28" t="str">
        <f>IF(H35&lt;&gt;"",VLOOKUP(A35,'ESG Consalidated'!A:B,2,0),"")</f>
        <v/>
      </c>
      <c r="J35" s="28" t="str">
        <f>IF(ISNA(VLOOKUP(A35,'Purif &amp; Zakat'!C:K,9,0)),"",VLOOKUP(A35,'Purif &amp; Zakat'!C:K,9,0))</f>
        <v/>
      </c>
      <c r="K35" s="28" t="str">
        <f>IF(J35&lt;&gt;"",VLOOKUP(A35,'Purif &amp; Zakat'!C:E,3,0),"")</f>
        <v/>
      </c>
      <c r="L35" s="28" t="str">
        <f t="shared" si="4"/>
        <v>Shariah DataFeed Fields Count: 12</v>
      </c>
      <c r="M35" s="28">
        <f t="shared" si="5"/>
        <v>1</v>
      </c>
      <c r="N35" s="32">
        <f t="shared" si="6"/>
        <v>12</v>
      </c>
      <c r="O35" s="52" t="str">
        <f t="shared" si="7"/>
        <v>Shariah DataFeed Fields Source: Factset</v>
      </c>
      <c r="P35" s="28" t="str">
        <f>IF(ISNA(VLOOKUP(A35,Service!B:B,1,0)),"No","Yes")</f>
        <v>No</v>
      </c>
      <c r="Q35" s="28">
        <f>IFERROR(IFERROR(VLOOKUP(A35,'Shariah DataFeed'!A:H,10,0),VLOOKUP(A35,'ESG Consalidated'!A:E,5,0)),0)</f>
        <v>0</v>
      </c>
    </row>
    <row r="36" spans="1:17" ht="37.5">
      <c r="A36" s="37" t="s">
        <v>4</v>
      </c>
      <c r="B36" s="28" t="str">
        <f>IF(ISNA(VLOOKUP(A36,Boursa!A:G,6,0)),"",VLOOKUP(A36,Boursa!A:G,6,0))</f>
        <v/>
      </c>
      <c r="C36" s="28" t="str">
        <f>IF(ISNA(VLOOKUP(A36,Boursa!A:G,7,0)),"",VLOOKUP(A36,Boursa!A:G,7,0))</f>
        <v/>
      </c>
      <c r="D36" s="28" t="str">
        <f>IF(ISNA(VLOOKUP(A36,Index!A:C,3,0)),"",VLOOKUP(A36,Index!A:C,3,0))</f>
        <v/>
      </c>
      <c r="E36" s="28" t="str">
        <f>IF(D36&lt;&gt;"",VLOOKUP(A36,Index!A:B,2,0),"")</f>
        <v/>
      </c>
      <c r="F36" s="28" t="str">
        <f>IF(ISNA(VLOOKUP(A36,'Shariah DataFeed'!A:B,2,0)),"",VLOOKUP(A36,'Shariah DataFeed'!A:B,2,0))</f>
        <v>Factset</v>
      </c>
      <c r="G36" s="28" t="str">
        <f>IF(F36&lt;&gt;"",VLOOKUP(A36,'Shariah DataFeed'!A:D,4,0),"")</f>
        <v>Name, ISIN, SEDOL, Jadwa (Ashmore)</v>
      </c>
      <c r="H36" s="28" t="str">
        <f>IF(ISNA(VLOOKUP(A36,'ESG Consalidated'!A:D,4,0)),"",VLOOKUP(A36,'ESG Consalidated'!A:D,4,0))</f>
        <v/>
      </c>
      <c r="I36" s="28" t="str">
        <f>IF(H36&lt;&gt;"",VLOOKUP(A36,'ESG Consalidated'!A:B,2,0),"")</f>
        <v/>
      </c>
      <c r="J36" s="28" t="str">
        <f>IF(ISNA(VLOOKUP(A36,'Purif &amp; Zakat'!C:K,9,0)),"",VLOOKUP(A36,'Purif &amp; Zakat'!C:K,9,0))</f>
        <v>Reuters</v>
      </c>
      <c r="K36" s="28" t="str">
        <f>IF(J36&lt;&gt;"",VLOOKUP(A36,'Purif &amp; Zakat'!C:E,3,0),"")</f>
        <v>Name,Compliance Status,Purification</v>
      </c>
      <c r="L36" s="28" t="str">
        <f t="shared" si="4"/>
        <v>Shariah DataFeed Fields Count: 4
Purification &amp; Zakat Fields Count: 3</v>
      </c>
      <c r="M36" s="28">
        <f t="shared" si="5"/>
        <v>2</v>
      </c>
      <c r="N36" s="32">
        <f t="shared" si="6"/>
        <v>7</v>
      </c>
      <c r="O36" s="52" t="str">
        <f t="shared" si="7"/>
        <v>Shariah DataFeed Fields Source: Factset
Purification &amp; Zakat Fields Source: Reuters</v>
      </c>
      <c r="P36" s="28" t="str">
        <f>IF(ISNA(VLOOKUP(A36,Service!B:B,1,0)),"No","Yes")</f>
        <v>No</v>
      </c>
      <c r="Q36" s="28">
        <f>IFERROR(IFERROR(VLOOKUP(A36,'Shariah DataFeed'!A:H,10,0),VLOOKUP(A36,'ESG Consalidated'!A:E,5,0)),0)</f>
        <v>0</v>
      </c>
    </row>
    <row r="37" spans="1:17" ht="29">
      <c r="A37" s="36" t="s">
        <v>51</v>
      </c>
      <c r="B37" s="28" t="str">
        <f>IF(ISNA(VLOOKUP(A37,Boursa!A:G,6,0)),"",VLOOKUP(A37,Boursa!A:G,6,0))</f>
        <v/>
      </c>
      <c r="C37" s="28" t="str">
        <f>IF(ISNA(VLOOKUP(A37,Boursa!A:G,7,0)),"",VLOOKUP(A37,Boursa!A:G,7,0))</f>
        <v/>
      </c>
      <c r="D37" s="28" t="str">
        <f>IF(ISNA(VLOOKUP(A37,Index!A:C,3,0)),"",VLOOKUP(A37,Index!A:C,3,0))</f>
        <v>FactSet</v>
      </c>
      <c r="E37" s="28" t="str">
        <f>IF(D37&lt;&gt;"",VLOOKUP(A37,Index!A:B,2,0),"")</f>
        <v>Name,ISIN,SEDOL,Ticker,Weight,Underlying Shares,Market Values USD</v>
      </c>
      <c r="F37" s="28" t="str">
        <f>IF(ISNA(VLOOKUP(A37,'Shariah DataFeed'!A:B,2,0)),"",VLOOKUP(A37,'Shariah DataFeed'!A:B,2,0))</f>
        <v/>
      </c>
      <c r="G37" s="28" t="str">
        <f>IF(F37&lt;&gt;"",VLOOKUP(A37,'Shariah DataFeed'!A:D,4,0),"")</f>
        <v/>
      </c>
      <c r="H37" s="28" t="str">
        <f>IF(ISNA(VLOOKUP(A37,'ESG Consalidated'!A:D,4,0)),"",VLOOKUP(A37,'ESG Consalidated'!A:D,4,0))</f>
        <v/>
      </c>
      <c r="I37" s="28" t="str">
        <f>IF(H37&lt;&gt;"",VLOOKUP(A37,'ESG Consalidated'!A:B,2,0),"")</f>
        <v/>
      </c>
      <c r="J37" s="28" t="str">
        <f>IF(ISNA(VLOOKUP(A37,'Purif &amp; Zakat'!C:K,9,0)),"",VLOOKUP(A37,'Purif &amp; Zakat'!C:K,9,0))</f>
        <v/>
      </c>
      <c r="K37" s="28" t="str">
        <f>IF(J37&lt;&gt;"",VLOOKUP(A37,'Purif &amp; Zakat'!C:E,3,0),"")</f>
        <v/>
      </c>
      <c r="L37" s="28" t="str">
        <f t="shared" si="4"/>
        <v>Index Fields Count: 7</v>
      </c>
      <c r="M37" s="28">
        <f t="shared" si="5"/>
        <v>1</v>
      </c>
      <c r="N37" s="32">
        <f t="shared" si="6"/>
        <v>7</v>
      </c>
      <c r="O37" s="52" t="str">
        <f t="shared" si="7"/>
        <v>Index Fields Source: FactSet</v>
      </c>
      <c r="P37" s="28" t="str">
        <f>IF(ISNA(VLOOKUP(A37,Service!B:B,1,0)),"No","Yes")</f>
        <v>Yes</v>
      </c>
      <c r="Q37" s="28">
        <f>IFERROR(IFERROR(VLOOKUP(A37,'Shariah DataFeed'!A:H,10,0),VLOOKUP(A37,'ESG Consalidated'!A:E,5,0)),0)</f>
        <v>0</v>
      </c>
    </row>
    <row r="38" spans="1:17" ht="130.5">
      <c r="A38" s="3" t="s">
        <v>47</v>
      </c>
      <c r="B38" s="28" t="str">
        <f>IF(ISNA(VLOOKUP(A38,Boursa!A:G,6,0)),"",VLOOKUP(A38,Boursa!A:G,6,0))</f>
        <v/>
      </c>
      <c r="C38" s="28" t="str">
        <f>IF(ISNA(VLOOKUP(A38,Boursa!A:G,7,0)),"",VLOOKUP(A38,Boursa!A:G,7,0))</f>
        <v/>
      </c>
      <c r="D38" s="28" t="str">
        <f>IF(ISNA(VLOOKUP(A38,Index!A:C,3,0)),"",VLOOKUP(A38,Index!A:C,3,0))</f>
        <v/>
      </c>
      <c r="E38" s="28" t="str">
        <f>IF(D38&lt;&gt;"",VLOOKUP(A38,Index!A:B,2,0),"")</f>
        <v/>
      </c>
      <c r="F38" s="28" t="str">
        <f>IF(ISNA(VLOOKUP(A38,'Shariah DataFeed'!A:B,2,0)),"",VLOOKUP(A38,'Shariah DataFeed'!A:B,2,0))</f>
        <v>Reuters</v>
      </c>
      <c r="G38" s="28" t="str">
        <f>IF(F38&lt;&gt;"",VLOOKUP(A38,'Shariah DataFeed'!A:D,4,0),"")</f>
        <v>IR WID, ISIN, SEDOL, CUSIP, Ticker, Nation, Name, AAOIFI, Dow Jones Islamic based, FTSE Shariah based, Ideal Ratings, MSCI Islamic based, FTSE Russell Ideal Ratings, S P Shariah based</v>
      </c>
      <c r="H38" s="28" t="str">
        <f>IF(ISNA(VLOOKUP(A38,'ESG Consalidated'!A:D,4,0)),"",VLOOKUP(A38,'ESG Consalidated'!A:D,4,0))</f>
        <v/>
      </c>
      <c r="I38" s="28" t="str">
        <f>IF(H38&lt;&gt;"",VLOOKUP(A38,'ESG Consalidated'!A:B,2,0),"")</f>
        <v/>
      </c>
      <c r="J38" s="28" t="str">
        <f>IF(ISNA(VLOOKUP(A38,'Purif &amp; Zakat'!C:K,9,0)),"",VLOOKUP(A38,'Purif &amp; Zakat'!C:K,9,0))</f>
        <v/>
      </c>
      <c r="K38" s="28" t="str">
        <f>IF(J38&lt;&gt;"",VLOOKUP(A38,'Purif &amp; Zakat'!C:E,3,0),"")</f>
        <v/>
      </c>
      <c r="L38" s="28" t="str">
        <f t="shared" si="4"/>
        <v>Shariah DataFeed Fields Count: 14</v>
      </c>
      <c r="M38" s="28">
        <f t="shared" si="5"/>
        <v>1</v>
      </c>
      <c r="N38" s="32">
        <f t="shared" si="6"/>
        <v>14</v>
      </c>
      <c r="O38" s="52" t="str">
        <f t="shared" si="7"/>
        <v>Shariah DataFeed Fields Source: Reuters</v>
      </c>
      <c r="P38" s="28" t="str">
        <f>IF(ISNA(VLOOKUP(A38,Service!B:B,1,0)),"No","Yes")</f>
        <v>Yes</v>
      </c>
      <c r="Q38" s="28">
        <f>IFERROR(IFERROR(VLOOKUP(A38,'Shariah DataFeed'!A:H,10,0),VLOOKUP(A38,'ESG Consalidated'!A:E,5,0)),0)</f>
        <v>0</v>
      </c>
    </row>
    <row r="39" spans="1:17" ht="29">
      <c r="A39" s="36" t="s">
        <v>34</v>
      </c>
      <c r="B39" s="28" t="str">
        <f>IF(ISNA(VLOOKUP(A39,Boursa!A:G,6,0)),"",VLOOKUP(A39,Boursa!A:G,6,0))</f>
        <v/>
      </c>
      <c r="C39" s="28" t="str">
        <f>IF(ISNA(VLOOKUP(A39,Boursa!A:G,7,0)),"",VLOOKUP(A39,Boursa!A:G,7,0))</f>
        <v/>
      </c>
      <c r="D39" s="28" t="str">
        <f>IF(ISNA(VLOOKUP(A39,Index!A:C,3,0)),"",VLOOKUP(A39,Index!A:C,3,0))</f>
        <v/>
      </c>
      <c r="E39" s="28" t="str">
        <f>IF(D39&lt;&gt;"",VLOOKUP(A39,Index!A:B,2,0),"")</f>
        <v/>
      </c>
      <c r="F39" s="28" t="str">
        <f>IF(ISNA(VLOOKUP(A39,'Shariah DataFeed'!A:B,2,0)),"",VLOOKUP(A39,'Shariah DataFeed'!A:B,2,0))</f>
        <v>Reuters</v>
      </c>
      <c r="G39" s="28" t="str">
        <f>IF(F39&lt;&gt;"",VLOOKUP(A39,'Shariah DataFeed'!A:D,4,0),"")</f>
        <v>SEDOL, ISIN, Name, IdealRatings</v>
      </c>
      <c r="H39" s="28" t="str">
        <f>IF(ISNA(VLOOKUP(A39,'ESG Consalidated'!A:D,4,0)),"",VLOOKUP(A39,'ESG Consalidated'!A:D,4,0))</f>
        <v/>
      </c>
      <c r="I39" s="28" t="str">
        <f>IF(H39&lt;&gt;"",VLOOKUP(A39,'ESG Consalidated'!A:B,2,0),"")</f>
        <v/>
      </c>
      <c r="J39" s="28" t="str">
        <f>IF(ISNA(VLOOKUP(A39,'Purif &amp; Zakat'!C:K,9,0)),"",VLOOKUP(A39,'Purif &amp; Zakat'!C:K,9,0))</f>
        <v/>
      </c>
      <c r="K39" s="28" t="str">
        <f>IF(J39&lt;&gt;"",VLOOKUP(A39,'Purif &amp; Zakat'!C:E,3,0),"")</f>
        <v/>
      </c>
      <c r="L39" s="28" t="str">
        <f t="shared" si="4"/>
        <v>Shariah DataFeed Fields Count: 4</v>
      </c>
      <c r="M39" s="28">
        <f t="shared" si="5"/>
        <v>1</v>
      </c>
      <c r="N39" s="32">
        <f t="shared" si="6"/>
        <v>4</v>
      </c>
      <c r="O39" s="52" t="str">
        <f t="shared" si="7"/>
        <v>Shariah DataFeed Fields Source: Reuters</v>
      </c>
      <c r="P39" s="28" t="str">
        <f>IF(ISNA(VLOOKUP(A39,Service!B:B,1,0)),"No","Yes")</f>
        <v>Yes</v>
      </c>
      <c r="Q39" s="28">
        <f>IFERROR(IFERROR(VLOOKUP(A39,'Shariah DataFeed'!A:H,10,0),VLOOKUP(A39,'ESG Consalidated'!A:E,5,0)),0)</f>
        <v>0</v>
      </c>
    </row>
    <row r="40" spans="1:17">
      <c r="A40" s="36" t="s">
        <v>73</v>
      </c>
      <c r="B40" s="28" t="str">
        <f>IF(ISNA(VLOOKUP(A40,Boursa!A:G,6,0)),"",VLOOKUP(A40,Boursa!A:G,6,0))</f>
        <v/>
      </c>
      <c r="C40" s="28" t="str">
        <f>IF(ISNA(VLOOKUP(A40,Boursa!A:G,7,0)),"",VLOOKUP(A40,Boursa!A:G,7,0))</f>
        <v/>
      </c>
      <c r="D40" s="28" t="str">
        <f>IF(ISNA(VLOOKUP(A40,Index!A:C,3,0)),"",VLOOKUP(A40,Index!A:C,3,0))</f>
        <v>FactSet</v>
      </c>
      <c r="E40" s="28" t="str">
        <f>IF(D40&lt;&gt;"",VLOOKUP(A40,Index!A:B,2,0),"")</f>
        <v>Name,ISIN,SEDOL,Ticker,Weight</v>
      </c>
      <c r="F40" s="28" t="str">
        <f>IF(ISNA(VLOOKUP(A40,'Shariah DataFeed'!A:B,2,0)),"",VLOOKUP(A40,'Shariah DataFeed'!A:B,2,0))</f>
        <v/>
      </c>
      <c r="G40" s="28" t="str">
        <f>IF(F40&lt;&gt;"",VLOOKUP(A40,'Shariah DataFeed'!A:D,4,0),"")</f>
        <v/>
      </c>
      <c r="H40" s="28" t="str">
        <f>IF(ISNA(VLOOKUP(A40,'ESG Consalidated'!A:D,4,0)),"",VLOOKUP(A40,'ESG Consalidated'!A:D,4,0))</f>
        <v/>
      </c>
      <c r="I40" s="28" t="str">
        <f>IF(H40&lt;&gt;"",VLOOKUP(A40,'ESG Consalidated'!A:B,2,0),"")</f>
        <v/>
      </c>
      <c r="J40" s="28" t="str">
        <f>IF(ISNA(VLOOKUP(A40,'Purif &amp; Zakat'!C:K,9,0)),"",VLOOKUP(A40,'Purif &amp; Zakat'!C:K,9,0))</f>
        <v/>
      </c>
      <c r="K40" s="28" t="str">
        <f>IF(J40&lt;&gt;"",VLOOKUP(A40,'Purif &amp; Zakat'!C:E,3,0),"")</f>
        <v/>
      </c>
      <c r="L40" s="28" t="str">
        <f t="shared" si="4"/>
        <v>Index Fields Count: 5</v>
      </c>
      <c r="M40" s="28">
        <f t="shared" si="5"/>
        <v>1</v>
      </c>
      <c r="N40" s="32">
        <f t="shared" si="6"/>
        <v>5</v>
      </c>
      <c r="O40" s="52" t="str">
        <f t="shared" si="7"/>
        <v>Index Fields Source: FactSet</v>
      </c>
      <c r="P40" s="28" t="str">
        <f>IF(ISNA(VLOOKUP(A40,Service!B:B,1,0)),"No","Yes")</f>
        <v>No</v>
      </c>
      <c r="Q40" s="28">
        <f>IFERROR(IFERROR(VLOOKUP(A40,'Shariah DataFeed'!A:H,10,0),VLOOKUP(A40,'ESG Consalidated'!A:E,5,0)),0)</f>
        <v>0</v>
      </c>
    </row>
    <row r="41" spans="1:17" s="327" customFormat="1" ht="29">
      <c r="A41" s="331" t="s">
        <v>135</v>
      </c>
      <c r="B41" s="327" t="str">
        <f>IF(ISNA(VLOOKUP(A41,Boursa!A:G,6,0)),"",VLOOKUP(A41,Boursa!A:G,6,0))</f>
        <v/>
      </c>
      <c r="C41" s="327" t="str">
        <f>IF(ISNA(VLOOKUP(A41,Boursa!A:G,7,0)),"",VLOOKUP(A41,Boursa!A:G,7,0))</f>
        <v/>
      </c>
      <c r="D41" s="327" t="str">
        <f>IF(ISNA(VLOOKUP(A41,Index!A:C,3,0)),"",VLOOKUP(A41,Index!A:C,3,0))</f>
        <v/>
      </c>
      <c r="E41" s="327" t="str">
        <f>IF(D41&lt;&gt;"",VLOOKUP(A41,Index!A:B,2,0),"")</f>
        <v/>
      </c>
      <c r="F41" s="332" t="str">
        <f>IF(ISNA(VLOOKUP(A41,'Shariah DataFeed'!A:B,2,0)),"",VLOOKUP(A41,'Shariah DataFeed'!A:B,2,0))</f>
        <v>Reuters</v>
      </c>
      <c r="G41" s="332" t="str">
        <f>IF(F41&lt;&gt;"",VLOOKUP(A41,'Shariah DataFeed'!A:D,4,0),"")</f>
        <v>Name, ISIN, FIGI, Compliance status</v>
      </c>
      <c r="H41" s="327" t="str">
        <f>IF(ISNA(VLOOKUP(A41,'ESG Consalidated'!A:D,4,0)),"",VLOOKUP(A41,'ESG Consalidated'!A:D,4,0))</f>
        <v/>
      </c>
      <c r="I41" s="327" t="str">
        <f>IF(H41&lt;&gt;"",VLOOKUP(A41,'ESG Consalidated'!A:B,2,0),"")</f>
        <v/>
      </c>
      <c r="J41" s="327" t="str">
        <f>IF(ISNA(VLOOKUP(A41,'Purif &amp; Zakat'!C:K,9,0)),"",VLOOKUP(A41,'Purif &amp; Zakat'!C:K,9,0))</f>
        <v/>
      </c>
      <c r="K41" s="327" t="str">
        <f>IF(J41&lt;&gt;"",VLOOKUP(A41,'Purif &amp; Zakat'!C:E,3,0),"")</f>
        <v/>
      </c>
      <c r="L41" s="327" t="str">
        <f t="shared" si="4"/>
        <v>Shariah DataFeed Fields Count: 4</v>
      </c>
      <c r="M41" s="327">
        <f t="shared" si="5"/>
        <v>1</v>
      </c>
      <c r="N41" s="329">
        <f t="shared" si="6"/>
        <v>4</v>
      </c>
      <c r="O41" s="330" t="str">
        <f t="shared" si="7"/>
        <v>Shariah DataFeed Fields Source: Reuters</v>
      </c>
      <c r="P41" s="327" t="str">
        <f>IF(ISNA(VLOOKUP(A41,Service!B:B,1,0)),"No","Yes")</f>
        <v>No</v>
      </c>
      <c r="Q41" s="327">
        <f>IFERROR(IFERROR(VLOOKUP(A41,'Shariah DataFeed'!A:H,10,0),VLOOKUP(A41,'ESG Consalidated'!A:E,5,0)),0)</f>
        <v>0</v>
      </c>
    </row>
    <row r="42" spans="1:17" ht="43.5">
      <c r="A42" s="36" t="s">
        <v>38</v>
      </c>
      <c r="B42" s="28" t="str">
        <f>IF(ISNA(VLOOKUP(A42,Boursa!A:G,6,0)),"",VLOOKUP(A42,Boursa!A:G,6,0))</f>
        <v/>
      </c>
      <c r="C42" s="28" t="str">
        <f>IF(ISNA(VLOOKUP(A42,Boursa!A:G,7,0)),"",VLOOKUP(A42,Boursa!A:G,7,0))</f>
        <v/>
      </c>
      <c r="D42" s="28" t="str">
        <f>IF(ISNA(VLOOKUP(A42,Index!A:C,3,0)),"",VLOOKUP(A42,Index!A:C,3,0))</f>
        <v/>
      </c>
      <c r="E42" s="28" t="str">
        <f>IF(D42&lt;&gt;"",VLOOKUP(A42,Index!A:B,2,0),"")</f>
        <v/>
      </c>
      <c r="F42" s="28" t="str">
        <f>IF(ISNA(VLOOKUP(A42,'Shariah DataFeed'!A:B,2,0)),"",VLOOKUP(A42,'Shariah DataFeed'!A:B,2,0))</f>
        <v>Factset</v>
      </c>
      <c r="G42" s="28" t="str">
        <f>IF(F42&lt;&gt;"",VLOOKUP(A42,'Shariah DataFeed'!A:D,4,0),"")</f>
        <v>Name, ISIN, Ticker, Exchanges, Boubyan Capital</v>
      </c>
      <c r="H42" s="28" t="str">
        <f>IF(ISNA(VLOOKUP(A42,'ESG Consalidated'!A:D,4,0)),"",VLOOKUP(A42,'ESG Consalidated'!A:D,4,0))</f>
        <v/>
      </c>
      <c r="I42" s="28" t="str">
        <f>IF(H42&lt;&gt;"",VLOOKUP(A42,'ESG Consalidated'!A:B,2,0),"")</f>
        <v/>
      </c>
      <c r="J42" s="28" t="str">
        <f>IF(ISNA(VLOOKUP(A42,'Purif &amp; Zakat'!C:K,9,0)),"",VLOOKUP(A42,'Purif &amp; Zakat'!C:K,9,0))</f>
        <v/>
      </c>
      <c r="K42" s="28" t="str">
        <f>IF(J42&lt;&gt;"",VLOOKUP(A42,'Purif &amp; Zakat'!C:E,3,0),"")</f>
        <v/>
      </c>
      <c r="L42" s="28" t="str">
        <f t="shared" si="4"/>
        <v>Shariah DataFeed Fields Count: 5</v>
      </c>
      <c r="M42" s="28">
        <f t="shared" si="5"/>
        <v>1</v>
      </c>
      <c r="N42" s="32">
        <f t="shared" si="6"/>
        <v>5</v>
      </c>
      <c r="O42" s="52" t="str">
        <f t="shared" si="7"/>
        <v>Shariah DataFeed Fields Source: Factset</v>
      </c>
      <c r="P42" s="28" t="str">
        <f>IF(ISNA(VLOOKUP(A42,Service!B:B,1,0)),"No","Yes")</f>
        <v>No</v>
      </c>
      <c r="Q42" s="28">
        <f>IFERROR(IFERROR(VLOOKUP(A42,'Shariah DataFeed'!A:H,10,0),VLOOKUP(A42,'ESG Consalidated'!A:E,5,0)),0)</f>
        <v>0</v>
      </c>
    </row>
    <row r="43" spans="1:17" ht="29">
      <c r="A43" s="37" t="s">
        <v>234</v>
      </c>
      <c r="B43" s="28" t="str">
        <f>IF(ISNA(VLOOKUP(A43,Boursa!A:G,6,0)),"",VLOOKUP(A43,Boursa!A:G,6,0))</f>
        <v/>
      </c>
      <c r="C43" s="28" t="str">
        <f>IF(ISNA(VLOOKUP(A43,Boursa!A:G,7,0)),"",VLOOKUP(A43,Boursa!A:G,7,0))</f>
        <v/>
      </c>
      <c r="D43" s="28" t="str">
        <f>IF(ISNA(VLOOKUP(A43,Index!A:C,3,0)),"",VLOOKUP(A43,Index!A:C,3,0))</f>
        <v/>
      </c>
      <c r="E43" s="28" t="str">
        <f>IF(D43&lt;&gt;"",VLOOKUP(A43,Index!A:B,2,0),"")</f>
        <v/>
      </c>
      <c r="F43" s="28" t="str">
        <f>IF(ISNA(VLOOKUP(A43,'Shariah DataFeed'!A:B,2,0)),"",VLOOKUP(A43,'Shariah DataFeed'!A:B,2,0))</f>
        <v/>
      </c>
      <c r="G43" s="28" t="str">
        <f>IF(F43&lt;&gt;"",VLOOKUP(A43,'Shariah DataFeed'!A:D,4,0),"")</f>
        <v/>
      </c>
      <c r="H43" s="28" t="str">
        <f>IF(ISNA(VLOOKUP(A43,'ESG Consalidated'!A:D,4,0)),"",VLOOKUP(A43,'ESG Consalidated'!A:D,4,0))</f>
        <v/>
      </c>
      <c r="I43" s="28" t="str">
        <f>IF(H43&lt;&gt;"",VLOOKUP(A43,'ESG Consalidated'!A:B,2,0),"")</f>
        <v/>
      </c>
      <c r="J43" s="28" t="str">
        <f>IF(ISNA(VLOOKUP(A43,'Purif &amp; Zakat'!C:K,9,0)),"",VLOOKUP(A43,'Purif &amp; Zakat'!C:K,9,0))</f>
        <v>Reuters</v>
      </c>
      <c r="K43" s="28" t="str">
        <f>IF(J43&lt;&gt;"",VLOOKUP(A43,'Purif &amp; Zakat'!C:E,3,0),"")</f>
        <v>Name,Nation,Fiscal Period,Compliance Status,Non-permissible Income,Debt Ratio, Purification</v>
      </c>
      <c r="L43" s="28" t="str">
        <f t="shared" si="4"/>
        <v>Purification &amp; Zakat Fields Count: 7</v>
      </c>
      <c r="M43" s="28">
        <f t="shared" si="5"/>
        <v>1</v>
      </c>
      <c r="N43" s="32">
        <f t="shared" si="6"/>
        <v>7</v>
      </c>
      <c r="O43" s="52" t="str">
        <f t="shared" si="7"/>
        <v>Purification &amp; Zakat Fields Source: Reuters</v>
      </c>
      <c r="P43" s="28" t="str">
        <f>IF(ISNA(VLOOKUP(A43,Service!B:B,1,0)),"No","Yes")</f>
        <v>No</v>
      </c>
      <c r="Q43" s="28">
        <f>IFERROR(IFERROR(VLOOKUP(A43,'Shariah DataFeed'!A:H,10,0),VLOOKUP(A43,'ESG Consalidated'!A:E,5,0)),0)</f>
        <v>0</v>
      </c>
    </row>
    <row r="44" spans="1:17" ht="43.5">
      <c r="A44" s="36" t="s">
        <v>9</v>
      </c>
      <c r="B44" s="28" t="str">
        <f>IF(ISNA(VLOOKUP(A44,Boursa!A:G,6,0)),"",VLOOKUP(A44,Boursa!A:G,6,0))</f>
        <v/>
      </c>
      <c r="C44" s="28" t="str">
        <f>IF(ISNA(VLOOKUP(A44,Boursa!A:G,7,0)),"",VLOOKUP(A44,Boursa!A:G,7,0))</f>
        <v/>
      </c>
      <c r="D44" s="28" t="str">
        <f>IF(ISNA(VLOOKUP(A44,Index!A:C,3,0)),"",VLOOKUP(A44,Index!A:C,3,0))</f>
        <v/>
      </c>
      <c r="E44" s="28" t="str">
        <f>IF(D44&lt;&gt;"",VLOOKUP(A44,Index!A:B,2,0),"")</f>
        <v/>
      </c>
      <c r="F44" s="28" t="str">
        <f>IF(ISNA(VLOOKUP(A44,'Shariah DataFeed'!A:B,2,0)),"",VLOOKUP(A44,'Shariah DataFeed'!A:B,2,0))</f>
        <v>Factset</v>
      </c>
      <c r="G44" s="28" t="str">
        <f>IF(F44&lt;&gt;"",VLOOKUP(A44,'Shariah DataFeed'!A:D,4,0),"")</f>
        <v>Symbol, Name, GICS Sector Name, ISIN, Compliance</v>
      </c>
      <c r="H44" s="28" t="str">
        <f>IF(ISNA(VLOOKUP(A44,'ESG Consalidated'!A:D,4,0)),"",VLOOKUP(A44,'ESG Consalidated'!A:D,4,0))</f>
        <v/>
      </c>
      <c r="I44" s="28" t="str">
        <f>IF(H44&lt;&gt;"",VLOOKUP(A44,'ESG Consalidated'!A:B,2,0),"")</f>
        <v/>
      </c>
      <c r="J44" s="28" t="str">
        <f>IF(ISNA(VLOOKUP(A44,'Purif &amp; Zakat'!C:K,9,0)),"",VLOOKUP(A44,'Purif &amp; Zakat'!C:K,9,0))</f>
        <v/>
      </c>
      <c r="K44" s="28" t="str">
        <f>IF(J44&lt;&gt;"",VLOOKUP(A44,'Purif &amp; Zakat'!C:E,3,0),"")</f>
        <v/>
      </c>
      <c r="L44" s="28" t="str">
        <f t="shared" si="4"/>
        <v>Shariah DataFeed Fields Count: 5</v>
      </c>
      <c r="M44" s="28">
        <f t="shared" si="5"/>
        <v>1</v>
      </c>
      <c r="N44" s="32">
        <f t="shared" si="6"/>
        <v>5</v>
      </c>
      <c r="O44" s="52" t="str">
        <f t="shared" si="7"/>
        <v>Shariah DataFeed Fields Source: Factset</v>
      </c>
      <c r="P44" s="28" t="str">
        <f>IF(ISNA(VLOOKUP(A44,Service!B:B,1,0)),"No","Yes")</f>
        <v>No</v>
      </c>
      <c r="Q44" s="28">
        <f>IFERROR(IFERROR(VLOOKUP(A44,'Shariah DataFeed'!A:H,10,0),VLOOKUP(A44,'ESG Consalidated'!A:E,5,0)),0)</f>
        <v>0</v>
      </c>
    </row>
    <row r="45" spans="1:17" s="335" customFormat="1" ht="409.5">
      <c r="A45" s="338" t="s">
        <v>48</v>
      </c>
      <c r="B45" s="335" t="str">
        <f>IF(ISNA(VLOOKUP(A45,Boursa!A:G,6,0)),"",VLOOKUP(A45,Boursa!A:G,6,0))</f>
        <v/>
      </c>
      <c r="C45" s="335" t="str">
        <f>IF(ISNA(VLOOKUP(A45,Boursa!A:G,7,0)),"",VLOOKUP(A45,Boursa!A:G,7,0))</f>
        <v/>
      </c>
      <c r="D45" s="335" t="str">
        <f>IF(ISNA(VLOOKUP(A45,Index!A:C,3,0)),"",VLOOKUP(A45,Index!A:C,3,0))</f>
        <v/>
      </c>
      <c r="E45" s="335" t="str">
        <f>IF(D45&lt;&gt;"",VLOOKUP(A45,Index!A:B,2,0),"")</f>
        <v/>
      </c>
      <c r="F45" s="335" t="str">
        <f>IF(ISNA(VLOOKUP(A45,'Shariah DataFeed'!A:B,2,0)),"",VLOOKUP(A45,'Shariah DataFeed'!A:B,2,0))</f>
        <v>Reuters</v>
      </c>
      <c r="G45" s="335" t="str">
        <f>IF(F45&lt;&gt;"",VLOOKUP(A45,'Shariah DataFeed'!A:D,4,0),"")</f>
        <v>Name, Business Activities, ISIN, Region, Sector, Ticker, IdealRatings ESG - Rating, IdealRatings ESG - Total Score, IdealRatings SRI - Rating, IdealRatings SRI - Total Score, Abides by ISO14001 or EMAS guidelines, Commits to stakeholder involvement, Company's output is recycled, Compare current achievement to its announced targets, Discloses the greenhouse gas emissions., Has a committee to ensure environmental protection, Has a statement of comprehensive environmental policy, Has environmental grievance mechanisms, Has Environmental Management System (EMS) certification, Has not been involved in environmental legal proceedings, Has policy that addresses product/service impact, Has programs and targets to protect biodiversity, Has programs to reduce air emissions, Has programs to reduce hazardous waste generation, Has renewable energy usage targets, Has waste management programs, Integrate sustainability plans in their business activity, Oversees a water strategy or plan, Participates in Carbon Disclosure Project, Plans to reduce emissions from company buildings, Plans to reduce emissions from company transportation vehicles, Products come from responsibly managed forests, Published numerical waste related data, Publishes expense of environmental improvement, Publishes numerical air related data, Publishes numerical hazardous waste related data, Publishes numerical water related data, Reports environmental committee results, Reports oil spills, Reports water recycling/reuse, Uses recycled or recyclable raw material, Addresses issue of political contributions, All members of audit committee have financial background expertise, Chairman is an independent director, Communicates corruption policy to employees, Complies with IFRS or GAAP in financial statements, Conducts anti-corruption audits, Directors have stock ownership, Discloses Accounting policies and financial transparency, Disseminates information regarding details of directorsâ€™ remuneration, Has a formal Corporate Governance policy, Has a policy for insider trading, Has a senior executives' code of ethics, Has a statement of responsible marketing, Has and Audit and Risk Committee to monitor internal/external auditors., Has anti-competitive/antitrust policy, Has anti-corruption policy, Has committee to recommend the nomination/ compensation of BoD, Has external verification of CSR reporting, Has in-house team for responsible investment, Has not been involved in anti competitive legal proceedings, Has not been involved in corruption legal proceedings, Has not been involved in patent infringement legal proceedings, Has procedures for bribery related investigations, Has whistle-blowing procedures, Provides anti-corruption training to employees, Publishes sustainability reports, Roles of Chairman and CEO are separate, The majority of directors are independent, Ties executive compensation to ESG performance, Non Involvement in Burma / Myanmar, Non Involvement in Cuba, Non Involvement in DR Congo, Non Involvement in Iran, Non Involvement in North Korea, Non Involvement in Russia, Non Involvement in South Sudan, Non Involvement in Sudan, Non Involvement in Syria, Non Involvement in Zimbabwe, Abides my country's regulations when testing animals, Allows its workers to join trade unions, Communicates chemical constituents in products, Conducts in-house/third-party inspections of suppliers, Does not allow third party access to personal information, Does not undertake testing of products on animals., Does not use animals in product manufacturing, Employs disabled individuals, Ensures individualâ€™s consent before processing personal data, Features organic foods, Has a fair trade certification, Has a policy not to use child labor, Has a policy not to use forced labor, Has a policy statement on customer data privacy, Has a policy statement on supplier/partner data privacy, Has a senior manager responsible for community programs, Has a statement of compensation policy for employees, Has a supplier Code of Conduct, Has Health and Safety Certifications, Has local community development programs, Has not been involved in customer related legal proceedings, Has not been involved in employee safety &amp; health legal proceedings, Has not been involved in human rights legal proceedings, Has not been involved in supply chain legal proceedings, Has policy/program on the elimination of discrimination, Has product safety and quality assurance initiatives, Has programs and targets to Reduce Health and Safety Incidents, Has programs for affordable housing access, Has programs for education access, Has programs for food access, Has programs for health care access, Has programs to develop medicines for neglected diseases, Has programs to manage access to medicines, Has programs to support increase supplier diversity, Has Quality Management System(QMS) certification, Has social grievance mechanisms, Has women and/or minorities representation (20%) in BOD, Has women and/or minorities representation (20%) in employees, Have a policy for work-life balance, Integrate social sustainability plans in their business activity, Makes charitable donations in excess of Â£50,000, Measures customer satisfaction, Measures employees satisfaction, Monitors implementation of policies on human rights, Performs safety training, Promotes financial services access for disadvantaged people, Provides employee human rights training, Provides medical insurance, Provides number of training hours or employees trained, Provides relevant training to employees, Provides training on supplier code of conduct, Publishes accidents rates, Publishes data about employees volunteering hours, Publishes employees' turnover rates, Reports Inspection on suppliers &amp; violation of Code of Conduct, Reports on human rights policy and performance, Respects current/previous employees privacy, Signatory of UN Global Compact/SA8000/OECD Guidelines, Signatory to the Voluntary Principles on Security and Human Rights, Uses biological-based fertilizers and insecticides, Businesses should support a precautionary approach to environmental challenges, Businesses should support and respect the protection of internationally proclaimed human rights, Businesses should uphold the freedom of association and the effective recognition of the right to collective bargaining, Businesses should work against corruption in all its forms, including extortion and bribery, Encourage the development and diffusion of environmentally friendly technologies, Make sure that they are not complicit in human rights abuses., The effective abolition of child labour, The elimination of all forms of forced and compulsory labour, The elimination of discrimination in respect of employment and occupation, Undertake initiatives to promote greater environmental responsibility, ILO, SDGs, UDHR, UNGC Signatory, Abortion/Contraceptives Medication (MRC), Adult Entertainment (MRC), Alcohol (MRC), Alcohol-Producer (MRC), Alcohol-Retailer (MRC), Alcohol-Supplier (MRC), Defense (MRC), Donation-based Fertility (MRC), Firearms Manufacturing (MRC), Firearms Retail (MRC), Gambling (MRC), Pork (MRC), Stem Cell Research (MRC), Stem Cells Research (Embryonic) (MRC), Tobacco (MRC), Tobacco-Producer (MRC), Tobacco-Retailer (MRC), Tobacco-Supplier (MRC), Abortion/Contraceptives Medication, Adult Entertainment, Alcohol, Alcohol-Producer, Alcohol-Retailer, Alcohol-Supplier, Defense, Donation-based Fertility, Firearms Manufacturing, Firearms Retail, Gambling, Pork, Stem Cell Research, Stem Cells Research (Embryonic), Tobacco, Tobacco-Producer, Tobacco-Retailer, Tobacco-Supplier, Alcohol Distributor, Alcohol Licensor, Animal Cruelty, Animal Testing, Anthracite Coal, Bituminous Coal, Black Coal, Brown Coal, Cannabis, Chemical and Biological Weapons, Cluster Bombs, Coking Coal, For Profit Hospital, Fossil Fuel, GM Drugs, GMO Products, GMO Research, GMO Retail, Hydraulic Fracking, Land-mines , Nuclear Power Generation, Nuclear Weapons, Oil Sands, Renewable Energy, Sub-Bituminous Coal, Thermal Coal, Tobacco Distributor, Tobacco Licensor, Uranium mining, [Fossil Fuel] Financials Status, [Fossil Fuel] NPIN Status, [Fossil Fuel] Purification (Div.), [Fossil Fuel] Purification (Hyb.), [Fossil Fuel] Purification (Inv.), [Fossil Fuel] Ratio NPIN (1), [Fossil Fuel] Total NPIN (1), [IdealRatings ESG] Environment, [IdealRatings ESG] Financials Status, [IdealRatings ESG] Governance, [IdealRatings ESG] NPIN Status, [IdealRatings ESG] Purification (Div.), [IdealRatings ESG] Purification (Hyb.), [IdealRatings ESG] Purification (Inv.), [IdealRatings ESG] Social, [IdealRatings ESG] Total NPIN (1), [IdealRatings ESG] Total NPIN (2), [IdealRatings ESG] Total NPIN (3), [IdealRatings SRI] Business Involvement, [IdealRatings SRI] Environment, [IdealRatings SRI] Financials Status, [IdealRatings SRI] Governance, [IdealRatings SRI] Management Effectiveness (Debt/MC), [IdealRatings SRI] NPIN Status, [IdealRatings SRI] Purification (Div.), [IdealRatings SRI] Purification (Hyb.), [IdealRatings SRI] Purification (Inv.), [IdealRatings SRI] Sin Stock, [IdealRatings SRI] Social, [IdealRatings SRI] Total NPIN (1), [IdealRatings SRI] Total NPIN (2), [IdealRatings SRI] Total NPIN (3), [IdealRatings SRI] Total NPIN (4), [IdealRatings SRI] Total NPIN (5), [UN Global Compact Principles] Financials Status, [UN Global Compact Principles] NPIN Status, [UN Global Compact Principles] Purification (Div.), [UN Global Compact Principles] Purification (Hyb.), [UN Global Compact Principles] Purification (Inv.), [UN Global Compact Principles] Total NPIN (1), [UN Global Compact Principles] UN Principles, Conventional, Fossil Fuel, IdealRatings ESG, IdealRatings SRI, UN Global Compact Principles</v>
      </c>
      <c r="H45" s="335" t="str">
        <f>IF(ISNA(VLOOKUP(A45,'ESG Consalidated'!A:D,4,0)),"",VLOOKUP(A45,'ESG Consalidated'!A:D,4,0))</f>
        <v/>
      </c>
      <c r="I45" s="335" t="str">
        <f>IF(H45&lt;&gt;"",VLOOKUP(A45,'ESG Consalidated'!A:B,2,0),"")</f>
        <v/>
      </c>
      <c r="J45" s="335" t="str">
        <f>IF(ISNA(VLOOKUP(A45,'Purif &amp; Zakat'!C:K,9,0)),"",VLOOKUP(A45,'Purif &amp; Zakat'!C:K,9,0))</f>
        <v/>
      </c>
      <c r="K45" s="335" t="str">
        <f>IF(J45&lt;&gt;"",VLOOKUP(A45,'Purif &amp; Zakat'!C:E,3,0),"")</f>
        <v/>
      </c>
      <c r="L45" s="335" t="str">
        <f t="shared" si="4"/>
        <v>Shariah DataFeed Fields Count: 267</v>
      </c>
      <c r="M45" s="335">
        <f t="shared" si="5"/>
        <v>1</v>
      </c>
      <c r="N45" s="336">
        <f t="shared" si="6"/>
        <v>267</v>
      </c>
      <c r="O45" s="337" t="str">
        <f t="shared" si="7"/>
        <v>Shariah DataFeed Fields Source: Reuters</v>
      </c>
      <c r="P45" s="335" t="str">
        <f>IF(ISNA(VLOOKUP(A45,Service!B:B,1,0)),"No","Yes")</f>
        <v>No</v>
      </c>
      <c r="Q45" s="335">
        <f>IFERROR(IFERROR(VLOOKUP(A45,'Shariah DataFeed'!A:H,10,0),VLOOKUP(A45,'ESG Consalidated'!A:E,5,0)),0)</f>
        <v>0</v>
      </c>
    </row>
    <row r="46" spans="1:17" ht="29">
      <c r="A46" s="36" t="s">
        <v>39</v>
      </c>
      <c r="B46" s="28" t="str">
        <f>IF(ISNA(VLOOKUP(A46,Boursa!A:G,6,0)),"",VLOOKUP(A46,Boursa!A:G,6,0))</f>
        <v/>
      </c>
      <c r="C46" s="28" t="str">
        <f>IF(ISNA(VLOOKUP(A46,Boursa!A:G,7,0)),"",VLOOKUP(A46,Boursa!A:G,7,0))</f>
        <v/>
      </c>
      <c r="D46" s="28" t="str">
        <f>IF(ISNA(VLOOKUP(A46,Index!A:C,3,0)),"",VLOOKUP(A46,Index!A:C,3,0))</f>
        <v/>
      </c>
      <c r="E46" s="28" t="str">
        <f>IF(D46&lt;&gt;"",VLOOKUP(A46,Index!A:B,2,0),"")</f>
        <v/>
      </c>
      <c r="F46" s="28" t="str">
        <f>IF(ISNA(VLOOKUP(A46,'Shariah DataFeed'!A:B,2,0)),"",VLOOKUP(A46,'Shariah DataFeed'!A:B,2,0))</f>
        <v>Factset</v>
      </c>
      <c r="G46" s="28" t="str">
        <f>IF(F46&lt;&gt;"",VLOOKUP(A46,'Shariah DataFeed'!A:D,4,0),"")</f>
        <v>Name, ISIN, Ticker, AAOIFI</v>
      </c>
      <c r="H46" s="28" t="str">
        <f>IF(ISNA(VLOOKUP(A46,'ESG Consalidated'!A:D,4,0)),"",VLOOKUP(A46,'ESG Consalidated'!A:D,4,0))</f>
        <v/>
      </c>
      <c r="I46" s="28" t="str">
        <f>IF(H46&lt;&gt;"",VLOOKUP(A46,'ESG Consalidated'!A:B,2,0),"")</f>
        <v/>
      </c>
      <c r="J46" s="28" t="str">
        <f>IF(ISNA(VLOOKUP(A46,'Purif &amp; Zakat'!C:K,9,0)),"",VLOOKUP(A46,'Purif &amp; Zakat'!C:K,9,0))</f>
        <v/>
      </c>
      <c r="K46" s="28" t="str">
        <f>IF(J46&lt;&gt;"",VLOOKUP(A46,'Purif &amp; Zakat'!C:E,3,0),"")</f>
        <v/>
      </c>
      <c r="L46" s="28" t="str">
        <f t="shared" si="4"/>
        <v>Shariah DataFeed Fields Count: 4</v>
      </c>
      <c r="M46" s="28">
        <f t="shared" si="5"/>
        <v>1</v>
      </c>
      <c r="N46" s="32">
        <f t="shared" si="6"/>
        <v>4</v>
      </c>
      <c r="O46" s="52" t="str">
        <f t="shared" si="7"/>
        <v>Shariah DataFeed Fields Source: Factset</v>
      </c>
      <c r="P46" s="28" t="str">
        <f>IF(ISNA(VLOOKUP(A46,Service!B:B,1,0)),"No","Yes")</f>
        <v>No</v>
      </c>
      <c r="Q46" s="28">
        <f>IFERROR(IFERROR(VLOOKUP(A46,'Shariah DataFeed'!A:H,10,0),VLOOKUP(A46,'ESG Consalidated'!A:E,5,0)),0)</f>
        <v>0</v>
      </c>
    </row>
    <row r="47" spans="1:17" ht="37.5">
      <c r="A47" s="37" t="s">
        <v>32</v>
      </c>
      <c r="B47" s="28" t="str">
        <f>IF(ISNA(VLOOKUP(A47,Boursa!A:G,6,0)),"",VLOOKUP(A47,Boursa!A:G,6,0))</f>
        <v/>
      </c>
      <c r="C47" s="28" t="str">
        <f>IF(ISNA(VLOOKUP(A47,Boursa!A:G,7,0)),"",VLOOKUP(A47,Boursa!A:G,7,0))</f>
        <v/>
      </c>
      <c r="D47" s="28" t="str">
        <f>IF(ISNA(VLOOKUP(A47,Index!A:C,3,0)),"",VLOOKUP(A47,Index!A:C,3,0))</f>
        <v/>
      </c>
      <c r="E47" s="28" t="str">
        <f>IF(D47&lt;&gt;"",VLOOKUP(A47,Index!A:B,2,0),"")</f>
        <v/>
      </c>
      <c r="F47" s="28" t="str">
        <f>IF(ISNA(VLOOKUP(A47,'Shariah DataFeed'!A:B,2,0)),"",VLOOKUP(A47,'Shariah DataFeed'!A:B,2,0))</f>
        <v>Factset</v>
      </c>
      <c r="G47" s="28" t="str">
        <f>IF(F47&lt;&gt;"",VLOOKUP(A47,'Shariah DataFeed'!A:D,4,0),"")</f>
        <v>Name, ISIN, Ticker</v>
      </c>
      <c r="H47" s="28" t="str">
        <f>IF(ISNA(VLOOKUP(A47,'ESG Consalidated'!A:D,4,0)),"",VLOOKUP(A47,'ESG Consalidated'!A:D,4,0))</f>
        <v/>
      </c>
      <c r="I47" s="28" t="str">
        <f>IF(H47&lt;&gt;"",VLOOKUP(A47,'ESG Consalidated'!A:B,2,0),"")</f>
        <v/>
      </c>
      <c r="J47" s="28" t="str">
        <f>IF(ISNA(VLOOKUP(A47,'Purif &amp; Zakat'!C:K,9,0)),"",VLOOKUP(A47,'Purif &amp; Zakat'!C:K,9,0))</f>
        <v>Reuters</v>
      </c>
      <c r="K47" s="28" t="str">
        <f>IF(J47&lt;&gt;"",VLOOKUP(A47,'Purif &amp; Zakat'!C:E,3,0),"")</f>
        <v>Name,Compliance Status,Quantity,Purification</v>
      </c>
      <c r="L47" s="28" t="str">
        <f t="shared" si="4"/>
        <v>Shariah DataFeed Fields Count: 3
Purification &amp; Zakat Fields Count: 4</v>
      </c>
      <c r="M47" s="28">
        <f t="shared" si="5"/>
        <v>2</v>
      </c>
      <c r="N47" s="32">
        <f t="shared" si="6"/>
        <v>7</v>
      </c>
      <c r="O47" s="52" t="str">
        <f t="shared" si="7"/>
        <v>Shariah DataFeed Fields Source: Factset
Purification &amp; Zakat Fields Source: Reuters</v>
      </c>
      <c r="P47" s="28" t="str">
        <f>IF(ISNA(VLOOKUP(A47,Service!B:B,1,0)),"No","Yes")</f>
        <v>No</v>
      </c>
      <c r="Q47" s="28">
        <f>IFERROR(IFERROR(VLOOKUP(A47,'Shariah DataFeed'!A:H,10,0),VLOOKUP(A47,'ESG Consalidated'!A:E,5,0)),0)</f>
        <v>0</v>
      </c>
    </row>
    <row r="48" spans="1:17" s="327" customFormat="1" ht="232">
      <c r="A48" s="331" t="s">
        <v>140</v>
      </c>
      <c r="B48" s="327" t="str">
        <f>IF(ISNA(VLOOKUP(A48,Boursa!A:G,6,0)),"",VLOOKUP(A48,Boursa!A:G,6,0))</f>
        <v/>
      </c>
      <c r="C48" s="327" t="str">
        <f>IF(ISNA(VLOOKUP(A48,Boursa!A:G,7,0)),"",VLOOKUP(A48,Boursa!A:G,7,0))</f>
        <v/>
      </c>
      <c r="D48" s="327" t="str">
        <f>IF(ISNA(VLOOKUP(A48,Index!A:C,3,0)),"",VLOOKUP(A48,Index!A:C,3,0))</f>
        <v/>
      </c>
      <c r="E48" s="327" t="str">
        <f>IF(D48&lt;&gt;"",VLOOKUP(A48,Index!A:B,2,0),"")</f>
        <v/>
      </c>
      <c r="F48" s="327" t="str">
        <f>IF(ISNA(VLOOKUP(A48,'Shariah DataFeed'!A:B,2,0)),"",VLOOKUP(A48,'Shariah DataFeed'!A:B,2,0))</f>
        <v>Reuters</v>
      </c>
      <c r="G48" s="327" t="str">
        <f>IF(F48&lt;&gt;"",VLOOKUP(A48,'Shariah DataFeed'!A:D,4,0),"")</f>
        <v>Date,WID,Ticker,Name,Description,Sector, Business Activities,Country, Economy,FT MSCI Interest bearing Debt, FT MSCI interest bearing investments,FT MSCI Liquidity, FT MSCI NPIN Status, FT MSCI Financial Status, Degree, Has shariah board, Preferrence Share
FTSE Russell IR
IdealRatings REITs</v>
      </c>
      <c r="H48" s="327" t="str">
        <f>IF(ISNA(VLOOKUP(A48,'ESG Consalidated'!A:D,4,0)),"",VLOOKUP(A48,'ESG Consalidated'!A:D,4,0))</f>
        <v/>
      </c>
      <c r="I48" s="327" t="str">
        <f>IF(H48&lt;&gt;"",VLOOKUP(A48,'ESG Consalidated'!A:B,2,0),"")</f>
        <v/>
      </c>
      <c r="J48" s="327" t="str">
        <f>IF(ISNA(VLOOKUP(A48,'Purif &amp; Zakat'!C:K,9,0)),"",VLOOKUP(A48,'Purif &amp; Zakat'!C:K,9,0))</f>
        <v/>
      </c>
      <c r="K48" s="327" t="str">
        <f>IF(J48&lt;&gt;"",VLOOKUP(A48,'Purif &amp; Zakat'!C:E,3,0),"")</f>
        <v/>
      </c>
      <c r="L48" s="327" t="str">
        <f t="shared" si="4"/>
        <v>Shariah DataFeed Fields Count: 17</v>
      </c>
      <c r="M48" s="327">
        <f t="shared" si="5"/>
        <v>1</v>
      </c>
      <c r="N48" s="329">
        <f t="shared" si="6"/>
        <v>17</v>
      </c>
      <c r="O48" s="330" t="str">
        <f t="shared" si="7"/>
        <v>Shariah DataFeed Fields Source: Reuters</v>
      </c>
      <c r="P48" s="327" t="str">
        <f>IF(ISNA(VLOOKUP(A48,Service!B:B,1,0)),"No","Yes")</f>
        <v>No</v>
      </c>
      <c r="Q48" s="327">
        <f>IFERROR(IFERROR(VLOOKUP(A48,'Shariah DataFeed'!A:H,10,0),VLOOKUP(A48,'ESG Consalidated'!A:E,5,0)),0)</f>
        <v>0</v>
      </c>
    </row>
    <row r="49" spans="1:17" ht="29">
      <c r="A49" s="36" t="s">
        <v>60</v>
      </c>
      <c r="B49" s="28" t="str">
        <f>IF(ISNA(VLOOKUP(A49,Boursa!A:G,6,0)),"",VLOOKUP(A49,Boursa!A:G,6,0))</f>
        <v/>
      </c>
      <c r="C49" s="28" t="str">
        <f>IF(ISNA(VLOOKUP(A49,Boursa!A:G,7,0)),"",VLOOKUP(A49,Boursa!A:G,7,0))</f>
        <v/>
      </c>
      <c r="D49" s="28" t="str">
        <f>IF(ISNA(VLOOKUP(A49,Index!A:C,3,0)),"",VLOOKUP(A49,Index!A:C,3,0))</f>
        <v>FactSet</v>
      </c>
      <c r="E49" s="28" t="str">
        <f>IF(D49&lt;&gt;"",VLOOKUP(A49,Index!A:B,2,0),"")</f>
        <v>Name,ISIN,SEDOL,RIC,Weight,AsOfDate,Bench_Code</v>
      </c>
      <c r="F49" s="28" t="str">
        <f>IF(ISNA(VLOOKUP(A49,'Shariah DataFeed'!A:B,2,0)),"",VLOOKUP(A49,'Shariah DataFeed'!A:B,2,0))</f>
        <v/>
      </c>
      <c r="G49" s="28" t="str">
        <f>IF(F49&lt;&gt;"",VLOOKUP(A49,'Shariah DataFeed'!A:D,4,0),"")</f>
        <v/>
      </c>
      <c r="H49" s="28" t="str">
        <f>IF(ISNA(VLOOKUP(A49,'ESG Consalidated'!A:D,4,0)),"",VLOOKUP(A49,'ESG Consalidated'!A:D,4,0))</f>
        <v/>
      </c>
      <c r="I49" s="28" t="str">
        <f>IF(H49&lt;&gt;"",VLOOKUP(A49,'ESG Consalidated'!A:B,2,0),"")</f>
        <v/>
      </c>
      <c r="J49" s="28" t="str">
        <f>IF(ISNA(VLOOKUP(A49,'Purif &amp; Zakat'!C:K,9,0)),"",VLOOKUP(A49,'Purif &amp; Zakat'!C:K,9,0))</f>
        <v/>
      </c>
      <c r="K49" s="28" t="str">
        <f>IF(J49&lt;&gt;"",VLOOKUP(A49,'Purif &amp; Zakat'!C:E,3,0),"")</f>
        <v/>
      </c>
      <c r="L49" s="28" t="str">
        <f t="shared" si="4"/>
        <v>Index Fields Count: 7</v>
      </c>
      <c r="M49" s="28">
        <f t="shared" si="5"/>
        <v>1</v>
      </c>
      <c r="N49" s="32">
        <f t="shared" si="6"/>
        <v>7</v>
      </c>
      <c r="O49" s="52" t="str">
        <f t="shared" si="7"/>
        <v>Index Fields Source: FactSet</v>
      </c>
      <c r="P49" s="28" t="str">
        <f>IF(ISNA(VLOOKUP(A49,Service!B:B,1,0)),"No","Yes")</f>
        <v>No</v>
      </c>
      <c r="Q49" s="28">
        <f>IFERROR(IFERROR(VLOOKUP(A49,'Shariah DataFeed'!A:H,10,0),VLOOKUP(A49,'ESG Consalidated'!A:E,5,0)),0)</f>
        <v>0</v>
      </c>
    </row>
    <row r="50" spans="1:17" ht="37.5">
      <c r="A50" s="38" t="s">
        <v>20</v>
      </c>
      <c r="B50" s="28" t="str">
        <f>IF(ISNA(VLOOKUP(A50,Boursa!A:G,6,0)),"",VLOOKUP(A50,Boursa!A:G,6,0))</f>
        <v/>
      </c>
      <c r="C50" s="28" t="str">
        <f>IF(ISNA(VLOOKUP(A50,Boursa!A:G,7,0)),"",VLOOKUP(A50,Boursa!A:G,7,0))</f>
        <v/>
      </c>
      <c r="D50" s="28" t="str">
        <f>IF(ISNA(VLOOKUP(A50,Index!A:C,3,0)),"",VLOOKUP(A50,Index!A:C,3,0))</f>
        <v>FactSet</v>
      </c>
      <c r="E50" s="28" t="str">
        <f>IF(D50&lt;&gt;"",VLOOKUP(A50,Index!A:B,2,0),"")</f>
        <v>Name,ISIN,Ticker,Weight</v>
      </c>
      <c r="F50" s="28" t="str">
        <f>IF(ISNA(VLOOKUP(A50,'Shariah DataFeed'!A:B,2,0)),"",VLOOKUP(A50,'Shariah DataFeed'!A:B,2,0))</f>
        <v>Factset</v>
      </c>
      <c r="G50" s="28" t="str">
        <f>IF(F50&lt;&gt;"",VLOOKUP(A50,'Shariah DataFeed'!A:D,4,0),"")</f>
        <v>Name, ISIN, Ticker</v>
      </c>
      <c r="H50" s="28" t="str">
        <f>IF(ISNA(VLOOKUP(A50,'ESG Consalidated'!A:D,4,0)),"",VLOOKUP(A50,'ESG Consalidated'!A:D,4,0))</f>
        <v/>
      </c>
      <c r="I50" s="28" t="str">
        <f>IF(H50&lt;&gt;"",VLOOKUP(A50,'ESG Consalidated'!A:B,2,0),"")</f>
        <v/>
      </c>
      <c r="J50" s="28" t="str">
        <f>IF(ISNA(VLOOKUP(A50,'Purif &amp; Zakat'!C:K,9,0)),"",VLOOKUP(A50,'Purif &amp; Zakat'!C:K,9,0))</f>
        <v>Reuters</v>
      </c>
      <c r="K50" s="28" t="str">
        <f>IF(J50&lt;&gt;"",VLOOKUP(A50,'Purif &amp; Zakat'!C:E,3,0),"")</f>
        <v>Name, Purification Per Share, Purification</v>
      </c>
      <c r="L50" s="28" t="str">
        <f t="shared" si="4"/>
        <v>Index Fields Count: 4
Shariah DataFeed Fields Count: 3
Purification &amp; Zakat Fields Count: 3</v>
      </c>
      <c r="M50" s="28">
        <f t="shared" si="5"/>
        <v>3</v>
      </c>
      <c r="N50" s="32">
        <f t="shared" si="6"/>
        <v>10</v>
      </c>
      <c r="O50" s="52" t="str">
        <f t="shared" si="7"/>
        <v>Index Fields Source: FactSet
Shariah DataFeed Fields Source: Factset
Purification &amp; Zakat Fields Source: Reuters</v>
      </c>
      <c r="P50" s="28" t="str">
        <f>IF(ISNA(VLOOKUP(A50,Service!B:B,1,0)),"No","Yes")</f>
        <v>No</v>
      </c>
      <c r="Q50" s="28">
        <f>IFERROR(IFERROR(VLOOKUP(A50,'Shariah DataFeed'!A:H,10,0),VLOOKUP(A50,'ESG Consalidated'!A:E,5,0)),0)</f>
        <v>0</v>
      </c>
    </row>
    <row r="51" spans="1:17" ht="37.5">
      <c r="A51" s="36" t="s">
        <v>25</v>
      </c>
      <c r="B51" s="28" t="str">
        <f>IF(ISNA(VLOOKUP(A51,Boursa!A:G,6,0)),"",VLOOKUP(A51,Boursa!A:G,6,0))</f>
        <v/>
      </c>
      <c r="C51" s="28" t="str">
        <f>IF(ISNA(VLOOKUP(A51,Boursa!A:G,7,0)),"",VLOOKUP(A51,Boursa!A:G,7,0))</f>
        <v/>
      </c>
      <c r="D51" s="28" t="str">
        <f>IF(ISNA(VLOOKUP(A51,Index!A:C,3,0)),"",VLOOKUP(A51,Index!A:C,3,0))</f>
        <v/>
      </c>
      <c r="E51" s="28" t="str">
        <f>IF(D51&lt;&gt;"",VLOOKUP(A51,Index!A:B,2,0),"")</f>
        <v/>
      </c>
      <c r="F51" s="28" t="str">
        <f>IF(ISNA(VLOOKUP(A51,'Shariah DataFeed'!A:B,2,0)),"",VLOOKUP(A51,'Shariah DataFeed'!A:B,2,0))</f>
        <v>Reuters</v>
      </c>
      <c r="G51" s="28" t="str">
        <f>IF(F51&lt;&gt;"",VLOOKUP(A51,'Shariah DataFeed'!A:D,4,0),"")</f>
        <v>ISIN, Ticker, Name</v>
      </c>
      <c r="H51" s="28" t="str">
        <f>IF(ISNA(VLOOKUP(A51,'ESG Consalidated'!A:D,4,0)),"",VLOOKUP(A51,'ESG Consalidated'!A:D,4,0))</f>
        <v/>
      </c>
      <c r="I51" s="28" t="str">
        <f>IF(H51&lt;&gt;"",VLOOKUP(A51,'ESG Consalidated'!A:B,2,0),"")</f>
        <v/>
      </c>
      <c r="J51" s="28" t="str">
        <f>IF(ISNA(VLOOKUP(A51,'Purif &amp; Zakat'!C:K,9,0)),"",VLOOKUP(A51,'Purif &amp; Zakat'!C:K,9,0))</f>
        <v>Reuters</v>
      </c>
      <c r="K51" s="28" t="str">
        <f>IF(J51&lt;&gt;"",VLOOKUP(A51,'Purif &amp; Zakat'!C:E,3,0),"")</f>
        <v>Name, Purification</v>
      </c>
      <c r="L51" s="28" t="str">
        <f t="shared" si="4"/>
        <v>Shariah DataFeed Fields Count: 3
Purification &amp; Zakat Fields Count: 2</v>
      </c>
      <c r="M51" s="28">
        <f t="shared" si="5"/>
        <v>2</v>
      </c>
      <c r="N51" s="32">
        <f t="shared" si="6"/>
        <v>5</v>
      </c>
      <c r="O51" s="52" t="str">
        <f t="shared" si="7"/>
        <v>Shariah DataFeed Fields Source: Reuters
Purification &amp; Zakat Fields Source: Reuters</v>
      </c>
      <c r="P51" s="28" t="str">
        <f>IF(ISNA(VLOOKUP(A51,Service!B:B,1,0)),"No","Yes")</f>
        <v>No</v>
      </c>
      <c r="Q51" s="28">
        <f>IFERROR(IFERROR(VLOOKUP(A51,'Shariah DataFeed'!A:H,10,0),VLOOKUP(A51,'ESG Consalidated'!A:E,5,0)),0)</f>
        <v>0</v>
      </c>
    </row>
    <row r="52" spans="1:17" ht="87">
      <c r="A52" s="36" t="s">
        <v>10</v>
      </c>
      <c r="B52" s="28" t="str">
        <f>IF(ISNA(VLOOKUP(A52,Boursa!A:G,6,0)),"",VLOOKUP(A52,Boursa!A:G,6,0))</f>
        <v/>
      </c>
      <c r="C52" s="28" t="str">
        <f>IF(ISNA(VLOOKUP(A52,Boursa!A:G,7,0)),"",VLOOKUP(A52,Boursa!A:G,7,0))</f>
        <v/>
      </c>
      <c r="D52" s="28" t="str">
        <f>IF(ISNA(VLOOKUP(A52,Index!A:C,3,0)),"",VLOOKUP(A52,Index!A:C,3,0))</f>
        <v/>
      </c>
      <c r="E52" s="28" t="str">
        <f>IF(D52&lt;&gt;"",VLOOKUP(A52,Index!A:B,2,0),"")</f>
        <v/>
      </c>
      <c r="F52" s="28" t="str">
        <f>IF(ISNA(VLOOKUP(A52,'Shariah DataFeed'!A:B,2,0)),"",VLOOKUP(A52,'Shariah DataFeed'!A:B,2,0))</f>
        <v>Factset</v>
      </c>
      <c r="G52" s="28" t="str">
        <f>IF(F52&lt;&gt;"",VLOOKUP(A52,'Shariah DataFeed'!A:D,4,0),"")</f>
        <v>IR WID, Name, ISIN, Ticker, SEDOL, Country, Compliance, Pork, Alcohol, Tobacco, Gambling, Adult Entertainment</v>
      </c>
      <c r="H52" s="28" t="str">
        <f>IF(ISNA(VLOOKUP(A52,'ESG Consalidated'!A:D,4,0)),"",VLOOKUP(A52,'ESG Consalidated'!A:D,4,0))</f>
        <v/>
      </c>
      <c r="I52" s="28" t="str">
        <f>IF(H52&lt;&gt;"",VLOOKUP(A52,'ESG Consalidated'!A:B,2,0),"")</f>
        <v/>
      </c>
      <c r="J52" s="28" t="str">
        <f>IF(ISNA(VLOOKUP(A52,'Purif &amp; Zakat'!C:K,9,0)),"",VLOOKUP(A52,'Purif &amp; Zakat'!C:K,9,0))</f>
        <v/>
      </c>
      <c r="K52" s="28" t="str">
        <f>IF(J52&lt;&gt;"",VLOOKUP(A52,'Purif &amp; Zakat'!C:E,3,0),"")</f>
        <v/>
      </c>
      <c r="L52" s="28" t="str">
        <f t="shared" si="4"/>
        <v>Shariah DataFeed Fields Count: 12</v>
      </c>
      <c r="M52" s="28">
        <f t="shared" si="5"/>
        <v>1</v>
      </c>
      <c r="N52" s="32">
        <f t="shared" si="6"/>
        <v>12</v>
      </c>
      <c r="O52" s="52" t="str">
        <f t="shared" si="7"/>
        <v>Shariah DataFeed Fields Source: Factset</v>
      </c>
      <c r="P52" s="28" t="str">
        <f>IF(ISNA(VLOOKUP(A52,Service!B:B,1,0)),"No","Yes")</f>
        <v>No</v>
      </c>
      <c r="Q52" s="28">
        <f>IFERROR(IFERROR(VLOOKUP(A52,'Shariah DataFeed'!A:H,10,0),VLOOKUP(A52,'ESG Consalidated'!A:E,5,0)),0)</f>
        <v>0</v>
      </c>
    </row>
    <row r="53" spans="1:17" s="327" customFormat="1" ht="43.5">
      <c r="A53" s="328" t="s">
        <v>231</v>
      </c>
      <c r="B53" s="327" t="str">
        <f>IF(ISNA(VLOOKUP(A53,Boursa!A:G,6,0)),"",VLOOKUP(A53,Boursa!A:G,6,0))</f>
        <v/>
      </c>
      <c r="C53" s="327" t="str">
        <f>IF(ISNA(VLOOKUP(A53,Boursa!A:G,7,0)),"",VLOOKUP(A53,Boursa!A:G,7,0))</f>
        <v/>
      </c>
      <c r="D53" s="327" t="str">
        <f>IF(ISNA(VLOOKUP(A53,Index!A:C,3,0)),"",VLOOKUP(A53,Index!A:C,3,0))</f>
        <v/>
      </c>
      <c r="E53" s="327" t="str">
        <f>IF(D53&lt;&gt;"",VLOOKUP(A53,Index!A:B,2,0),"")</f>
        <v/>
      </c>
      <c r="F53" s="327" t="str">
        <f>IF(ISNA(VLOOKUP(A53,'Shariah DataFeed'!A:B,2,0)),"",VLOOKUP(A53,'Shariah DataFeed'!A:B,2,0))</f>
        <v/>
      </c>
      <c r="G53" s="327" t="str">
        <f>IF(F53&lt;&gt;"",VLOOKUP(A53,'Shariah DataFeed'!A:D,4,0),"")</f>
        <v/>
      </c>
      <c r="H53" s="327" t="str">
        <f>IF(ISNA(VLOOKUP(A53,'ESG Consalidated'!A:D,4,0)),"",VLOOKUP(A53,'ESG Consalidated'!A:D,4,0))</f>
        <v>FactSet: NPIN</v>
      </c>
      <c r="I53" s="327" t="str">
        <f>IF(H53&lt;&gt;"",VLOOKUP(A53,'ESG Consalidated'!A:B,2,0),"")</f>
        <v>E,S,G</v>
      </c>
      <c r="J53" s="327" t="str">
        <f>IF(ISNA(VLOOKUP(A53,'Purif &amp; Zakat'!C:K,9,0)),"",VLOOKUP(A53,'Purif &amp; Zakat'!C:K,9,0))</f>
        <v>Reuters</v>
      </c>
      <c r="K53" s="327" t="str">
        <f>IF(J53&lt;&gt;"",VLOOKUP(A53,'Purif &amp; Zakat'!C:E,3,0),"")</f>
        <v>Name,Ticker,Purification,Compliance Status, Zakat Amount (Ticker could be replaced by ISIN since they give us ISINs)</v>
      </c>
      <c r="L53" s="327" t="str">
        <f t="shared" si="4"/>
        <v>ESG Fields Count: 3
Purification &amp; Zakat Fields Count: 5</v>
      </c>
      <c r="M53" s="327">
        <f t="shared" si="5"/>
        <v>2</v>
      </c>
      <c r="N53" s="329">
        <f t="shared" si="6"/>
        <v>8</v>
      </c>
      <c r="O53" s="330" t="str">
        <f t="shared" si="7"/>
        <v>ESG Fields Source: FactSet: NPIN
Purification &amp; Zakat Fields Source: Reuters</v>
      </c>
      <c r="P53" s="327" t="str">
        <f>IF(ISNA(VLOOKUP(A53,Service!B:B,1,0)),"No","Yes")</f>
        <v>No</v>
      </c>
      <c r="Q53" s="327">
        <f>IFERROR(IFERROR(VLOOKUP(A53,'Shariah DataFeed'!A:H,10,0),VLOOKUP(A53,'ESG Consalidated'!A:E,5,0)),0)</f>
        <v>0</v>
      </c>
    </row>
    <row r="54" spans="1:17" ht="29">
      <c r="A54" s="37" t="s">
        <v>374</v>
      </c>
      <c r="B54" s="28" t="str">
        <f>IF(ISNA(VLOOKUP(A54,Boursa!A:G,6,0)),"",VLOOKUP(A54,Boursa!A:G,6,0))</f>
        <v/>
      </c>
      <c r="C54" s="28" t="str">
        <f>IF(ISNA(VLOOKUP(A54,Boursa!A:G,7,0)),"",VLOOKUP(A54,Boursa!A:G,7,0))</f>
        <v/>
      </c>
      <c r="D54" s="28" t="str">
        <f>IF(ISNA(VLOOKUP(A54,Index!A:C,3,0)),"",VLOOKUP(A54,Index!A:C,3,0))</f>
        <v/>
      </c>
      <c r="E54" s="28" t="str">
        <f>IF(D54&lt;&gt;"",VLOOKUP(A54,Index!A:B,2,0),"")</f>
        <v/>
      </c>
      <c r="F54" s="28" t="str">
        <f>IF(ISNA(VLOOKUP(A54,'Shariah DataFeed'!A:B,2,0)),"",VLOOKUP(A54,'Shariah DataFeed'!A:B,2,0))</f>
        <v/>
      </c>
      <c r="G54" s="28" t="str">
        <f>IF(F54&lt;&gt;"",VLOOKUP(A54,'Shariah DataFeed'!A:D,4,0),"")</f>
        <v/>
      </c>
      <c r="H54" s="28" t="str">
        <f>IF(ISNA(VLOOKUP(A54,'ESG Consalidated'!A:D,4,0)),"",VLOOKUP(A54,'ESG Consalidated'!A:D,4,0))</f>
        <v/>
      </c>
      <c r="I54" s="28" t="str">
        <f>IF(H54&lt;&gt;"",VLOOKUP(A54,'ESG Consalidated'!A:B,2,0),"")</f>
        <v/>
      </c>
      <c r="J54" s="28" t="str">
        <f>IF(ISNA(VLOOKUP(A54,'Purif &amp; Zakat'!C:K,9,0)),"",VLOOKUP(A54,'Purif &amp; Zakat'!C:K,9,0))</f>
        <v>Reuters</v>
      </c>
      <c r="K54" s="28" t="str">
        <f>IF(J54&lt;&gt;"",VLOOKUP(A54,'Purif &amp; Zakat'!C:E,3,0),"")</f>
        <v xml:space="preserve">Name,Compliance Status,Purification Per Share,Purification </v>
      </c>
      <c r="L54" s="28" t="str">
        <f t="shared" si="4"/>
        <v>Purification &amp; Zakat Fields Count: 4</v>
      </c>
      <c r="M54" s="28">
        <f t="shared" si="5"/>
        <v>1</v>
      </c>
      <c r="N54" s="32">
        <f t="shared" si="6"/>
        <v>4</v>
      </c>
      <c r="O54" s="52" t="str">
        <f t="shared" si="7"/>
        <v>Purification &amp; Zakat Fields Source: Reuters</v>
      </c>
      <c r="P54" s="28" t="str">
        <f>IF(ISNA(VLOOKUP(A54,Service!B:B,1,0)),"No","Yes")</f>
        <v>Yes</v>
      </c>
      <c r="Q54" s="28">
        <f>IFERROR(IFERROR(VLOOKUP(A54,'Shariah DataFeed'!A:H,10,0),VLOOKUP(A54,'ESG Consalidated'!A:E,5,0)),0)</f>
        <v>0</v>
      </c>
    </row>
    <row r="55" spans="1:17" ht="43.5">
      <c r="A55" s="36" t="s">
        <v>13</v>
      </c>
      <c r="B55" s="28" t="str">
        <f>IF(ISNA(VLOOKUP(A55,Boursa!A:G,6,0)),"",VLOOKUP(A55,Boursa!A:G,6,0))</f>
        <v/>
      </c>
      <c r="C55" s="28" t="str">
        <f>IF(ISNA(VLOOKUP(A55,Boursa!A:G,7,0)),"",VLOOKUP(A55,Boursa!A:G,7,0))</f>
        <v/>
      </c>
      <c r="D55" s="28" t="str">
        <f>IF(ISNA(VLOOKUP(A55,Index!A:C,3,0)),"",VLOOKUP(A55,Index!A:C,3,0))</f>
        <v/>
      </c>
      <c r="E55" s="28" t="str">
        <f>IF(D55&lt;&gt;"",VLOOKUP(A55,Index!A:B,2,0),"")</f>
        <v/>
      </c>
      <c r="F55" s="28" t="str">
        <f>IF(ISNA(VLOOKUP(A55,'Shariah DataFeed'!A:B,2,0)),"",VLOOKUP(A55,'Shariah DataFeed'!A:B,2,0))</f>
        <v>Factset</v>
      </c>
      <c r="G55" s="28" t="str">
        <f>IF(F55&lt;&gt;"",VLOOKUP(A55,'Shariah DataFeed'!A:D,4,0),"")</f>
        <v>IR WID, ISIN, CUSIP, Ticker, Name, IdealRatings</v>
      </c>
      <c r="H55" s="28" t="str">
        <f>IF(ISNA(VLOOKUP(A55,'ESG Consalidated'!A:D,4,0)),"",VLOOKUP(A55,'ESG Consalidated'!A:D,4,0))</f>
        <v/>
      </c>
      <c r="I55" s="28" t="str">
        <f>IF(H55&lt;&gt;"",VLOOKUP(A55,'ESG Consalidated'!A:B,2,0),"")</f>
        <v/>
      </c>
      <c r="J55" s="28" t="str">
        <f>IF(ISNA(VLOOKUP(A55,'Purif &amp; Zakat'!C:K,9,0)),"",VLOOKUP(A55,'Purif &amp; Zakat'!C:K,9,0))</f>
        <v/>
      </c>
      <c r="K55" s="28" t="str">
        <f>IF(J55&lt;&gt;"",VLOOKUP(A55,'Purif &amp; Zakat'!C:E,3,0),"")</f>
        <v/>
      </c>
      <c r="L55" s="28" t="str">
        <f t="shared" si="4"/>
        <v>Shariah DataFeed Fields Count: 6</v>
      </c>
      <c r="M55" s="28">
        <f t="shared" si="5"/>
        <v>1</v>
      </c>
      <c r="N55" s="32">
        <f t="shared" si="6"/>
        <v>6</v>
      </c>
      <c r="O55" s="52" t="str">
        <f t="shared" si="7"/>
        <v>Shariah DataFeed Fields Source: Factset</v>
      </c>
      <c r="P55" s="28" t="str">
        <f>IF(ISNA(VLOOKUP(A55,Service!B:B,1,0)),"No","Yes")</f>
        <v>No</v>
      </c>
      <c r="Q55" s="28">
        <f>IFERROR(IFERROR(VLOOKUP(A55,'Shariah DataFeed'!A:H,10,0),VLOOKUP(A55,'ESG Consalidated'!A:E,5,0)),0)</f>
        <v>0</v>
      </c>
    </row>
    <row r="56" spans="1:17">
      <c r="A56" s="36" t="s">
        <v>62</v>
      </c>
      <c r="B56" s="28" t="str">
        <f>IF(ISNA(VLOOKUP(A56,Boursa!A:G,6,0)),"",VLOOKUP(A56,Boursa!A:G,6,0))</f>
        <v/>
      </c>
      <c r="C56" s="28" t="str">
        <f>IF(ISNA(VLOOKUP(A56,Boursa!A:G,7,0)),"",VLOOKUP(A56,Boursa!A:G,7,0))</f>
        <v/>
      </c>
      <c r="D56" s="28" t="str">
        <f>IF(ISNA(VLOOKUP(A56,Index!A:C,3,0)),"",VLOOKUP(A56,Index!A:C,3,0))</f>
        <v>FactSet</v>
      </c>
      <c r="E56" s="28" t="str">
        <f>IF(D56&lt;&gt;"",VLOOKUP(A56,Index!A:B,2,0),"")</f>
        <v>Name,ISIN,SEDOL,Ticker,Weight</v>
      </c>
      <c r="F56" s="28" t="str">
        <f>IF(ISNA(VLOOKUP(A56,'Shariah DataFeed'!A:B,2,0)),"",VLOOKUP(A56,'Shariah DataFeed'!A:B,2,0))</f>
        <v/>
      </c>
      <c r="G56" s="28" t="str">
        <f>IF(F56&lt;&gt;"",VLOOKUP(A56,'Shariah DataFeed'!A:D,4,0),"")</f>
        <v/>
      </c>
      <c r="H56" s="28" t="str">
        <f>IF(ISNA(VLOOKUP(A56,'ESG Consalidated'!A:D,4,0)),"",VLOOKUP(A56,'ESG Consalidated'!A:D,4,0))</f>
        <v/>
      </c>
      <c r="I56" s="28" t="str">
        <f>IF(H56&lt;&gt;"",VLOOKUP(A56,'ESG Consalidated'!A:B,2,0),"")</f>
        <v/>
      </c>
      <c r="J56" s="28" t="str">
        <f>IF(ISNA(VLOOKUP(A56,'Purif &amp; Zakat'!C:K,9,0)),"",VLOOKUP(A56,'Purif &amp; Zakat'!C:K,9,0))</f>
        <v/>
      </c>
      <c r="K56" s="28" t="str">
        <f>IF(J56&lt;&gt;"",VLOOKUP(A56,'Purif &amp; Zakat'!C:E,3,0),"")</f>
        <v/>
      </c>
      <c r="L56" s="28" t="str">
        <f t="shared" si="4"/>
        <v>Index Fields Count: 5</v>
      </c>
      <c r="M56" s="28">
        <f t="shared" si="5"/>
        <v>1</v>
      </c>
      <c r="N56" s="32">
        <f t="shared" si="6"/>
        <v>5</v>
      </c>
      <c r="O56" s="52" t="str">
        <f t="shared" si="7"/>
        <v>Index Fields Source: FactSet</v>
      </c>
      <c r="P56" s="28" t="str">
        <f>IF(ISNA(VLOOKUP(A56,Service!B:B,1,0)),"No","Yes")</f>
        <v>No</v>
      </c>
      <c r="Q56" s="28">
        <f>IFERROR(IFERROR(VLOOKUP(A56,'Shariah DataFeed'!A:H,10,0),VLOOKUP(A56,'ESG Consalidated'!A:E,5,0)),0)</f>
        <v>0</v>
      </c>
    </row>
    <row r="57" spans="1:17" ht="29">
      <c r="A57" s="45" t="s">
        <v>212</v>
      </c>
      <c r="B57" s="28" t="str">
        <f>IF(ISNA(VLOOKUP(A57,Boursa!A:G,6,0)),"",VLOOKUP(A57,Boursa!A:G,6,0))</f>
        <v/>
      </c>
      <c r="C57" s="28" t="str">
        <f>IF(ISNA(VLOOKUP(A57,Boursa!A:G,7,0)),"",VLOOKUP(A57,Boursa!A:G,7,0))</f>
        <v/>
      </c>
      <c r="D57" s="28" t="str">
        <f>IF(ISNA(VLOOKUP(A57,Index!A:C,3,0)),"",VLOOKUP(A57,Index!A:C,3,0))</f>
        <v/>
      </c>
      <c r="E57" s="28" t="str">
        <f>IF(D57&lt;&gt;"",VLOOKUP(A57,Index!A:B,2,0),"")</f>
        <v/>
      </c>
      <c r="F57" s="28" t="str">
        <f>IF(ISNA(VLOOKUP(A57,'Shariah DataFeed'!A:B,2,0)),"",VLOOKUP(A57,'Shariah DataFeed'!A:B,2,0))</f>
        <v/>
      </c>
      <c r="G57" s="28" t="str">
        <f>IF(F57&lt;&gt;"",VLOOKUP(A57,'Shariah DataFeed'!A:D,4,0),"")</f>
        <v/>
      </c>
      <c r="H57" s="28" t="str">
        <f>IF(ISNA(VLOOKUP(A57,'ESG Consalidated'!A:D,4,0)),"",VLOOKUP(A57,'ESG Consalidated'!A:D,4,0))</f>
        <v/>
      </c>
      <c r="I57" s="28" t="str">
        <f>IF(H57&lt;&gt;"",VLOOKUP(A57,'ESG Consalidated'!A:B,2,0),"")</f>
        <v/>
      </c>
      <c r="J57" s="28" t="str">
        <f>IF(ISNA(VLOOKUP(A57,'Purif &amp; Zakat'!C:K,9,0)),"",VLOOKUP(A57,'Purif &amp; Zakat'!C:K,9,0))</f>
        <v>Reuters</v>
      </c>
      <c r="K57" s="28" t="str">
        <f>IF(J57&lt;&gt;"",VLOOKUP(A57,'Purif &amp; Zakat'!C:E,3,0),"")</f>
        <v>Weighted Sum of Non-permissible Income, Weighted Sum of Total Income, Purification per ETF Share</v>
      </c>
      <c r="L57" s="28" t="str">
        <f t="shared" si="4"/>
        <v>Purification &amp; Zakat Fields Count: 3</v>
      </c>
      <c r="M57" s="28">
        <f t="shared" si="5"/>
        <v>1</v>
      </c>
      <c r="N57" s="32">
        <f t="shared" si="6"/>
        <v>3</v>
      </c>
      <c r="O57" s="52" t="str">
        <f t="shared" si="7"/>
        <v>Purification &amp; Zakat Fields Source: Reuters</v>
      </c>
      <c r="P57" s="28" t="str">
        <f>IF(ISNA(VLOOKUP(A57,Service!B:B,1,0)),"No","Yes")</f>
        <v>No</v>
      </c>
      <c r="Q57" s="28">
        <f>IFERROR(IFERROR(VLOOKUP(A57,'Shariah DataFeed'!A:H,10,0),VLOOKUP(A57,'ESG Consalidated'!A:E,5,0)),0)</f>
        <v>0</v>
      </c>
    </row>
    <row r="58" spans="1:17" ht="25">
      <c r="A58" s="37" t="s">
        <v>217</v>
      </c>
      <c r="B58" s="28" t="str">
        <f>IF(ISNA(VLOOKUP(A58,Boursa!A:G,6,0)),"",VLOOKUP(A58,Boursa!A:G,6,0))</f>
        <v/>
      </c>
      <c r="C58" s="28" t="str">
        <f>IF(ISNA(VLOOKUP(A58,Boursa!A:G,7,0)),"",VLOOKUP(A58,Boursa!A:G,7,0))</f>
        <v/>
      </c>
      <c r="D58" s="28" t="str">
        <f>IF(ISNA(VLOOKUP(A58,Index!A:C,3,0)),"",VLOOKUP(A58,Index!A:C,3,0))</f>
        <v/>
      </c>
      <c r="E58" s="28" t="str">
        <f>IF(D58&lt;&gt;"",VLOOKUP(A58,Index!A:B,2,0),"")</f>
        <v/>
      </c>
      <c r="F58" s="28" t="str">
        <f>IF(ISNA(VLOOKUP(A58,'Shariah DataFeed'!A:B,2,0)),"",VLOOKUP(A58,'Shariah DataFeed'!A:B,2,0))</f>
        <v/>
      </c>
      <c r="G58" s="28" t="str">
        <f>IF(F58&lt;&gt;"",VLOOKUP(A58,'Shariah DataFeed'!A:D,4,0),"")</f>
        <v/>
      </c>
      <c r="H58" s="28" t="str">
        <f>IF(ISNA(VLOOKUP(A58,'ESG Consalidated'!A:D,4,0)),"",VLOOKUP(A58,'ESG Consalidated'!A:D,4,0))</f>
        <v/>
      </c>
      <c r="I58" s="28" t="str">
        <f>IF(H58&lt;&gt;"",VLOOKUP(A58,'ESG Consalidated'!A:B,2,0),"")</f>
        <v/>
      </c>
      <c r="J58" s="28" t="str">
        <f>IF(ISNA(VLOOKUP(A58,'Purif &amp; Zakat'!C:K,9,0)),"",VLOOKUP(A58,'Purif &amp; Zakat'!C:K,9,0))</f>
        <v>Reuters</v>
      </c>
      <c r="K58" s="28" t="str">
        <f>IF(J58&lt;&gt;"",VLOOKUP(A58,'Purif &amp; Zakat'!C:E,3,0),"")</f>
        <v>Name,Compliance,Purification</v>
      </c>
      <c r="L58" s="28" t="str">
        <f t="shared" si="4"/>
        <v>Purification &amp; Zakat Fields Count: 3</v>
      </c>
      <c r="M58" s="28">
        <f t="shared" si="5"/>
        <v>1</v>
      </c>
      <c r="N58" s="32">
        <f t="shared" si="6"/>
        <v>3</v>
      </c>
      <c r="O58" s="52" t="str">
        <f t="shared" si="7"/>
        <v>Purification &amp; Zakat Fields Source: Reuters</v>
      </c>
      <c r="P58" s="28" t="str">
        <f>IF(ISNA(VLOOKUP(A58,Service!B:B,1,0)),"No","Yes")</f>
        <v>No</v>
      </c>
      <c r="Q58" s="28">
        <f>IFERROR(IFERROR(VLOOKUP(A58,'Shariah DataFeed'!A:H,10,0),VLOOKUP(A58,'ESG Consalidated'!A:E,5,0)),0)</f>
        <v>0</v>
      </c>
    </row>
    <row r="59" spans="1:17" s="327" customFormat="1" ht="25">
      <c r="A59" s="328" t="s">
        <v>223</v>
      </c>
      <c r="B59" s="327" t="str">
        <f>IF(ISNA(VLOOKUP(A59,Boursa!A:G,6,0)),"",VLOOKUP(A59,Boursa!A:G,6,0))</f>
        <v/>
      </c>
      <c r="C59" s="327" t="str">
        <f>IF(ISNA(VLOOKUP(A59,Boursa!A:G,7,0)),"",VLOOKUP(A59,Boursa!A:G,7,0))</f>
        <v/>
      </c>
      <c r="D59" s="327" t="str">
        <f>IF(ISNA(VLOOKUP(A59,Index!A:C,3,0)),"",VLOOKUP(A59,Index!A:C,3,0))</f>
        <v/>
      </c>
      <c r="E59" s="327" t="str">
        <f>IF(D59&lt;&gt;"",VLOOKUP(A59,Index!A:B,2,0),"")</f>
        <v/>
      </c>
      <c r="F59" s="327" t="str">
        <f>IF(ISNA(VLOOKUP(A59,'Shariah DataFeed'!A:B,2,0)),"",VLOOKUP(A59,'Shariah DataFeed'!A:B,2,0))</f>
        <v/>
      </c>
      <c r="G59" s="327" t="str">
        <f>IF(F59&lt;&gt;"",VLOOKUP(A59,'Shariah DataFeed'!A:D,4,0),"")</f>
        <v/>
      </c>
      <c r="H59" s="327" t="str">
        <f>IF(ISNA(VLOOKUP(A59,'ESG Consalidated'!A:D,4,0)),"",VLOOKUP(A59,'ESG Consalidated'!A:D,4,0))</f>
        <v/>
      </c>
      <c r="I59" s="327" t="str">
        <f>IF(H59&lt;&gt;"",VLOOKUP(A59,'ESG Consalidated'!A:B,2,0),"")</f>
        <v/>
      </c>
      <c r="J59" s="327" t="str">
        <f>IF(ISNA(VLOOKUP(A59,'Purif &amp; Zakat'!C:K,9,0)),"",VLOOKUP(A59,'Purif &amp; Zakat'!C:K,9,0))</f>
        <v>Reuters</v>
      </c>
      <c r="K59" s="327" t="str">
        <f>IF(J59&lt;&gt;"",VLOOKUP(A59,'Purif &amp; Zakat'!C:E,3,0),"")</f>
        <v>Name,ISIN,Purification Per Share</v>
      </c>
      <c r="L59" s="327" t="str">
        <f t="shared" si="4"/>
        <v>Purification &amp; Zakat Fields Count: 3</v>
      </c>
      <c r="M59" s="327">
        <f t="shared" si="5"/>
        <v>1</v>
      </c>
      <c r="N59" s="329">
        <f t="shared" si="6"/>
        <v>3</v>
      </c>
      <c r="O59" s="330" t="str">
        <f t="shared" si="7"/>
        <v>Purification &amp; Zakat Fields Source: Reuters</v>
      </c>
      <c r="P59" s="327" t="str">
        <f>IF(ISNA(VLOOKUP(A59,Service!B:B,1,0)),"No","Yes")</f>
        <v>No</v>
      </c>
      <c r="Q59" s="327">
        <f>IFERROR(IFERROR(VLOOKUP(A59,'Shariah DataFeed'!A:H,10,0),VLOOKUP(A59,'ESG Consalidated'!A:E,5,0)),0)</f>
        <v>0</v>
      </c>
    </row>
    <row r="60" spans="1:17" ht="29">
      <c r="A60" s="36" t="s">
        <v>14</v>
      </c>
      <c r="B60" s="28" t="str">
        <f>IF(ISNA(VLOOKUP(A60,Boursa!A:G,6,0)),"",VLOOKUP(A60,Boursa!A:G,6,0))</f>
        <v/>
      </c>
      <c r="C60" s="28" t="str">
        <f>IF(ISNA(VLOOKUP(A60,Boursa!A:G,7,0)),"",VLOOKUP(A60,Boursa!A:G,7,0))</f>
        <v/>
      </c>
      <c r="D60" s="28" t="str">
        <f>IF(ISNA(VLOOKUP(A60,Index!A:C,3,0)),"",VLOOKUP(A60,Index!A:C,3,0))</f>
        <v/>
      </c>
      <c r="E60" s="28" t="str">
        <f>IF(D60&lt;&gt;"",VLOOKUP(A60,Index!A:B,2,0),"")</f>
        <v/>
      </c>
      <c r="F60" s="28" t="str">
        <f>IF(ISNA(VLOOKUP(A60,'Shariah DataFeed'!A:B,2,0)),"",VLOOKUP(A60,'Shariah DataFeed'!A:B,2,0))</f>
        <v>Factset</v>
      </c>
      <c r="G60" s="28" t="str">
        <f>IF(F60&lt;&gt;"",VLOOKUP(A60,'Shariah DataFeed'!A:D,4,0),"")</f>
        <v>Name, ISIN, Ticker, IdealRatings AM</v>
      </c>
      <c r="H60" s="28" t="str">
        <f>IF(ISNA(VLOOKUP(A60,'ESG Consalidated'!A:D,4,0)),"",VLOOKUP(A60,'ESG Consalidated'!A:D,4,0))</f>
        <v/>
      </c>
      <c r="I60" s="28" t="str">
        <f>IF(H60&lt;&gt;"",VLOOKUP(A60,'ESG Consalidated'!A:B,2,0),"")</f>
        <v/>
      </c>
      <c r="J60" s="28" t="str">
        <f>IF(ISNA(VLOOKUP(A60,'Purif &amp; Zakat'!C:K,9,0)),"",VLOOKUP(A60,'Purif &amp; Zakat'!C:K,9,0))</f>
        <v/>
      </c>
      <c r="K60" s="28" t="str">
        <f>IF(J60&lt;&gt;"",VLOOKUP(A60,'Purif &amp; Zakat'!C:E,3,0),"")</f>
        <v/>
      </c>
      <c r="L60" s="28" t="str">
        <f t="shared" si="4"/>
        <v>Shariah DataFeed Fields Count: 4</v>
      </c>
      <c r="M60" s="28">
        <f t="shared" si="5"/>
        <v>1</v>
      </c>
      <c r="N60" s="32">
        <f t="shared" si="6"/>
        <v>4</v>
      </c>
      <c r="O60" s="52" t="str">
        <f t="shared" si="7"/>
        <v>Shariah DataFeed Fields Source: Factset</v>
      </c>
      <c r="P60" s="28" t="str">
        <f>IF(ISNA(VLOOKUP(A60,Service!B:B,1,0)),"No","Yes")</f>
        <v>No</v>
      </c>
      <c r="Q60" s="28">
        <f>IFERROR(IFERROR(VLOOKUP(A60,'Shariah DataFeed'!A:H,10,0),VLOOKUP(A60,'ESG Consalidated'!A:E,5,0)),0)</f>
        <v>0</v>
      </c>
    </row>
    <row r="61" spans="1:17" ht="101.5">
      <c r="A61" s="36" t="s">
        <v>30</v>
      </c>
      <c r="B61" s="28" t="str">
        <f>IF(ISNA(VLOOKUP(A61,Boursa!A:G,6,0)),"",VLOOKUP(A61,Boursa!A:G,6,0))</f>
        <v/>
      </c>
      <c r="C61" s="28" t="str">
        <f>IF(ISNA(VLOOKUP(A61,Boursa!A:G,7,0)),"",VLOOKUP(A61,Boursa!A:G,7,0))</f>
        <v/>
      </c>
      <c r="D61" s="28" t="str">
        <f>IF(ISNA(VLOOKUP(A61,Index!A:C,3,0)),"",VLOOKUP(A61,Index!A:C,3,0))</f>
        <v>FactSet</v>
      </c>
      <c r="E61" s="28" t="str">
        <f>IF(D61&lt;&gt;"",VLOOKUP(A61,Index!A:B,2,0),"")</f>
        <v>WID, SEDOL, Name, RIC, ISIN, Country, Country Code, Corporate Action Status, Open Market Cap USD, Close Market Cap USD, Currency Code, Gross Dividend Per Share USD, Net Dividends Per Share USD, Float Market Cap %, Adjusted Open Float Market Cap USD, Close Float Market Cap USD, Ex-Div Date, Capping Factor, Weight</v>
      </c>
      <c r="F61" s="28" t="str">
        <f>IF(ISNA(VLOOKUP(A61,'Shariah DataFeed'!A:B,2,0)),"",VLOOKUP(A61,'Shariah DataFeed'!A:B,2,0))</f>
        <v>Reuters</v>
      </c>
      <c r="G61" s="28" t="str">
        <f>IF(F61&lt;&gt;"",VLOOKUP(A61,'Shariah DataFeed'!A:D,4,0),"")</f>
        <v>Name, ISIN, Ticker, AAOIFI, IdealRatings AM, Indonesia OJK Shariah-based</v>
      </c>
      <c r="H61" s="28" t="str">
        <f>IF(ISNA(VLOOKUP(A61,'ESG Consalidated'!A:D,4,0)),"",VLOOKUP(A61,'ESG Consalidated'!A:D,4,0))</f>
        <v/>
      </c>
      <c r="I61" s="28" t="str">
        <f>IF(H61&lt;&gt;"",VLOOKUP(A61,'ESG Consalidated'!A:B,2,0),"")</f>
        <v/>
      </c>
      <c r="J61" s="28" t="str">
        <f>IF(ISNA(VLOOKUP(A61,'Purif &amp; Zakat'!C:K,9,0)),"",VLOOKUP(A61,'Purif &amp; Zakat'!C:K,9,0))</f>
        <v/>
      </c>
      <c r="K61" s="28" t="str">
        <f>IF(J61&lt;&gt;"",VLOOKUP(A61,'Purif &amp; Zakat'!C:E,3,0),"")</f>
        <v/>
      </c>
      <c r="L61" s="28" t="str">
        <f t="shared" si="4"/>
        <v>Index Fields Count: 19
Shariah DataFeed Fields Count: 6</v>
      </c>
      <c r="M61" s="28">
        <f t="shared" si="5"/>
        <v>2</v>
      </c>
      <c r="N61" s="32">
        <f t="shared" si="6"/>
        <v>25</v>
      </c>
      <c r="O61" s="52" t="str">
        <f t="shared" si="7"/>
        <v>Index Fields Source: FactSet
Shariah DataFeed Fields Source: Reuters</v>
      </c>
      <c r="P61" s="28" t="str">
        <f>IF(ISNA(VLOOKUP(A61,Service!B:B,1,0)),"No","Yes")</f>
        <v>Yes</v>
      </c>
      <c r="Q61" s="28">
        <f>IFERROR(IFERROR(VLOOKUP(A61,'Shariah DataFeed'!A:H,10,0),VLOOKUP(A61,'ESG Consalidated'!A:E,5,0)),0)</f>
        <v>0</v>
      </c>
    </row>
    <row r="62" spans="1:17" ht="25">
      <c r="A62" s="37" t="s">
        <v>232</v>
      </c>
      <c r="B62" s="28" t="str">
        <f>IF(ISNA(VLOOKUP(A62,Boursa!A:G,6,0)),"",VLOOKUP(A62,Boursa!A:G,6,0))</f>
        <v/>
      </c>
      <c r="C62" s="28" t="str">
        <f>IF(ISNA(VLOOKUP(A62,Boursa!A:G,7,0)),"",VLOOKUP(A62,Boursa!A:G,7,0))</f>
        <v/>
      </c>
      <c r="D62" s="28" t="str">
        <f>IF(ISNA(VLOOKUP(A62,Index!A:C,3,0)),"",VLOOKUP(A62,Index!A:C,3,0))</f>
        <v/>
      </c>
      <c r="E62" s="28" t="str">
        <f>IF(D62&lt;&gt;"",VLOOKUP(A62,Index!A:B,2,0),"")</f>
        <v/>
      </c>
      <c r="F62" s="28" t="str">
        <f>IF(ISNA(VLOOKUP(A62,'Shariah DataFeed'!A:B,2,0)),"",VLOOKUP(A62,'Shariah DataFeed'!A:B,2,0))</f>
        <v/>
      </c>
      <c r="G62" s="28" t="str">
        <f>IF(F62&lt;&gt;"",VLOOKUP(A62,'Shariah DataFeed'!A:D,4,0),"")</f>
        <v/>
      </c>
      <c r="H62" s="28" t="str">
        <f>IF(ISNA(VLOOKUP(A62,'ESG Consalidated'!A:D,4,0)),"",VLOOKUP(A62,'ESG Consalidated'!A:D,4,0))</f>
        <v/>
      </c>
      <c r="I62" s="28" t="str">
        <f>IF(H62&lt;&gt;"",VLOOKUP(A62,'ESG Consalidated'!A:B,2,0),"")</f>
        <v/>
      </c>
      <c r="J62" s="28" t="str">
        <f>IF(ISNA(VLOOKUP(A62,'Purif &amp; Zakat'!C:K,9,0)),"",VLOOKUP(A62,'Purif &amp; Zakat'!C:K,9,0))</f>
        <v>Reuters</v>
      </c>
      <c r="K62" s="28" t="str">
        <f>IF(J62&lt;&gt;"",VLOOKUP(A62,'Purif &amp; Zakat'!C:E,3,0),"")</f>
        <v>Name,Compliance Status,Purification</v>
      </c>
      <c r="L62" s="28" t="str">
        <f t="shared" si="4"/>
        <v>Purification &amp; Zakat Fields Count: 3</v>
      </c>
      <c r="M62" s="28">
        <f t="shared" si="5"/>
        <v>1</v>
      </c>
      <c r="N62" s="32">
        <f t="shared" si="6"/>
        <v>3</v>
      </c>
      <c r="O62" s="52" t="str">
        <f t="shared" si="7"/>
        <v>Purification &amp; Zakat Fields Source: Reuters</v>
      </c>
      <c r="P62" s="28" t="str">
        <f>IF(ISNA(VLOOKUP(A62,Service!B:B,1,0)),"No","Yes")</f>
        <v>Yes</v>
      </c>
      <c r="Q62" s="28">
        <f>IFERROR(IFERROR(VLOOKUP(A62,'Shariah DataFeed'!A:H,10,0),VLOOKUP(A62,'ESG Consalidated'!A:E,5,0)),0)</f>
        <v>0</v>
      </c>
    </row>
    <row r="63" spans="1:17" ht="29">
      <c r="A63" s="36" t="s">
        <v>31</v>
      </c>
      <c r="B63" s="28" t="str">
        <f>IF(ISNA(VLOOKUP(A63,Boursa!A:G,6,0)),"",VLOOKUP(A63,Boursa!A:G,6,0))</f>
        <v/>
      </c>
      <c r="C63" s="28" t="str">
        <f>IF(ISNA(VLOOKUP(A63,Boursa!A:G,7,0)),"",VLOOKUP(A63,Boursa!A:G,7,0))</f>
        <v/>
      </c>
      <c r="D63" s="28" t="str">
        <f>IF(ISNA(VLOOKUP(A63,Index!A:C,3,0)),"",VLOOKUP(A63,Index!A:C,3,0))</f>
        <v/>
      </c>
      <c r="E63" s="28" t="str">
        <f>IF(D63&lt;&gt;"",VLOOKUP(A63,Index!A:B,2,0),"")</f>
        <v/>
      </c>
      <c r="F63" s="28" t="str">
        <f>IF(ISNA(VLOOKUP(A63,'Shariah DataFeed'!A:B,2,0)),"",VLOOKUP(A63,'Shariah DataFeed'!A:B,2,0))</f>
        <v>Reuters</v>
      </c>
      <c r="G63" s="28" t="str">
        <f>IF(F63&lt;&gt;"",VLOOKUP(A63,'Shariah DataFeed'!A:D,4,0),"")</f>
        <v>Name, ISIN, Ticker, AAOIFI</v>
      </c>
      <c r="H63" s="28" t="str">
        <f>IF(ISNA(VLOOKUP(A63,'ESG Consalidated'!A:D,4,0)),"",VLOOKUP(A63,'ESG Consalidated'!A:D,4,0))</f>
        <v/>
      </c>
      <c r="I63" s="28" t="str">
        <f>IF(H63&lt;&gt;"",VLOOKUP(A63,'ESG Consalidated'!A:B,2,0),"")</f>
        <v/>
      </c>
      <c r="J63" s="28" t="str">
        <f>IF(ISNA(VLOOKUP(A63,'Purif &amp; Zakat'!C:K,9,0)),"",VLOOKUP(A63,'Purif &amp; Zakat'!C:K,9,0))</f>
        <v/>
      </c>
      <c r="K63" s="28" t="str">
        <f>IF(J63&lt;&gt;"",VLOOKUP(A63,'Purif &amp; Zakat'!C:E,3,0),"")</f>
        <v/>
      </c>
      <c r="L63" s="28" t="str">
        <f t="shared" si="4"/>
        <v>Shariah DataFeed Fields Count: 4</v>
      </c>
      <c r="M63" s="28">
        <f t="shared" si="5"/>
        <v>1</v>
      </c>
      <c r="N63" s="32">
        <f t="shared" si="6"/>
        <v>4</v>
      </c>
      <c r="O63" s="52" t="str">
        <f t="shared" si="7"/>
        <v>Shariah DataFeed Fields Source: Reuters</v>
      </c>
      <c r="P63" s="28" t="str">
        <f>IF(ISNA(VLOOKUP(A63,Service!B:B,1,0)),"No","Yes")</f>
        <v>Yes</v>
      </c>
      <c r="Q63" s="28">
        <f>IFERROR(IFERROR(VLOOKUP(A63,'Shariah DataFeed'!A:H,10,0),VLOOKUP(A63,'ESG Consalidated'!A:E,5,0)),0)</f>
        <v>0</v>
      </c>
    </row>
    <row r="64" spans="1:17">
      <c r="A64" s="36" t="s">
        <v>63</v>
      </c>
      <c r="B64" s="28" t="str">
        <f>IF(ISNA(VLOOKUP(A64,Boursa!A:G,6,0)),"",VLOOKUP(A64,Boursa!A:G,6,0))</f>
        <v/>
      </c>
      <c r="C64" s="28" t="str">
        <f>IF(ISNA(VLOOKUP(A64,Boursa!A:G,7,0)),"",VLOOKUP(A64,Boursa!A:G,7,0))</f>
        <v/>
      </c>
      <c r="D64" s="28" t="str">
        <f>IF(ISNA(VLOOKUP(A64,Index!A:C,3,0)),"",VLOOKUP(A64,Index!A:C,3,0))</f>
        <v>FactSet</v>
      </c>
      <c r="E64" s="28" t="str">
        <f>IF(D64&lt;&gt;"",VLOOKUP(A64,Index!A:B,2,0),"")</f>
        <v>Name,ISIN,SEDOL,Ticker,Weight</v>
      </c>
      <c r="F64" s="28" t="str">
        <f>IF(ISNA(VLOOKUP(A64,'Shariah DataFeed'!A:B,2,0)),"",VLOOKUP(A64,'Shariah DataFeed'!A:B,2,0))</f>
        <v/>
      </c>
      <c r="G64" s="28" t="str">
        <f>IF(F64&lt;&gt;"",VLOOKUP(A64,'Shariah DataFeed'!A:D,4,0),"")</f>
        <v/>
      </c>
      <c r="H64" s="28" t="str">
        <f>IF(ISNA(VLOOKUP(A64,'ESG Consalidated'!A:D,4,0)),"",VLOOKUP(A64,'ESG Consalidated'!A:D,4,0))</f>
        <v/>
      </c>
      <c r="I64" s="28" t="str">
        <f>IF(H64&lt;&gt;"",VLOOKUP(A64,'ESG Consalidated'!A:B,2,0),"")</f>
        <v/>
      </c>
      <c r="J64" s="28" t="str">
        <f>IF(ISNA(VLOOKUP(A64,'Purif &amp; Zakat'!C:K,9,0)),"",VLOOKUP(A64,'Purif &amp; Zakat'!C:K,9,0))</f>
        <v/>
      </c>
      <c r="K64" s="28" t="str">
        <f>IF(J64&lt;&gt;"",VLOOKUP(A64,'Purif &amp; Zakat'!C:E,3,0),"")</f>
        <v/>
      </c>
      <c r="L64" s="28" t="str">
        <f t="shared" ref="L64:L86" si="8">IF(B64&lt;&gt;"", TEXT($B$1, "0") &amp; " Fields Count: " &amp; COUNTA(_xlfn.TEXTSPLIT(C64, ",")), "") &amp;
IF(AND(D64&lt;&gt;"", B64&lt;&gt;""), CHAR(10), "") &amp; IF(D64&lt;&gt;"", TEXT($D$1, "0") &amp; " Fields Count: " &amp; COUNTA(_xlfn.TEXTSPLIT(E64, ",")), "") &amp;
IF(AND(F64&lt;&gt;"", OR(B64&lt;&gt;"", D64&lt;&gt;"")), CHAR(10), "") &amp; IF(F64&lt;&gt;"", TEXT($F$1, "0") &amp; " Fields Count: " &amp; COUNTA(_xlfn.TEXTSPLIT(G64, ",")), "") &amp;
IF(AND(H64&lt;&gt;"", OR(B64&lt;&gt;"", D64&lt;&gt;"", F64&lt;&gt;"")), CHAR(10), "") &amp; IF(H64&lt;&gt;"", TEXT($H$1, "0") &amp; " Fields Count: " &amp; COUNTA(_xlfn.TEXTSPLIT(I64, ",")), "") &amp;
IF(AND(J64&lt;&gt;"", OR(B64&lt;&gt;"", D64&lt;&gt;"", F64&lt;&gt;"", H64&lt;&gt;"")), CHAR(10), "") &amp; IF(J64&lt;&gt;"", TEXT($J$1, "0") &amp; " Fields Count: " &amp; COUNTA(_xlfn.TEXTSPLIT(K64, ",")), "")</f>
        <v>Index Fields Count: 5</v>
      </c>
      <c r="M64" s="28">
        <f t="shared" ref="M64:M86" si="9" xml:space="preserve"> LEN(L64) - LEN(SUBSTITUTE(L64, CHAR(10), "")) +1</f>
        <v>1</v>
      </c>
      <c r="N64" s="32">
        <f t="shared" ref="N64:N86" si="10">IF(B64&lt;&gt;"", COUNTA(_xlfn.TEXTSPLIT(C64, ",")), 0) + IF(D64&lt;&gt;"", COUNTA(_xlfn.TEXTSPLIT(E64, ",")), 0) + IF(F64&lt;&gt;"", COUNTA(_xlfn.TEXTSPLIT(G64, ",")), 0) + IF(H64&lt;&gt;"", COUNTA(_xlfn.TEXTSPLIT(I64, ",")), 0) + IF(J64&lt;&gt;"", COUNTA(_xlfn.TEXTSPLIT(K64, ",")), 0)</f>
        <v>5</v>
      </c>
      <c r="O64" s="52" t="str">
        <f t="shared" ref="O64:O86" si="11">IF(B64&lt;&gt;"", TEXT($B$1, "0") &amp; " Fields Source: " &amp; B64, "") &amp;
IF(AND(D64&lt;&gt;"", B64&lt;&gt;""), CHAR(10), "") &amp; IF(D64&lt;&gt;"", TEXT($D$1, "0") &amp; " Fields Source: " &amp; D64, "") &amp;
IF(AND(F64&lt;&gt;"", OR(B64&lt;&gt;"", D64&lt;&gt;"")), CHAR(10), "") &amp; IF(F64&lt;&gt;"", TEXT($F$1, "0") &amp; " Fields Source: " &amp; F64, "") &amp;
IF(AND(H64&lt;&gt;"", OR(B64&lt;&gt;"", D64&lt;&gt;"", F64&lt;&gt;"")), CHAR(10), "") &amp; IF(H64&lt;&gt;"", TEXT($H$1, "0") &amp; " Fields Source: " &amp; H64, "") &amp;
IF(AND(J64&lt;&gt;"", OR(B64&lt;&gt;"", D64&lt;&gt;"", F64&lt;&gt;"", H64&lt;&gt;"")), CHAR(10), "") &amp; IF(J64&lt;&gt;"", TEXT($J$1, "0") &amp; " Fields Source: " &amp; J64, "")</f>
        <v>Index Fields Source: FactSet</v>
      </c>
      <c r="P64" s="28" t="str">
        <f>IF(ISNA(VLOOKUP(A64,Service!B:B,1,0)),"No","Yes")</f>
        <v>No</v>
      </c>
      <c r="Q64" s="28">
        <f>IFERROR(IFERROR(VLOOKUP(A64,'Shariah DataFeed'!A:H,10,0),VLOOKUP(A64,'ESG Consalidated'!A:E,5,0)),0)</f>
        <v>0</v>
      </c>
    </row>
    <row r="65" spans="1:17">
      <c r="A65" s="322" t="s">
        <v>490</v>
      </c>
      <c r="B65" s="28" t="str">
        <f>IF(ISNA(VLOOKUP(A65,Boursa!A:G,6,0)),"",VLOOKUP(A65,Boursa!A:G,6,0))</f>
        <v/>
      </c>
      <c r="C65" s="28" t="str">
        <f>IF(ISNA(VLOOKUP(A65,Boursa!A:G,7,0)),"",VLOOKUP(A65,Boursa!A:G,7,0))</f>
        <v/>
      </c>
      <c r="D65" s="28" t="str">
        <f>IF(ISNA(VLOOKUP(A65,Index!A:C,3,0)),"",VLOOKUP(A65,Index!A:C,3,0))</f>
        <v/>
      </c>
      <c r="E65" s="28" t="str">
        <f>IF(D65&lt;&gt;"",VLOOKUP(A65,Index!A:B,2,0),"")</f>
        <v/>
      </c>
      <c r="F65" s="28" t="str">
        <f>IF(ISNA(VLOOKUP(A65,'Shariah DataFeed'!A:B,2,0)),"",VLOOKUP(A65,'Shariah DataFeed'!A:B,2,0))</f>
        <v>Factset</v>
      </c>
      <c r="G65" s="28" t="str">
        <f>IF(F65&lt;&gt;"",VLOOKUP(A65,'Shariah DataFeed'!A:D,4,0),"")</f>
        <v>Name,Isin,Ticker</v>
      </c>
      <c r="H65" s="28" t="str">
        <f>IF(ISNA(VLOOKUP(A65,'ESG Consalidated'!A:D,4,0)),"",VLOOKUP(A65,'ESG Consalidated'!A:D,4,0))</f>
        <v/>
      </c>
      <c r="I65" s="28" t="str">
        <f>IF(H65&lt;&gt;"",VLOOKUP(A65,'ESG Consalidated'!A:B,2,0),"")</f>
        <v/>
      </c>
      <c r="J65" s="28" t="str">
        <f>IF(ISNA(VLOOKUP(A65,'Purif &amp; Zakat'!C:K,9,0)),"",VLOOKUP(A65,'Purif &amp; Zakat'!C:K,9,0))</f>
        <v/>
      </c>
      <c r="K65" s="28" t="str">
        <f>IF(J65&lt;&gt;"",VLOOKUP(A65,'Purif &amp; Zakat'!C:E,3,0),"")</f>
        <v/>
      </c>
      <c r="L65" s="28" t="str">
        <f t="shared" si="8"/>
        <v>Shariah DataFeed Fields Count: 3</v>
      </c>
      <c r="M65" s="28">
        <f t="shared" si="9"/>
        <v>1</v>
      </c>
      <c r="N65" s="32">
        <f t="shared" si="10"/>
        <v>3</v>
      </c>
      <c r="O65" s="52" t="str">
        <f t="shared" si="11"/>
        <v>Shariah DataFeed Fields Source: Factset</v>
      </c>
      <c r="P65" s="28" t="str">
        <f>IF(ISNA(VLOOKUP(A65,Service!B:B,1,0)),"No","Yes")</f>
        <v>No</v>
      </c>
      <c r="Q65" s="28">
        <f>IFERROR(IFERROR(VLOOKUP(A65,'Shariah DataFeed'!A:H,10,0),VLOOKUP(A65,'ESG Consalidated'!A:E,5,0)),0)</f>
        <v>0</v>
      </c>
    </row>
    <row r="66" spans="1:17" s="349" customFormat="1" ht="217.5">
      <c r="A66" s="348" t="s">
        <v>148</v>
      </c>
      <c r="B66" s="349" t="str">
        <f>IF(ISNA(VLOOKUP(A66,Boursa!A:G,6,0)),"",VLOOKUP(A66,Boursa!A:G,6,0))</f>
        <v/>
      </c>
      <c r="C66" s="349" t="str">
        <f>IF(ISNA(VLOOKUP(A66,Boursa!A:G,7,0)),"",VLOOKUP(A66,Boursa!A:G,7,0))</f>
        <v/>
      </c>
      <c r="D66" s="349" t="str">
        <f>IF(ISNA(VLOOKUP(A66,Index!A:C,3,0)),"",VLOOKUP(A66,Index!A:C,3,0))</f>
        <v/>
      </c>
      <c r="E66" s="349" t="str">
        <f>IF(D66&lt;&gt;"",VLOOKUP(A66,Index!A:B,2,0),"")</f>
        <v/>
      </c>
      <c r="F66" s="349" t="str">
        <f>IF(ISNA(VLOOKUP(A66,'Shariah DataFeed'!A:B,2,0)),"",VLOOKUP(A66,'Shariah DataFeed'!A:B,2,0))</f>
        <v>IdealRatings</v>
      </c>
      <c r="G66" s="349" t="str">
        <f>IF(F66&lt;&gt;"",VLOOKUP(A66,'Shariah DataFeed'!A:D,4,0),"")</f>
        <v>Name , ISIN, SEDOL, Fiscal Period, MSCI Compliance, NPIN Ratio, Fiscal Period, Total Debt, Interest bearing Debt, Lease Capital, Total Cash and Short term Investments, Interest bearing Cash and Short term investmnets, Notes long Receivables, Cash Total, Accout Receivables , Total Assets</v>
      </c>
      <c r="H66" s="349" t="str">
        <f>IF(ISNA(VLOOKUP(A66,'ESG Consalidated'!A:D,4,0)),"",VLOOKUP(A66,'ESG Consalidated'!A:D,4,0))</f>
        <v/>
      </c>
      <c r="I66" s="349" t="str">
        <f>IF(H66&lt;&gt;"",VLOOKUP(A66,'ESG Consalidated'!A:B,2,0),"")</f>
        <v/>
      </c>
      <c r="J66" s="349" t="str">
        <f>IF(ISNA(VLOOKUP(A66,'Purif &amp; Zakat'!C:K,9,0)),"",VLOOKUP(A66,'Purif &amp; Zakat'!C:K,9,0))</f>
        <v/>
      </c>
      <c r="K66" s="349" t="str">
        <f>IF(J66&lt;&gt;"",VLOOKUP(A66,'Purif &amp; Zakat'!C:E,3,0),"")</f>
        <v/>
      </c>
      <c r="L66" s="349" t="str">
        <f t="shared" si="8"/>
        <v>Shariah DataFeed Fields Count: 16</v>
      </c>
      <c r="M66" s="349">
        <f t="shared" si="9"/>
        <v>1</v>
      </c>
      <c r="N66" s="350">
        <f t="shared" si="10"/>
        <v>16</v>
      </c>
      <c r="O66" s="351" t="str">
        <f t="shared" si="11"/>
        <v>Shariah DataFeed Fields Source: IdealRatings</v>
      </c>
      <c r="P66" s="349" t="str">
        <f>IF(ISNA(VLOOKUP(A66,Service!B:B,1,0)),"No","Yes")</f>
        <v>No</v>
      </c>
      <c r="Q66" s="349">
        <f>IFERROR(IFERROR(VLOOKUP(A66,'Shariah DataFeed'!A:H,10,0),VLOOKUP(A66,'ESG Consalidated'!A:E,5,0)),0)</f>
        <v>0</v>
      </c>
    </row>
    <row r="67" spans="1:17" s="349" customFormat="1" ht="159.5">
      <c r="A67" s="352" t="s">
        <v>40</v>
      </c>
      <c r="B67" s="349" t="str">
        <f>IF(ISNA(VLOOKUP(A67,Boursa!A:G,6,0)),"",VLOOKUP(A67,Boursa!A:G,6,0))</f>
        <v/>
      </c>
      <c r="C67" s="349" t="str">
        <f>IF(ISNA(VLOOKUP(A67,Boursa!A:G,7,0)),"",VLOOKUP(A67,Boursa!A:G,7,0))</f>
        <v/>
      </c>
      <c r="D67" s="349" t="str">
        <f>IF(ISNA(VLOOKUP(A67,Index!A:C,3,0)),"",VLOOKUP(A67,Index!A:C,3,0))</f>
        <v/>
      </c>
      <c r="E67" s="349" t="str">
        <f>IF(D67&lt;&gt;"",VLOOKUP(A67,Index!A:B,2,0),"")</f>
        <v/>
      </c>
      <c r="F67" s="349" t="str">
        <f>IF(ISNA(VLOOKUP(A67,'Shariah DataFeed'!A:B,2,0)),"",VLOOKUP(A67,'Shariah DataFeed'!A:B,2,0))</f>
        <v>IdealRatings</v>
      </c>
      <c r="G67" s="349" t="str">
        <f>IF(F67&lt;&gt;"",VLOOKUP(A67,'Shariah DataFeed'!A:D,4,0),"")</f>
        <v>Ticker, ISIN, Name, AAOIFI, [AAOIFI] Non-permissible Income, [AAOIFI] Interest-bearing Debts, [AAOIFI] Interest-bearing Investments, [AAOIFI] Purification (Inv.), Fiscal Period, Period End Date, Last Trading Date, Comment</v>
      </c>
      <c r="H67" s="349" t="str">
        <f>IF(ISNA(VLOOKUP(A67,'ESG Consalidated'!A:D,4,0)),"",VLOOKUP(A67,'ESG Consalidated'!A:D,4,0))</f>
        <v/>
      </c>
      <c r="I67" s="349" t="str">
        <f>IF(H67&lt;&gt;"",VLOOKUP(A67,'ESG Consalidated'!A:B,2,0),"")</f>
        <v/>
      </c>
      <c r="J67" s="349" t="str">
        <f>IF(ISNA(VLOOKUP(A67,'Purif &amp; Zakat'!C:K,9,0)),"",VLOOKUP(A67,'Purif &amp; Zakat'!C:K,9,0))</f>
        <v/>
      </c>
      <c r="K67" s="349" t="str">
        <f>IF(J67&lt;&gt;"",VLOOKUP(A67,'Purif &amp; Zakat'!C:E,3,0),"")</f>
        <v/>
      </c>
      <c r="L67" s="349" t="str">
        <f t="shared" si="8"/>
        <v>Shariah DataFeed Fields Count: 12</v>
      </c>
      <c r="M67" s="349">
        <f t="shared" si="9"/>
        <v>1</v>
      </c>
      <c r="N67" s="350">
        <f t="shared" si="10"/>
        <v>12</v>
      </c>
      <c r="O67" s="351" t="str">
        <f t="shared" si="11"/>
        <v>Shariah DataFeed Fields Source: IdealRatings</v>
      </c>
      <c r="P67" s="349" t="str">
        <f>IF(ISNA(VLOOKUP(A67,Service!B:B,1,0)),"No","Yes")</f>
        <v>No</v>
      </c>
      <c r="Q67" s="349">
        <f>IFERROR(IFERROR(VLOOKUP(A67,'Shariah DataFeed'!A:H,10,0),VLOOKUP(A67,'ESG Consalidated'!A:E,5,0)),0)</f>
        <v>0</v>
      </c>
    </row>
    <row r="68" spans="1:17">
      <c r="A68" s="36" t="s">
        <v>7</v>
      </c>
      <c r="B68" s="28" t="str">
        <f>IF(ISNA(VLOOKUP(A68,Boursa!A:G,6,0)),"",VLOOKUP(A68,Boursa!A:G,6,0))</f>
        <v/>
      </c>
      <c r="C68" s="28" t="str">
        <f>IF(ISNA(VLOOKUP(A68,Boursa!A:G,7,0)),"",VLOOKUP(A68,Boursa!A:G,7,0))</f>
        <v/>
      </c>
      <c r="D68" s="28" t="str">
        <f>IF(ISNA(VLOOKUP(A68,Index!A:C,3,0)),"",VLOOKUP(A68,Index!A:C,3,0))</f>
        <v/>
      </c>
      <c r="E68" s="28" t="str">
        <f>IF(D68&lt;&gt;"",VLOOKUP(A68,Index!A:B,2,0),"")</f>
        <v/>
      </c>
      <c r="F68" s="28" t="str">
        <f>IF(ISNA(VLOOKUP(A68,'Shariah DataFeed'!A:B,2,0)),"",VLOOKUP(A68,'Shariah DataFeed'!A:B,2,0))</f>
        <v>Factset</v>
      </c>
      <c r="G68" s="28" t="str">
        <f>IF(F68&lt;&gt;"",VLOOKUP(A68,'Shariah DataFeed'!A:D,4,0),"")</f>
        <v>Name, ISIN, Ticker</v>
      </c>
      <c r="H68" s="28" t="str">
        <f>IF(ISNA(VLOOKUP(A68,'ESG Consalidated'!A:D,4,0)),"",VLOOKUP(A68,'ESG Consalidated'!A:D,4,0))</f>
        <v/>
      </c>
      <c r="I68" s="28" t="str">
        <f>IF(H68&lt;&gt;"",VLOOKUP(A68,'ESG Consalidated'!A:B,2,0),"")</f>
        <v/>
      </c>
      <c r="J68" s="28" t="str">
        <f>IF(ISNA(VLOOKUP(A68,'Purif &amp; Zakat'!C:K,9,0)),"",VLOOKUP(A68,'Purif &amp; Zakat'!C:K,9,0))</f>
        <v/>
      </c>
      <c r="K68" s="28" t="str">
        <f>IF(J68&lt;&gt;"",VLOOKUP(A68,'Purif &amp; Zakat'!C:E,3,0),"")</f>
        <v/>
      </c>
      <c r="L68" s="28" t="str">
        <f t="shared" si="8"/>
        <v>Shariah DataFeed Fields Count: 3</v>
      </c>
      <c r="M68" s="28">
        <f t="shared" si="9"/>
        <v>1</v>
      </c>
      <c r="N68" s="32">
        <f t="shared" si="10"/>
        <v>3</v>
      </c>
      <c r="O68" s="52" t="str">
        <f t="shared" si="11"/>
        <v>Shariah DataFeed Fields Source: Factset</v>
      </c>
      <c r="P68" s="28" t="str">
        <f>IF(ISNA(VLOOKUP(A68,Service!B:B,1,0)),"No","Yes")</f>
        <v>No</v>
      </c>
      <c r="Q68" s="28">
        <f>IFERROR(IFERROR(VLOOKUP(A68,'Shariah DataFeed'!A:H,10,0),VLOOKUP(A68,'ESG Consalidated'!A:E,5,0)),0)</f>
        <v>0</v>
      </c>
    </row>
    <row r="69" spans="1:17">
      <c r="A69" s="36" t="s">
        <v>64</v>
      </c>
      <c r="B69" s="28" t="str">
        <f>IF(ISNA(VLOOKUP(A69,Boursa!A:G,6,0)),"",VLOOKUP(A69,Boursa!A:G,6,0))</f>
        <v/>
      </c>
      <c r="C69" s="28" t="str">
        <f>IF(ISNA(VLOOKUP(A69,Boursa!A:G,7,0)),"",VLOOKUP(A69,Boursa!A:G,7,0))</f>
        <v/>
      </c>
      <c r="D69" s="28" t="str">
        <f>IF(ISNA(VLOOKUP(A69,Index!A:C,3,0)),"",VLOOKUP(A69,Index!A:C,3,0))</f>
        <v>FactSet</v>
      </c>
      <c r="E69" s="28" t="str">
        <f>IF(D69&lt;&gt;"",VLOOKUP(A69,Index!A:B,2,0),"")</f>
        <v>Name,ISIN,SEDOL,Ticker,Weight</v>
      </c>
      <c r="F69" s="28" t="str">
        <f>IF(ISNA(VLOOKUP(A69,'Shariah DataFeed'!A:B,2,0)),"",VLOOKUP(A69,'Shariah DataFeed'!A:B,2,0))</f>
        <v/>
      </c>
      <c r="G69" s="28" t="str">
        <f>IF(F69&lt;&gt;"",VLOOKUP(A69,'Shariah DataFeed'!A:D,4,0),"")</f>
        <v/>
      </c>
      <c r="H69" s="28" t="str">
        <f>IF(ISNA(VLOOKUP(A69,'ESG Consalidated'!A:D,4,0)),"",VLOOKUP(A69,'ESG Consalidated'!A:D,4,0))</f>
        <v/>
      </c>
      <c r="I69" s="28" t="str">
        <f>IF(H69&lt;&gt;"",VLOOKUP(A69,'ESG Consalidated'!A:B,2,0),"")</f>
        <v/>
      </c>
      <c r="J69" s="28" t="str">
        <f>IF(ISNA(VLOOKUP(A69,'Purif &amp; Zakat'!C:K,9,0)),"",VLOOKUP(A69,'Purif &amp; Zakat'!C:K,9,0))</f>
        <v/>
      </c>
      <c r="K69" s="28" t="str">
        <f>IF(J69&lt;&gt;"",VLOOKUP(A69,'Purif &amp; Zakat'!C:E,3,0),"")</f>
        <v/>
      </c>
      <c r="L69" s="28" t="str">
        <f t="shared" si="8"/>
        <v>Index Fields Count: 5</v>
      </c>
      <c r="M69" s="28">
        <f t="shared" si="9"/>
        <v>1</v>
      </c>
      <c r="N69" s="32">
        <f t="shared" si="10"/>
        <v>5</v>
      </c>
      <c r="O69" s="52" t="str">
        <f t="shared" si="11"/>
        <v>Index Fields Source: FactSet</v>
      </c>
      <c r="P69" s="28" t="str">
        <f>IF(ISNA(VLOOKUP(A69,Service!B:B,1,0)),"No","Yes")</f>
        <v>No</v>
      </c>
      <c r="Q69" s="28">
        <f>IFERROR(IFERROR(VLOOKUP(A69,'Shariah DataFeed'!A:H,10,0),VLOOKUP(A69,'ESG Consalidated'!A:E,5,0)),0)</f>
        <v>0</v>
      </c>
    </row>
    <row r="70" spans="1:17" ht="116">
      <c r="A70" s="36" t="s">
        <v>41</v>
      </c>
      <c r="B70" s="28" t="str">
        <f>IF(ISNA(VLOOKUP(A70,Boursa!A:G,6,0)),"",VLOOKUP(A70,Boursa!A:G,6,0))</f>
        <v/>
      </c>
      <c r="C70" s="28" t="str">
        <f>IF(ISNA(VLOOKUP(A70,Boursa!A:G,7,0)),"",VLOOKUP(A70,Boursa!A:G,7,0))</f>
        <v/>
      </c>
      <c r="D70" s="28" t="str">
        <f>IF(ISNA(VLOOKUP(A70,Index!A:C,3,0)),"",VLOOKUP(A70,Index!A:C,3,0))</f>
        <v/>
      </c>
      <c r="E70" s="28" t="str">
        <f>IF(D70&lt;&gt;"",VLOOKUP(A70,Index!A:B,2,0),"")</f>
        <v/>
      </c>
      <c r="F70" s="28" t="str">
        <f>IF(ISNA(VLOOKUP(A70,'Shariah DataFeed'!A:B,2,0)),"",VLOOKUP(A70,'Shariah DataFeed'!A:B,2,0))</f>
        <v>Reuters</v>
      </c>
      <c r="G70" s="28" t="str">
        <f>IF(F70&lt;&gt;"",VLOOKUP(A70,'Shariah DataFeed'!A:D,4,0),"")</f>
        <v>Name, SEDOL, ISIN, Ticker, Exchanges, AAOIFI, FTSE Shariah-based, MSCI Islamic-based, Dow Jones Islamic-based, Malaysia SC Shariah-based, Nomura NPIN</v>
      </c>
      <c r="H70" s="28" t="str">
        <f>IF(ISNA(VLOOKUP(A70,'ESG Consalidated'!A:D,4,0)),"",VLOOKUP(A70,'ESG Consalidated'!A:D,4,0))</f>
        <v/>
      </c>
      <c r="I70" s="28" t="str">
        <f>IF(H70&lt;&gt;"",VLOOKUP(A70,'ESG Consalidated'!A:B,2,0),"")</f>
        <v/>
      </c>
      <c r="J70" s="28" t="str">
        <f>IF(ISNA(VLOOKUP(A70,'Purif &amp; Zakat'!C:K,9,0)),"",VLOOKUP(A70,'Purif &amp; Zakat'!C:K,9,0))</f>
        <v/>
      </c>
      <c r="K70" s="28" t="str">
        <f>IF(J70&lt;&gt;"",VLOOKUP(A70,'Purif &amp; Zakat'!C:E,3,0),"")</f>
        <v/>
      </c>
      <c r="L70" s="28" t="str">
        <f t="shared" si="8"/>
        <v>Shariah DataFeed Fields Count: 11</v>
      </c>
      <c r="M70" s="28">
        <f t="shared" si="9"/>
        <v>1</v>
      </c>
      <c r="N70" s="32">
        <f t="shared" si="10"/>
        <v>11</v>
      </c>
      <c r="O70" s="52" t="str">
        <f t="shared" si="11"/>
        <v>Shariah DataFeed Fields Source: Reuters</v>
      </c>
      <c r="P70" s="28" t="str">
        <f>IF(ISNA(VLOOKUP(A70,Service!B:B,1,0)),"No","Yes")</f>
        <v>Yes</v>
      </c>
      <c r="Q70" s="28">
        <f>IFERROR(IFERROR(VLOOKUP(A70,'Shariah DataFeed'!A:H,10,0),VLOOKUP(A70,'ESG Consalidated'!A:E,5,0)),0)</f>
        <v>0</v>
      </c>
    </row>
    <row r="71" spans="1:17" ht="29">
      <c r="A71" s="36" t="s">
        <v>18</v>
      </c>
      <c r="B71" s="28" t="str">
        <f>IF(ISNA(VLOOKUP(A71,Boursa!A:G,6,0)),"",VLOOKUP(A71,Boursa!A:G,6,0))</f>
        <v/>
      </c>
      <c r="C71" s="28" t="str">
        <f>IF(ISNA(VLOOKUP(A71,Boursa!A:G,7,0)),"",VLOOKUP(A71,Boursa!A:G,7,0))</f>
        <v/>
      </c>
      <c r="D71" s="28" t="str">
        <f>IF(ISNA(VLOOKUP(A71,Index!A:C,3,0)),"",VLOOKUP(A71,Index!A:C,3,0))</f>
        <v/>
      </c>
      <c r="E71" s="28" t="str">
        <f>IF(D71&lt;&gt;"",VLOOKUP(A71,Index!A:B,2,0),"")</f>
        <v/>
      </c>
      <c r="F71" s="28" t="str">
        <f>IF(ISNA(VLOOKUP(A71,'Shariah DataFeed'!A:B,2,0)),"",VLOOKUP(A71,'Shariah DataFeed'!A:B,2,0))</f>
        <v>Factset</v>
      </c>
      <c r="G71" s="28" t="str">
        <f>IF(F71&lt;&gt;"",VLOOKUP(A71,'Shariah DataFeed'!A:D,4,0),"")</f>
        <v>Name, ISIN, Ticker, IdealRatings AM</v>
      </c>
      <c r="H71" s="28" t="str">
        <f>IF(ISNA(VLOOKUP(A71,'ESG Consalidated'!A:D,4,0)),"",VLOOKUP(A71,'ESG Consalidated'!A:D,4,0))</f>
        <v/>
      </c>
      <c r="I71" s="28" t="str">
        <f>IF(H71&lt;&gt;"",VLOOKUP(A71,'ESG Consalidated'!A:B,2,0),"")</f>
        <v/>
      </c>
      <c r="J71" s="28" t="str">
        <f>IF(ISNA(VLOOKUP(A71,'Purif &amp; Zakat'!C:K,9,0)),"",VLOOKUP(A71,'Purif &amp; Zakat'!C:K,9,0))</f>
        <v/>
      </c>
      <c r="K71" s="28" t="str">
        <f>IF(J71&lt;&gt;"",VLOOKUP(A71,'Purif &amp; Zakat'!C:E,3,0),"")</f>
        <v/>
      </c>
      <c r="L71" s="28" t="str">
        <f t="shared" si="8"/>
        <v>Shariah DataFeed Fields Count: 4</v>
      </c>
      <c r="M71" s="28">
        <f t="shared" si="9"/>
        <v>1</v>
      </c>
      <c r="N71" s="32">
        <f t="shared" si="10"/>
        <v>4</v>
      </c>
      <c r="O71" s="52" t="str">
        <f t="shared" si="11"/>
        <v>Shariah DataFeed Fields Source: Factset</v>
      </c>
      <c r="P71" s="28" t="str">
        <f>IF(ISNA(VLOOKUP(A71,Service!B:B,1,0)),"No","Yes")</f>
        <v>No</v>
      </c>
      <c r="Q71" s="28">
        <f>IFERROR(IFERROR(VLOOKUP(A71,'Shariah DataFeed'!A:H,10,0),VLOOKUP(A71,'ESG Consalidated'!A:E,5,0)),0)</f>
        <v>0</v>
      </c>
    </row>
    <row r="72" spans="1:17" ht="43.5">
      <c r="A72" s="36" t="s">
        <v>12</v>
      </c>
      <c r="B72" s="28" t="str">
        <f>IF(ISNA(VLOOKUP(A72,Boursa!A:G,6,0)),"",VLOOKUP(A72,Boursa!A:G,6,0))</f>
        <v/>
      </c>
      <c r="C72" s="28" t="str">
        <f>IF(ISNA(VLOOKUP(A72,Boursa!A:G,7,0)),"",VLOOKUP(A72,Boursa!A:G,7,0))</f>
        <v/>
      </c>
      <c r="D72" s="28" t="str">
        <f>IF(ISNA(VLOOKUP(A72,Index!A:C,3,0)),"",VLOOKUP(A72,Index!A:C,3,0))</f>
        <v/>
      </c>
      <c r="E72" s="28" t="str">
        <f>IF(D72&lt;&gt;"",VLOOKUP(A72,Index!A:B,2,0),"")</f>
        <v/>
      </c>
      <c r="F72" s="28" t="str">
        <f>IF(ISNA(VLOOKUP(A72,'Shariah DataFeed'!A:B,2,0)),"",VLOOKUP(A72,'Shariah DataFeed'!A:B,2,0))</f>
        <v>Factset</v>
      </c>
      <c r="G72" s="28" t="str">
        <f>IF(F72&lt;&gt;"",VLOOKUP(A72,'Shariah DataFeed'!A:D,4,0),"")</f>
        <v>Name, ISIN, Ticker, AAOIFI, Exchanges, Currency Code, Country</v>
      </c>
      <c r="H72" s="28" t="str">
        <f>IF(ISNA(VLOOKUP(A72,'ESG Consalidated'!A:D,4,0)),"",VLOOKUP(A72,'ESG Consalidated'!A:D,4,0))</f>
        <v/>
      </c>
      <c r="I72" s="28" t="str">
        <f>IF(H72&lt;&gt;"",VLOOKUP(A72,'ESG Consalidated'!A:B,2,0),"")</f>
        <v/>
      </c>
      <c r="J72" s="28" t="str">
        <f>IF(ISNA(VLOOKUP(A72,'Purif &amp; Zakat'!C:K,9,0)),"",VLOOKUP(A72,'Purif &amp; Zakat'!C:K,9,0))</f>
        <v/>
      </c>
      <c r="K72" s="28" t="str">
        <f>IF(J72&lt;&gt;"",VLOOKUP(A72,'Purif &amp; Zakat'!C:E,3,0),"")</f>
        <v/>
      </c>
      <c r="L72" s="28" t="str">
        <f t="shared" si="8"/>
        <v>Shariah DataFeed Fields Count: 7</v>
      </c>
      <c r="M72" s="28">
        <f t="shared" si="9"/>
        <v>1</v>
      </c>
      <c r="N72" s="32">
        <f t="shared" si="10"/>
        <v>7</v>
      </c>
      <c r="O72" s="52" t="str">
        <f t="shared" si="11"/>
        <v>Shariah DataFeed Fields Source: Factset</v>
      </c>
      <c r="P72" s="28" t="str">
        <f>IF(ISNA(VLOOKUP(A72,Service!B:B,1,0)),"No","Yes")</f>
        <v>No</v>
      </c>
      <c r="Q72" s="28">
        <f>IFERROR(IFERROR(VLOOKUP(A72,'Shariah DataFeed'!A:H,10,0),VLOOKUP(A72,'ESG Consalidated'!A:E,5,0)),0)</f>
        <v>0</v>
      </c>
    </row>
    <row r="73" spans="1:17">
      <c r="A73" s="36" t="s">
        <v>65</v>
      </c>
      <c r="B73" s="28" t="str">
        <f>IF(ISNA(VLOOKUP(A73,Boursa!A:G,6,0)),"",VLOOKUP(A73,Boursa!A:G,6,0))</f>
        <v/>
      </c>
      <c r="C73" s="28" t="str">
        <f>IF(ISNA(VLOOKUP(A73,Boursa!A:G,7,0)),"",VLOOKUP(A73,Boursa!A:G,7,0))</f>
        <v/>
      </c>
      <c r="D73" s="28" t="str">
        <f>IF(ISNA(VLOOKUP(A73,Index!A:C,3,0)),"",VLOOKUP(A73,Index!A:C,3,0))</f>
        <v>FactSet</v>
      </c>
      <c r="E73" s="28" t="str">
        <f>IF(D73&lt;&gt;"",VLOOKUP(A73,Index!A:B,2,0),"")</f>
        <v>Name,ISIN,SEDOL,Ticker,Weight</v>
      </c>
      <c r="F73" s="28" t="str">
        <f>IF(ISNA(VLOOKUP(A73,'Shariah DataFeed'!A:B,2,0)),"",VLOOKUP(A73,'Shariah DataFeed'!A:B,2,0))</f>
        <v/>
      </c>
      <c r="G73" s="28" t="str">
        <f>IF(F73&lt;&gt;"",VLOOKUP(A73,'Shariah DataFeed'!A:D,4,0),"")</f>
        <v/>
      </c>
      <c r="H73" s="28" t="str">
        <f>IF(ISNA(VLOOKUP(A73,'ESG Consalidated'!A:D,4,0)),"",VLOOKUP(A73,'ESG Consalidated'!A:D,4,0))</f>
        <v/>
      </c>
      <c r="I73" s="28" t="str">
        <f>IF(H73&lt;&gt;"",VLOOKUP(A73,'ESG Consalidated'!A:B,2,0),"")</f>
        <v/>
      </c>
      <c r="J73" s="28" t="str">
        <f>IF(ISNA(VLOOKUP(A73,'Purif &amp; Zakat'!C:K,9,0)),"",VLOOKUP(A73,'Purif &amp; Zakat'!C:K,9,0))</f>
        <v/>
      </c>
      <c r="K73" s="28" t="str">
        <f>IF(J73&lt;&gt;"",VLOOKUP(A73,'Purif &amp; Zakat'!C:E,3,0),"")</f>
        <v/>
      </c>
      <c r="L73" s="28" t="str">
        <f t="shared" si="8"/>
        <v>Index Fields Count: 5</v>
      </c>
      <c r="M73" s="28">
        <f t="shared" si="9"/>
        <v>1</v>
      </c>
      <c r="N73" s="32">
        <f t="shared" si="10"/>
        <v>5</v>
      </c>
      <c r="O73" s="52" t="str">
        <f t="shared" si="11"/>
        <v>Index Fields Source: FactSet</v>
      </c>
      <c r="P73" s="28" t="str">
        <f>IF(ISNA(VLOOKUP(A73,Service!B:B,1,0)),"No","Yes")</f>
        <v>No</v>
      </c>
      <c r="Q73" s="28">
        <f>IFERROR(IFERROR(VLOOKUP(A73,'Shariah DataFeed'!A:H,10,0),VLOOKUP(A73,'ESG Consalidated'!A:E,5,0)),0)</f>
        <v>0</v>
      </c>
    </row>
    <row r="74" spans="1:17" ht="43.5">
      <c r="A74" s="40" t="s">
        <v>43</v>
      </c>
      <c r="B74" s="28" t="str">
        <f>IF(ISNA(VLOOKUP(A74,Boursa!A:G,6,0)),"",VLOOKUP(A74,Boursa!A:G,6,0))</f>
        <v/>
      </c>
      <c r="C74" s="28" t="str">
        <f>IF(ISNA(VLOOKUP(A74,Boursa!A:G,7,0)),"",VLOOKUP(A74,Boursa!A:G,7,0))</f>
        <v/>
      </c>
      <c r="D74" s="28" t="str">
        <f>IF(ISNA(VLOOKUP(A74,Index!A:C,3,0)),"",VLOOKUP(A74,Index!A:C,3,0))</f>
        <v/>
      </c>
      <c r="E74" s="28" t="str">
        <f>IF(D74&lt;&gt;"",VLOOKUP(A74,Index!A:B,2,0),"")</f>
        <v/>
      </c>
      <c r="F74" s="28" t="str">
        <f>IF(ISNA(VLOOKUP(A74,'Shariah DataFeed'!A:B,2,0)),"",VLOOKUP(A74,'Shariah DataFeed'!A:B,2,0))</f>
        <v>Reuters</v>
      </c>
      <c r="G74" s="28" t="str">
        <f>IF(F74&lt;&gt;"",VLOOKUP(A74,'Shariah DataFeed'!A:D,4,0),"")</f>
        <v>IR WID, Name, ISIN, IdealRatings ESG - Rating</v>
      </c>
      <c r="H74" s="28" t="str">
        <f>IF(ISNA(VLOOKUP(A74,'ESG Consalidated'!A:D,4,0)),"",VLOOKUP(A74,'ESG Consalidated'!A:D,4,0))</f>
        <v/>
      </c>
      <c r="I74" s="28" t="str">
        <f>IF(H74&lt;&gt;"",VLOOKUP(A74,'ESG Consalidated'!A:B,2,0),"")</f>
        <v/>
      </c>
      <c r="J74" s="28" t="str">
        <f>IF(ISNA(VLOOKUP(A74,'Purif &amp; Zakat'!C:K,9,0)),"",VLOOKUP(A74,'Purif &amp; Zakat'!C:K,9,0))</f>
        <v/>
      </c>
      <c r="K74" s="28" t="str">
        <f>IF(J74&lt;&gt;"",VLOOKUP(A74,'Purif &amp; Zakat'!C:E,3,0),"")</f>
        <v/>
      </c>
      <c r="L74" s="28" t="str">
        <f t="shared" si="8"/>
        <v>Shariah DataFeed Fields Count: 4</v>
      </c>
      <c r="M74" s="28">
        <f t="shared" si="9"/>
        <v>1</v>
      </c>
      <c r="N74" s="32">
        <f t="shared" si="10"/>
        <v>4</v>
      </c>
      <c r="O74" s="52" t="str">
        <f t="shared" si="11"/>
        <v>Shariah DataFeed Fields Source: Reuters</v>
      </c>
      <c r="P74" s="28" t="str">
        <f>IF(ISNA(VLOOKUP(A74,Service!B:B,1,0)),"No","Yes")</f>
        <v>Yes</v>
      </c>
      <c r="Q74" s="28">
        <f>IFERROR(IFERROR(VLOOKUP(A74,'Shariah DataFeed'!A:H,10,0),VLOOKUP(A74,'ESG Consalidated'!A:E,5,0)),0)</f>
        <v>0</v>
      </c>
    </row>
    <row r="75" spans="1:17" s="327" customFormat="1" ht="145">
      <c r="A75" s="333" t="s">
        <v>15</v>
      </c>
      <c r="B75" s="327" t="str">
        <f>IF(ISNA(VLOOKUP(A75,Boursa!A:G,6,0)),"",VLOOKUP(A75,Boursa!A:G,6,0))</f>
        <v/>
      </c>
      <c r="C75" s="327" t="str">
        <f>IF(ISNA(VLOOKUP(A75,Boursa!A:G,7,0)),"",VLOOKUP(A75,Boursa!A:G,7,0))</f>
        <v/>
      </c>
      <c r="D75" s="327" t="str">
        <f>IF(ISNA(VLOOKUP(A75,Index!A:C,3,0)),"",VLOOKUP(A75,Index!A:C,3,0))</f>
        <v/>
      </c>
      <c r="E75" s="327" t="str">
        <f>IF(D75&lt;&gt;"",VLOOKUP(A75,Index!A:B,2,0),"")</f>
        <v/>
      </c>
      <c r="F75" s="327" t="str">
        <f>IF(ISNA(VLOOKUP(A75,'Shariah DataFeed'!A:B,2,0)),"",VLOOKUP(A75,'Shariah DataFeed'!A:B,2,0))</f>
        <v>Reuters</v>
      </c>
      <c r="G75" s="327" t="str">
        <f>IF(F75&lt;&gt;"",VLOOKUP(A75,'Shariah DataFeed'!A:D,4,0),"")</f>
        <v>Exchanges, Fiscal Period, Period End Date, Ticker, ISIN, Name, Nation, Total Common Shares, Market Price, Date Of Current Price, Market Cap, Trailing 12 Months Market Cap (Daily), Assets - Total</v>
      </c>
      <c r="H75" s="327" t="str">
        <f>IF(ISNA(VLOOKUP(A75,'ESG Consalidated'!A:D,4,0)),"",VLOOKUP(A75,'ESG Consalidated'!A:D,4,0))</f>
        <v/>
      </c>
      <c r="I75" s="327" t="str">
        <f>IF(H75&lt;&gt;"",VLOOKUP(A75,'ESG Consalidated'!A:B,2,0),"")</f>
        <v/>
      </c>
      <c r="J75" s="327" t="str">
        <f>IF(ISNA(VLOOKUP(A75,'Purif &amp; Zakat'!C:K,9,0)),"",VLOOKUP(A75,'Purif &amp; Zakat'!C:K,9,0))</f>
        <v/>
      </c>
      <c r="K75" s="327" t="str">
        <f>IF(J75&lt;&gt;"",VLOOKUP(A75,'Purif &amp; Zakat'!C:E,3,0),"")</f>
        <v/>
      </c>
      <c r="L75" s="327" t="str">
        <f t="shared" si="8"/>
        <v>Shariah DataFeed Fields Count: 13</v>
      </c>
      <c r="M75" s="327">
        <f t="shared" si="9"/>
        <v>1</v>
      </c>
      <c r="N75" s="329">
        <f t="shared" si="10"/>
        <v>13</v>
      </c>
      <c r="O75" s="330" t="str">
        <f t="shared" si="11"/>
        <v>Shariah DataFeed Fields Source: Reuters</v>
      </c>
      <c r="P75" s="327" t="str">
        <f>IF(ISNA(VLOOKUP(A75,Service!B:B,1,0)),"No","Yes")</f>
        <v>No</v>
      </c>
      <c r="Q75" s="327">
        <f>IFERROR(IFERROR(VLOOKUP(A75,'Shariah DataFeed'!A:H,10,0),VLOOKUP(A75,'ESG Consalidated'!A:E,5,0)),0)</f>
        <v>0</v>
      </c>
    </row>
    <row r="76" spans="1:17" ht="29">
      <c r="A76" s="43" t="s">
        <v>244</v>
      </c>
      <c r="B76" s="28" t="str">
        <f>IF(ISNA(VLOOKUP(A76,Boursa!A:G,6,0)),"",VLOOKUP(A76,Boursa!A:G,6,0))</f>
        <v/>
      </c>
      <c r="C76" s="28" t="str">
        <f>IF(ISNA(VLOOKUP(A76,Boursa!A:G,7,0)),"",VLOOKUP(A76,Boursa!A:G,7,0))</f>
        <v/>
      </c>
      <c r="D76" s="28" t="str">
        <f>IF(ISNA(VLOOKUP(A76,Index!A:C,3,0)),"",VLOOKUP(A76,Index!A:C,3,0))</f>
        <v/>
      </c>
      <c r="E76" s="28" t="str">
        <f>IF(D76&lt;&gt;"",VLOOKUP(A76,Index!A:B,2,0),"")</f>
        <v/>
      </c>
      <c r="F76" s="28" t="str">
        <f>IF(ISNA(VLOOKUP(A76,'Shariah DataFeed'!A:B,2,0)),"",VLOOKUP(A76,'Shariah DataFeed'!A:B,2,0))</f>
        <v/>
      </c>
      <c r="G76" s="28" t="str">
        <f>IF(F76&lt;&gt;"",VLOOKUP(A76,'Shariah DataFeed'!A:D,4,0),"")</f>
        <v/>
      </c>
      <c r="H76" s="28" t="str">
        <f>IF(ISNA(VLOOKUP(A76,'ESG Consalidated'!A:D,4,0)),"",VLOOKUP(A76,'ESG Consalidated'!A:D,4,0))</f>
        <v/>
      </c>
      <c r="I76" s="28" t="str">
        <f>IF(H76&lt;&gt;"",VLOOKUP(A76,'ESG Consalidated'!A:B,2,0),"")</f>
        <v/>
      </c>
      <c r="J76" s="28" t="str">
        <f>IF(ISNA(VLOOKUP(A76,'Purif &amp; Zakat'!C:K,9,0)),"",VLOOKUP(A76,'Purif &amp; Zakat'!C:K,9,0))</f>
        <v>Reuters</v>
      </c>
      <c r="K76" s="28" t="str">
        <f>IF(J76&lt;&gt;"",VLOOKUP(A76,'Purif &amp; Zakat'!C:E,3,0),"")</f>
        <v>Name, Ticker, Purification (we can use ISIN instead of Ticker since they send us ISINs)</v>
      </c>
      <c r="L76" s="28" t="str">
        <f t="shared" si="8"/>
        <v>Purification &amp; Zakat Fields Count: 3</v>
      </c>
      <c r="M76" s="28">
        <f t="shared" si="9"/>
        <v>1</v>
      </c>
      <c r="N76" s="32">
        <f t="shared" si="10"/>
        <v>3</v>
      </c>
      <c r="O76" s="52" t="str">
        <f t="shared" si="11"/>
        <v>Purification &amp; Zakat Fields Source: Reuters</v>
      </c>
      <c r="P76" s="28" t="str">
        <f>IF(ISNA(VLOOKUP(A76,Service!B:B,1,0)),"No","Yes")</f>
        <v>No</v>
      </c>
      <c r="Q76" s="28">
        <f>IFERROR(IFERROR(VLOOKUP(A76,'Shariah DataFeed'!A:H,10,0),VLOOKUP(A76,'ESG Consalidated'!A:E,5,0)),0)</f>
        <v>0</v>
      </c>
    </row>
    <row r="77" spans="1:17" ht="43.5">
      <c r="A77" s="41" t="s">
        <v>137</v>
      </c>
      <c r="B77" s="28" t="str">
        <f>IF(ISNA(VLOOKUP(A77,Boursa!A:G,6,0)),"",VLOOKUP(A77,Boursa!A:G,6,0))</f>
        <v/>
      </c>
      <c r="C77" s="28" t="str">
        <f>IF(ISNA(VLOOKUP(A77,Boursa!A:G,7,0)),"",VLOOKUP(A77,Boursa!A:G,7,0))</f>
        <v/>
      </c>
      <c r="D77" s="28" t="str">
        <f>IF(ISNA(VLOOKUP(A77,Index!A:C,3,0)),"",VLOOKUP(A77,Index!A:C,3,0))</f>
        <v/>
      </c>
      <c r="E77" s="28" t="str">
        <f>IF(D77&lt;&gt;"",VLOOKUP(A77,Index!A:B,2,0),"")</f>
        <v/>
      </c>
      <c r="F77" s="28" t="str">
        <f>IF(ISNA(VLOOKUP(A77,'Shariah DataFeed'!A:B,2,0)),"",VLOOKUP(A77,'Shariah DataFeed'!A:B,2,0))</f>
        <v>Reuters</v>
      </c>
      <c r="G77" s="28" t="str">
        <f>IF(F77&lt;&gt;"",VLOOKUP(A77,'Shariah DataFeed'!A:D,4,0),"")</f>
        <v>Name, ISIN, Display RIC, RepNo, Compliance status</v>
      </c>
      <c r="H77" s="28" t="str">
        <f>IF(ISNA(VLOOKUP(A77,'ESG Consalidated'!A:D,4,0)),"",VLOOKUP(A77,'ESG Consalidated'!A:D,4,0))</f>
        <v/>
      </c>
      <c r="I77" s="28" t="str">
        <f>IF(H77&lt;&gt;"",VLOOKUP(A77,'ESG Consalidated'!A:B,2,0),"")</f>
        <v/>
      </c>
      <c r="J77" s="28" t="str">
        <f>IF(ISNA(VLOOKUP(A77,'Purif &amp; Zakat'!C:K,9,0)),"",VLOOKUP(A77,'Purif &amp; Zakat'!C:K,9,0))</f>
        <v/>
      </c>
      <c r="K77" s="28" t="str">
        <f>IF(J77&lt;&gt;"",VLOOKUP(A77,'Purif &amp; Zakat'!C:E,3,0),"")</f>
        <v/>
      </c>
      <c r="L77" s="28" t="str">
        <f t="shared" si="8"/>
        <v>Shariah DataFeed Fields Count: 5</v>
      </c>
      <c r="M77" s="28">
        <f t="shared" si="9"/>
        <v>1</v>
      </c>
      <c r="N77" s="32">
        <f t="shared" si="10"/>
        <v>5</v>
      </c>
      <c r="O77" s="52" t="str">
        <f t="shared" si="11"/>
        <v>Shariah DataFeed Fields Source: Reuters</v>
      </c>
      <c r="P77" s="28" t="str">
        <f>IF(ISNA(VLOOKUP(A77,Service!B:B,1,0)),"No","Yes")</f>
        <v>No</v>
      </c>
      <c r="Q77" s="28">
        <f>IFERROR(IFERROR(VLOOKUP(A77,'Shariah DataFeed'!A:H,10,0),VLOOKUP(A77,'ESG Consalidated'!A:E,5,0)),0)</f>
        <v>0</v>
      </c>
    </row>
    <row r="78" spans="1:17" ht="58">
      <c r="A78" s="42" t="s">
        <v>278</v>
      </c>
      <c r="B78" s="28" t="str">
        <f>IF(ISNA(VLOOKUP(A78,Boursa!A:G,6,0)),"",VLOOKUP(A78,Boursa!A:G,6,0))</f>
        <v>Reuters</v>
      </c>
      <c r="C78" s="28" t="str">
        <f>IF(ISNA(VLOOKUP(A78,Boursa!A:G,7,0)),"",VLOOKUP(A78,Boursa!A:G,7,0))</f>
        <v>Prices for change% and moving average, market cap, Total NPIN, Total Income/Revenue, Total Common Shares Outstanding, Financial Fields, Compliance</v>
      </c>
      <c r="D78" s="28" t="str">
        <f>IF(ISNA(VLOOKUP(A78,Index!A:C,3,0)),"",VLOOKUP(A78,Index!A:C,3,0))</f>
        <v/>
      </c>
      <c r="E78" s="28" t="str">
        <f>IF(D78&lt;&gt;"",VLOOKUP(A78,Index!A:B,2,0),"")</f>
        <v/>
      </c>
      <c r="F78" s="28" t="str">
        <f>IF(ISNA(VLOOKUP(A78,'Shariah DataFeed'!A:B,2,0)),"",VLOOKUP(A78,'Shariah DataFeed'!A:B,2,0))</f>
        <v/>
      </c>
      <c r="G78" s="28" t="str">
        <f>IF(F78&lt;&gt;"",VLOOKUP(A78,'Shariah DataFeed'!A:D,4,0),"")</f>
        <v/>
      </c>
      <c r="H78" s="28" t="str">
        <f>IF(ISNA(VLOOKUP(A78,'ESG Consalidated'!A:D,4,0)),"",VLOOKUP(A78,'ESG Consalidated'!A:D,4,0))</f>
        <v/>
      </c>
      <c r="I78" s="28" t="str">
        <f>IF(H78&lt;&gt;"",VLOOKUP(A78,'ESG Consalidated'!A:B,2,0),"")</f>
        <v/>
      </c>
      <c r="J78" s="28" t="str">
        <f>IF(ISNA(VLOOKUP(A78,'Purif &amp; Zakat'!C:K,9,0)),"",VLOOKUP(A78,'Purif &amp; Zakat'!C:K,9,0))</f>
        <v/>
      </c>
      <c r="K78" s="28" t="str">
        <f>IF(J78&lt;&gt;"",VLOOKUP(A78,'Purif &amp; Zakat'!C:E,3,0),"")</f>
        <v/>
      </c>
      <c r="L78" s="28" t="str">
        <f t="shared" si="8"/>
        <v>Boursa Fields Count: 7</v>
      </c>
      <c r="M78" s="28">
        <f t="shared" si="9"/>
        <v>1</v>
      </c>
      <c r="N78" s="32">
        <f t="shared" si="10"/>
        <v>7</v>
      </c>
      <c r="O78" s="52" t="str">
        <f t="shared" si="11"/>
        <v>Boursa Fields Source: Reuters</v>
      </c>
      <c r="P78" s="28" t="str">
        <f>IF(ISNA(VLOOKUP(A78,Service!B:B,1,0)),"No","Yes")</f>
        <v>No</v>
      </c>
      <c r="Q78" s="28">
        <f>IFERROR(IFERROR(VLOOKUP(A78,'Shariah DataFeed'!A:H,10,0),VLOOKUP(A78,'ESG Consalidated'!A:E,5,0)),0)</f>
        <v>0</v>
      </c>
    </row>
    <row r="79" spans="1:17" ht="25">
      <c r="A79" s="43" t="s">
        <v>241</v>
      </c>
      <c r="B79" s="28" t="str">
        <f>IF(ISNA(VLOOKUP(A79,Boursa!A:G,6,0)),"",VLOOKUP(A79,Boursa!A:G,6,0))</f>
        <v/>
      </c>
      <c r="C79" s="28" t="str">
        <f>IF(ISNA(VLOOKUP(A79,Boursa!A:G,7,0)),"",VLOOKUP(A79,Boursa!A:G,7,0))</f>
        <v/>
      </c>
      <c r="D79" s="28" t="str">
        <f>IF(ISNA(VLOOKUP(A79,Index!A:C,3,0)),"",VLOOKUP(A79,Index!A:C,3,0))</f>
        <v/>
      </c>
      <c r="E79" s="28" t="str">
        <f>IF(D79&lt;&gt;"",VLOOKUP(A79,Index!A:B,2,0),"")</f>
        <v/>
      </c>
      <c r="F79" s="28" t="str">
        <f>IF(ISNA(VLOOKUP(A79,'Shariah DataFeed'!A:B,2,0)),"",VLOOKUP(A79,'Shariah DataFeed'!A:B,2,0))</f>
        <v/>
      </c>
      <c r="G79" s="28" t="str">
        <f>IF(F79&lt;&gt;"",VLOOKUP(A79,'Shariah DataFeed'!A:D,4,0),"")</f>
        <v/>
      </c>
      <c r="H79" s="28" t="str">
        <f>IF(ISNA(VLOOKUP(A79,'ESG Consalidated'!A:D,4,0)),"",VLOOKUP(A79,'ESG Consalidated'!A:D,4,0))</f>
        <v/>
      </c>
      <c r="I79" s="28" t="str">
        <f>IF(H79&lt;&gt;"",VLOOKUP(A79,'ESG Consalidated'!A:B,2,0),"")</f>
        <v/>
      </c>
      <c r="J79" s="28" t="str">
        <f>IF(ISNA(VLOOKUP(A79,'Purif &amp; Zakat'!C:K,9,0)),"",VLOOKUP(A79,'Purif &amp; Zakat'!C:K,9,0))</f>
        <v>Reuters</v>
      </c>
      <c r="K79" s="28" t="str">
        <f>IF(J79&lt;&gt;"",VLOOKUP(A79,'Purif &amp; Zakat'!C:E,3,0),"")</f>
        <v>Purification per share, Purification</v>
      </c>
      <c r="L79" s="28" t="str">
        <f t="shared" si="8"/>
        <v>Purification &amp; Zakat Fields Count: 2</v>
      </c>
      <c r="M79" s="28">
        <f t="shared" si="9"/>
        <v>1</v>
      </c>
      <c r="N79" s="32">
        <f t="shared" si="10"/>
        <v>2</v>
      </c>
      <c r="O79" s="52" t="str">
        <f t="shared" si="11"/>
        <v>Purification &amp; Zakat Fields Source: Reuters</v>
      </c>
      <c r="P79" s="28" t="str">
        <f>IF(ISNA(VLOOKUP(A79,Service!B:B,1,0)),"No","Yes")</f>
        <v>No</v>
      </c>
      <c r="Q79" s="28">
        <f>IFERROR(IFERROR(VLOOKUP(A79,'Shariah DataFeed'!A:H,10,0),VLOOKUP(A79,'ESG Consalidated'!A:E,5,0)),0)</f>
        <v>0</v>
      </c>
    </row>
    <row r="80" spans="1:17" ht="29">
      <c r="A80" s="40" t="s">
        <v>24</v>
      </c>
      <c r="B80" s="28" t="str">
        <f>IF(ISNA(VLOOKUP(A80,Boursa!A:G,6,0)),"",VLOOKUP(A80,Boursa!A:G,6,0))</f>
        <v/>
      </c>
      <c r="C80" s="28" t="str">
        <f>IF(ISNA(VLOOKUP(A80,Boursa!A:G,7,0)),"",VLOOKUP(A80,Boursa!A:G,7,0))</f>
        <v/>
      </c>
      <c r="D80" s="28" t="str">
        <f>IF(ISNA(VLOOKUP(A80,Index!A:C,3,0)),"",VLOOKUP(A80,Index!A:C,3,0))</f>
        <v/>
      </c>
      <c r="E80" s="28" t="str">
        <f>IF(D80&lt;&gt;"",VLOOKUP(A80,Index!A:B,2,0),"")</f>
        <v/>
      </c>
      <c r="F80" s="28" t="str">
        <f>IF(ISNA(VLOOKUP(A80,'Shariah DataFeed'!A:B,2,0)),"",VLOOKUP(A80,'Shariah DataFeed'!A:B,2,0))</f>
        <v>Factset</v>
      </c>
      <c r="G80" s="28" t="str">
        <f>IF(F80&lt;&gt;"",VLOOKUP(A80,'Shariah DataFeed'!A:D,4,0),"")</f>
        <v>Name, Nation, ISIN, Ticker</v>
      </c>
      <c r="H80" s="28" t="str">
        <f>IF(ISNA(VLOOKUP(A80,'ESG Consalidated'!A:D,4,0)),"",VLOOKUP(A80,'ESG Consalidated'!A:D,4,0))</f>
        <v/>
      </c>
      <c r="I80" s="28" t="str">
        <f>IF(H80&lt;&gt;"",VLOOKUP(A80,'ESG Consalidated'!A:B,2,0),"")</f>
        <v/>
      </c>
      <c r="J80" s="28" t="str">
        <f>IF(ISNA(VLOOKUP(A80,'Purif &amp; Zakat'!C:K,9,0)),"",VLOOKUP(A80,'Purif &amp; Zakat'!C:K,9,0))</f>
        <v/>
      </c>
      <c r="K80" s="28" t="str">
        <f>IF(J80&lt;&gt;"",VLOOKUP(A80,'Purif &amp; Zakat'!C:E,3,0),"")</f>
        <v/>
      </c>
      <c r="L80" s="28" t="str">
        <f t="shared" si="8"/>
        <v>Shariah DataFeed Fields Count: 4</v>
      </c>
      <c r="M80" s="28">
        <f t="shared" si="9"/>
        <v>1</v>
      </c>
      <c r="N80" s="32">
        <f t="shared" si="10"/>
        <v>4</v>
      </c>
      <c r="O80" s="52" t="str">
        <f t="shared" si="11"/>
        <v>Shariah DataFeed Fields Source: Factset</v>
      </c>
      <c r="P80" s="28" t="str">
        <f>IF(ISNA(VLOOKUP(A80,Service!B:B,1,0)),"No","Yes")</f>
        <v>No</v>
      </c>
      <c r="Q80" s="28">
        <f>IFERROR(IFERROR(VLOOKUP(A80,'Shariah DataFeed'!A:H,10,0),VLOOKUP(A80,'ESG Consalidated'!A:E,5,0)),0)</f>
        <v>0</v>
      </c>
    </row>
    <row r="81" spans="1:17">
      <c r="A81" s="40" t="s">
        <v>57</v>
      </c>
      <c r="B81" s="28" t="str">
        <f>IF(ISNA(VLOOKUP(A81,Boursa!A:G,6,0)),"",VLOOKUP(A81,Boursa!A:G,6,0))</f>
        <v/>
      </c>
      <c r="C81" s="28" t="str">
        <f>IF(ISNA(VLOOKUP(A81,Boursa!A:G,7,0)),"",VLOOKUP(A81,Boursa!A:G,7,0))</f>
        <v/>
      </c>
      <c r="D81" s="28" t="str">
        <f>IF(ISNA(VLOOKUP(A81,Index!A:C,3,0)),"",VLOOKUP(A81,Index!A:C,3,0))</f>
        <v>FactSet</v>
      </c>
      <c r="E81" s="28" t="str">
        <f>IF(D81&lt;&gt;"",VLOOKUP(A81,Index!A:B,2,0),"")</f>
        <v>Name,ISIN,SEDOL,Ticker,Weight</v>
      </c>
      <c r="F81" s="28" t="str">
        <f>IF(ISNA(VLOOKUP(A81,'Shariah DataFeed'!A:B,2,0)),"",VLOOKUP(A81,'Shariah DataFeed'!A:B,2,0))</f>
        <v/>
      </c>
      <c r="G81" s="28" t="str">
        <f>IF(F81&lt;&gt;"",VLOOKUP(A81,'Shariah DataFeed'!A:D,4,0),"")</f>
        <v/>
      </c>
      <c r="H81" s="28" t="str">
        <f>IF(ISNA(VLOOKUP(A81,'ESG Consalidated'!A:D,4,0)),"",VLOOKUP(A81,'ESG Consalidated'!A:D,4,0))</f>
        <v/>
      </c>
      <c r="I81" s="28" t="str">
        <f>IF(H81&lt;&gt;"",VLOOKUP(A81,'ESG Consalidated'!A:B,2,0),"")</f>
        <v/>
      </c>
      <c r="J81" s="28" t="str">
        <f>IF(ISNA(VLOOKUP(A81,'Purif &amp; Zakat'!C:K,9,0)),"",VLOOKUP(A81,'Purif &amp; Zakat'!C:K,9,0))</f>
        <v/>
      </c>
      <c r="K81" s="28" t="str">
        <f>IF(J81&lt;&gt;"",VLOOKUP(A81,'Purif &amp; Zakat'!C:E,3,0),"")</f>
        <v/>
      </c>
      <c r="L81" s="28" t="str">
        <f t="shared" si="8"/>
        <v>Index Fields Count: 5</v>
      </c>
      <c r="M81" s="28">
        <f t="shared" si="9"/>
        <v>1</v>
      </c>
      <c r="N81" s="32">
        <f t="shared" si="10"/>
        <v>5</v>
      </c>
      <c r="O81" s="52" t="str">
        <f t="shared" si="11"/>
        <v>Index Fields Source: FactSet</v>
      </c>
      <c r="P81" s="28" t="str">
        <f>IF(ISNA(VLOOKUP(A81,Service!B:B,1,0)),"No","Yes")</f>
        <v>No</v>
      </c>
      <c r="Q81" s="28">
        <f>IFERROR(IFERROR(VLOOKUP(A81,'Shariah DataFeed'!A:H,10,0),VLOOKUP(A81,'ESG Consalidated'!A:E,5,0)),0)</f>
        <v>0</v>
      </c>
    </row>
    <row r="82" spans="1:17" ht="290">
      <c r="A82" s="40" t="s">
        <v>45</v>
      </c>
      <c r="B82" s="28" t="str">
        <f>IF(ISNA(VLOOKUP(A82,Boursa!A:G,6,0)),"",VLOOKUP(A82,Boursa!A:G,6,0))</f>
        <v/>
      </c>
      <c r="C82" s="28" t="str">
        <f>IF(ISNA(VLOOKUP(A82,Boursa!A:G,7,0)),"",VLOOKUP(A82,Boursa!A:G,7,0))</f>
        <v/>
      </c>
      <c r="D82" s="28" t="str">
        <f>IF(ISNA(VLOOKUP(A82,Index!A:C,3,0)),"",VLOOKUP(A82,Index!A:C,3,0))</f>
        <v/>
      </c>
      <c r="E82" s="28" t="str">
        <f>IF(D82&lt;&gt;"",VLOOKUP(A82,Index!A:B,2,0),"")</f>
        <v/>
      </c>
      <c r="F82" s="28" t="str">
        <f>IF(ISNA(VLOOKUP(A82,'Shariah DataFeed'!A:B,2,0)),"",VLOOKUP(A82,'Shariah DataFeed'!A:B,2,0))</f>
        <v>Factset</v>
      </c>
      <c r="G82" s="28" t="str">
        <f>IF(F82&lt;&gt;"",VLOOKUP(A82,'Shariah DataFeed'!A:D,4,0),"")</f>
        <v>Name, Nation, ISIN, Business Activities, Debt Conv , Cash and Cash Equivalents Total, Receivables Total, Cash and Short Term Inv Conv , [FransiCapital] Total NPIN (1) , Trailing 12 Months Market Cap Most Recent Statement, Income Total, [FransiCapital] Debt, [FransiCapital] Interest bearing Investments, [FransiCapital] Non permissible Income, FransiCapital, Fransi Capital Purification Div , Fiscal Period</v>
      </c>
      <c r="H82" s="28" t="str">
        <f>IF(ISNA(VLOOKUP(A82,'ESG Consalidated'!A:D,4,0)),"",VLOOKUP(A82,'ESG Consalidated'!A:D,4,0))</f>
        <v/>
      </c>
      <c r="I82" s="28" t="str">
        <f>IF(H82&lt;&gt;"",VLOOKUP(A82,'ESG Consalidated'!A:B,2,0),"")</f>
        <v/>
      </c>
      <c r="J82" s="28" t="str">
        <f>IF(ISNA(VLOOKUP(A82,'Purif &amp; Zakat'!C:K,9,0)),"",VLOOKUP(A82,'Purif &amp; Zakat'!C:K,9,0))</f>
        <v/>
      </c>
      <c r="K82" s="28" t="str">
        <f>IF(J82&lt;&gt;"",VLOOKUP(A82,'Purif &amp; Zakat'!C:E,3,0),"")</f>
        <v/>
      </c>
      <c r="L82" s="28" t="str">
        <f t="shared" si="8"/>
        <v>Shariah DataFeed Fields Count: 17</v>
      </c>
      <c r="M82" s="28">
        <f t="shared" si="9"/>
        <v>1</v>
      </c>
      <c r="N82" s="32">
        <f t="shared" si="10"/>
        <v>17</v>
      </c>
      <c r="O82" s="52" t="str">
        <f t="shared" si="11"/>
        <v>Shariah DataFeed Fields Source: Factset</v>
      </c>
      <c r="P82" s="28" t="str">
        <f>IF(ISNA(VLOOKUP(A82,Service!B:B,1,0)),"No","Yes")</f>
        <v>No</v>
      </c>
      <c r="Q82" s="28">
        <f>IFERROR(IFERROR(VLOOKUP(A82,'Shariah DataFeed'!A:H,10,0),VLOOKUP(A82,'ESG Consalidated'!A:E,5,0)),0)</f>
        <v>0</v>
      </c>
    </row>
    <row r="83" spans="1:17" ht="29">
      <c r="A83" s="43" t="s">
        <v>242</v>
      </c>
      <c r="B83" s="28" t="str">
        <f>IF(ISNA(VLOOKUP(A83,Boursa!A:G,6,0)),"",VLOOKUP(A83,Boursa!A:G,6,0))</f>
        <v/>
      </c>
      <c r="C83" s="28" t="str">
        <f>IF(ISNA(VLOOKUP(A83,Boursa!A:G,7,0)),"",VLOOKUP(A83,Boursa!A:G,7,0))</f>
        <v/>
      </c>
      <c r="D83" s="28" t="str">
        <f>IF(ISNA(VLOOKUP(A83,Index!A:C,3,0)),"",VLOOKUP(A83,Index!A:C,3,0))</f>
        <v/>
      </c>
      <c r="E83" s="28" t="str">
        <f>IF(D83&lt;&gt;"",VLOOKUP(A83,Index!A:B,2,0),"")</f>
        <v/>
      </c>
      <c r="F83" s="28" t="str">
        <f>IF(ISNA(VLOOKUP(A83,'Shariah DataFeed'!A:B,2,0)),"",VLOOKUP(A83,'Shariah DataFeed'!A:B,2,0))</f>
        <v/>
      </c>
      <c r="G83" s="28" t="str">
        <f>IF(F83&lt;&gt;"",VLOOKUP(A83,'Shariah DataFeed'!A:D,4,0),"")</f>
        <v/>
      </c>
      <c r="H83" s="28" t="str">
        <f>IF(ISNA(VLOOKUP(A83,'ESG Consalidated'!A:D,4,0)),"",VLOOKUP(A83,'ESG Consalidated'!A:D,4,0))</f>
        <v/>
      </c>
      <c r="I83" s="28" t="str">
        <f>IF(H83&lt;&gt;"",VLOOKUP(A83,'ESG Consalidated'!A:B,2,0),"")</f>
        <v/>
      </c>
      <c r="J83" s="28" t="str">
        <f>IF(ISNA(VLOOKUP(A83,'Purif &amp; Zakat'!C:K,9,0)),"",VLOOKUP(A83,'Purif &amp; Zakat'!C:K,9,0))</f>
        <v>FactSet</v>
      </c>
      <c r="K83" s="28" t="str">
        <f>IF(J83&lt;&gt;"",VLOOKUP(A83,'Purif &amp; Zakat'!C:E,3,0),"")</f>
        <v>Purification ratios using weighted NPIN / weighted income for all constituents, Zakat per unit</v>
      </c>
      <c r="L83" s="28" t="str">
        <f t="shared" si="8"/>
        <v>Purification &amp; Zakat Fields Count: 2</v>
      </c>
      <c r="M83" s="28">
        <f t="shared" si="9"/>
        <v>1</v>
      </c>
      <c r="N83" s="32">
        <f t="shared" si="10"/>
        <v>2</v>
      </c>
      <c r="O83" s="52" t="str">
        <f t="shared" si="11"/>
        <v>Purification &amp; Zakat Fields Source: FactSet</v>
      </c>
      <c r="P83" s="28" t="str">
        <f>IF(ISNA(VLOOKUP(A83,Service!B:B,1,0)),"No","Yes")</f>
        <v>No</v>
      </c>
      <c r="Q83" s="28">
        <f>IFERROR(IFERROR(VLOOKUP(A83,'Shariah DataFeed'!A:H,10,0),VLOOKUP(A83,'ESG Consalidated'!A:E,5,0)),0)</f>
        <v>0</v>
      </c>
    </row>
    <row r="84" spans="1:17" s="339" customFormat="1" ht="25">
      <c r="A84" s="342" t="s">
        <v>247</v>
      </c>
      <c r="B84" s="339" t="str">
        <f>IF(ISNA(VLOOKUP(A84,Boursa!A:G,6,0)),"",VLOOKUP(A84,Boursa!A:G,6,0))</f>
        <v/>
      </c>
      <c r="C84" s="339" t="str">
        <f>IF(ISNA(VLOOKUP(A84,Boursa!A:G,7,0)),"",VLOOKUP(A84,Boursa!A:G,7,0))</f>
        <v/>
      </c>
      <c r="D84" s="339" t="str">
        <f>IF(ISNA(VLOOKUP(A84,Index!A:C,3,0)),"",VLOOKUP(A84,Index!A:C,3,0))</f>
        <v/>
      </c>
      <c r="E84" s="339" t="str">
        <f>IF(D84&lt;&gt;"",VLOOKUP(A84,Index!A:B,2,0),"")</f>
        <v/>
      </c>
      <c r="F84" s="339" t="str">
        <f>IF(ISNA(VLOOKUP(A84,'Shariah DataFeed'!A:B,2,0)),"",VLOOKUP(A84,'Shariah DataFeed'!A:B,2,0))</f>
        <v/>
      </c>
      <c r="G84" s="339" t="str">
        <f>IF(F84&lt;&gt;"",VLOOKUP(A84,'Shariah DataFeed'!A:D,4,0),"")</f>
        <v/>
      </c>
      <c r="H84" s="339" t="str">
        <f>IF(ISNA(VLOOKUP(A84,'ESG Consalidated'!A:D,4,0)),"",VLOOKUP(A84,'ESG Consalidated'!A:D,4,0))</f>
        <v/>
      </c>
      <c r="I84" s="339" t="str">
        <f>IF(H84&lt;&gt;"",VLOOKUP(A84,'ESG Consalidated'!A:B,2,0),"")</f>
        <v/>
      </c>
      <c r="J84" s="339" t="str">
        <f>IF(ISNA(VLOOKUP(A84,'Purif &amp; Zakat'!C:K,9,0)),"",VLOOKUP(A84,'Purif &amp; Zakat'!C:K,9,0))</f>
        <v>Reuters</v>
      </c>
      <c r="K84" s="339" t="str">
        <f>IF(J84&lt;&gt;"",VLOOKUP(A84,'Purif &amp; Zakat'!C:E,3,0),"")</f>
        <v>Compliance</v>
      </c>
      <c r="L84" s="339" t="str">
        <f t="shared" si="8"/>
        <v>Purification &amp; Zakat Fields Count: 1</v>
      </c>
      <c r="M84" s="339">
        <f t="shared" si="9"/>
        <v>1</v>
      </c>
      <c r="N84" s="340">
        <f t="shared" si="10"/>
        <v>1</v>
      </c>
      <c r="O84" s="341" t="str">
        <f t="shared" si="11"/>
        <v>Purification &amp; Zakat Fields Source: Reuters</v>
      </c>
      <c r="P84" s="339" t="str">
        <f>IF(ISNA(VLOOKUP(A84,Service!B:B,1,0)),"No","Yes")</f>
        <v>No</v>
      </c>
      <c r="Q84" s="339">
        <f>IFERROR(IFERROR(VLOOKUP(A84,'Shariah DataFeed'!A:H,10,0),VLOOKUP(A84,'ESG Consalidated'!A:E,5,0)),0)</f>
        <v>0</v>
      </c>
    </row>
    <row r="85" spans="1:17" ht="25">
      <c r="A85" s="43" t="s">
        <v>245</v>
      </c>
      <c r="B85" s="28" t="str">
        <f>IF(ISNA(VLOOKUP(A85,Boursa!A:G,6,0)),"",VLOOKUP(A85,Boursa!A:G,6,0))</f>
        <v/>
      </c>
      <c r="C85" s="28" t="str">
        <f>IF(ISNA(VLOOKUP(A85,Boursa!A:G,7,0)),"",VLOOKUP(A85,Boursa!A:G,7,0))</f>
        <v/>
      </c>
      <c r="D85" s="28" t="str">
        <f>IF(ISNA(VLOOKUP(A85,Index!A:C,3,0)),"",VLOOKUP(A85,Index!A:C,3,0))</f>
        <v/>
      </c>
      <c r="E85" s="28" t="str">
        <f>IF(D85&lt;&gt;"",VLOOKUP(A85,Index!A:B,2,0),"")</f>
        <v/>
      </c>
      <c r="F85" s="28" t="str">
        <f>IF(ISNA(VLOOKUP(A85,'Shariah DataFeed'!A:B,2,0)),"",VLOOKUP(A85,'Shariah DataFeed'!A:B,2,0))</f>
        <v/>
      </c>
      <c r="G85" s="28" t="str">
        <f>IF(F85&lt;&gt;"",VLOOKUP(A85,'Shariah DataFeed'!A:D,4,0),"")</f>
        <v/>
      </c>
      <c r="H85" s="28" t="str">
        <f>IF(ISNA(VLOOKUP(A85,'ESG Consalidated'!A:D,4,0)),"",VLOOKUP(A85,'ESG Consalidated'!A:D,4,0))</f>
        <v/>
      </c>
      <c r="I85" s="28" t="str">
        <f>IF(H85&lt;&gt;"",VLOOKUP(A85,'ESG Consalidated'!A:B,2,0),"")</f>
        <v/>
      </c>
      <c r="J85" s="28" t="str">
        <f>IF(ISNA(VLOOKUP(A85,'Purif &amp; Zakat'!C:K,9,0)),"",VLOOKUP(A85,'Purif &amp; Zakat'!C:K,9,0))</f>
        <v>FactSet</v>
      </c>
      <c r="K85" s="28" t="str">
        <f>IF(J85&lt;&gt;"",VLOOKUP(A85,'Purif &amp; Zakat'!C:E,3,0),"")</f>
        <v>Total Zakat payable</v>
      </c>
      <c r="L85" s="28" t="str">
        <f t="shared" si="8"/>
        <v>Purification &amp; Zakat Fields Count: 1</v>
      </c>
      <c r="M85" s="28">
        <f t="shared" si="9"/>
        <v>1</v>
      </c>
      <c r="N85" s="32">
        <f t="shared" si="10"/>
        <v>1</v>
      </c>
      <c r="O85" s="52" t="str">
        <f t="shared" si="11"/>
        <v>Purification &amp; Zakat Fields Source: FactSet</v>
      </c>
      <c r="P85" s="28" t="str">
        <f>IF(ISNA(VLOOKUP(A85,Service!B:B,1,0)),"No","Yes")</f>
        <v>Yes</v>
      </c>
      <c r="Q85" s="28">
        <f>IFERROR(IFERROR(VLOOKUP(A85,'Shariah DataFeed'!A:H,10,0),VLOOKUP(A85,'ESG Consalidated'!A:E,5,0)),0)</f>
        <v>0</v>
      </c>
    </row>
    <row r="86" spans="1:17" s="349" customFormat="1" ht="29">
      <c r="A86" s="353" t="s">
        <v>235</v>
      </c>
      <c r="B86" s="349" t="str">
        <f>IF(ISNA(VLOOKUP(A86,Boursa!A:G,6,0)),"",VLOOKUP(A86,Boursa!A:G,6,0))</f>
        <v/>
      </c>
      <c r="C86" s="349" t="str">
        <f>IF(ISNA(VLOOKUP(A86,Boursa!A:G,7,0)),"",VLOOKUP(A86,Boursa!A:G,7,0))</f>
        <v/>
      </c>
      <c r="D86" s="349" t="str">
        <f>IF(ISNA(VLOOKUP(A86,Index!A:C,3,0)),"",VLOOKUP(A86,Index!A:C,3,0))</f>
        <v/>
      </c>
      <c r="E86" s="349" t="str">
        <f>IF(D86&lt;&gt;"",VLOOKUP(A86,Index!A:B,2,0),"")</f>
        <v/>
      </c>
      <c r="F86" s="349" t="str">
        <f>IF(ISNA(VLOOKUP(A86,'Shariah DataFeed'!A:B,2,0)),"",VLOOKUP(A86,'Shariah DataFeed'!A:B,2,0))</f>
        <v/>
      </c>
      <c r="G86" s="349" t="str">
        <f>IF(F86&lt;&gt;"",VLOOKUP(A86,'Shariah DataFeed'!A:D,4,0),"")</f>
        <v/>
      </c>
      <c r="H86" s="349" t="str">
        <f>IF(ISNA(VLOOKUP(A86,'ESG Consalidated'!A:D,4,0)),"",VLOOKUP(A86,'ESG Consalidated'!A:D,4,0))</f>
        <v/>
      </c>
      <c r="I86" s="349" t="str">
        <f>IF(H86&lt;&gt;"",VLOOKUP(A86,'ESG Consalidated'!A:B,2,0),"")</f>
        <v/>
      </c>
      <c r="J86" s="349" t="str">
        <f>IF(ISNA(VLOOKUP(A86,'Purif &amp; Zakat'!C:K,9,0)),"",VLOOKUP(A86,'Purif &amp; Zakat'!C:K,9,0))</f>
        <v>Reuters</v>
      </c>
      <c r="K86" s="349" t="str">
        <f>IF(J86&lt;&gt;"",VLOOKUP(A86,'Purif &amp; Zakat'!C:E,3,0),"")</f>
        <v>Compliance based on business screening (includes public companies)</v>
      </c>
      <c r="L86" s="349" t="str">
        <f t="shared" si="8"/>
        <v>Purification &amp; Zakat Fields Count: 1</v>
      </c>
      <c r="M86" s="349">
        <f t="shared" si="9"/>
        <v>1</v>
      </c>
      <c r="N86" s="350">
        <f t="shared" si="10"/>
        <v>1</v>
      </c>
      <c r="O86" s="351" t="str">
        <f t="shared" si="11"/>
        <v>Purification &amp; Zakat Fields Source: Reuters</v>
      </c>
      <c r="P86" s="349" t="str">
        <f>IF(ISNA(VLOOKUP(A86,Service!B:B,1,0)),"No","Yes")</f>
        <v>No</v>
      </c>
      <c r="Q86" s="349">
        <f>IFERROR(IFERROR(VLOOKUP(A86,'Shariah DataFeed'!A:H,10,0),VLOOKUP(A86,'ESG Consalidated'!A:E,5,0)),0)</f>
        <v>0</v>
      </c>
    </row>
    <row r="87" spans="1:17">
      <c r="A87" s="34" t="s">
        <v>187</v>
      </c>
      <c r="B87" s="28" t="str">
        <f>IF(ISNA(VLOOKUP(A87,Boursa!A:G,6,0)),"",VLOOKUP(A87,Boursa!A:G,6,0))</f>
        <v/>
      </c>
      <c r="C87" s="28" t="str">
        <f>IF(ISNA(VLOOKUP(A87,Boursa!A:G,7,0)),"",VLOOKUP(A87,Boursa!A:G,7,0))</f>
        <v/>
      </c>
      <c r="D87" s="28" t="str">
        <f>IF(ISNA(VLOOKUP(A87,Index!A:C,3,0)),"",VLOOKUP(A87,Index!A:C,3,0))</f>
        <v/>
      </c>
      <c r="E87" s="28" t="str">
        <f>IF(D87&lt;&gt;"",VLOOKUP(A87,Index!A:B,2,0),"")</f>
        <v/>
      </c>
      <c r="F87" s="28" t="str">
        <f>IF(ISNA(VLOOKUP(A87,'Shariah DataFeed'!A:B,2,0)),"",VLOOKUP(A87,'Shariah DataFeed'!A:B,2,0))</f>
        <v/>
      </c>
      <c r="G87" s="28" t="str">
        <f>IF(F87&lt;&gt;"",VLOOKUP(A87,'Shariah DataFeed'!A:D,4,0),"")</f>
        <v/>
      </c>
      <c r="H87" s="28" t="str">
        <f>IF(ISNA(VLOOKUP(A87,'ESG Consalidated'!A:D,4,0)),"",VLOOKUP(A87,'ESG Consalidated'!A:D,4,0))</f>
        <v>FactSet: NPIN</v>
      </c>
      <c r="I87" s="28" t="str">
        <f>IF(H87&lt;&gt;"",VLOOKUP(A87,'ESG Consalidated'!A:B,2,0),"")</f>
        <v>NPIN</v>
      </c>
      <c r="J87" s="28" t="str">
        <f>IF(ISNA(VLOOKUP(A87,'Purif &amp; Zakat'!C:K,9,0)),"",VLOOKUP(A87,'Purif &amp; Zakat'!C:K,9,0))</f>
        <v/>
      </c>
      <c r="K87" s="28" t="str">
        <f>IF(J87&lt;&gt;"",VLOOKUP(A87,'Purif &amp; Zakat'!C:E,3,0),"")</f>
        <v/>
      </c>
      <c r="L87" s="28" t="str">
        <f t="shared" ref="L87:L94" si="12">IF(B87&lt;&gt;"", TEXT($B$1, "0") &amp; " Fields Count: " &amp; COUNTA(_xlfn.TEXTSPLIT(C87, ",")), "") &amp;
IF(AND(D87&lt;&gt;"", B87&lt;&gt;""), CHAR(10), "") &amp; IF(D87&lt;&gt;"", TEXT($D$1, "0") &amp; " Fields Count: " &amp; COUNTA(_xlfn.TEXTSPLIT(E87, ",")), "") &amp;
IF(AND(F87&lt;&gt;"", OR(B87&lt;&gt;"", D87&lt;&gt;"")), CHAR(10), "") &amp; IF(F87&lt;&gt;"", TEXT($F$1, "0") &amp; " Fields Count: " &amp; COUNTA(_xlfn.TEXTSPLIT(G87, ",")), "") &amp;
IF(AND(H87&lt;&gt;"", OR(B87&lt;&gt;"", D87&lt;&gt;"", F87&lt;&gt;"")), CHAR(10), "") &amp; IF(H87&lt;&gt;"", TEXT($H$1, "0") &amp; " Fields Count: " &amp; COUNTA(_xlfn.TEXTSPLIT(I87, ",")), "") &amp;
IF(AND(J87&lt;&gt;"", OR(B87&lt;&gt;"", D87&lt;&gt;"", F87&lt;&gt;"", H87&lt;&gt;"")), CHAR(10), "") &amp; IF(J87&lt;&gt;"", TEXT($J$1, "0") &amp; " Fields Count: " &amp; COUNTA(_xlfn.TEXTSPLIT(K87, ",")), "")</f>
        <v>ESG Fields Count: 1</v>
      </c>
      <c r="M87" s="28">
        <f t="shared" ref="M87:M94" si="13" xml:space="preserve"> LEN(L87) - LEN(SUBSTITUTE(L87, CHAR(10), "")) +1</f>
        <v>1</v>
      </c>
      <c r="N87" s="32">
        <f t="shared" ref="N87:N94" si="14">IF(B87&lt;&gt;"", COUNTA(_xlfn.TEXTSPLIT(C87, ",")), 0) + IF(D87&lt;&gt;"", COUNTA(_xlfn.TEXTSPLIT(E87, ",")), 0) + IF(F87&lt;&gt;"", COUNTA(_xlfn.TEXTSPLIT(G87, ",")), 0) + IF(H87&lt;&gt;"", COUNTA(_xlfn.TEXTSPLIT(I87, ",")), 0) + IF(J87&lt;&gt;"", COUNTA(_xlfn.TEXTSPLIT(K87, ",")), 0)</f>
        <v>1</v>
      </c>
      <c r="O87" s="52" t="str">
        <f t="shared" ref="O87:O94" si="15">IF(B87&lt;&gt;"", TEXT($B$1, "0") &amp; " Fields Source: " &amp; B87, "") &amp;
IF(AND(D87&lt;&gt;"", B87&lt;&gt;""), CHAR(10), "") &amp; IF(D87&lt;&gt;"", TEXT($D$1, "0") &amp; " Fields Source: " &amp; D87, "") &amp;
IF(AND(F87&lt;&gt;"", OR(B87&lt;&gt;"", D87&lt;&gt;"")), CHAR(10), "") &amp; IF(F87&lt;&gt;"", TEXT($F$1, "0") &amp; " Fields Source: " &amp; F87, "") &amp;
IF(AND(H87&lt;&gt;"", OR(B87&lt;&gt;"", D87&lt;&gt;"", F87&lt;&gt;"")), CHAR(10), "") &amp; IF(H87&lt;&gt;"", TEXT($H$1, "0") &amp; " Fields Source: " &amp; H87, "") &amp;
IF(AND(J87&lt;&gt;"", OR(B87&lt;&gt;"", D87&lt;&gt;"", F87&lt;&gt;"", H87&lt;&gt;"")), CHAR(10), "") &amp; IF(J87&lt;&gt;"", TEXT($J$1, "0") &amp; " Fields Source: " &amp; J87, "")</f>
        <v>ESG Fields Source: FactSet: NPIN</v>
      </c>
      <c r="P87" s="28" t="str">
        <f>IF(ISNA(VLOOKUP(A87,Service!B:B,1,0)),"No","Yes")</f>
        <v>No</v>
      </c>
      <c r="Q87" s="28">
        <f>IFERROR(IFERROR(VLOOKUP(A87,'Shariah DataFeed'!A:H,10,0),VLOOKUP(A87,'ESG Consalidated'!A:E,5,0)),0)</f>
        <v>0</v>
      </c>
    </row>
    <row r="88" spans="1:17" ht="116">
      <c r="A88" s="34" t="s">
        <v>190</v>
      </c>
      <c r="B88" s="28" t="str">
        <f>IF(ISNA(VLOOKUP(A88,Boursa!A:G,6,0)),"",VLOOKUP(A88,Boursa!A:G,6,0))</f>
        <v/>
      </c>
      <c r="C88" s="28" t="str">
        <f>IF(ISNA(VLOOKUP(A88,Boursa!A:G,7,0)),"",VLOOKUP(A88,Boursa!A:G,7,0))</f>
        <v/>
      </c>
      <c r="D88" s="28" t="str">
        <f>IF(ISNA(VLOOKUP(A88,Index!A:C,3,0)),"",VLOOKUP(A88,Index!A:C,3,0))</f>
        <v/>
      </c>
      <c r="E88" s="28" t="str">
        <f>IF(D88&lt;&gt;"",VLOOKUP(A88,Index!A:B,2,0),"")</f>
        <v/>
      </c>
      <c r="F88" s="28" t="str">
        <f>IF(ISNA(VLOOKUP(A88,'Shariah DataFeed'!A:B,2,0)),"",VLOOKUP(A88,'Shariah DataFeed'!A:B,2,0))</f>
        <v/>
      </c>
      <c r="G88" s="28" t="str">
        <f>IF(F88&lt;&gt;"",VLOOKUP(A88,'Shariah DataFeed'!A:D,4,0),"")</f>
        <v/>
      </c>
      <c r="H88" s="28" t="str">
        <f>IF(ISNA(VLOOKUP(A88,'ESG Consalidated'!A:D,4,0)),"",VLOOKUP(A88,'ESG Consalidated'!A:D,4,0))</f>
        <v>FactSet: NPIN &amp; Qual
Reuters: Metric</v>
      </c>
      <c r="I88" s="28" t="str">
        <f>IF(H88&lt;&gt;"",VLOOKUP(A88,'ESG Consalidated'!A:B,2,0),"")</f>
        <v>NPIN, Carbonfoot print "Caclculated using Marketcap, debt and minority interest", Metric Intensity "Using Revenue", calculating intensity "Revenue in controversies"</v>
      </c>
      <c r="J88" s="28" t="str">
        <f>IF(ISNA(VLOOKUP(A88,'Purif &amp; Zakat'!C:K,9,0)),"",VLOOKUP(A88,'Purif &amp; Zakat'!C:K,9,0))</f>
        <v/>
      </c>
      <c r="K88" s="28" t="str">
        <f>IF(J88&lt;&gt;"",VLOOKUP(A88,'Purif &amp; Zakat'!C:E,3,0),"")</f>
        <v/>
      </c>
      <c r="L88" s="28" t="str">
        <f t="shared" si="12"/>
        <v>ESG Fields Count: 5</v>
      </c>
      <c r="M88" s="28">
        <f t="shared" si="13"/>
        <v>1</v>
      </c>
      <c r="N88" s="32">
        <f t="shared" si="14"/>
        <v>5</v>
      </c>
      <c r="O88" s="52" t="str">
        <f t="shared" si="15"/>
        <v>ESG Fields Source: FactSet: NPIN &amp; Qual
Reuters: Metric</v>
      </c>
      <c r="P88" s="28" t="str">
        <f>IF(ISNA(VLOOKUP(A88,Service!B:B,1,0)),"No","Yes")</f>
        <v>No</v>
      </c>
      <c r="Q88" s="28">
        <f>IFERROR(IFERROR(VLOOKUP(A88,'Shariah DataFeed'!A:H,10,0),VLOOKUP(A88,'ESG Consalidated'!A:E,5,0)),0)</f>
        <v>0</v>
      </c>
    </row>
    <row r="89" spans="1:17" ht="87">
      <c r="A89" s="34" t="s">
        <v>197</v>
      </c>
      <c r="B89" s="28" t="str">
        <f>IF(ISNA(VLOOKUP(A89,Boursa!A:G,6,0)),"",VLOOKUP(A89,Boursa!A:G,6,0))</f>
        <v/>
      </c>
      <c r="C89" s="28" t="str">
        <f>IF(ISNA(VLOOKUP(A89,Boursa!A:G,7,0)),"",VLOOKUP(A89,Boursa!A:G,7,0))</f>
        <v/>
      </c>
      <c r="D89" s="28" t="str">
        <f>IF(ISNA(VLOOKUP(A89,Index!A:C,3,0)),"",VLOOKUP(A89,Index!A:C,3,0))</f>
        <v/>
      </c>
      <c r="E89" s="28" t="str">
        <f>IF(D89&lt;&gt;"",VLOOKUP(A89,Index!A:B,2,0),"")</f>
        <v/>
      </c>
      <c r="F89" s="28" t="str">
        <f>IF(ISNA(VLOOKUP(A89,'Shariah DataFeed'!A:B,2,0)),"",VLOOKUP(A89,'Shariah DataFeed'!A:B,2,0))</f>
        <v/>
      </c>
      <c r="G89" s="28" t="str">
        <f>IF(F89&lt;&gt;"",VLOOKUP(A89,'Shariah DataFeed'!A:D,4,0),"")</f>
        <v/>
      </c>
      <c r="H89" s="28" t="str">
        <f>IF(ISNA(VLOOKUP(A89,'ESG Consalidated'!A:D,4,0)),"",VLOOKUP(A89,'ESG Consalidated'!A:D,4,0))</f>
        <v>FactSet: NPIN &amp; Qual
Reuters: Metric</v>
      </c>
      <c r="I89" s="28" t="str">
        <f>IF(H89&lt;&gt;"",VLOOKUP(A89,'ESG Consalidated'!A:B,2,0),"")</f>
        <v>NPIN, Carbonfoot print "Caclculated using Marketcap, debt and minority interest", Metric Intensity "Using Revenue"</v>
      </c>
      <c r="J89" s="28" t="str">
        <f>IF(ISNA(VLOOKUP(A89,'Purif &amp; Zakat'!C:K,9,0)),"",VLOOKUP(A89,'Purif &amp; Zakat'!C:K,9,0))</f>
        <v/>
      </c>
      <c r="K89" s="28" t="str">
        <f>IF(J89&lt;&gt;"",VLOOKUP(A89,'Purif &amp; Zakat'!C:E,3,0),"")</f>
        <v/>
      </c>
      <c r="L89" s="28" t="str">
        <f t="shared" si="12"/>
        <v>ESG Fields Count: 4</v>
      </c>
      <c r="M89" s="28">
        <f t="shared" si="13"/>
        <v>1</v>
      </c>
      <c r="N89" s="32">
        <f t="shared" si="14"/>
        <v>4</v>
      </c>
      <c r="O89" s="52" t="str">
        <f t="shared" si="15"/>
        <v>ESG Fields Source: FactSet: NPIN &amp; Qual
Reuters: Metric</v>
      </c>
      <c r="P89" s="28" t="str">
        <f>IF(ISNA(VLOOKUP(A89,Service!B:B,1,0)),"No","Yes")</f>
        <v>No</v>
      </c>
      <c r="Q89" s="28">
        <f>IFERROR(IFERROR(VLOOKUP(A89,'Shariah DataFeed'!A:H,10,0),VLOOKUP(A89,'ESG Consalidated'!A:E,5,0)),0)</f>
        <v>0</v>
      </c>
    </row>
    <row r="90" spans="1:17" ht="87">
      <c r="A90" s="34" t="s">
        <v>198</v>
      </c>
      <c r="B90" s="28" t="str">
        <f>IF(ISNA(VLOOKUP(A90,Boursa!A:G,6,0)),"",VLOOKUP(A90,Boursa!A:G,6,0))</f>
        <v/>
      </c>
      <c r="C90" s="28" t="str">
        <f>IF(ISNA(VLOOKUP(A90,Boursa!A:G,7,0)),"",VLOOKUP(A90,Boursa!A:G,7,0))</f>
        <v/>
      </c>
      <c r="D90" s="28" t="str">
        <f>IF(ISNA(VLOOKUP(A90,Index!A:C,3,0)),"",VLOOKUP(A90,Index!A:C,3,0))</f>
        <v/>
      </c>
      <c r="E90" s="28" t="str">
        <f>IF(D90&lt;&gt;"",VLOOKUP(A90,Index!A:B,2,0),"")</f>
        <v/>
      </c>
      <c r="F90" s="28" t="str">
        <f>IF(ISNA(VLOOKUP(A90,'Shariah DataFeed'!A:B,2,0)),"",VLOOKUP(A90,'Shariah DataFeed'!A:B,2,0))</f>
        <v/>
      </c>
      <c r="G90" s="28" t="str">
        <f>IF(F90&lt;&gt;"",VLOOKUP(A90,'Shariah DataFeed'!A:D,4,0),"")</f>
        <v/>
      </c>
      <c r="H90" s="28" t="str">
        <f>IF(ISNA(VLOOKUP(A90,'ESG Consalidated'!A:D,4,0)),"",VLOOKUP(A90,'ESG Consalidated'!A:D,4,0))</f>
        <v>FactSet: NPIN &amp; Qual
Reuters: Metric</v>
      </c>
      <c r="I90" s="28" t="str">
        <f>IF(H90&lt;&gt;"",VLOOKUP(A90,'ESG Consalidated'!A:B,2,0),"")</f>
        <v>NPIN, Carbonfoot print "Caclculated using Marketcap, debt and minority interest", Metric Intensity "Using Revenue"</v>
      </c>
      <c r="J90" s="28" t="str">
        <f>IF(ISNA(VLOOKUP(A90,'Purif &amp; Zakat'!C:K,9,0)),"",VLOOKUP(A90,'Purif &amp; Zakat'!C:K,9,0))</f>
        <v/>
      </c>
      <c r="K90" s="28" t="str">
        <f>IF(J90&lt;&gt;"",VLOOKUP(A90,'Purif &amp; Zakat'!C:E,3,0),"")</f>
        <v/>
      </c>
      <c r="L90" s="28" t="str">
        <f t="shared" si="12"/>
        <v>ESG Fields Count: 4</v>
      </c>
      <c r="M90" s="28">
        <f t="shared" si="13"/>
        <v>1</v>
      </c>
      <c r="N90" s="32">
        <f t="shared" si="14"/>
        <v>4</v>
      </c>
      <c r="O90" s="52" t="str">
        <f t="shared" si="15"/>
        <v>ESG Fields Source: FactSet: NPIN &amp; Qual
Reuters: Metric</v>
      </c>
      <c r="P90" s="28" t="str">
        <f>IF(ISNA(VLOOKUP(A90,Service!B:B,1,0)),"No","Yes")</f>
        <v>No</v>
      </c>
      <c r="Q90" s="28">
        <f>IFERROR(IFERROR(VLOOKUP(A90,'Shariah DataFeed'!A:H,10,0),VLOOKUP(A90,'ESG Consalidated'!A:E,5,0)),0)</f>
        <v>0</v>
      </c>
    </row>
    <row r="91" spans="1:17" ht="29">
      <c r="A91" s="34" t="s">
        <v>199</v>
      </c>
      <c r="B91" s="28" t="str">
        <f>IF(ISNA(VLOOKUP(A91,Boursa!A:G,6,0)),"",VLOOKUP(A91,Boursa!A:G,6,0))</f>
        <v/>
      </c>
      <c r="C91" s="28" t="str">
        <f>IF(ISNA(VLOOKUP(A91,Boursa!A:G,7,0)),"",VLOOKUP(A91,Boursa!A:G,7,0))</f>
        <v/>
      </c>
      <c r="D91" s="28" t="str">
        <f>IF(ISNA(VLOOKUP(A91,Index!A:C,3,0)),"",VLOOKUP(A91,Index!A:C,3,0))</f>
        <v/>
      </c>
      <c r="E91" s="28" t="str">
        <f>IF(D91&lt;&gt;"",VLOOKUP(A91,Index!A:B,2,0),"")</f>
        <v/>
      </c>
      <c r="F91" s="28" t="str">
        <f>IF(ISNA(VLOOKUP(A91,'Shariah DataFeed'!A:B,2,0)),"",VLOOKUP(A91,'Shariah DataFeed'!A:B,2,0))</f>
        <v/>
      </c>
      <c r="G91" s="28" t="str">
        <f>IF(F91&lt;&gt;"",VLOOKUP(A91,'Shariah DataFeed'!A:D,4,0),"")</f>
        <v/>
      </c>
      <c r="H91" s="28" t="str">
        <f>IF(ISNA(VLOOKUP(A91,'ESG Consalidated'!A:D,4,0)),"",VLOOKUP(A91,'ESG Consalidated'!A:D,4,0))</f>
        <v>FactSet: NPIN &amp; Qual
Reuters: Metric</v>
      </c>
      <c r="I91" s="28" t="str">
        <f>IF(H91&lt;&gt;"",VLOOKUP(A91,'ESG Consalidated'!A:B,2,0),"")</f>
        <v>NPIN, Metric Intensity "Using Revenue"</v>
      </c>
      <c r="J91" s="28" t="str">
        <f>IF(ISNA(VLOOKUP(A91,'Purif &amp; Zakat'!C:K,9,0)),"",VLOOKUP(A91,'Purif &amp; Zakat'!C:K,9,0))</f>
        <v/>
      </c>
      <c r="K91" s="28" t="str">
        <f>IF(J91&lt;&gt;"",VLOOKUP(A91,'Purif &amp; Zakat'!C:E,3,0),"")</f>
        <v/>
      </c>
      <c r="L91" s="28" t="str">
        <f t="shared" si="12"/>
        <v>ESG Fields Count: 2</v>
      </c>
      <c r="M91" s="28">
        <f t="shared" si="13"/>
        <v>1</v>
      </c>
      <c r="N91" s="32">
        <f t="shared" si="14"/>
        <v>2</v>
      </c>
      <c r="O91" s="52" t="str">
        <f t="shared" si="15"/>
        <v>ESG Fields Source: FactSet: NPIN &amp; Qual
Reuters: Metric</v>
      </c>
      <c r="P91" s="28" t="str">
        <f>IF(ISNA(VLOOKUP(A91,Service!B:B,1,0)),"No","Yes")</f>
        <v>No</v>
      </c>
      <c r="Q91" s="28">
        <f>IFERROR(IFERROR(VLOOKUP(A91,'Shariah DataFeed'!A:H,10,0),VLOOKUP(A91,'ESG Consalidated'!A:E,5,0)),0)</f>
        <v>0</v>
      </c>
    </row>
    <row r="92" spans="1:17" ht="87">
      <c r="A92" s="34" t="s">
        <v>200</v>
      </c>
      <c r="B92" s="28" t="str">
        <f>IF(ISNA(VLOOKUP(A92,Boursa!A:G,6,0)),"",VLOOKUP(A92,Boursa!A:G,6,0))</f>
        <v/>
      </c>
      <c r="C92" s="28" t="str">
        <f>IF(ISNA(VLOOKUP(A92,Boursa!A:G,7,0)),"",VLOOKUP(A92,Boursa!A:G,7,0))</f>
        <v/>
      </c>
      <c r="D92" s="28" t="str">
        <f>IF(ISNA(VLOOKUP(A92,Index!A:C,3,0)),"",VLOOKUP(A92,Index!A:C,3,0))</f>
        <v/>
      </c>
      <c r="E92" s="28" t="str">
        <f>IF(D92&lt;&gt;"",VLOOKUP(A92,Index!A:B,2,0),"")</f>
        <v/>
      </c>
      <c r="F92" s="28" t="str">
        <f>IF(ISNA(VLOOKUP(A92,'Shariah DataFeed'!A:B,2,0)),"",VLOOKUP(A92,'Shariah DataFeed'!A:B,2,0))</f>
        <v/>
      </c>
      <c r="G92" s="28" t="str">
        <f>IF(F92&lt;&gt;"",VLOOKUP(A92,'Shariah DataFeed'!A:D,4,0),"")</f>
        <v/>
      </c>
      <c r="H92" s="28" t="str">
        <f>IF(ISNA(VLOOKUP(A92,'ESG Consalidated'!A:D,4,0)),"",VLOOKUP(A92,'ESG Consalidated'!A:D,4,0))</f>
        <v>FactSet: NPIN &amp; Qual
Reuters: Metric</v>
      </c>
      <c r="I92" s="28" t="str">
        <f>IF(H92&lt;&gt;"",VLOOKUP(A92,'ESG Consalidated'!A:B,2,0),"")</f>
        <v>NPIN, Carbonfoot print "Caclculated using Marketcap, debt and minority interest", Metric Intensity "Using Revenue"</v>
      </c>
      <c r="J92" s="28" t="str">
        <f>IF(ISNA(VLOOKUP(A92,'Purif &amp; Zakat'!C:K,9,0)),"",VLOOKUP(A92,'Purif &amp; Zakat'!C:K,9,0))</f>
        <v/>
      </c>
      <c r="K92" s="28" t="str">
        <f>IF(J92&lt;&gt;"",VLOOKUP(A92,'Purif &amp; Zakat'!C:E,3,0),"")</f>
        <v/>
      </c>
      <c r="L92" s="28" t="str">
        <f t="shared" si="12"/>
        <v>ESG Fields Count: 4</v>
      </c>
      <c r="M92" s="28">
        <f t="shared" si="13"/>
        <v>1</v>
      </c>
      <c r="N92" s="32">
        <f t="shared" si="14"/>
        <v>4</v>
      </c>
      <c r="O92" s="52" t="str">
        <f t="shared" si="15"/>
        <v>ESG Fields Source: FactSet: NPIN &amp; Qual
Reuters: Metric</v>
      </c>
      <c r="P92" s="28" t="str">
        <f>IF(ISNA(VLOOKUP(A92,Service!B:B,1,0)),"No","Yes")</f>
        <v>No</v>
      </c>
      <c r="Q92" s="28">
        <f>IFERROR(IFERROR(VLOOKUP(A92,'Shariah DataFeed'!A:H,10,0),VLOOKUP(A92,'ESG Consalidated'!A:E,5,0)),0)</f>
        <v>0</v>
      </c>
    </row>
    <row r="93" spans="1:17" ht="87">
      <c r="A93" s="34" t="s">
        <v>201</v>
      </c>
      <c r="B93" s="28" t="str">
        <f>IF(ISNA(VLOOKUP(A93,Boursa!A:G,6,0)),"",VLOOKUP(A93,Boursa!A:G,6,0))</f>
        <v/>
      </c>
      <c r="C93" s="28" t="str">
        <f>IF(ISNA(VLOOKUP(A93,Boursa!A:G,7,0)),"",VLOOKUP(A93,Boursa!A:G,7,0))</f>
        <v/>
      </c>
      <c r="D93" s="28" t="str">
        <f>IF(ISNA(VLOOKUP(A93,Index!A:C,3,0)),"",VLOOKUP(A93,Index!A:C,3,0))</f>
        <v/>
      </c>
      <c r="E93" s="28" t="str">
        <f>IF(D93&lt;&gt;"",VLOOKUP(A93,Index!A:B,2,0),"")</f>
        <v/>
      </c>
      <c r="F93" s="28" t="str">
        <f>IF(ISNA(VLOOKUP(A93,'Shariah DataFeed'!A:B,2,0)),"",VLOOKUP(A93,'Shariah DataFeed'!A:B,2,0))</f>
        <v/>
      </c>
      <c r="G93" s="28" t="str">
        <f>IF(F93&lt;&gt;"",VLOOKUP(A93,'Shariah DataFeed'!A:D,4,0),"")</f>
        <v/>
      </c>
      <c r="H93" s="28" t="str">
        <f>IF(ISNA(VLOOKUP(A93,'ESG Consalidated'!A:D,4,0)),"",VLOOKUP(A93,'ESG Consalidated'!A:D,4,0))</f>
        <v>FactSet: NPIN &amp; Qual
Reuters: Metric</v>
      </c>
      <c r="I93" s="28" t="str">
        <f>IF(H93&lt;&gt;"",VLOOKUP(A93,'ESG Consalidated'!A:B,2,0),"")</f>
        <v>NPIN, Carbonfoot print "Caclculated using Marketcap, debt and minority interest", Metric Intensity "Using Revenue"</v>
      </c>
      <c r="J93" s="28" t="str">
        <f>IF(ISNA(VLOOKUP(A93,'Purif &amp; Zakat'!C:K,9,0)),"",VLOOKUP(A93,'Purif &amp; Zakat'!C:K,9,0))</f>
        <v/>
      </c>
      <c r="K93" s="28" t="str">
        <f>IF(J93&lt;&gt;"",VLOOKUP(A93,'Purif &amp; Zakat'!C:E,3,0),"")</f>
        <v/>
      </c>
      <c r="L93" s="28" t="str">
        <f t="shared" si="12"/>
        <v>ESG Fields Count: 4</v>
      </c>
      <c r="M93" s="28">
        <f t="shared" si="13"/>
        <v>1</v>
      </c>
      <c r="N93" s="32">
        <f t="shared" si="14"/>
        <v>4</v>
      </c>
      <c r="O93" s="52" t="str">
        <f t="shared" si="15"/>
        <v>ESG Fields Source: FactSet: NPIN &amp; Qual
Reuters: Metric</v>
      </c>
      <c r="P93" s="28" t="str">
        <f>IF(ISNA(VLOOKUP(A93,Service!B:B,1,0)),"No","Yes")</f>
        <v>No</v>
      </c>
      <c r="Q93" s="28">
        <f>IFERROR(IFERROR(VLOOKUP(A93,'Shariah DataFeed'!A:H,10,0),VLOOKUP(A93,'ESG Consalidated'!A:E,5,0)),0)</f>
        <v>0</v>
      </c>
    </row>
    <row r="94" spans="1:17" s="327" customFormat="1" ht="87">
      <c r="A94" s="347" t="s">
        <v>204</v>
      </c>
      <c r="B94" s="327" t="str">
        <f>IF(ISNA(VLOOKUP(A94,Boursa!A:G,6,0)),"",VLOOKUP(A94,Boursa!A:G,6,0))</f>
        <v/>
      </c>
      <c r="C94" s="327" t="str">
        <f>IF(ISNA(VLOOKUP(A94,Boursa!A:G,7,0)),"",VLOOKUP(A94,Boursa!A:G,7,0))</f>
        <v/>
      </c>
      <c r="D94" s="327" t="str">
        <f>IF(ISNA(VLOOKUP(A94,Index!A:C,3,0)),"",VLOOKUP(A94,Index!A:C,3,0))</f>
        <v/>
      </c>
      <c r="E94" s="327" t="str">
        <f>IF(D94&lt;&gt;"",VLOOKUP(A94,Index!A:B,2,0),"")</f>
        <v/>
      </c>
      <c r="F94" s="327" t="str">
        <f>IF(ISNA(VLOOKUP(A94,'Shariah DataFeed'!A:B,2,0)),"",VLOOKUP(A94,'Shariah DataFeed'!A:B,2,0))</f>
        <v/>
      </c>
      <c r="G94" s="327" t="str">
        <f>IF(F94&lt;&gt;"",VLOOKUP(A94,'Shariah DataFeed'!A:D,4,0),"")</f>
        <v/>
      </c>
      <c r="H94" s="327" t="str">
        <f>IF(ISNA(VLOOKUP(A94,'ESG Consalidated'!A:D,4,0)),"",VLOOKUP(A94,'ESG Consalidated'!A:D,4,0))</f>
        <v>FactSet: NPIN &amp; Qual
Reuters: Metric</v>
      </c>
      <c r="I94" s="327" t="str">
        <f>IF(H94&lt;&gt;"",VLOOKUP(A94,'ESG Consalidated'!A:B,2,0),"")</f>
        <v>NPIN, Carbonfoot print "Caclculated using Marketcap, debt and minority interest", Metric Intensity "Using Revenue"</v>
      </c>
      <c r="J94" s="327" t="str">
        <f>IF(ISNA(VLOOKUP(A94,'Purif &amp; Zakat'!C:K,9,0)),"",VLOOKUP(A94,'Purif &amp; Zakat'!C:K,9,0))</f>
        <v/>
      </c>
      <c r="K94" s="327" t="str">
        <f>IF(J94&lt;&gt;"",VLOOKUP(A94,'Purif &amp; Zakat'!C:E,3,0),"")</f>
        <v/>
      </c>
      <c r="L94" s="327" t="str">
        <f t="shared" si="12"/>
        <v>ESG Fields Count: 4</v>
      </c>
      <c r="M94" s="327">
        <f t="shared" si="13"/>
        <v>1</v>
      </c>
      <c r="N94" s="329">
        <f t="shared" si="14"/>
        <v>4</v>
      </c>
      <c r="O94" s="330" t="str">
        <f t="shared" si="15"/>
        <v>ESG Fields Source: FactSet: NPIN &amp; Qual
Reuters: Metric</v>
      </c>
      <c r="P94" s="327" t="str">
        <f>IF(ISNA(VLOOKUP(A94,Service!B:B,1,0)),"No","Yes")</f>
        <v>No</v>
      </c>
      <c r="Q94" s="327">
        <f>IFERROR(IFERROR(VLOOKUP(A94,'Shariah DataFeed'!A:H,10,0),VLOOKUP(A94,'ESG Consalidated'!A:E,5,0)),0)</f>
        <v>0</v>
      </c>
    </row>
    <row r="95" spans="1:17" ht="87">
      <c r="A95" t="s">
        <v>207</v>
      </c>
      <c r="B95" s="28" t="str">
        <f>IF(ISNA(VLOOKUP(A95,Boursa!A:G,6,0)),"",VLOOKUP(A95,Boursa!A:G,6,0))</f>
        <v/>
      </c>
      <c r="C95" s="28" t="str">
        <f>IF(ISNA(VLOOKUP(A95,Boursa!A:G,7,0)),"",VLOOKUP(A95,Boursa!A:G,7,0))</f>
        <v/>
      </c>
      <c r="D95" s="28" t="str">
        <f>IF(ISNA(VLOOKUP(A95,Index!A:C,3,0)),"",VLOOKUP(A95,Index!A:C,3,0))</f>
        <v/>
      </c>
      <c r="E95" s="28" t="str">
        <f>IF(D95&lt;&gt;"",VLOOKUP(A95,Index!A:B,2,0),"")</f>
        <v/>
      </c>
      <c r="F95" s="28" t="str">
        <f>IF(ISNA(VLOOKUP(A95,'Shariah DataFeed'!A:B,2,0)),"",VLOOKUP(A95,'Shariah DataFeed'!A:B,2,0))</f>
        <v/>
      </c>
      <c r="G95" s="28" t="str">
        <f>IF(F95&lt;&gt;"",VLOOKUP(A95,'Shariah DataFeed'!A:D,4,0),"")</f>
        <v/>
      </c>
      <c r="H95" s="28" t="str">
        <f>IF(ISNA(VLOOKUP(A95,'ESG Consalidated'!A:D,4,0)),"",VLOOKUP(A95,'ESG Consalidated'!A:D,4,0))</f>
        <v>FactSet: NPIN &amp; Qual
Reuters: Metric</v>
      </c>
      <c r="I95" s="28" t="str">
        <f>IF(H95&lt;&gt;"",VLOOKUP(A95,'ESG Consalidated'!A:B,2,0),"")</f>
        <v>NPIN, Carbonfoot print "Caclculated using Marketcap, debt and minority interest", Metric Intensity "Using Revenue"</v>
      </c>
      <c r="J95" s="28" t="str">
        <f>IF(ISNA(VLOOKUP(A95,'Purif &amp; Zakat'!C:K,9,0)),"",VLOOKUP(A95,'Purif &amp; Zakat'!C:K,9,0))</f>
        <v/>
      </c>
      <c r="K95" s="28" t="str">
        <f>IF(J95&lt;&gt;"",VLOOKUP(A95,'Purif &amp; Zakat'!C:E,3,0),"")</f>
        <v/>
      </c>
      <c r="L95" s="28" t="str">
        <f t="shared" ref="L95" si="16">IF(B95&lt;&gt;"", TEXT($B$1, "0") &amp; " Fields Count: " &amp; COUNTA(_xlfn.TEXTSPLIT(C95, ",")), "") &amp;
IF(AND(D95&lt;&gt;"", B95&lt;&gt;""), CHAR(10), "") &amp; IF(D95&lt;&gt;"", TEXT($D$1, "0") &amp; " Fields Count: " &amp; COUNTA(_xlfn.TEXTSPLIT(E95, ",")), "") &amp;
IF(AND(F95&lt;&gt;"", OR(B95&lt;&gt;"", D95&lt;&gt;"")), CHAR(10), "") &amp; IF(F95&lt;&gt;"", TEXT($F$1, "0") &amp; " Fields Count: " &amp; COUNTA(_xlfn.TEXTSPLIT(G95, ",")), "") &amp;
IF(AND(H95&lt;&gt;"", OR(B95&lt;&gt;"", D95&lt;&gt;"", F95&lt;&gt;"")), CHAR(10), "") &amp; IF(H95&lt;&gt;"", TEXT($H$1, "0") &amp; " Fields Count: " &amp; COUNTA(_xlfn.TEXTSPLIT(I95, ",")), "") &amp;
IF(AND(J95&lt;&gt;"", OR(B95&lt;&gt;"", D95&lt;&gt;"", F95&lt;&gt;"", H95&lt;&gt;"")), CHAR(10), "") &amp; IF(J95&lt;&gt;"", TEXT($J$1, "0") &amp; " Fields Count: " &amp; COUNTA(_xlfn.TEXTSPLIT(K95, ",")), "")</f>
        <v>ESG Fields Count: 4</v>
      </c>
      <c r="M95" s="28">
        <f t="shared" ref="M95" si="17" xml:space="preserve"> LEN(L95) - LEN(SUBSTITUTE(L95, CHAR(10), "")) +1</f>
        <v>1</v>
      </c>
      <c r="N95" s="32">
        <f t="shared" ref="N95" si="18">IF(B95&lt;&gt;"", COUNTA(_xlfn.TEXTSPLIT(C95, ",")), 0) + IF(D95&lt;&gt;"", COUNTA(_xlfn.TEXTSPLIT(E95, ",")), 0) + IF(F95&lt;&gt;"", COUNTA(_xlfn.TEXTSPLIT(G95, ",")), 0) + IF(H95&lt;&gt;"", COUNTA(_xlfn.TEXTSPLIT(I95, ",")), 0) + IF(J95&lt;&gt;"", COUNTA(_xlfn.TEXTSPLIT(K95, ",")), 0)</f>
        <v>4</v>
      </c>
      <c r="O95" s="52" t="str">
        <f t="shared" ref="O95" si="19">IF(B95&lt;&gt;"", TEXT($B$1, "0") &amp; " Fields Source: " &amp; B95, "") &amp;
IF(AND(D95&lt;&gt;"", B95&lt;&gt;""), CHAR(10), "") &amp; IF(D95&lt;&gt;"", TEXT($D$1, "0") &amp; " Fields Source: " &amp; D95, "") &amp;
IF(AND(F95&lt;&gt;"", OR(B95&lt;&gt;"", D95&lt;&gt;"")), CHAR(10), "") &amp; IF(F95&lt;&gt;"", TEXT($F$1, "0") &amp; " Fields Source: " &amp; F95, "") &amp;
IF(AND(H95&lt;&gt;"", OR(B95&lt;&gt;"", D95&lt;&gt;"", F95&lt;&gt;"")), CHAR(10), "") &amp; IF(H95&lt;&gt;"", TEXT($H$1, "0") &amp; " Fields Source: " &amp; H95, "") &amp;
IF(AND(J95&lt;&gt;"", OR(B95&lt;&gt;"", D95&lt;&gt;"", F95&lt;&gt;"", H95&lt;&gt;"")), CHAR(10), "") &amp; IF(J95&lt;&gt;"", TEXT($J$1, "0") &amp; " Fields Source: " &amp; J95, "")</f>
        <v>ESG Fields Source: FactSet: NPIN &amp; Qual
Reuters: Metric</v>
      </c>
      <c r="P95" s="28" t="str">
        <f>IF(ISNA(VLOOKUP(A95,Service!B:B,1,0)),"No","Yes")</f>
        <v>No</v>
      </c>
      <c r="Q95" s="28">
        <f>IFERROR(IFERROR(VLOOKUP(A95,'Shariah DataFeed'!A:H,10,0),VLOOKUP(A95,'ESG Consalidated'!A:E,5,0)),0)</f>
        <v>0</v>
      </c>
    </row>
    <row r="96" spans="1:17" ht="58">
      <c r="A96" s="206" t="s">
        <v>500</v>
      </c>
      <c r="B96" s="28" t="str">
        <f>IF(ISNA(VLOOKUP(A96,Boursa!A:G,6,0)),"",VLOOKUP(A96,Boursa!A:G,6,0))</f>
        <v/>
      </c>
      <c r="C96" s="28" t="str">
        <f>IF(ISNA(VLOOKUP(A96,Boursa!A:G,7,0)),"",VLOOKUP(A96,Boursa!A:G,7,0))</f>
        <v/>
      </c>
      <c r="D96" s="28" t="str">
        <f>IF(ISNA(VLOOKUP(A96,Index!A:C,3,0)),"",VLOOKUP(A96,Index!A:C,3,0))</f>
        <v/>
      </c>
      <c r="E96" s="28" t="str">
        <f>IF(D96&lt;&gt;"",VLOOKUP(A96,Index!A:B,2,0),"")</f>
        <v/>
      </c>
      <c r="F96" s="28" t="str">
        <f>IF(ISNA(VLOOKUP(A96,'Shariah DataFeed'!A:B,2,0)),"",VLOOKUP(A96,'Shariah DataFeed'!A:B,2,0))</f>
        <v>Factset</v>
      </c>
      <c r="G96" s="28" t="str">
        <f>IF(F96&lt;&gt;"",VLOOKUP(A96,'Shariah DataFeed'!A:D,4,0),"")</f>
        <v>Name,ISIN,S&amp;P shariah-based,[S&amp;P Shariah-based] Interest-bearing Debts</v>
      </c>
      <c r="H96" s="28" t="str">
        <f>IF(ISNA(VLOOKUP(A96,'ESG Consalidated'!A:D,4,0)),"",VLOOKUP(A96,'ESG Consalidated'!A:D,4,0))</f>
        <v/>
      </c>
      <c r="I96" s="28" t="str">
        <f>IF(H96&lt;&gt;"",VLOOKUP(A96,'ESG Consalidated'!A:B,2,0),"")</f>
        <v/>
      </c>
      <c r="J96" s="28" t="str">
        <f>IF(ISNA(VLOOKUP(A96,'Purif &amp; Zakat'!C:K,9,0)),"",VLOOKUP(A96,'Purif &amp; Zakat'!C:K,9,0))</f>
        <v/>
      </c>
      <c r="K96" s="28" t="str">
        <f>IF(J96&lt;&gt;"",VLOOKUP(A96,'Purif &amp; Zakat'!C:E,3,0),"")</f>
        <v/>
      </c>
      <c r="L96" s="28" t="str">
        <f t="shared" ref="L96" si="20">IF(B96&lt;&gt;"", TEXT($B$1, "0") &amp; " Fields Count: " &amp; COUNTA(_xlfn.TEXTSPLIT(C96, ",")), "") &amp;
IF(AND(D96&lt;&gt;"", B96&lt;&gt;""), CHAR(10), "") &amp; IF(D96&lt;&gt;"", TEXT($D$1, "0") &amp; " Fields Count: " &amp; COUNTA(_xlfn.TEXTSPLIT(E96, ",")), "") &amp;
IF(AND(F96&lt;&gt;"", OR(B96&lt;&gt;"", D96&lt;&gt;"")), CHAR(10), "") &amp; IF(F96&lt;&gt;"", TEXT($F$1, "0") &amp; " Fields Count: " &amp; COUNTA(_xlfn.TEXTSPLIT(G96, ",")), "") &amp;
IF(AND(H96&lt;&gt;"", OR(B96&lt;&gt;"", D96&lt;&gt;"", F96&lt;&gt;"")), CHAR(10), "") &amp; IF(H96&lt;&gt;"", TEXT($H$1, "0") &amp; " Fields Count: " &amp; COUNTA(_xlfn.TEXTSPLIT(I96, ",")), "") &amp;
IF(AND(J96&lt;&gt;"", OR(B96&lt;&gt;"", D96&lt;&gt;"", F96&lt;&gt;"", H96&lt;&gt;"")), CHAR(10), "") &amp; IF(J96&lt;&gt;"", TEXT($J$1, "0") &amp; " Fields Count: " &amp; COUNTA(_xlfn.TEXTSPLIT(K96, ",")), "")</f>
        <v>Shariah DataFeed Fields Count: 4</v>
      </c>
      <c r="M96" s="28">
        <f t="shared" ref="M96" si="21" xml:space="preserve"> LEN(L96) - LEN(SUBSTITUTE(L96, CHAR(10), "")) +1</f>
        <v>1</v>
      </c>
      <c r="N96" s="32">
        <f t="shared" ref="N96" si="22">IF(B96&lt;&gt;"", COUNTA(_xlfn.TEXTSPLIT(C96, ",")), 0) + IF(D96&lt;&gt;"", COUNTA(_xlfn.TEXTSPLIT(E96, ",")), 0) + IF(F96&lt;&gt;"", COUNTA(_xlfn.TEXTSPLIT(G96, ",")), 0) + IF(H96&lt;&gt;"", COUNTA(_xlfn.TEXTSPLIT(I96, ",")), 0) + IF(J96&lt;&gt;"", COUNTA(_xlfn.TEXTSPLIT(K96, ",")), 0)</f>
        <v>4</v>
      </c>
      <c r="O96" s="52" t="str">
        <f t="shared" ref="O96" si="23">IF(B96&lt;&gt;"", TEXT($B$1, "0") &amp; " Fields Source: " &amp; B96, "") &amp;
IF(AND(D96&lt;&gt;"", B96&lt;&gt;""), CHAR(10), "") &amp; IF(D96&lt;&gt;"", TEXT($D$1, "0") &amp; " Fields Source: " &amp; D96, "") &amp;
IF(AND(F96&lt;&gt;"", OR(B96&lt;&gt;"", D96&lt;&gt;"")), CHAR(10), "") &amp; IF(F96&lt;&gt;"", TEXT($F$1, "0") &amp; " Fields Source: " &amp; F96, "") &amp;
IF(AND(H96&lt;&gt;"", OR(B96&lt;&gt;"", D96&lt;&gt;"", F96&lt;&gt;"")), CHAR(10), "") &amp; IF(H96&lt;&gt;"", TEXT($H$1, "0") &amp; " Fields Source: " &amp; H96, "") &amp;
IF(AND(J96&lt;&gt;"", OR(B96&lt;&gt;"", D96&lt;&gt;"", F96&lt;&gt;"", H96&lt;&gt;"")), CHAR(10), "") &amp; IF(J96&lt;&gt;"", TEXT($J$1, "0") &amp; " Fields Source: " &amp; J96, "")</f>
        <v>Shariah DataFeed Fields Source: Factset</v>
      </c>
      <c r="P96" s="28" t="str">
        <f>IF(ISNA(VLOOKUP(A96,Service!B:B,1,0)),"No","Yes")</f>
        <v>No</v>
      </c>
      <c r="Q96" s="28">
        <f>IFERROR(IFERROR(VLOOKUP(A96,'Shariah DataFeed'!A:H,10,0),VLOOKUP(A96,'ESG Consalidated'!A:E,5,0)),0)</f>
        <v>0</v>
      </c>
    </row>
    <row r="97" spans="1:17" ht="15">
      <c r="A97" s="74" t="s">
        <v>535</v>
      </c>
      <c r="B97" s="28" t="str">
        <f>IF(ISNA(VLOOKUP(A97,Boursa!A:G,6,0)),"",VLOOKUP(A97,Boursa!A:G,6,0))</f>
        <v/>
      </c>
      <c r="C97" s="28" t="str">
        <f>IF(ISNA(VLOOKUP(A97,Boursa!A:G,7,0)),"",VLOOKUP(A97,Boursa!A:G,7,0))</f>
        <v/>
      </c>
      <c r="D97" s="28" t="str">
        <f>IF(ISNA(VLOOKUP(A97,Index!A:C,3,0)),"",VLOOKUP(A97,Index!A:C,3,0))</f>
        <v/>
      </c>
      <c r="E97" s="28" t="str">
        <f>IF(D97&lt;&gt;"",VLOOKUP(A97,Index!A:B,2,0),"")</f>
        <v/>
      </c>
      <c r="F97" s="28" t="str">
        <f>IF(ISNA(VLOOKUP(A97,'Shariah DataFeed'!A:B,2,0)),"",VLOOKUP(A97,'Shariah DataFeed'!A:B,2,0))</f>
        <v/>
      </c>
      <c r="G97" s="28" t="str">
        <f>IF(F97&lt;&gt;"",VLOOKUP(A97,'Shariah DataFeed'!A:D,4,0),"")</f>
        <v/>
      </c>
      <c r="H97" s="28" t="str">
        <f>IF(ISNA(VLOOKUP(A97,'ESG Consalidated'!A:D,4,0)),"",VLOOKUP(A97,'ESG Consalidated'!A:D,4,0))</f>
        <v/>
      </c>
      <c r="I97" s="28" t="str">
        <f>IF(H97&lt;&gt;"",VLOOKUP(A97,'ESG Consalidated'!A:B,2,0),"")</f>
        <v/>
      </c>
      <c r="J97" s="28" t="str">
        <f>IF(ISNA(VLOOKUP(A97,'Purif &amp; Zakat'!C:K,9,0)),"",VLOOKUP(A97,'Purif &amp; Zakat'!C:K,9,0))</f>
        <v/>
      </c>
      <c r="K97" s="28" t="str">
        <f>IF(J97&lt;&gt;"",VLOOKUP(A97,'Purif &amp; Zakat'!C:E,3,0),"")</f>
        <v/>
      </c>
      <c r="L97" s="28" t="str">
        <f t="shared" ref="L97:L106" si="24">IF(B97&lt;&gt;"", TEXT($B$1, "0") &amp; " Fields Count: " &amp; COUNTA(_xlfn.TEXTSPLIT(C97, ",")), "") &amp;
IF(AND(D97&lt;&gt;"", B97&lt;&gt;""), CHAR(10), "") &amp; IF(D97&lt;&gt;"", TEXT($D$1, "0") &amp; " Fields Count: " &amp; COUNTA(_xlfn.TEXTSPLIT(E97, ",")), "") &amp;
IF(AND(F97&lt;&gt;"", OR(B97&lt;&gt;"", D97&lt;&gt;"")), CHAR(10), "") &amp; IF(F97&lt;&gt;"", TEXT($F$1, "0") &amp; " Fields Count: " &amp; COUNTA(_xlfn.TEXTSPLIT(G97, ",")), "") &amp;
IF(AND(H97&lt;&gt;"", OR(B97&lt;&gt;"", D97&lt;&gt;"", F97&lt;&gt;"")), CHAR(10), "") &amp; IF(H97&lt;&gt;"", TEXT($H$1, "0") &amp; " Fields Count: " &amp; COUNTA(_xlfn.TEXTSPLIT(I97, ",")), "") &amp;
IF(AND(J97&lt;&gt;"", OR(B97&lt;&gt;"", D97&lt;&gt;"", F97&lt;&gt;"", H97&lt;&gt;"")), CHAR(10), "") &amp; IF(J97&lt;&gt;"", TEXT($J$1, "0") &amp; " Fields Count: " &amp; COUNTA(_xlfn.TEXTSPLIT(K97, ",")), "")</f>
        <v/>
      </c>
      <c r="M97" s="28">
        <f t="shared" ref="M97:M106" si="25" xml:space="preserve"> LEN(L97) - LEN(SUBSTITUTE(L97, CHAR(10), "")) +1</f>
        <v>1</v>
      </c>
      <c r="N97" s="32">
        <f t="shared" ref="N97:N106" si="26">IF(B97&lt;&gt;"", COUNTA(_xlfn.TEXTSPLIT(C97, ",")), 0) + IF(D97&lt;&gt;"", COUNTA(_xlfn.TEXTSPLIT(E97, ",")), 0) + IF(F97&lt;&gt;"", COUNTA(_xlfn.TEXTSPLIT(G97, ",")), 0) + IF(H97&lt;&gt;"", COUNTA(_xlfn.TEXTSPLIT(I97, ",")), 0) + IF(J97&lt;&gt;"", COUNTA(_xlfn.TEXTSPLIT(K97, ",")), 0)</f>
        <v>0</v>
      </c>
      <c r="O97" s="52" t="str">
        <f t="shared" ref="O97:O106" si="27">IF(B97&lt;&gt;"", TEXT($B$1, "0") &amp; " Fields Source: " &amp; B97, "") &amp;
IF(AND(D97&lt;&gt;"", B97&lt;&gt;""), CHAR(10), "") &amp; IF(D97&lt;&gt;"", TEXT($D$1, "0") &amp; " Fields Source: " &amp; D97, "") &amp;
IF(AND(F97&lt;&gt;"", OR(B97&lt;&gt;"", D97&lt;&gt;"")), CHAR(10), "") &amp; IF(F97&lt;&gt;"", TEXT($F$1, "0") &amp; " Fields Source: " &amp; F97, "") &amp;
IF(AND(H97&lt;&gt;"", OR(B97&lt;&gt;"", D97&lt;&gt;"", F97&lt;&gt;"")), CHAR(10), "") &amp; IF(H97&lt;&gt;"", TEXT($H$1, "0") &amp; " Fields Source: " &amp; H97, "") &amp;
IF(AND(J97&lt;&gt;"", OR(B97&lt;&gt;"", D97&lt;&gt;"", F97&lt;&gt;"", H97&lt;&gt;"")), CHAR(10), "") &amp; IF(J97&lt;&gt;"", TEXT($J$1, "0") &amp; " Fields Source: " &amp; J97, "")</f>
        <v/>
      </c>
      <c r="P97" s="28" t="str">
        <f>IF(ISNA(VLOOKUP(A97,Service!B:B,1,0)),"No","Yes")</f>
        <v>Yes</v>
      </c>
      <c r="Q97" s="28">
        <f>IFERROR(IFERROR(VLOOKUP(A97,'Shariah DataFeed'!A:H,10,0),VLOOKUP(A97,'ESG Consalidated'!A:E,5,0)),0)</f>
        <v>0</v>
      </c>
    </row>
    <row r="98" spans="1:17" ht="15">
      <c r="A98" s="78" t="s">
        <v>519</v>
      </c>
      <c r="B98" s="28" t="str">
        <f>IF(ISNA(VLOOKUP(A98,Boursa!A:G,6,0)),"",VLOOKUP(A98,Boursa!A:G,6,0))</f>
        <v/>
      </c>
      <c r="C98" s="28" t="str">
        <f>IF(ISNA(VLOOKUP(A98,Boursa!A:G,7,0)),"",VLOOKUP(A98,Boursa!A:G,7,0))</f>
        <v/>
      </c>
      <c r="D98" s="28" t="str">
        <f>IF(ISNA(VLOOKUP(A98,Index!A:C,3,0)),"",VLOOKUP(A98,Index!A:C,3,0))</f>
        <v/>
      </c>
      <c r="E98" s="28" t="str">
        <f>IF(D98&lt;&gt;"",VLOOKUP(A98,Index!A:B,2,0),"")</f>
        <v/>
      </c>
      <c r="F98" s="28" t="str">
        <f>IF(ISNA(VLOOKUP(A98,'Shariah DataFeed'!A:B,2,0)),"",VLOOKUP(A98,'Shariah DataFeed'!A:B,2,0))</f>
        <v/>
      </c>
      <c r="G98" s="28" t="str">
        <f>IF(F98&lt;&gt;"",VLOOKUP(A98,'Shariah DataFeed'!A:D,4,0),"")</f>
        <v/>
      </c>
      <c r="H98" s="28" t="str">
        <f>IF(ISNA(VLOOKUP(A98,'ESG Consalidated'!A:D,4,0)),"",VLOOKUP(A98,'ESG Consalidated'!A:D,4,0))</f>
        <v/>
      </c>
      <c r="I98" s="28" t="str">
        <f>IF(H98&lt;&gt;"",VLOOKUP(A98,'ESG Consalidated'!A:B,2,0),"")</f>
        <v/>
      </c>
      <c r="J98" s="28" t="str">
        <f>IF(ISNA(VLOOKUP(A98,'Purif &amp; Zakat'!C:K,9,0)),"",VLOOKUP(A98,'Purif &amp; Zakat'!C:K,9,0))</f>
        <v/>
      </c>
      <c r="K98" s="28" t="str">
        <f>IF(J98&lt;&gt;"",VLOOKUP(A98,'Purif &amp; Zakat'!C:E,3,0),"")</f>
        <v/>
      </c>
      <c r="L98" s="28" t="str">
        <f t="shared" si="24"/>
        <v/>
      </c>
      <c r="M98" s="28">
        <f t="shared" si="25"/>
        <v>1</v>
      </c>
      <c r="N98" s="32">
        <f t="shared" si="26"/>
        <v>0</v>
      </c>
      <c r="O98" s="52" t="str">
        <f t="shared" si="27"/>
        <v/>
      </c>
      <c r="P98" s="28" t="str">
        <f>IF(ISNA(VLOOKUP(A98,Service!B:B,1,0)),"No","Yes")</f>
        <v>Yes</v>
      </c>
      <c r="Q98" s="28">
        <f>IFERROR(IFERROR(VLOOKUP(A98,'Shariah DataFeed'!A:H,10,0),VLOOKUP(A98,'ESG Consalidated'!A:E,5,0)),0)</f>
        <v>0</v>
      </c>
    </row>
    <row r="99" spans="1:17" ht="29">
      <c r="A99" s="309" t="s">
        <v>951</v>
      </c>
      <c r="B99" s="28" t="str">
        <f>IF(ISNA(VLOOKUP(A99,Boursa!A:G,6,0)),"",VLOOKUP(A99,Boursa!A:G,6,0))</f>
        <v/>
      </c>
      <c r="C99" s="28" t="str">
        <f>IF(ISNA(VLOOKUP(A99,Boursa!A:G,7,0)),"",VLOOKUP(A99,Boursa!A:G,7,0))</f>
        <v/>
      </c>
      <c r="D99" s="28" t="str">
        <f>IF(ISNA(VLOOKUP(A99,Index!A:C,3,0)),"",VLOOKUP(A99,Index!A:C,3,0))</f>
        <v/>
      </c>
      <c r="E99" s="28" t="str">
        <f>IF(D99&lt;&gt;"",VLOOKUP(A99,Index!A:B,2,0),"")</f>
        <v/>
      </c>
      <c r="F99" s="28" t="str">
        <f>IF(ISNA(VLOOKUP(A99,'Shariah DataFeed'!A:B,2,0)),"",VLOOKUP(A99,'Shariah DataFeed'!A:B,2,0))</f>
        <v/>
      </c>
      <c r="G99" s="28" t="str">
        <f>IF(F99&lt;&gt;"",VLOOKUP(A99,'Shariah DataFeed'!A:D,4,0),"")</f>
        <v/>
      </c>
      <c r="H99" s="28" t="str">
        <f>IF(ISNA(VLOOKUP(A99,'ESG Consalidated'!A:D,4,0)),"",VLOOKUP(A99,'ESG Consalidated'!A:D,4,0))</f>
        <v/>
      </c>
      <c r="I99" s="28" t="str">
        <f>IF(H99&lt;&gt;"",VLOOKUP(A99,'ESG Consalidated'!A:B,2,0),"")</f>
        <v/>
      </c>
      <c r="J99" s="28" t="str">
        <f>IF(ISNA(VLOOKUP(A99,'Purif &amp; Zakat'!C:K,9,0)),"",VLOOKUP(A99,'Purif &amp; Zakat'!C:K,9,0))</f>
        <v>Reuters</v>
      </c>
      <c r="K99" s="28" t="str">
        <f>IF(J99&lt;&gt;"",VLOOKUP(A99,'Purif &amp; Zakat'!C:E,3,0),"")</f>
        <v>Name,Compliance Status,Dividends Per Share,Purification Per Share,Purification</v>
      </c>
      <c r="L99" s="28" t="str">
        <f t="shared" si="24"/>
        <v>Purification &amp; Zakat Fields Count: 5</v>
      </c>
      <c r="M99" s="28">
        <f t="shared" si="25"/>
        <v>1</v>
      </c>
      <c r="N99" s="32">
        <f t="shared" si="26"/>
        <v>5</v>
      </c>
      <c r="O99" s="52" t="str">
        <f t="shared" si="27"/>
        <v>Purification &amp; Zakat Fields Source: Reuters</v>
      </c>
      <c r="P99" s="28" t="str">
        <f>IF(ISNA(VLOOKUP(A99,Service!B:B,1,0)),"No","Yes")</f>
        <v>Yes</v>
      </c>
      <c r="Q99" s="28">
        <f>IFERROR(IFERROR(VLOOKUP(A99,'Shariah DataFeed'!A:H,10,0),VLOOKUP(A99,'ESG Consalidated'!A:E,5,0)),0)</f>
        <v>0</v>
      </c>
    </row>
    <row r="100" spans="1:17">
      <c r="A100" s="28" t="s">
        <v>538</v>
      </c>
      <c r="B100" s="28" t="str">
        <f>IF(ISNA(VLOOKUP(A100,Boursa!A:G,6,0)),"",VLOOKUP(A100,Boursa!A:G,6,0))</f>
        <v/>
      </c>
      <c r="C100" s="28" t="str">
        <f>IF(ISNA(VLOOKUP(A100,Boursa!A:G,7,0)),"",VLOOKUP(A100,Boursa!A:G,7,0))</f>
        <v/>
      </c>
      <c r="D100" s="28" t="str">
        <f>IF(ISNA(VLOOKUP(A100,Index!A:C,3,0)),"",VLOOKUP(A100,Index!A:C,3,0))</f>
        <v/>
      </c>
      <c r="E100" s="28" t="str">
        <f>IF(D100&lt;&gt;"",VLOOKUP(A100,Index!A:B,2,0),"")</f>
        <v/>
      </c>
      <c r="F100" s="28" t="str">
        <f>IF(ISNA(VLOOKUP(A100,'Shariah DataFeed'!A:B,2,0)),"",VLOOKUP(A100,'Shariah DataFeed'!A:B,2,0))</f>
        <v/>
      </c>
      <c r="G100" s="28" t="str">
        <f>IF(F100&lt;&gt;"",VLOOKUP(A100,'Shariah DataFeed'!A:D,4,0),"")</f>
        <v/>
      </c>
      <c r="H100" s="28" t="str">
        <f>IF(ISNA(VLOOKUP(A100,'ESG Consalidated'!A:D,4,0)),"",VLOOKUP(A100,'ESG Consalidated'!A:D,4,0))</f>
        <v/>
      </c>
      <c r="I100" s="28" t="str">
        <f>IF(H100&lt;&gt;"",VLOOKUP(A100,'ESG Consalidated'!A:B,2,0),"")</f>
        <v/>
      </c>
      <c r="J100" s="28" t="str">
        <f>IF(ISNA(VLOOKUP(A100,'Purif &amp; Zakat'!C:K,9,0)),"",VLOOKUP(A100,'Purif &amp; Zakat'!C:K,9,0))</f>
        <v/>
      </c>
      <c r="K100" s="28" t="str">
        <f>IF(J100&lt;&gt;"",VLOOKUP(A100,'Purif &amp; Zakat'!C:E,3,0),"")</f>
        <v/>
      </c>
      <c r="L100" s="28" t="str">
        <f t="shared" si="24"/>
        <v/>
      </c>
      <c r="M100" s="28">
        <f t="shared" si="25"/>
        <v>1</v>
      </c>
      <c r="N100" s="32">
        <f t="shared" si="26"/>
        <v>0</v>
      </c>
      <c r="O100" s="52" t="str">
        <f t="shared" si="27"/>
        <v/>
      </c>
      <c r="P100" s="28" t="str">
        <f>IF(ISNA(VLOOKUP(A100,Service!B:B,1,0)),"No","Yes")</f>
        <v>Yes</v>
      </c>
      <c r="Q100" s="28">
        <f>IFERROR(IFERROR(VLOOKUP(A100,'Shariah DataFeed'!A:H,10,0),VLOOKUP(A100,'ESG Consalidated'!A:E,5,0)),0)</f>
        <v>0</v>
      </c>
    </row>
    <row r="101" spans="1:17" ht="29">
      <c r="A101" s="28" t="s">
        <v>554</v>
      </c>
      <c r="B101" s="28" t="str">
        <f>IF(ISNA(VLOOKUP(A101,Boursa!A:G,6,0)),"",VLOOKUP(A101,Boursa!A:G,6,0))</f>
        <v/>
      </c>
      <c r="C101" s="28" t="str">
        <f>IF(ISNA(VLOOKUP(A101,Boursa!A:G,7,0)),"",VLOOKUP(A101,Boursa!A:G,7,0))</f>
        <v/>
      </c>
      <c r="D101" s="28" t="str">
        <f>IF(ISNA(VLOOKUP(A101,Index!A:C,3,0)),"",VLOOKUP(A101,Index!A:C,3,0))</f>
        <v/>
      </c>
      <c r="E101" s="28" t="str">
        <f>IF(D101&lt;&gt;"",VLOOKUP(A101,Index!A:B,2,0),"")</f>
        <v/>
      </c>
      <c r="F101" s="28" t="str">
        <f>IF(ISNA(VLOOKUP(A101,'Shariah DataFeed'!A:B,2,0)),"",VLOOKUP(A101,'Shariah DataFeed'!A:B,2,0))</f>
        <v/>
      </c>
      <c r="G101" s="28" t="str">
        <f>IF(F101&lt;&gt;"",VLOOKUP(A101,'Shariah DataFeed'!A:D,4,0),"")</f>
        <v/>
      </c>
      <c r="H101" s="28" t="str">
        <f>IF(ISNA(VLOOKUP(A101,'ESG Consalidated'!A:D,4,0)),"",VLOOKUP(A101,'ESG Consalidated'!A:D,4,0))</f>
        <v/>
      </c>
      <c r="I101" s="28" t="str">
        <f>IF(H101&lt;&gt;"",VLOOKUP(A101,'ESG Consalidated'!A:B,2,0),"")</f>
        <v/>
      </c>
      <c r="J101" s="28" t="str">
        <f>IF(ISNA(VLOOKUP(A101,'Purif &amp; Zakat'!C:K,9,0)),"",VLOOKUP(A101,'Purif &amp; Zakat'!C:K,9,0))</f>
        <v/>
      </c>
      <c r="K101" s="28" t="str">
        <f>IF(J101&lt;&gt;"",VLOOKUP(A101,'Purif &amp; Zakat'!C:E,3,0),"")</f>
        <v/>
      </c>
      <c r="L101" s="28" t="str">
        <f t="shared" si="24"/>
        <v/>
      </c>
      <c r="M101" s="28">
        <f t="shared" si="25"/>
        <v>1</v>
      </c>
      <c r="N101" s="32">
        <f t="shared" si="26"/>
        <v>0</v>
      </c>
      <c r="O101" s="52" t="str">
        <f t="shared" si="27"/>
        <v/>
      </c>
      <c r="P101" s="28" t="str">
        <f>IF(ISNA(VLOOKUP(A101,Service!B:B,1,0)),"No","Yes")</f>
        <v>Yes</v>
      </c>
      <c r="Q101" s="28">
        <f>IFERROR(IFERROR(VLOOKUP(A101,'Shariah DataFeed'!A:H,10,0),VLOOKUP(A101,'ESG Consalidated'!A:E,5,0)),0)</f>
        <v>0</v>
      </c>
    </row>
    <row r="102" spans="1:17" ht="43.5">
      <c r="A102" s="28" t="s">
        <v>545</v>
      </c>
      <c r="B102" s="28" t="str">
        <f>IF(ISNA(VLOOKUP(A102,Boursa!A:G,6,0)),"",VLOOKUP(A102,Boursa!A:G,6,0))</f>
        <v/>
      </c>
      <c r="C102" s="28" t="str">
        <f>IF(ISNA(VLOOKUP(A102,Boursa!A:G,7,0)),"",VLOOKUP(A102,Boursa!A:G,7,0))</f>
        <v/>
      </c>
      <c r="D102" s="28" t="str">
        <f>IF(ISNA(VLOOKUP(A102,Index!A:C,3,0)),"",VLOOKUP(A102,Index!A:C,3,0))</f>
        <v/>
      </c>
      <c r="E102" s="28" t="str">
        <f>IF(D102&lt;&gt;"",VLOOKUP(A102,Index!A:B,2,0),"")</f>
        <v/>
      </c>
      <c r="F102" s="28" t="str">
        <f>IF(ISNA(VLOOKUP(A102,'Shariah DataFeed'!A:B,2,0)),"",VLOOKUP(A102,'Shariah DataFeed'!A:B,2,0))</f>
        <v/>
      </c>
      <c r="G102" s="28" t="str">
        <f>IF(F102&lt;&gt;"",VLOOKUP(A102,'Shariah DataFeed'!A:D,4,0),"")</f>
        <v/>
      </c>
      <c r="H102" s="28" t="str">
        <f>IF(ISNA(VLOOKUP(A102,'ESG Consalidated'!A:D,4,0)),"",VLOOKUP(A102,'ESG Consalidated'!A:D,4,0))</f>
        <v/>
      </c>
      <c r="I102" s="28" t="str">
        <f>IF(H102&lt;&gt;"",VLOOKUP(A102,'ESG Consalidated'!A:B,2,0),"")</f>
        <v/>
      </c>
      <c r="J102" s="28" t="str">
        <f>IF(ISNA(VLOOKUP(A102,'Purif &amp; Zakat'!C:K,9,0)),"",VLOOKUP(A102,'Purif &amp; Zakat'!C:K,9,0))</f>
        <v>Reuters</v>
      </c>
      <c r="K102" s="28" t="str">
        <f>IF(J102&lt;&gt;"",VLOOKUP(A102,'Purif &amp; Zakat'!C:E,3,0),"")</f>
        <v>Name,ISIN,AAOIFI compliance,Debt Ratio,Interest-bearing Investments Ratio,Non-permissible Income Ratio,NPIN Status,Purification per ETF Share</v>
      </c>
      <c r="L102" s="28" t="str">
        <f t="shared" si="24"/>
        <v>Purification &amp; Zakat Fields Count: 8</v>
      </c>
      <c r="M102" s="28">
        <f t="shared" si="25"/>
        <v>1</v>
      </c>
      <c r="N102" s="32">
        <f t="shared" si="26"/>
        <v>8</v>
      </c>
      <c r="O102" s="52" t="str">
        <f t="shared" si="27"/>
        <v>Purification &amp; Zakat Fields Source: Reuters</v>
      </c>
      <c r="P102" s="28" t="str">
        <f>IF(ISNA(VLOOKUP(A102,Service!B:B,1,0)),"No","Yes")</f>
        <v>Yes</v>
      </c>
      <c r="Q102" s="28">
        <f>IFERROR(IFERROR(VLOOKUP(A102,'Shariah DataFeed'!A:H,10,0),VLOOKUP(A102,'ESG Consalidated'!A:E,5,0)),0)</f>
        <v>0</v>
      </c>
    </row>
    <row r="103" spans="1:17">
      <c r="A103" s="28" t="s">
        <v>534</v>
      </c>
      <c r="B103" s="28" t="str">
        <f>IF(ISNA(VLOOKUP(A103,Boursa!A:G,6,0)),"",VLOOKUP(A103,Boursa!A:G,6,0))</f>
        <v/>
      </c>
      <c r="C103" s="28" t="str">
        <f>IF(ISNA(VLOOKUP(A103,Boursa!A:G,7,0)),"",VLOOKUP(A103,Boursa!A:G,7,0))</f>
        <v/>
      </c>
      <c r="D103" s="28" t="str">
        <f>IF(ISNA(VLOOKUP(A103,Index!A:C,3,0)),"",VLOOKUP(A103,Index!A:C,3,0))</f>
        <v/>
      </c>
      <c r="E103" s="28" t="str">
        <f>IF(D103&lt;&gt;"",VLOOKUP(A103,Index!A:B,2,0),"")</f>
        <v/>
      </c>
      <c r="F103" s="28" t="str">
        <f>IF(ISNA(VLOOKUP(A103,'Shariah DataFeed'!A:B,2,0)),"",VLOOKUP(A103,'Shariah DataFeed'!A:B,2,0))</f>
        <v/>
      </c>
      <c r="G103" s="28" t="str">
        <f>IF(F103&lt;&gt;"",VLOOKUP(A103,'Shariah DataFeed'!A:D,4,0),"")</f>
        <v/>
      </c>
      <c r="H103" s="28" t="str">
        <f>IF(ISNA(VLOOKUP(A103,'ESG Consalidated'!A:D,4,0)),"",VLOOKUP(A103,'ESG Consalidated'!A:D,4,0))</f>
        <v/>
      </c>
      <c r="I103" s="28" t="str">
        <f>IF(H103&lt;&gt;"",VLOOKUP(A103,'ESG Consalidated'!A:B,2,0),"")</f>
        <v/>
      </c>
      <c r="J103" s="28" t="str">
        <f>IF(ISNA(VLOOKUP(A103,'Purif &amp; Zakat'!C:K,9,0)),"",VLOOKUP(A103,'Purif &amp; Zakat'!C:K,9,0))</f>
        <v/>
      </c>
      <c r="K103" s="28" t="str">
        <f>IF(J103&lt;&gt;"",VLOOKUP(A103,'Purif &amp; Zakat'!C:E,3,0),"")</f>
        <v/>
      </c>
      <c r="L103" s="28" t="str">
        <f t="shared" si="24"/>
        <v/>
      </c>
      <c r="M103" s="28">
        <f t="shared" si="25"/>
        <v>1</v>
      </c>
      <c r="N103" s="32">
        <f t="shared" si="26"/>
        <v>0</v>
      </c>
      <c r="O103" s="52" t="str">
        <f t="shared" si="27"/>
        <v/>
      </c>
      <c r="P103" s="28" t="str">
        <f>IF(ISNA(VLOOKUP(A103,Service!B:B,1,0)),"No","Yes")</f>
        <v>Yes</v>
      </c>
      <c r="Q103" s="28">
        <f>IFERROR(IFERROR(VLOOKUP(A103,'Shariah DataFeed'!A:H,10,0),VLOOKUP(A103,'ESG Consalidated'!A:E,5,0)),0)</f>
        <v>0</v>
      </c>
    </row>
    <row r="104" spans="1:17" ht="29">
      <c r="A104" s="28" t="s">
        <v>541</v>
      </c>
      <c r="B104" s="28" t="str">
        <f>IF(ISNA(VLOOKUP(A104,Boursa!A:G,6,0)),"",VLOOKUP(A104,Boursa!A:G,6,0))</f>
        <v/>
      </c>
      <c r="C104" s="28" t="str">
        <f>IF(ISNA(VLOOKUP(A104,Boursa!A:G,7,0)),"",VLOOKUP(A104,Boursa!A:G,7,0))</f>
        <v/>
      </c>
      <c r="D104" s="28" t="str">
        <f>IF(ISNA(VLOOKUP(A104,Index!A:C,3,0)),"",VLOOKUP(A104,Index!A:C,3,0))</f>
        <v/>
      </c>
      <c r="E104" s="28" t="str">
        <f>IF(D104&lt;&gt;"",VLOOKUP(A104,Index!A:B,2,0),"")</f>
        <v/>
      </c>
      <c r="F104" s="28" t="str">
        <f>IF(ISNA(VLOOKUP(A104,'Shariah DataFeed'!A:B,2,0)),"",VLOOKUP(A104,'Shariah DataFeed'!A:B,2,0))</f>
        <v/>
      </c>
      <c r="G104" s="28" t="str">
        <f>IF(F104&lt;&gt;"",VLOOKUP(A104,'Shariah DataFeed'!A:D,4,0),"")</f>
        <v/>
      </c>
      <c r="H104" s="28" t="str">
        <f>IF(ISNA(VLOOKUP(A104,'ESG Consalidated'!A:D,4,0)),"",VLOOKUP(A104,'ESG Consalidated'!A:D,4,0))</f>
        <v/>
      </c>
      <c r="I104" s="28" t="str">
        <f>IF(H104&lt;&gt;"",VLOOKUP(A104,'ESG Consalidated'!A:B,2,0),"")</f>
        <v/>
      </c>
      <c r="J104" s="28" t="str">
        <f>IF(ISNA(VLOOKUP(A104,'Purif &amp; Zakat'!C:K,9,0)),"",VLOOKUP(A104,'Purif &amp; Zakat'!C:K,9,0))</f>
        <v/>
      </c>
      <c r="K104" s="28" t="str">
        <f>IF(J104&lt;&gt;"",VLOOKUP(A104,'Purif &amp; Zakat'!C:E,3,0),"")</f>
        <v/>
      </c>
      <c r="L104" s="28" t="str">
        <f t="shared" si="24"/>
        <v/>
      </c>
      <c r="M104" s="28">
        <f t="shared" si="25"/>
        <v>1</v>
      </c>
      <c r="N104" s="32">
        <f t="shared" si="26"/>
        <v>0</v>
      </c>
      <c r="O104" s="52" t="str">
        <f t="shared" si="27"/>
        <v/>
      </c>
      <c r="P104" s="28" t="str">
        <f>IF(ISNA(VLOOKUP(A104,Service!B:B,1,0)),"No","Yes")</f>
        <v>Yes</v>
      </c>
      <c r="Q104" s="28">
        <f>IFERROR(IFERROR(VLOOKUP(A104,'Shariah DataFeed'!A:H,10,0),VLOOKUP(A104,'ESG Consalidated'!A:E,5,0)),0)</f>
        <v>0</v>
      </c>
    </row>
    <row r="105" spans="1:17">
      <c r="A105" s="28" t="s">
        <v>512</v>
      </c>
      <c r="B105" s="28" t="str">
        <f>IF(ISNA(VLOOKUP(A105,Boursa!A:G,6,0)),"",VLOOKUP(A105,Boursa!A:G,6,0))</f>
        <v/>
      </c>
      <c r="C105" s="28" t="str">
        <f>IF(ISNA(VLOOKUP(A105,Boursa!A:G,7,0)),"",VLOOKUP(A105,Boursa!A:G,7,0))</f>
        <v/>
      </c>
      <c r="D105" s="28" t="str">
        <f>IF(ISNA(VLOOKUP(A105,Index!A:C,3,0)),"",VLOOKUP(A105,Index!A:C,3,0))</f>
        <v/>
      </c>
      <c r="E105" s="28" t="str">
        <f>IF(D105&lt;&gt;"",VLOOKUP(A105,Index!A:B,2,0),"")</f>
        <v/>
      </c>
      <c r="F105" s="28" t="str">
        <f>IF(ISNA(VLOOKUP(A105,'Shariah DataFeed'!A:B,2,0)),"",VLOOKUP(A105,'Shariah DataFeed'!A:B,2,0))</f>
        <v/>
      </c>
      <c r="G105" s="28" t="str">
        <f>IF(F105&lt;&gt;"",VLOOKUP(A105,'Shariah DataFeed'!A:D,4,0),"")</f>
        <v/>
      </c>
      <c r="H105" s="28" t="str">
        <f>IF(ISNA(VLOOKUP(A105,'ESG Consalidated'!A:D,4,0)),"",VLOOKUP(A105,'ESG Consalidated'!A:D,4,0))</f>
        <v/>
      </c>
      <c r="I105" s="28" t="str">
        <f>IF(H105&lt;&gt;"",VLOOKUP(A105,'ESG Consalidated'!A:B,2,0),"")</f>
        <v/>
      </c>
      <c r="J105" s="28" t="str">
        <f>IF(ISNA(VLOOKUP(A105,'Purif &amp; Zakat'!C:K,9,0)),"",VLOOKUP(A105,'Purif &amp; Zakat'!C:K,9,0))</f>
        <v/>
      </c>
      <c r="K105" s="28" t="str">
        <f>IF(J105&lt;&gt;"",VLOOKUP(A105,'Purif &amp; Zakat'!C:E,3,0),"")</f>
        <v/>
      </c>
      <c r="L105" s="28" t="str">
        <f t="shared" si="24"/>
        <v/>
      </c>
      <c r="M105" s="28">
        <f t="shared" si="25"/>
        <v>1</v>
      </c>
      <c r="N105" s="32">
        <f t="shared" si="26"/>
        <v>0</v>
      </c>
      <c r="O105" s="52" t="str">
        <f t="shared" si="27"/>
        <v/>
      </c>
      <c r="P105" s="28" t="str">
        <f>IF(ISNA(VLOOKUP(A105,Service!B:B,1,0)),"No","Yes")</f>
        <v>Yes</v>
      </c>
      <c r="Q105" s="28">
        <f>IFERROR(IFERROR(VLOOKUP(A105,'Shariah DataFeed'!A:H,10,0),VLOOKUP(A105,'ESG Consalidated'!A:E,5,0)),0)</f>
        <v>0</v>
      </c>
    </row>
    <row r="106" spans="1:17">
      <c r="A106" s="28" t="s">
        <v>558</v>
      </c>
      <c r="B106" s="28" t="str">
        <f>IF(ISNA(VLOOKUP(A106,Boursa!A:G,6,0)),"",VLOOKUP(A106,Boursa!A:G,6,0))</f>
        <v/>
      </c>
      <c r="C106" s="28" t="str">
        <f>IF(ISNA(VLOOKUP(A106,Boursa!A:G,7,0)),"",VLOOKUP(A106,Boursa!A:G,7,0))</f>
        <v/>
      </c>
      <c r="D106" s="28" t="str">
        <f>IF(ISNA(VLOOKUP(A106,Index!A:C,3,0)),"",VLOOKUP(A106,Index!A:C,3,0))</f>
        <v/>
      </c>
      <c r="E106" s="28" t="str">
        <f>IF(D106&lt;&gt;"",VLOOKUP(A106,Index!A:B,2,0),"")</f>
        <v/>
      </c>
      <c r="F106" s="28" t="str">
        <f>IF(ISNA(VLOOKUP(A106,'Shariah DataFeed'!A:B,2,0)),"",VLOOKUP(A106,'Shariah DataFeed'!A:B,2,0))</f>
        <v/>
      </c>
      <c r="G106" s="28" t="str">
        <f>IF(F106&lt;&gt;"",VLOOKUP(A106,'Shariah DataFeed'!A:D,4,0),"")</f>
        <v/>
      </c>
      <c r="H106" s="28" t="str">
        <f>IF(ISNA(VLOOKUP(A106,'ESG Consalidated'!A:D,4,0)),"",VLOOKUP(A106,'ESG Consalidated'!A:D,4,0))</f>
        <v/>
      </c>
      <c r="I106" s="28" t="str">
        <f>IF(H106&lt;&gt;"",VLOOKUP(A106,'ESG Consalidated'!A:B,2,0),"")</f>
        <v/>
      </c>
      <c r="J106" s="28" t="str">
        <f>IF(ISNA(VLOOKUP(A106,'Purif &amp; Zakat'!C:K,9,0)),"",VLOOKUP(A106,'Purif &amp; Zakat'!C:K,9,0))</f>
        <v/>
      </c>
      <c r="K106" s="28" t="str">
        <f>IF(J106&lt;&gt;"",VLOOKUP(A106,'Purif &amp; Zakat'!C:E,3,0),"")</f>
        <v/>
      </c>
      <c r="L106" s="28" t="str">
        <f t="shared" si="24"/>
        <v/>
      </c>
      <c r="M106" s="28">
        <f t="shared" si="25"/>
        <v>1</v>
      </c>
      <c r="N106" s="32">
        <f t="shared" si="26"/>
        <v>0</v>
      </c>
      <c r="O106" s="52" t="str">
        <f t="shared" si="27"/>
        <v/>
      </c>
      <c r="P106" s="28" t="str">
        <f>IF(ISNA(VLOOKUP(A106,Service!B:B,1,0)),"No","Yes")</f>
        <v>Yes</v>
      </c>
      <c r="Q106" s="28">
        <f>IFERROR(IFERROR(VLOOKUP(A106,'Shariah DataFeed'!A:H,10,0),VLOOKUP(A106,'ESG Consalidated'!A:E,5,0)),0)</f>
        <v>0</v>
      </c>
    </row>
    <row r="107" spans="1:17">
      <c r="A107" s="212" t="s">
        <v>973</v>
      </c>
      <c r="B107" s="28" t="str">
        <f>IF(ISNA(VLOOKUP(A107,Boursa!A:G,6,0)),"",VLOOKUP(A107,Boursa!A:G,6,0))</f>
        <v/>
      </c>
      <c r="C107" s="28" t="str">
        <f>IF(ISNA(VLOOKUP(A107,Boursa!A:G,7,0)),"",VLOOKUP(A107,Boursa!A:G,7,0))</f>
        <v/>
      </c>
      <c r="D107" s="28" t="str">
        <f>IF(ISNA(VLOOKUP(A107,Index!A:C,3,0)),"",VLOOKUP(A107,Index!A:C,3,0))</f>
        <v>FactSet</v>
      </c>
      <c r="E107" s="28" t="str">
        <f>IF(D107&lt;&gt;"",VLOOKUP(A107,Index!A:B,2,0),"")</f>
        <v>Name,ISIN,Ticker,Weight</v>
      </c>
      <c r="F107" s="28" t="str">
        <f>IF(ISNA(VLOOKUP(A107,'Shariah DataFeed'!A:B,2,0)),"",VLOOKUP(A107,'Shariah DataFeed'!A:B,2,0))</f>
        <v/>
      </c>
      <c r="G107" s="28" t="str">
        <f>IF(F107&lt;&gt;"",VLOOKUP(A107,'Shariah DataFeed'!A:D,4,0),"")</f>
        <v/>
      </c>
      <c r="H107" s="28" t="str">
        <f>IF(ISNA(VLOOKUP(A107,'ESG Consalidated'!A:D,4,0)),"",VLOOKUP(A107,'ESG Consalidated'!A:D,4,0))</f>
        <v/>
      </c>
      <c r="I107" s="28" t="str">
        <f>IF(H107&lt;&gt;"",VLOOKUP(A107,'ESG Consalidated'!A:B,2,0),"")</f>
        <v/>
      </c>
      <c r="J107" s="28" t="str">
        <f>IF(ISNA(VLOOKUP(A107,'Purif &amp; Zakat'!C:K,9,0)),"",VLOOKUP(A107,'Purif &amp; Zakat'!C:K,9,0))</f>
        <v/>
      </c>
      <c r="K107" s="28" t="str">
        <f>IF(J107&lt;&gt;"",VLOOKUP(A107,'Purif &amp; Zakat'!C:E,3,0),"")</f>
        <v/>
      </c>
      <c r="L107" s="28" t="str">
        <f t="shared" ref="L107" si="28">IF(B107&lt;&gt;"", TEXT($B$1, "0") &amp; " Fields Count: " &amp; COUNTA(_xlfn.TEXTSPLIT(C107, ",")), "") &amp;
IF(AND(D107&lt;&gt;"", B107&lt;&gt;""), CHAR(10), "") &amp; IF(D107&lt;&gt;"", TEXT($D$1, "0") &amp; " Fields Count: " &amp; COUNTA(_xlfn.TEXTSPLIT(E107, ",")), "") &amp;
IF(AND(F107&lt;&gt;"", OR(B107&lt;&gt;"", D107&lt;&gt;"")), CHAR(10), "") &amp; IF(F107&lt;&gt;"", TEXT($F$1, "0") &amp; " Fields Count: " &amp; COUNTA(_xlfn.TEXTSPLIT(G107, ",")), "") &amp;
IF(AND(H107&lt;&gt;"", OR(B107&lt;&gt;"", D107&lt;&gt;"", F107&lt;&gt;"")), CHAR(10), "") &amp; IF(H107&lt;&gt;"", TEXT($H$1, "0") &amp; " Fields Count: " &amp; COUNTA(_xlfn.TEXTSPLIT(I107, ",")), "") &amp;
IF(AND(J107&lt;&gt;"", OR(B107&lt;&gt;"", D107&lt;&gt;"", F107&lt;&gt;"", H107&lt;&gt;"")), CHAR(10), "") &amp; IF(J107&lt;&gt;"", TEXT($J$1, "0") &amp; " Fields Count: " &amp; COUNTA(_xlfn.TEXTSPLIT(K107, ",")), "")</f>
        <v>Index Fields Count: 4</v>
      </c>
      <c r="M107" s="28">
        <f t="shared" ref="M107" si="29" xml:space="preserve"> LEN(L107) - LEN(SUBSTITUTE(L107, CHAR(10), "")) +1</f>
        <v>1</v>
      </c>
      <c r="N107" s="32">
        <f t="shared" ref="N107" si="30">IF(B107&lt;&gt;"", COUNTA(_xlfn.TEXTSPLIT(C107, ",")), 0) + IF(D107&lt;&gt;"", COUNTA(_xlfn.TEXTSPLIT(E107, ",")), 0) + IF(F107&lt;&gt;"", COUNTA(_xlfn.TEXTSPLIT(G107, ",")), 0) + IF(H107&lt;&gt;"", COUNTA(_xlfn.TEXTSPLIT(I107, ",")), 0) + IF(J107&lt;&gt;"", COUNTA(_xlfn.TEXTSPLIT(K107, ",")), 0)</f>
        <v>4</v>
      </c>
      <c r="O107" s="52" t="str">
        <f t="shared" ref="O107" si="31">IF(B107&lt;&gt;"", TEXT($B$1, "0") &amp; " Fields Source: " &amp; B107, "") &amp;
IF(AND(D107&lt;&gt;"", B107&lt;&gt;""), CHAR(10), "") &amp; IF(D107&lt;&gt;"", TEXT($D$1, "0") &amp; " Fields Source: " &amp; D107, "") &amp;
IF(AND(F107&lt;&gt;"", OR(B107&lt;&gt;"", D107&lt;&gt;"")), CHAR(10), "") &amp; IF(F107&lt;&gt;"", TEXT($F$1, "0") &amp; " Fields Source: " &amp; F107, "") &amp;
IF(AND(H107&lt;&gt;"", OR(B107&lt;&gt;"", D107&lt;&gt;"", F107&lt;&gt;"")), CHAR(10), "") &amp; IF(H107&lt;&gt;"", TEXT($H$1, "0") &amp; " Fields Source: " &amp; H107, "") &amp;
IF(AND(J107&lt;&gt;"", OR(B107&lt;&gt;"", D107&lt;&gt;"", F107&lt;&gt;"", H107&lt;&gt;"")), CHAR(10), "") &amp; IF(J107&lt;&gt;"", TEXT($J$1, "0") &amp; " Fields Source: " &amp; J107, "")</f>
        <v>Index Fields Source: FactSet</v>
      </c>
      <c r="P107" s="28" t="str">
        <f>IF(ISNA(VLOOKUP(A107,Service!B:B,1,0)),"No","Yes")</f>
        <v>No</v>
      </c>
      <c r="Q107" s="28">
        <f>IFERROR(IFERROR(VLOOKUP(A107,'Shariah DataFeed'!A:H,10,0),VLOOKUP(A107,'ESG Consalidated'!A:E,5,0)),0)</f>
        <v>0</v>
      </c>
    </row>
  </sheetData>
  <mergeCells count="7">
    <mergeCell ref="L1:O1"/>
    <mergeCell ref="A1:A2"/>
    <mergeCell ref="J1:K1"/>
    <mergeCell ref="B1:C1"/>
    <mergeCell ref="D1:E1"/>
    <mergeCell ref="F1:G1"/>
    <mergeCell ref="H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95F74-E023-0F46-863B-EF1FEF36D065}">
  <sheetPr>
    <tabColor theme="5"/>
  </sheetPr>
  <dimension ref="A1:F50"/>
  <sheetViews>
    <sheetView zoomScaleNormal="100" workbookViewId="0">
      <selection activeCell="C2" sqref="C2:F2"/>
    </sheetView>
  </sheetViews>
  <sheetFormatPr defaultColWidth="8.81640625" defaultRowHeight="14.5"/>
  <cols>
    <col min="1" max="1" width="2.81640625" style="96" bestFit="1" customWidth="1"/>
    <col min="2" max="2" width="42.36328125" style="212" bestFit="1" customWidth="1"/>
    <col min="3" max="3" width="15.1796875" style="96" customWidth="1"/>
    <col min="4" max="4" width="19.81640625" style="96" bestFit="1" customWidth="1"/>
    <col min="5" max="5" width="13" style="96" bestFit="1" customWidth="1"/>
    <col min="6" max="6" width="8.81640625" style="96"/>
    <col min="7" max="16384" width="8.81640625" style="197"/>
  </cols>
  <sheetData>
    <row r="1" spans="1:6" s="96" customFormat="1" ht="15" thickBot="1">
      <c r="A1" s="218" t="s">
        <v>574</v>
      </c>
      <c r="B1" s="219" t="s">
        <v>810</v>
      </c>
      <c r="C1" s="414" t="s">
        <v>808</v>
      </c>
      <c r="D1" s="414" t="s">
        <v>809</v>
      </c>
      <c r="E1" s="414" t="s">
        <v>804</v>
      </c>
      <c r="F1" s="414" t="s">
        <v>3</v>
      </c>
    </row>
    <row r="2" spans="1:6">
      <c r="A2" s="389">
        <v>1</v>
      </c>
      <c r="B2" s="401" t="s">
        <v>840</v>
      </c>
      <c r="C2" s="314"/>
      <c r="D2" s="225"/>
      <c r="E2" s="259"/>
      <c r="F2" s="415"/>
    </row>
    <row r="3" spans="1:6" ht="14.5" customHeight="1">
      <c r="A3" s="390"/>
      <c r="B3" s="402"/>
      <c r="C3" s="314" t="s">
        <v>51</v>
      </c>
      <c r="D3" s="208" t="s">
        <v>1</v>
      </c>
      <c r="E3" s="259" t="s">
        <v>482</v>
      </c>
      <c r="F3" s="415" t="s">
        <v>1</v>
      </c>
    </row>
    <row r="4" spans="1:6" ht="14.5" customHeight="1">
      <c r="A4" s="390"/>
      <c r="B4" s="402"/>
      <c r="C4" s="314" t="s">
        <v>51</v>
      </c>
      <c r="D4" s="208" t="s">
        <v>37</v>
      </c>
      <c r="E4" s="259" t="s">
        <v>481</v>
      </c>
      <c r="F4" s="415" t="s">
        <v>1</v>
      </c>
    </row>
    <row r="5" spans="1:6" ht="15" thickBot="1">
      <c r="A5" s="391"/>
      <c r="B5" s="403"/>
      <c r="C5" s="314" t="s">
        <v>51</v>
      </c>
      <c r="D5" s="226" t="s">
        <v>135</v>
      </c>
      <c r="E5" s="260" t="s">
        <v>482</v>
      </c>
      <c r="F5" s="415" t="s">
        <v>1</v>
      </c>
    </row>
    <row r="6" spans="1:6" ht="14.5" customHeight="1">
      <c r="A6" s="377">
        <v>2</v>
      </c>
      <c r="B6" s="398" t="s">
        <v>839</v>
      </c>
      <c r="C6" s="315" t="s">
        <v>51</v>
      </c>
      <c r="D6" s="227" t="s">
        <v>492</v>
      </c>
      <c r="E6" s="261" t="s">
        <v>481</v>
      </c>
      <c r="F6" s="415" t="s">
        <v>1</v>
      </c>
    </row>
    <row r="7" spans="1:6" ht="14.5" customHeight="1">
      <c r="A7" s="378"/>
      <c r="B7" s="399"/>
      <c r="C7" s="315" t="s">
        <v>51</v>
      </c>
      <c r="D7" s="210" t="s">
        <v>550</v>
      </c>
      <c r="E7" s="262" t="s">
        <v>481</v>
      </c>
      <c r="F7" s="415" t="s">
        <v>1</v>
      </c>
    </row>
    <row r="8" spans="1:6" ht="14.5" customHeight="1">
      <c r="A8" s="378"/>
      <c r="B8" s="399"/>
      <c r="C8" s="315" t="s">
        <v>51</v>
      </c>
      <c r="D8" s="210" t="s">
        <v>49</v>
      </c>
      <c r="E8" s="262" t="s">
        <v>481</v>
      </c>
      <c r="F8" s="415" t="s">
        <v>1</v>
      </c>
    </row>
    <row r="9" spans="1:6" ht="14.5" customHeight="1">
      <c r="A9" s="378"/>
      <c r="B9" s="399"/>
      <c r="C9" s="315" t="s">
        <v>51</v>
      </c>
      <c r="D9" s="210" t="s">
        <v>486</v>
      </c>
      <c r="E9" s="262" t="s">
        <v>482</v>
      </c>
      <c r="F9" s="415" t="s">
        <v>1</v>
      </c>
    </row>
    <row r="10" spans="1:6" ht="14.5" customHeight="1">
      <c r="A10" s="378"/>
      <c r="B10" s="399"/>
      <c r="C10" s="315" t="s">
        <v>51</v>
      </c>
      <c r="D10" s="211" t="s">
        <v>484</v>
      </c>
      <c r="E10" s="262" t="s">
        <v>482</v>
      </c>
      <c r="F10" s="415" t="s">
        <v>1</v>
      </c>
    </row>
    <row r="11" spans="1:6" ht="15" thickBot="1">
      <c r="A11" s="379"/>
      <c r="B11" s="400"/>
      <c r="C11" s="315" t="s">
        <v>51</v>
      </c>
      <c r="D11" s="416" t="s">
        <v>1</v>
      </c>
      <c r="E11" s="263" t="s">
        <v>482</v>
      </c>
      <c r="F11" s="415" t="s">
        <v>1</v>
      </c>
    </row>
    <row r="12" spans="1:6" ht="15" thickBot="1">
      <c r="A12" s="220">
        <v>3</v>
      </c>
      <c r="B12" s="241" t="s">
        <v>838</v>
      </c>
      <c r="C12" s="217" t="s">
        <v>51</v>
      </c>
      <c r="D12" s="228" t="s">
        <v>51</v>
      </c>
      <c r="E12" s="264" t="s">
        <v>821</v>
      </c>
      <c r="F12" s="415" t="s">
        <v>1</v>
      </c>
    </row>
    <row r="13" spans="1:6" ht="15" thickBot="1">
      <c r="A13" s="392">
        <v>4</v>
      </c>
      <c r="B13" s="404" t="s">
        <v>837</v>
      </c>
      <c r="C13" s="417" t="s">
        <v>53</v>
      </c>
      <c r="D13" s="227" t="s">
        <v>231</v>
      </c>
      <c r="E13" s="261" t="s">
        <v>481</v>
      </c>
      <c r="F13" s="415" t="s">
        <v>1</v>
      </c>
    </row>
    <row r="14" spans="1:6" ht="15" thickBot="1">
      <c r="A14" s="393"/>
      <c r="B14" s="405"/>
      <c r="C14" s="417" t="s">
        <v>53</v>
      </c>
      <c r="D14" s="210" t="s">
        <v>490</v>
      </c>
      <c r="E14" s="262" t="s">
        <v>481</v>
      </c>
      <c r="F14" s="415" t="s">
        <v>1</v>
      </c>
    </row>
    <row r="15" spans="1:6" ht="15" thickBot="1">
      <c r="A15" s="393"/>
      <c r="B15" s="405"/>
      <c r="C15" s="417" t="s">
        <v>53</v>
      </c>
      <c r="D15" s="210" t="s">
        <v>49</v>
      </c>
      <c r="E15" s="262" t="s">
        <v>822</v>
      </c>
      <c r="F15" s="415" t="s">
        <v>1</v>
      </c>
    </row>
    <row r="16" spans="1:6" ht="15" thickBot="1">
      <c r="A16" s="393"/>
      <c r="B16" s="405"/>
      <c r="C16" s="417" t="s">
        <v>53</v>
      </c>
      <c r="D16" s="210" t="s">
        <v>1</v>
      </c>
      <c r="E16" s="262" t="s">
        <v>482</v>
      </c>
      <c r="F16" s="415" t="s">
        <v>1</v>
      </c>
    </row>
    <row r="17" spans="1:6" ht="15" thickBot="1">
      <c r="A17" s="394"/>
      <c r="B17" s="406"/>
      <c r="C17" s="417" t="s">
        <v>53</v>
      </c>
      <c r="D17" s="229" t="s">
        <v>486</v>
      </c>
      <c r="E17" s="263" t="s">
        <v>482</v>
      </c>
      <c r="F17" s="415" t="s">
        <v>1</v>
      </c>
    </row>
    <row r="18" spans="1:6" ht="15" thickBot="1">
      <c r="A18" s="395">
        <v>5</v>
      </c>
      <c r="B18" s="401" t="s">
        <v>836</v>
      </c>
      <c r="C18" s="313" t="s">
        <v>142</v>
      </c>
      <c r="D18" s="225" t="s">
        <v>489</v>
      </c>
      <c r="E18" s="258" t="s">
        <v>481</v>
      </c>
      <c r="F18" s="415" t="s">
        <v>1</v>
      </c>
    </row>
    <row r="19" spans="1:6" ht="15" thickBot="1">
      <c r="A19" s="396"/>
      <c r="B19" s="402"/>
      <c r="C19" s="313" t="s">
        <v>142</v>
      </c>
      <c r="D19" s="208" t="s">
        <v>483</v>
      </c>
      <c r="E19" s="259" t="s">
        <v>481</v>
      </c>
      <c r="F19" s="415" t="s">
        <v>1</v>
      </c>
    </row>
    <row r="20" spans="1:6" ht="15" thickBot="1">
      <c r="A20" s="396"/>
      <c r="B20" s="402"/>
      <c r="C20" s="313" t="s">
        <v>142</v>
      </c>
      <c r="D20" s="208" t="s">
        <v>485</v>
      </c>
      <c r="E20" s="259" t="s">
        <v>481</v>
      </c>
      <c r="F20" s="415" t="s">
        <v>1</v>
      </c>
    </row>
    <row r="21" spans="1:6" ht="15" thickBot="1">
      <c r="A21" s="396"/>
      <c r="B21" s="402"/>
      <c r="C21" s="313" t="s">
        <v>142</v>
      </c>
      <c r="D21" s="208" t="s">
        <v>5</v>
      </c>
      <c r="E21" s="259" t="s">
        <v>481</v>
      </c>
      <c r="F21" s="415" t="s">
        <v>1</v>
      </c>
    </row>
    <row r="22" spans="1:6" ht="15" thickBot="1">
      <c r="A22" s="397"/>
      <c r="B22" s="403"/>
      <c r="C22" s="313" t="s">
        <v>142</v>
      </c>
      <c r="D22" s="226" t="s">
        <v>486</v>
      </c>
      <c r="E22" s="260" t="s">
        <v>482</v>
      </c>
      <c r="F22" s="415" t="s">
        <v>1</v>
      </c>
    </row>
    <row r="23" spans="1:6" ht="15" thickBot="1">
      <c r="A23" s="377">
        <v>6</v>
      </c>
      <c r="B23" s="382" t="s">
        <v>835</v>
      </c>
      <c r="C23" s="418" t="s">
        <v>30</v>
      </c>
      <c r="D23" s="230" t="s">
        <v>30</v>
      </c>
      <c r="E23" s="265" t="s">
        <v>821</v>
      </c>
      <c r="F23" s="415" t="s">
        <v>1</v>
      </c>
    </row>
    <row r="24" spans="1:6" ht="15" thickBot="1">
      <c r="A24" s="378"/>
      <c r="B24" s="383"/>
      <c r="C24" s="418" t="s">
        <v>30</v>
      </c>
      <c r="D24" s="213" t="s">
        <v>486</v>
      </c>
      <c r="E24" s="266" t="s">
        <v>482</v>
      </c>
      <c r="F24" s="415" t="s">
        <v>1</v>
      </c>
    </row>
    <row r="25" spans="1:6" ht="15" thickBot="1">
      <c r="A25" s="379"/>
      <c r="B25" s="384"/>
      <c r="C25" s="418" t="s">
        <v>30</v>
      </c>
      <c r="D25" s="231" t="s">
        <v>1</v>
      </c>
      <c r="E25" s="267" t="s">
        <v>482</v>
      </c>
      <c r="F25" s="415" t="s">
        <v>1</v>
      </c>
    </row>
    <row r="26" spans="1:6" ht="15" customHeight="1" thickBot="1">
      <c r="A26" s="387">
        <v>7</v>
      </c>
      <c r="B26" s="385" t="s">
        <v>841</v>
      </c>
      <c r="C26" s="419" t="s">
        <v>49</v>
      </c>
      <c r="D26" s="225" t="s">
        <v>49</v>
      </c>
      <c r="E26" s="232" t="s">
        <v>481</v>
      </c>
      <c r="F26" s="415" t="s">
        <v>1</v>
      </c>
    </row>
    <row r="27" spans="1:6" ht="15" thickBot="1">
      <c r="A27" s="388"/>
      <c r="B27" s="386"/>
      <c r="C27" s="419" t="s">
        <v>49</v>
      </c>
      <c r="D27" s="208" t="s">
        <v>1</v>
      </c>
      <c r="E27" s="233" t="s">
        <v>482</v>
      </c>
      <c r="F27" s="415" t="s">
        <v>1</v>
      </c>
    </row>
    <row r="28" spans="1:6" ht="87" customHeight="1" thickBot="1">
      <c r="A28" s="377">
        <v>8</v>
      </c>
      <c r="B28" s="380" t="s">
        <v>823</v>
      </c>
      <c r="C28" s="316" t="s">
        <v>26</v>
      </c>
      <c r="D28" s="421" t="s">
        <v>135</v>
      </c>
      <c r="E28" s="422" t="s">
        <v>482</v>
      </c>
      <c r="F28" s="415" t="s">
        <v>1</v>
      </c>
    </row>
    <row r="29" spans="1:6" ht="15" thickBot="1">
      <c r="A29" s="379"/>
      <c r="B29" s="381"/>
      <c r="C29" s="316" t="s">
        <v>26</v>
      </c>
      <c r="D29" s="214" t="s">
        <v>488</v>
      </c>
      <c r="E29" s="423" t="s">
        <v>481</v>
      </c>
      <c r="F29" s="415" t="s">
        <v>1</v>
      </c>
    </row>
    <row r="30" spans="1:6" ht="15" thickBot="1">
      <c r="A30" s="221">
        <v>9</v>
      </c>
      <c r="B30" s="240" t="s">
        <v>834</v>
      </c>
      <c r="C30" s="223" t="s">
        <v>58</v>
      </c>
      <c r="D30" s="223" t="s">
        <v>58</v>
      </c>
      <c r="E30" s="424" t="s">
        <v>481</v>
      </c>
      <c r="F30" s="415" t="s">
        <v>1</v>
      </c>
    </row>
    <row r="31" spans="1:6" ht="44" thickBot="1">
      <c r="A31" s="215">
        <v>10</v>
      </c>
      <c r="B31" s="216" t="s">
        <v>824</v>
      </c>
      <c r="C31" s="426" t="s">
        <v>62</v>
      </c>
      <c r="D31" s="426" t="s">
        <v>62</v>
      </c>
      <c r="E31" s="427" t="s">
        <v>481</v>
      </c>
      <c r="F31" s="415" t="s">
        <v>1</v>
      </c>
    </row>
    <row r="32" spans="1:6" ht="29.5" thickBot="1">
      <c r="A32" s="221">
        <v>11</v>
      </c>
      <c r="B32" s="224" t="s">
        <v>825</v>
      </c>
      <c r="C32" s="222" t="s">
        <v>28</v>
      </c>
      <c r="D32" s="222" t="s">
        <v>28</v>
      </c>
      <c r="E32" s="428" t="s">
        <v>481</v>
      </c>
      <c r="F32" s="415" t="s">
        <v>1</v>
      </c>
    </row>
    <row r="33" spans="1:6" ht="29.5" thickBot="1">
      <c r="A33" s="235">
        <v>12</v>
      </c>
      <c r="B33" s="238" t="s">
        <v>826</v>
      </c>
      <c r="C33" s="429" t="s">
        <v>373</v>
      </c>
      <c r="D33" s="429" t="s">
        <v>373</v>
      </c>
      <c r="E33" s="430" t="s">
        <v>481</v>
      </c>
      <c r="F33" s="415" t="s">
        <v>1</v>
      </c>
    </row>
    <row r="34" spans="1:6" ht="15" thickBot="1">
      <c r="A34" s="221">
        <v>13</v>
      </c>
      <c r="B34" s="239" t="s">
        <v>833</v>
      </c>
      <c r="C34" s="431" t="s">
        <v>23</v>
      </c>
      <c r="D34" s="431" t="s">
        <v>23</v>
      </c>
      <c r="E34" s="428" t="s">
        <v>481</v>
      </c>
      <c r="F34" s="415" t="s">
        <v>1</v>
      </c>
    </row>
    <row r="35" spans="1:6" ht="15" thickBot="1">
      <c r="A35" s="215">
        <v>14</v>
      </c>
      <c r="B35" s="237" t="s">
        <v>832</v>
      </c>
      <c r="C35" s="234" t="s">
        <v>63</v>
      </c>
      <c r="D35" s="234" t="s">
        <v>63</v>
      </c>
      <c r="E35" s="427" t="s">
        <v>481</v>
      </c>
      <c r="F35" s="415" t="s">
        <v>1</v>
      </c>
    </row>
    <row r="36" spans="1:6" ht="15" thickBot="1">
      <c r="A36" s="221">
        <v>15</v>
      </c>
      <c r="B36" s="239" t="s">
        <v>831</v>
      </c>
      <c r="C36" s="431" t="s">
        <v>64</v>
      </c>
      <c r="D36" s="431" t="s">
        <v>64</v>
      </c>
      <c r="E36" s="428" t="s">
        <v>481</v>
      </c>
      <c r="F36" s="415" t="s">
        <v>1</v>
      </c>
    </row>
    <row r="37" spans="1:6" ht="14.5" customHeight="1">
      <c r="A37" s="377">
        <v>16</v>
      </c>
      <c r="B37" s="382" t="s">
        <v>830</v>
      </c>
      <c r="C37" s="432" t="s">
        <v>60</v>
      </c>
      <c r="D37" s="421" t="s">
        <v>135</v>
      </c>
      <c r="E37" s="422" t="s">
        <v>482</v>
      </c>
      <c r="F37" s="415" t="s">
        <v>1</v>
      </c>
    </row>
    <row r="38" spans="1:6" ht="15" thickBot="1">
      <c r="A38" s="379"/>
      <c r="B38" s="384"/>
      <c r="C38" s="433"/>
      <c r="D38" s="416" t="s">
        <v>60</v>
      </c>
      <c r="E38" s="423" t="s">
        <v>481</v>
      </c>
      <c r="F38" s="415" t="s">
        <v>1</v>
      </c>
    </row>
    <row r="39" spans="1:6" ht="58" customHeight="1" thickBot="1">
      <c r="A39" s="243">
        <v>17</v>
      </c>
      <c r="B39" s="242" t="s">
        <v>828</v>
      </c>
      <c r="C39" s="3" t="s">
        <v>65</v>
      </c>
      <c r="D39" s="244" t="s">
        <v>827</v>
      </c>
      <c r="E39" s="428" t="s">
        <v>481</v>
      </c>
      <c r="F39" s="425" t="s">
        <v>1</v>
      </c>
    </row>
    <row r="40" spans="1:6" ht="15" thickBot="1">
      <c r="A40" s="245">
        <v>18</v>
      </c>
      <c r="B40" s="246" t="s">
        <v>829</v>
      </c>
      <c r="C40" s="236" t="s">
        <v>66</v>
      </c>
      <c r="D40" s="236" t="s">
        <v>66</v>
      </c>
      <c r="E40" s="430" t="s">
        <v>481</v>
      </c>
      <c r="F40" s="425" t="s">
        <v>1</v>
      </c>
    </row>
    <row r="41" spans="1:6" ht="15" thickBot="1">
      <c r="A41" s="221">
        <v>19</v>
      </c>
      <c r="B41" s="239" t="s">
        <v>842</v>
      </c>
      <c r="C41" s="431" t="s">
        <v>73</v>
      </c>
      <c r="D41" s="431" t="s">
        <v>73</v>
      </c>
      <c r="E41" s="428" t="s">
        <v>481</v>
      </c>
      <c r="F41" s="425" t="s">
        <v>1</v>
      </c>
    </row>
    <row r="42" spans="1:6" ht="44" thickBot="1">
      <c r="A42" s="235">
        <v>20</v>
      </c>
      <c r="B42" s="247" t="s">
        <v>843</v>
      </c>
      <c r="C42" s="429" t="s">
        <v>72</v>
      </c>
      <c r="D42" s="429" t="s">
        <v>72</v>
      </c>
      <c r="E42" s="430" t="s">
        <v>481</v>
      </c>
      <c r="F42" s="425" t="s">
        <v>1</v>
      </c>
    </row>
    <row r="43" spans="1:6" ht="15" thickBot="1">
      <c r="A43" s="389">
        <v>21</v>
      </c>
      <c r="B43" s="408" t="s">
        <v>845</v>
      </c>
      <c r="C43" s="317" t="s">
        <v>67</v>
      </c>
      <c r="D43" s="248" t="s">
        <v>67</v>
      </c>
      <c r="E43" s="434" t="s">
        <v>481</v>
      </c>
      <c r="F43" s="420" t="s">
        <v>1</v>
      </c>
    </row>
    <row r="44" spans="1:6" ht="15" thickBot="1">
      <c r="A44" s="391"/>
      <c r="B44" s="409"/>
      <c r="C44" s="317" t="s">
        <v>67</v>
      </c>
      <c r="D44" s="249" t="s">
        <v>844</v>
      </c>
      <c r="E44" s="435" t="s">
        <v>482</v>
      </c>
      <c r="F44" s="420" t="s">
        <v>1</v>
      </c>
    </row>
    <row r="45" spans="1:6" ht="87.5" thickBot="1">
      <c r="A45" s="215">
        <v>22</v>
      </c>
      <c r="B45" s="216" t="s">
        <v>846</v>
      </c>
      <c r="C45" s="250" t="s">
        <v>44</v>
      </c>
      <c r="D45" s="250" t="s">
        <v>44</v>
      </c>
      <c r="E45" s="427" t="s">
        <v>481</v>
      </c>
      <c r="F45" s="420" t="s">
        <v>1</v>
      </c>
    </row>
    <row r="46" spans="1:6" ht="15" thickBot="1">
      <c r="A46" s="395">
        <v>23</v>
      </c>
      <c r="B46" s="401" t="s">
        <v>847</v>
      </c>
      <c r="C46" s="419" t="s">
        <v>368</v>
      </c>
      <c r="D46" s="436" t="s">
        <v>849</v>
      </c>
      <c r="E46" s="437" t="s">
        <v>481</v>
      </c>
      <c r="F46" s="420" t="s">
        <v>1</v>
      </c>
    </row>
    <row r="47" spans="1:6" ht="15" thickBot="1">
      <c r="A47" s="397"/>
      <c r="B47" s="407"/>
      <c r="C47" s="419" t="s">
        <v>368</v>
      </c>
      <c r="D47" s="438" t="s">
        <v>848</v>
      </c>
      <c r="E47" s="439" t="s">
        <v>481</v>
      </c>
      <c r="F47" s="420"/>
    </row>
    <row r="48" spans="1:6" ht="58.5" thickBot="1">
      <c r="A48" s="215">
        <v>24</v>
      </c>
      <c r="B48" s="216" t="s">
        <v>974</v>
      </c>
      <c r="C48" s="426" t="s">
        <v>57</v>
      </c>
      <c r="D48" s="426" t="s">
        <v>57</v>
      </c>
      <c r="E48" s="427" t="s">
        <v>821</v>
      </c>
      <c r="F48" s="425" t="s">
        <v>1</v>
      </c>
    </row>
    <row r="49" spans="1:6">
      <c r="A49" s="96">
        <v>25</v>
      </c>
      <c r="B49" s="38" t="s">
        <v>975</v>
      </c>
      <c r="C49" s="38" t="s">
        <v>20</v>
      </c>
      <c r="D49" s="38" t="s">
        <v>20</v>
      </c>
      <c r="E49" s="425" t="s">
        <v>481</v>
      </c>
      <c r="F49" s="425" t="s">
        <v>1</v>
      </c>
    </row>
    <row r="50" spans="1:6">
      <c r="A50" s="96">
        <v>26</v>
      </c>
      <c r="B50" s="212" t="s">
        <v>976</v>
      </c>
      <c r="C50" s="212" t="s">
        <v>973</v>
      </c>
      <c r="D50" s="212" t="s">
        <v>973</v>
      </c>
      <c r="E50" s="425" t="s">
        <v>821</v>
      </c>
      <c r="F50" s="425" t="s">
        <v>1</v>
      </c>
    </row>
  </sheetData>
  <autoFilter ref="A1:F48" xr:uid="{EF795F74-E023-0F46-863B-EF1FEF36D065}"/>
  <mergeCells count="21">
    <mergeCell ref="B46:B47"/>
    <mergeCell ref="A46:A47"/>
    <mergeCell ref="C37:C38"/>
    <mergeCell ref="B37:B38"/>
    <mergeCell ref="A37:A38"/>
    <mergeCell ref="B43:B44"/>
    <mergeCell ref="A43:A44"/>
    <mergeCell ref="A2:A5"/>
    <mergeCell ref="A6:A11"/>
    <mergeCell ref="A13:A17"/>
    <mergeCell ref="A18:A22"/>
    <mergeCell ref="B6:B11"/>
    <mergeCell ref="B18:B22"/>
    <mergeCell ref="B13:B17"/>
    <mergeCell ref="B2:B5"/>
    <mergeCell ref="A23:A25"/>
    <mergeCell ref="A28:A29"/>
    <mergeCell ref="B28:B29"/>
    <mergeCell ref="B23:B25"/>
    <mergeCell ref="B26:B27"/>
    <mergeCell ref="A26:A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7" workbookViewId="0">
      <selection activeCell="A25" sqref="A25"/>
    </sheetView>
  </sheetViews>
  <sheetFormatPr defaultColWidth="12.6328125" defaultRowHeight="15" customHeight="1"/>
  <cols>
    <col min="1" max="2" width="53.1796875" customWidth="1"/>
    <col min="3" max="3" width="10.7265625" bestFit="1" customWidth="1"/>
    <col min="4" max="26" width="8.6328125" customWidth="1"/>
  </cols>
  <sheetData>
    <row r="1" spans="1:4" ht="14.25" customHeight="1">
      <c r="A1" s="2" t="s">
        <v>0</v>
      </c>
      <c r="B1" s="2" t="s">
        <v>50</v>
      </c>
      <c r="C1" s="27" t="s">
        <v>375</v>
      </c>
      <c r="D1" s="297" t="s">
        <v>953</v>
      </c>
    </row>
    <row r="2" spans="1:4" ht="14.25" customHeight="1">
      <c r="A2" s="3" t="s">
        <v>51</v>
      </c>
      <c r="B2" s="3" t="s">
        <v>52</v>
      </c>
      <c r="C2" s="27" t="s">
        <v>1</v>
      </c>
    </row>
    <row r="3" spans="1:4" ht="14.25" customHeight="1">
      <c r="A3" s="3" t="s">
        <v>53</v>
      </c>
      <c r="B3" s="3" t="s">
        <v>54</v>
      </c>
      <c r="C3" s="27" t="s">
        <v>1</v>
      </c>
    </row>
    <row r="4" spans="1:4" ht="14.25" customHeight="1">
      <c r="A4" s="3" t="s">
        <v>142</v>
      </c>
      <c r="B4" s="3" t="s">
        <v>385</v>
      </c>
      <c r="C4" s="27" t="s">
        <v>1</v>
      </c>
    </row>
    <row r="5" spans="1:4" ht="14.25" customHeight="1">
      <c r="A5" s="3" t="s">
        <v>26</v>
      </c>
      <c r="B5" s="3" t="s">
        <v>56</v>
      </c>
      <c r="C5" s="27" t="s">
        <v>1</v>
      </c>
    </row>
    <row r="6" spans="1:4" ht="14.25" customHeight="1">
      <c r="A6" s="3" t="s">
        <v>57</v>
      </c>
      <c r="B6" s="3" t="s">
        <v>54</v>
      </c>
      <c r="C6" s="27" t="s">
        <v>1</v>
      </c>
    </row>
    <row r="7" spans="1:4" ht="14.25" customHeight="1">
      <c r="A7" s="3" t="s">
        <v>58</v>
      </c>
      <c r="B7" s="3" t="s">
        <v>54</v>
      </c>
      <c r="C7" s="27" t="s">
        <v>1</v>
      </c>
    </row>
    <row r="8" spans="1:4" ht="14.25" customHeight="1">
      <c r="A8" s="3" t="s">
        <v>28</v>
      </c>
      <c r="B8" s="3" t="s">
        <v>54</v>
      </c>
      <c r="C8" s="27" t="s">
        <v>1</v>
      </c>
    </row>
    <row r="9" spans="1:4" ht="14.25" customHeight="1">
      <c r="A9" s="25" t="s">
        <v>373</v>
      </c>
      <c r="B9" s="3" t="s">
        <v>59</v>
      </c>
      <c r="C9" s="27" t="s">
        <v>1</v>
      </c>
    </row>
    <row r="10" spans="1:4" ht="14.25" customHeight="1">
      <c r="A10" s="3" t="s">
        <v>23</v>
      </c>
      <c r="B10" s="3" t="s">
        <v>54</v>
      </c>
      <c r="C10" s="27" t="s">
        <v>1</v>
      </c>
    </row>
    <row r="11" spans="1:4" ht="14.25" customHeight="1">
      <c r="A11" s="3" t="s">
        <v>60</v>
      </c>
      <c r="B11" s="3" t="s">
        <v>61</v>
      </c>
      <c r="C11" s="27" t="s">
        <v>1</v>
      </c>
    </row>
    <row r="12" spans="1:4" ht="14.25" customHeight="1">
      <c r="A12" s="3" t="s">
        <v>49</v>
      </c>
      <c r="B12" s="3" t="s">
        <v>54</v>
      </c>
      <c r="C12" s="27" t="s">
        <v>1</v>
      </c>
    </row>
    <row r="13" spans="1:4" ht="14.25" customHeight="1">
      <c r="A13" s="3" t="s">
        <v>62</v>
      </c>
      <c r="B13" s="3" t="s">
        <v>54</v>
      </c>
      <c r="C13" s="27" t="s">
        <v>1</v>
      </c>
    </row>
    <row r="14" spans="1:4" ht="14.25" customHeight="1">
      <c r="A14" s="3" t="s">
        <v>63</v>
      </c>
      <c r="B14" s="3" t="s">
        <v>54</v>
      </c>
      <c r="C14" s="27" t="s">
        <v>1</v>
      </c>
    </row>
    <row r="15" spans="1:4" ht="14.25" customHeight="1">
      <c r="A15" s="3" t="s">
        <v>64</v>
      </c>
      <c r="B15" s="3" t="s">
        <v>54</v>
      </c>
      <c r="C15" s="27" t="s">
        <v>1</v>
      </c>
    </row>
    <row r="16" spans="1:4" ht="14.25" customHeight="1">
      <c r="A16" s="3" t="s">
        <v>65</v>
      </c>
      <c r="B16" s="3" t="s">
        <v>54</v>
      </c>
      <c r="C16" s="27" t="s">
        <v>1</v>
      </c>
    </row>
    <row r="17" spans="1:3" ht="14.25" customHeight="1">
      <c r="A17" s="3" t="s">
        <v>66</v>
      </c>
      <c r="B17" s="3" t="s">
        <v>54</v>
      </c>
      <c r="C17" s="27" t="s">
        <v>1</v>
      </c>
    </row>
    <row r="18" spans="1:3" ht="14.25" customHeight="1">
      <c r="A18" s="3" t="s">
        <v>44</v>
      </c>
      <c r="B18" s="3" t="s">
        <v>54</v>
      </c>
      <c r="C18" s="27" t="s">
        <v>1</v>
      </c>
    </row>
    <row r="19" spans="1:3" ht="14.25" customHeight="1">
      <c r="A19" s="3" t="s">
        <v>67</v>
      </c>
      <c r="B19" s="3" t="s">
        <v>68</v>
      </c>
      <c r="C19" s="27" t="s">
        <v>1</v>
      </c>
    </row>
    <row r="20" spans="1:3" ht="14.25" customHeight="1">
      <c r="A20" s="3" t="s">
        <v>30</v>
      </c>
      <c r="B20" s="3" t="s">
        <v>69</v>
      </c>
      <c r="C20" s="27" t="s">
        <v>1</v>
      </c>
    </row>
    <row r="21" spans="1:3" ht="14.25" customHeight="1">
      <c r="A21" s="3" t="s">
        <v>70</v>
      </c>
      <c r="B21" s="3" t="s">
        <v>71</v>
      </c>
      <c r="C21" s="27" t="s">
        <v>1</v>
      </c>
    </row>
    <row r="22" spans="1:3" ht="14.25" customHeight="1">
      <c r="A22" s="3" t="s">
        <v>72</v>
      </c>
      <c r="B22" s="3" t="s">
        <v>54</v>
      </c>
      <c r="C22" s="27" t="s">
        <v>1</v>
      </c>
    </row>
    <row r="23" spans="1:3" ht="14.25" customHeight="1">
      <c r="A23" s="3" t="s">
        <v>73</v>
      </c>
      <c r="B23" s="3" t="s">
        <v>54</v>
      </c>
      <c r="C23" s="27" t="s">
        <v>1</v>
      </c>
    </row>
    <row r="24" spans="1:3" ht="15" customHeight="1">
      <c r="A24" s="212" t="s">
        <v>973</v>
      </c>
      <c r="B24" s="3" t="s">
        <v>68</v>
      </c>
      <c r="C24" s="413" t="s">
        <v>1</v>
      </c>
    </row>
    <row r="25" spans="1:3" ht="15" customHeight="1">
      <c r="A25" s="38" t="s">
        <v>20</v>
      </c>
      <c r="B25" s="3" t="s">
        <v>68</v>
      </c>
      <c r="C25" s="413" t="s">
        <v>1</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1"/>
  <sheetViews>
    <sheetView workbookViewId="0">
      <selection activeCell="A7" sqref="A7:XFD7"/>
    </sheetView>
  </sheetViews>
  <sheetFormatPr defaultColWidth="12.6328125" defaultRowHeight="15" customHeight="1"/>
  <cols>
    <col min="1" max="1" width="17" customWidth="1"/>
    <col min="2" max="2" width="15.36328125" bestFit="1" customWidth="1"/>
    <col min="3" max="3" width="28.81640625" customWidth="1"/>
    <col min="4" max="4" width="38.81640625" customWidth="1"/>
    <col min="5" max="5" width="18.1796875" bestFit="1" customWidth="1"/>
    <col min="6" max="7" width="22.81640625" style="116" customWidth="1"/>
    <col min="8" max="8" width="11" customWidth="1"/>
    <col min="9" max="17" width="8.81640625" customWidth="1"/>
  </cols>
  <sheetData>
    <row r="1" spans="1:10" ht="14.25" customHeight="1">
      <c r="A1" s="20" t="s">
        <v>0</v>
      </c>
      <c r="B1" s="20" t="s">
        <v>375</v>
      </c>
      <c r="C1" s="20" t="s">
        <v>969</v>
      </c>
      <c r="D1" s="20" t="s">
        <v>50</v>
      </c>
      <c r="E1" s="20" t="s">
        <v>493</v>
      </c>
      <c r="F1" s="20" t="s">
        <v>970</v>
      </c>
      <c r="G1" s="20" t="s">
        <v>815</v>
      </c>
      <c r="H1" s="298" t="s">
        <v>954</v>
      </c>
      <c r="I1" s="298" t="s">
        <v>955</v>
      </c>
      <c r="J1" s="298" t="s">
        <v>956</v>
      </c>
    </row>
    <row r="2" spans="1:10" ht="14.25" customHeight="1">
      <c r="A2" s="24" t="s">
        <v>25</v>
      </c>
      <c r="B2" s="24" t="s">
        <v>2</v>
      </c>
      <c r="C2" s="24" t="s">
        <v>75</v>
      </c>
      <c r="D2" s="24" t="s">
        <v>76</v>
      </c>
      <c r="E2" s="278" t="s">
        <v>498</v>
      </c>
      <c r="F2" s="278" t="s">
        <v>896</v>
      </c>
      <c r="G2" s="278" t="s">
        <v>214</v>
      </c>
      <c r="H2" t="s">
        <v>641</v>
      </c>
    </row>
    <row r="3" spans="1:10" ht="14.25" customHeight="1">
      <c r="A3" s="24" t="s">
        <v>25</v>
      </c>
      <c r="B3" s="24" t="s">
        <v>2</v>
      </c>
      <c r="C3" s="24" t="s">
        <v>77</v>
      </c>
      <c r="D3" s="24" t="s">
        <v>78</v>
      </c>
      <c r="E3" s="278" t="s">
        <v>498</v>
      </c>
      <c r="F3" s="278" t="s">
        <v>896</v>
      </c>
      <c r="G3" s="278" t="s">
        <v>214</v>
      </c>
      <c r="H3" t="s">
        <v>641</v>
      </c>
    </row>
    <row r="4" spans="1:10" ht="14.25" customHeight="1">
      <c r="A4" s="24" t="s">
        <v>25</v>
      </c>
      <c r="B4" s="24" t="s">
        <v>2</v>
      </c>
      <c r="C4" s="24" t="s">
        <v>79</v>
      </c>
      <c r="D4" s="24" t="s">
        <v>80</v>
      </c>
      <c r="E4" s="278" t="s">
        <v>498</v>
      </c>
      <c r="F4" s="278" t="s">
        <v>896</v>
      </c>
      <c r="G4" s="278" t="s">
        <v>214</v>
      </c>
      <c r="H4" t="s">
        <v>641</v>
      </c>
    </row>
    <row r="5" spans="1:10" ht="14.25" customHeight="1">
      <c r="A5" s="24" t="s">
        <v>27</v>
      </c>
      <c r="B5" s="24" t="s">
        <v>2</v>
      </c>
      <c r="C5" s="24" t="s">
        <v>81</v>
      </c>
      <c r="D5" s="24" t="s">
        <v>82</v>
      </c>
      <c r="E5" s="278" t="s">
        <v>852</v>
      </c>
      <c r="F5" s="278" t="s">
        <v>897</v>
      </c>
      <c r="G5" s="278" t="s">
        <v>214</v>
      </c>
      <c r="H5">
        <v>0</v>
      </c>
    </row>
    <row r="6" spans="1:10" ht="14.25" customHeight="1">
      <c r="A6" s="24" t="s">
        <v>27</v>
      </c>
      <c r="B6" s="24" t="s">
        <v>2</v>
      </c>
      <c r="C6" s="24" t="s">
        <v>83</v>
      </c>
      <c r="D6" s="24" t="s">
        <v>82</v>
      </c>
      <c r="E6" s="278" t="s">
        <v>495</v>
      </c>
      <c r="F6" s="278" t="s">
        <v>897</v>
      </c>
      <c r="G6" s="278" t="s">
        <v>214</v>
      </c>
      <c r="H6">
        <v>0</v>
      </c>
    </row>
    <row r="7" spans="1:10" ht="14.25" customHeight="1">
      <c r="A7" s="26" t="s">
        <v>368</v>
      </c>
      <c r="B7" s="24" t="s">
        <v>2</v>
      </c>
      <c r="C7" s="24" t="s">
        <v>96</v>
      </c>
      <c r="D7" s="24" t="s">
        <v>97</v>
      </c>
      <c r="E7" s="278" t="s">
        <v>857</v>
      </c>
      <c r="F7" s="278" t="s">
        <v>898</v>
      </c>
      <c r="G7" s="278" t="s">
        <v>214</v>
      </c>
      <c r="H7">
        <v>0</v>
      </c>
    </row>
    <row r="8" spans="1:10" ht="14.25" customHeight="1">
      <c r="A8" s="26" t="s">
        <v>368</v>
      </c>
      <c r="B8" s="24" t="s">
        <v>2</v>
      </c>
      <c r="C8" s="24" t="s">
        <v>98</v>
      </c>
      <c r="D8" s="24" t="s">
        <v>99</v>
      </c>
      <c r="E8" s="278" t="s">
        <v>496</v>
      </c>
      <c r="F8" s="278" t="s">
        <v>898</v>
      </c>
      <c r="G8" s="278" t="s">
        <v>214</v>
      </c>
      <c r="H8">
        <v>0</v>
      </c>
    </row>
    <row r="9" spans="1:10" ht="14.25" customHeight="1">
      <c r="A9" s="26" t="s">
        <v>368</v>
      </c>
      <c r="B9" s="24" t="s">
        <v>2</v>
      </c>
      <c r="C9" s="24" t="s">
        <v>100</v>
      </c>
      <c r="D9" s="24" t="s">
        <v>99</v>
      </c>
      <c r="E9" s="278" t="s">
        <v>498</v>
      </c>
      <c r="F9" s="278" t="s">
        <v>898</v>
      </c>
      <c r="G9" s="278" t="s">
        <v>214</v>
      </c>
      <c r="H9">
        <v>0</v>
      </c>
    </row>
    <row r="10" spans="1:10" ht="14.25" customHeight="1">
      <c r="A10" s="26" t="s">
        <v>368</v>
      </c>
      <c r="B10" s="24" t="s">
        <v>2</v>
      </c>
      <c r="C10" s="24" t="s">
        <v>101</v>
      </c>
      <c r="D10" s="24" t="s">
        <v>99</v>
      </c>
      <c r="E10" s="278" t="s">
        <v>852</v>
      </c>
      <c r="F10" s="278" t="s">
        <v>898</v>
      </c>
      <c r="G10" s="278" t="s">
        <v>214</v>
      </c>
      <c r="H10">
        <v>0</v>
      </c>
    </row>
    <row r="11" spans="1:10" ht="14.25" customHeight="1">
      <c r="A11" s="24" t="s">
        <v>17</v>
      </c>
      <c r="B11" s="24" t="s">
        <v>151</v>
      </c>
      <c r="C11" s="24" t="s">
        <v>150</v>
      </c>
      <c r="D11" s="24" t="s">
        <v>152</v>
      </c>
      <c r="E11" s="278" t="s">
        <v>860</v>
      </c>
      <c r="F11" s="278" t="s">
        <v>899</v>
      </c>
      <c r="G11" s="278" t="s">
        <v>214</v>
      </c>
      <c r="H11">
        <v>0</v>
      </c>
    </row>
    <row r="12" spans="1:10" ht="14.25" customHeight="1">
      <c r="A12" s="24" t="s">
        <v>26</v>
      </c>
      <c r="B12" s="24" t="s">
        <v>2</v>
      </c>
      <c r="C12" s="24" t="s">
        <v>84</v>
      </c>
      <c r="D12" s="24" t="s">
        <v>85</v>
      </c>
      <c r="E12" s="278" t="s">
        <v>499</v>
      </c>
      <c r="F12" s="278" t="s">
        <v>901</v>
      </c>
      <c r="G12" s="278" t="s">
        <v>214</v>
      </c>
      <c r="H12">
        <v>0</v>
      </c>
    </row>
    <row r="13" spans="1:10" ht="14.25" customHeight="1">
      <c r="A13" s="24" t="s">
        <v>26</v>
      </c>
      <c r="B13" s="24" t="s">
        <v>2</v>
      </c>
      <c r="C13" s="24" t="s">
        <v>86</v>
      </c>
      <c r="D13" s="24" t="s">
        <v>87</v>
      </c>
      <c r="E13" s="278" t="s">
        <v>496</v>
      </c>
      <c r="F13" s="278" t="s">
        <v>901</v>
      </c>
      <c r="G13" s="278" t="s">
        <v>214</v>
      </c>
      <c r="H13">
        <v>0</v>
      </c>
    </row>
    <row r="14" spans="1:10" ht="14.25" customHeight="1">
      <c r="A14" s="24" t="s">
        <v>26</v>
      </c>
      <c r="B14" s="24" t="s">
        <v>2</v>
      </c>
      <c r="C14" s="24" t="s">
        <v>88</v>
      </c>
      <c r="D14" s="24" t="s">
        <v>89</v>
      </c>
      <c r="E14" s="278" t="s">
        <v>853</v>
      </c>
      <c r="F14" s="278" t="s">
        <v>901</v>
      </c>
      <c r="G14" s="278" t="s">
        <v>900</v>
      </c>
      <c r="H14">
        <v>0</v>
      </c>
    </row>
    <row r="15" spans="1:10" ht="14.25" customHeight="1">
      <c r="A15" s="24" t="s">
        <v>28</v>
      </c>
      <c r="B15" s="24" t="s">
        <v>2</v>
      </c>
      <c r="C15" s="24" t="s">
        <v>90</v>
      </c>
      <c r="D15" s="24" t="s">
        <v>91</v>
      </c>
      <c r="E15" s="278" t="s">
        <v>498</v>
      </c>
      <c r="F15" s="278" t="s">
        <v>648</v>
      </c>
      <c r="G15" s="278" t="s">
        <v>900</v>
      </c>
      <c r="H15">
        <v>0</v>
      </c>
    </row>
    <row r="16" spans="1:10" ht="14.25" customHeight="1">
      <c r="A16" s="24" t="s">
        <v>28</v>
      </c>
      <c r="B16" s="24" t="s">
        <v>2</v>
      </c>
      <c r="C16" s="24" t="s">
        <v>92</v>
      </c>
      <c r="D16" s="24" t="s">
        <v>93</v>
      </c>
      <c r="E16" s="278" t="s">
        <v>852</v>
      </c>
      <c r="F16" s="278" t="s">
        <v>648</v>
      </c>
      <c r="G16" s="278" t="s">
        <v>900</v>
      </c>
      <c r="H16">
        <v>0</v>
      </c>
    </row>
    <row r="17" spans="1:8" ht="14.25" customHeight="1">
      <c r="A17" s="24" t="s">
        <v>33</v>
      </c>
      <c r="B17" s="24" t="s">
        <v>2</v>
      </c>
      <c r="C17" s="24" t="s">
        <v>94</v>
      </c>
      <c r="D17" s="24" t="s">
        <v>95</v>
      </c>
      <c r="E17" s="278" t="s">
        <v>855</v>
      </c>
      <c r="F17" s="278" t="s">
        <v>906</v>
      </c>
      <c r="G17" s="278" t="s">
        <v>900</v>
      </c>
      <c r="H17">
        <v>0</v>
      </c>
    </row>
    <row r="18" spans="1:8" ht="14.25" customHeight="1">
      <c r="A18" s="362" t="s">
        <v>20</v>
      </c>
      <c r="B18" s="364" t="s">
        <v>151</v>
      </c>
      <c r="C18" s="364" t="s">
        <v>170</v>
      </c>
      <c r="D18" s="362" t="s">
        <v>108</v>
      </c>
      <c r="E18" s="363" t="s">
        <v>940</v>
      </c>
      <c r="F18" s="363" t="s">
        <v>907</v>
      </c>
      <c r="G18" s="363" t="s">
        <v>214</v>
      </c>
      <c r="H18" s="321">
        <v>0</v>
      </c>
    </row>
    <row r="19" spans="1:8" ht="14.25" customHeight="1">
      <c r="A19" s="362" t="s">
        <v>21</v>
      </c>
      <c r="B19" s="364" t="s">
        <v>151</v>
      </c>
      <c r="C19" s="364" t="s">
        <v>171</v>
      </c>
      <c r="D19" s="362" t="s">
        <v>172</v>
      </c>
      <c r="E19" s="363" t="s">
        <v>496</v>
      </c>
      <c r="F19" s="363" t="s">
        <v>908</v>
      </c>
      <c r="G19" s="363" t="s">
        <v>214</v>
      </c>
      <c r="H19" s="321">
        <v>0</v>
      </c>
    </row>
    <row r="20" spans="1:8" ht="14.25" customHeight="1">
      <c r="A20" s="24" t="s">
        <v>35</v>
      </c>
      <c r="B20" s="24" t="s">
        <v>2</v>
      </c>
      <c r="C20" s="24" t="s">
        <v>35</v>
      </c>
      <c r="D20" s="24" t="s">
        <v>104</v>
      </c>
      <c r="E20" s="278" t="s">
        <v>498</v>
      </c>
      <c r="F20" s="278" t="s">
        <v>910</v>
      </c>
      <c r="G20" s="278" t="s">
        <v>909</v>
      </c>
      <c r="H20" t="s">
        <v>641</v>
      </c>
    </row>
    <row r="21" spans="1:8" ht="14.25" customHeight="1">
      <c r="A21" s="24" t="s">
        <v>36</v>
      </c>
      <c r="B21" s="24" t="s">
        <v>2</v>
      </c>
      <c r="C21" s="24" t="s">
        <v>105</v>
      </c>
      <c r="D21" s="24" t="s">
        <v>106</v>
      </c>
      <c r="E21" s="278" t="s">
        <v>498</v>
      </c>
      <c r="F21" s="278" t="s">
        <v>711</v>
      </c>
      <c r="G21" s="278" t="s">
        <v>909</v>
      </c>
      <c r="H21" s="321" t="s">
        <v>711</v>
      </c>
    </row>
    <row r="22" spans="1:8" ht="14.25" customHeight="1">
      <c r="A22" s="362" t="s">
        <v>22</v>
      </c>
      <c r="B22" s="362" t="s">
        <v>151</v>
      </c>
      <c r="C22" s="366" t="s">
        <v>173</v>
      </c>
      <c r="D22" s="362" t="s">
        <v>108</v>
      </c>
      <c r="E22" s="363" t="s">
        <v>861</v>
      </c>
      <c r="F22" s="363" t="s">
        <v>911</v>
      </c>
      <c r="G22" s="363" t="s">
        <v>214</v>
      </c>
      <c r="H22" s="321">
        <v>0</v>
      </c>
    </row>
    <row r="23" spans="1:8" ht="14.25" customHeight="1">
      <c r="A23" s="24" t="s">
        <v>37</v>
      </c>
      <c r="B23" s="24" t="s">
        <v>2</v>
      </c>
      <c r="C23" s="24" t="s">
        <v>107</v>
      </c>
      <c r="D23" s="24" t="s">
        <v>108</v>
      </c>
      <c r="E23" s="278" t="s">
        <v>862</v>
      </c>
      <c r="F23" s="278" t="s">
        <v>922</v>
      </c>
      <c r="G23" s="278" t="s">
        <v>900</v>
      </c>
      <c r="H23">
        <v>0</v>
      </c>
    </row>
    <row r="24" spans="1:8" ht="14.25" customHeight="1">
      <c r="A24" s="286" t="s">
        <v>185</v>
      </c>
      <c r="B24" s="287" t="s">
        <v>151</v>
      </c>
      <c r="C24" s="287" t="s">
        <v>185</v>
      </c>
      <c r="D24" s="286" t="s">
        <v>158</v>
      </c>
      <c r="E24" s="288" t="s">
        <v>863</v>
      </c>
      <c r="F24" s="288" t="s">
        <v>634</v>
      </c>
      <c r="G24" s="288" t="s">
        <v>214</v>
      </c>
      <c r="H24" t="s">
        <v>944</v>
      </c>
    </row>
    <row r="25" spans="1:8" ht="14.25" customHeight="1">
      <c r="A25" s="24" t="s">
        <v>4</v>
      </c>
      <c r="B25" s="24" t="s">
        <v>151</v>
      </c>
      <c r="C25" s="24" t="s">
        <v>153</v>
      </c>
      <c r="D25" s="24" t="s">
        <v>154</v>
      </c>
      <c r="E25" s="278" t="s">
        <v>861</v>
      </c>
      <c r="F25" s="278" t="s">
        <v>634</v>
      </c>
      <c r="G25" s="278" t="s">
        <v>214</v>
      </c>
      <c r="H25" t="s">
        <v>944</v>
      </c>
    </row>
    <row r="26" spans="1:8" ht="14.25" customHeight="1">
      <c r="A26" s="362" t="s">
        <v>4</v>
      </c>
      <c r="B26" s="364" t="s">
        <v>151</v>
      </c>
      <c r="C26" s="364" t="s">
        <v>174</v>
      </c>
      <c r="D26" s="362" t="s">
        <v>175</v>
      </c>
      <c r="E26" s="363" t="s">
        <v>499</v>
      </c>
      <c r="F26" s="363" t="s">
        <v>634</v>
      </c>
      <c r="G26" s="363" t="s">
        <v>214</v>
      </c>
      <c r="H26" s="321" t="s">
        <v>944</v>
      </c>
    </row>
    <row r="27" spans="1:8" ht="14.25" customHeight="1">
      <c r="A27" s="24" t="s">
        <v>8</v>
      </c>
      <c r="B27" s="24" t="s">
        <v>151</v>
      </c>
      <c r="C27" s="24" t="s">
        <v>8</v>
      </c>
      <c r="D27" s="24" t="s">
        <v>155</v>
      </c>
      <c r="E27" s="278" t="s">
        <v>865</v>
      </c>
      <c r="F27" s="278" t="s">
        <v>898</v>
      </c>
      <c r="G27" s="278" t="s">
        <v>214</v>
      </c>
      <c r="H27" t="s">
        <v>898</v>
      </c>
    </row>
    <row r="28" spans="1:8" ht="14.25" customHeight="1">
      <c r="A28" s="24" t="s">
        <v>47</v>
      </c>
      <c r="B28" s="24" t="s">
        <v>2</v>
      </c>
      <c r="C28" s="24" t="s">
        <v>129</v>
      </c>
      <c r="D28" s="24" t="s">
        <v>130</v>
      </c>
      <c r="E28" s="278" t="s">
        <v>498</v>
      </c>
      <c r="F28" s="278" t="s">
        <v>641</v>
      </c>
      <c r="G28" s="278" t="s">
        <v>214</v>
      </c>
      <c r="H28" t="s">
        <v>641</v>
      </c>
    </row>
    <row r="29" spans="1:8" ht="14.25" customHeight="1">
      <c r="A29" s="24" t="s">
        <v>34</v>
      </c>
      <c r="B29" s="24" t="s">
        <v>2</v>
      </c>
      <c r="C29" s="24" t="s">
        <v>102</v>
      </c>
      <c r="D29" s="24" t="s">
        <v>103</v>
      </c>
      <c r="E29" s="278" t="s">
        <v>498</v>
      </c>
      <c r="F29" s="278" t="s">
        <v>912</v>
      </c>
      <c r="G29" s="278" t="s">
        <v>900</v>
      </c>
      <c r="H29">
        <v>0</v>
      </c>
    </row>
    <row r="30" spans="1:8" ht="14.25" customHeight="1">
      <c r="A30" s="277" t="s">
        <v>135</v>
      </c>
      <c r="B30" s="24" t="s">
        <v>2</v>
      </c>
      <c r="C30" s="24" t="s">
        <v>135</v>
      </c>
      <c r="D30" s="24" t="s">
        <v>136</v>
      </c>
      <c r="E30" s="278"/>
      <c r="F30" s="278"/>
      <c r="G30" s="278"/>
      <c r="H30">
        <v>0</v>
      </c>
    </row>
    <row r="31" spans="1:8" ht="14.25" customHeight="1">
      <c r="A31" s="286" t="s">
        <v>23</v>
      </c>
      <c r="B31" s="287" t="s">
        <v>151</v>
      </c>
      <c r="C31" s="287" t="s">
        <v>176</v>
      </c>
      <c r="D31" s="286" t="s">
        <v>177</v>
      </c>
      <c r="E31" s="288" t="s">
        <v>499</v>
      </c>
      <c r="F31" s="288" t="s">
        <v>913</v>
      </c>
      <c r="G31" s="288" t="s">
        <v>214</v>
      </c>
      <c r="H31">
        <v>0</v>
      </c>
    </row>
    <row r="32" spans="1:8" ht="14.25" customHeight="1">
      <c r="A32" s="362" t="s">
        <v>38</v>
      </c>
      <c r="B32" s="362" t="s">
        <v>151</v>
      </c>
      <c r="C32" s="362" t="s">
        <v>38</v>
      </c>
      <c r="D32" s="362" t="s">
        <v>109</v>
      </c>
      <c r="E32" s="363" t="s">
        <v>867</v>
      </c>
      <c r="F32" s="363" t="s">
        <v>641</v>
      </c>
      <c r="G32" s="363" t="s">
        <v>214</v>
      </c>
      <c r="H32" s="321">
        <v>0</v>
      </c>
    </row>
    <row r="33" spans="1:8" ht="14.25" customHeight="1">
      <c r="A33" s="24" t="s">
        <v>5</v>
      </c>
      <c r="B33" s="24" t="s">
        <v>151</v>
      </c>
      <c r="C33" s="24" t="s">
        <v>947</v>
      </c>
      <c r="D33" s="24" t="s">
        <v>156</v>
      </c>
      <c r="E33" s="278" t="s">
        <v>869</v>
      </c>
      <c r="F33" s="278" t="s">
        <v>914</v>
      </c>
      <c r="G33" s="278" t="s">
        <v>214</v>
      </c>
      <c r="H33" t="s">
        <v>669</v>
      </c>
    </row>
    <row r="34" spans="1:8" ht="14.25" customHeight="1">
      <c r="A34" s="24" t="s">
        <v>9</v>
      </c>
      <c r="B34" s="24" t="s">
        <v>151</v>
      </c>
      <c r="C34" s="24" t="s">
        <v>9</v>
      </c>
      <c r="D34" s="24" t="s">
        <v>157</v>
      </c>
      <c r="E34" s="278" t="s">
        <v>498</v>
      </c>
      <c r="F34" s="278" t="s">
        <v>915</v>
      </c>
      <c r="G34" s="278" t="s">
        <v>214</v>
      </c>
      <c r="H34">
        <v>0</v>
      </c>
    </row>
    <row r="35" spans="1:8" ht="14.25" customHeight="1">
      <c r="A35" s="362" t="s">
        <v>48</v>
      </c>
      <c r="B35" s="362" t="s">
        <v>2</v>
      </c>
      <c r="C35" s="362" t="s">
        <v>131</v>
      </c>
      <c r="D35" s="362" t="s">
        <v>132</v>
      </c>
      <c r="E35" s="363" t="s">
        <v>498</v>
      </c>
      <c r="F35" s="363" t="s">
        <v>910</v>
      </c>
      <c r="G35" s="363" t="s">
        <v>214</v>
      </c>
      <c r="H35">
        <v>0</v>
      </c>
    </row>
    <row r="36" spans="1:8" ht="14.25" customHeight="1">
      <c r="A36" s="365" t="s">
        <v>226</v>
      </c>
      <c r="B36" s="362" t="s">
        <v>151</v>
      </c>
      <c r="C36" s="362" t="s">
        <v>936</v>
      </c>
      <c r="D36" s="362" t="s">
        <v>178</v>
      </c>
      <c r="E36" s="363" t="s">
        <v>498</v>
      </c>
      <c r="F36" s="363" t="s">
        <v>949</v>
      </c>
      <c r="G36" s="363" t="s">
        <v>214</v>
      </c>
      <c r="H36" s="321">
        <v>0</v>
      </c>
    </row>
    <row r="37" spans="1:8" ht="14.25" customHeight="1">
      <c r="A37" s="365" t="s">
        <v>226</v>
      </c>
      <c r="B37" s="362" t="s">
        <v>151</v>
      </c>
      <c r="C37" s="362" t="s">
        <v>179</v>
      </c>
      <c r="D37" s="362" t="s">
        <v>108</v>
      </c>
      <c r="E37" s="363" t="s">
        <v>499</v>
      </c>
      <c r="F37" s="363" t="s">
        <v>915</v>
      </c>
      <c r="G37" s="363" t="s">
        <v>214</v>
      </c>
      <c r="H37" s="321">
        <v>0</v>
      </c>
    </row>
    <row r="38" spans="1:8" ht="14.25" customHeight="1">
      <c r="A38" s="362" t="s">
        <v>39</v>
      </c>
      <c r="B38" s="362" t="s">
        <v>151</v>
      </c>
      <c r="C38" s="362" t="s">
        <v>110</v>
      </c>
      <c r="D38" s="362" t="s">
        <v>111</v>
      </c>
      <c r="E38" s="363" t="s">
        <v>870</v>
      </c>
      <c r="F38" s="363" t="s">
        <v>916</v>
      </c>
      <c r="G38" s="363" t="s">
        <v>214</v>
      </c>
      <c r="H38" s="321">
        <v>0</v>
      </c>
    </row>
    <row r="39" spans="1:8" ht="14.25" customHeight="1">
      <c r="A39" s="277" t="s">
        <v>140</v>
      </c>
      <c r="B39" s="24" t="s">
        <v>2</v>
      </c>
      <c r="C39" s="24" t="s">
        <v>139</v>
      </c>
      <c r="D39" s="24" t="s">
        <v>141</v>
      </c>
      <c r="E39" s="278" t="s">
        <v>498</v>
      </c>
      <c r="F39" s="278" t="s">
        <v>912</v>
      </c>
      <c r="G39" s="278" t="s">
        <v>214</v>
      </c>
      <c r="H39">
        <v>0</v>
      </c>
    </row>
    <row r="40" spans="1:8" ht="14.25" customHeight="1">
      <c r="A40" s="8" t="s">
        <v>228</v>
      </c>
      <c r="B40" s="24" t="s">
        <v>2</v>
      </c>
      <c r="C40" s="24" t="s">
        <v>146</v>
      </c>
      <c r="D40" s="24" t="s">
        <v>147</v>
      </c>
      <c r="E40" s="278"/>
      <c r="F40" s="278"/>
      <c r="G40" s="278"/>
      <c r="H40">
        <v>0</v>
      </c>
    </row>
    <row r="41" spans="1:8" ht="14.25" customHeight="1">
      <c r="A41" s="24" t="s">
        <v>10</v>
      </c>
      <c r="B41" s="24" t="s">
        <v>151</v>
      </c>
      <c r="C41" s="24" t="s">
        <v>10</v>
      </c>
      <c r="D41" s="24" t="s">
        <v>158</v>
      </c>
      <c r="E41" s="278" t="s">
        <v>498</v>
      </c>
      <c r="F41" s="278" t="s">
        <v>673</v>
      </c>
      <c r="G41" s="278" t="s">
        <v>214</v>
      </c>
      <c r="H41" t="s">
        <v>945</v>
      </c>
    </row>
    <row r="42" spans="1:8" ht="18.75" customHeight="1">
      <c r="A42" s="362" t="s">
        <v>29</v>
      </c>
      <c r="B42" s="362" t="s">
        <v>151</v>
      </c>
      <c r="C42" s="362" t="s">
        <v>112</v>
      </c>
      <c r="D42" s="362" t="s">
        <v>113</v>
      </c>
      <c r="E42" s="363" t="s">
        <v>862</v>
      </c>
      <c r="F42" s="363" t="s">
        <v>919</v>
      </c>
      <c r="G42" s="363" t="s">
        <v>214</v>
      </c>
      <c r="H42" s="321">
        <v>0</v>
      </c>
    </row>
    <row r="43" spans="1:8" ht="14.25" customHeight="1">
      <c r="A43" s="286" t="s">
        <v>29</v>
      </c>
      <c r="B43" s="286" t="s">
        <v>151</v>
      </c>
      <c r="C43" s="286" t="s">
        <v>114</v>
      </c>
      <c r="D43" s="286" t="s">
        <v>115</v>
      </c>
      <c r="E43" s="288" t="s">
        <v>499</v>
      </c>
      <c r="F43" s="288" t="s">
        <v>919</v>
      </c>
      <c r="G43" s="288" t="s">
        <v>214</v>
      </c>
      <c r="H43">
        <v>0</v>
      </c>
    </row>
    <row r="44" spans="1:8" ht="14.25" customHeight="1">
      <c r="A44" s="24" t="s">
        <v>49</v>
      </c>
      <c r="B44" s="24" t="s">
        <v>2</v>
      </c>
      <c r="C44" s="24" t="s">
        <v>133</v>
      </c>
      <c r="D44" s="24" t="s">
        <v>85</v>
      </c>
      <c r="E44" s="278" t="s">
        <v>499</v>
      </c>
      <c r="F44" s="278" t="s">
        <v>924</v>
      </c>
      <c r="G44" s="278" t="s">
        <v>214</v>
      </c>
      <c r="H44">
        <v>0</v>
      </c>
    </row>
    <row r="45" spans="1:8" ht="14.25" customHeight="1">
      <c r="A45" s="24" t="s">
        <v>13</v>
      </c>
      <c r="B45" s="24" t="s">
        <v>151</v>
      </c>
      <c r="C45" s="24" t="s">
        <v>13</v>
      </c>
      <c r="D45" s="24" t="s">
        <v>180</v>
      </c>
      <c r="E45" s="278" t="s">
        <v>498</v>
      </c>
      <c r="F45" s="278" t="s">
        <v>917</v>
      </c>
      <c r="G45" s="278" t="s">
        <v>214</v>
      </c>
      <c r="H45">
        <v>0</v>
      </c>
    </row>
    <row r="46" spans="1:8" ht="14.25" customHeight="1">
      <c r="A46" s="24" t="s">
        <v>11</v>
      </c>
      <c r="B46" s="24" t="s">
        <v>151</v>
      </c>
      <c r="C46" s="24" t="s">
        <v>11</v>
      </c>
      <c r="D46" s="24" t="s">
        <v>159</v>
      </c>
      <c r="E46" s="278" t="s">
        <v>498</v>
      </c>
      <c r="F46" s="278" t="s">
        <v>926</v>
      </c>
      <c r="G46" s="278" t="s">
        <v>214</v>
      </c>
      <c r="H46">
        <v>0</v>
      </c>
    </row>
    <row r="47" spans="1:8" ht="14.25" customHeight="1">
      <c r="A47" s="362" t="s">
        <v>14</v>
      </c>
      <c r="B47" s="362" t="s">
        <v>151</v>
      </c>
      <c r="C47" s="362" t="s">
        <v>14</v>
      </c>
      <c r="D47" s="362" t="s">
        <v>163</v>
      </c>
      <c r="E47" s="363" t="s">
        <v>871</v>
      </c>
      <c r="F47" s="363" t="s">
        <v>927</v>
      </c>
      <c r="G47" s="363" t="s">
        <v>214</v>
      </c>
      <c r="H47" s="321">
        <v>0</v>
      </c>
    </row>
    <row r="48" spans="1:8" ht="14.25" customHeight="1">
      <c r="A48" s="24" t="s">
        <v>30</v>
      </c>
      <c r="B48" s="24" t="s">
        <v>2</v>
      </c>
      <c r="C48" s="24" t="s">
        <v>938</v>
      </c>
      <c r="D48" s="24" t="s">
        <v>116</v>
      </c>
      <c r="E48" s="278" t="s">
        <v>872</v>
      </c>
      <c r="F48" s="278" t="s">
        <v>932</v>
      </c>
      <c r="G48" s="278" t="s">
        <v>214</v>
      </c>
      <c r="H48" t="s">
        <v>664</v>
      </c>
    </row>
    <row r="49" spans="1:8" ht="14.25" customHeight="1">
      <c r="A49" s="24" t="s">
        <v>30</v>
      </c>
      <c r="B49" s="24" t="s">
        <v>2</v>
      </c>
      <c r="C49" s="276" t="s">
        <v>937</v>
      </c>
      <c r="D49" s="24" t="s">
        <v>939</v>
      </c>
      <c r="E49" s="278" t="s">
        <v>872</v>
      </c>
      <c r="F49" s="278" t="s">
        <v>932</v>
      </c>
      <c r="G49" s="278" t="s">
        <v>214</v>
      </c>
      <c r="H49" t="s">
        <v>664</v>
      </c>
    </row>
    <row r="50" spans="1:8" ht="14.25" customHeight="1">
      <c r="A50" s="24" t="s">
        <v>31</v>
      </c>
      <c r="B50" s="24" t="s">
        <v>2</v>
      </c>
      <c r="C50" s="24" t="s">
        <v>31</v>
      </c>
      <c r="D50" s="24" t="s">
        <v>111</v>
      </c>
      <c r="E50" s="278" t="s">
        <v>873</v>
      </c>
      <c r="F50" s="278" t="s">
        <v>931</v>
      </c>
      <c r="G50" s="278" t="s">
        <v>214</v>
      </c>
      <c r="H50">
        <v>0</v>
      </c>
    </row>
    <row r="51" spans="1:8" ht="14.25" customHeight="1">
      <c r="A51" s="24" t="s">
        <v>31</v>
      </c>
      <c r="B51" s="24" t="s">
        <v>2</v>
      </c>
      <c r="C51" s="24" t="s">
        <v>117</v>
      </c>
      <c r="D51" s="24" t="s">
        <v>118</v>
      </c>
      <c r="E51" s="278" t="s">
        <v>874</v>
      </c>
      <c r="F51" s="278" t="s">
        <v>931</v>
      </c>
      <c r="G51" s="278" t="s">
        <v>943</v>
      </c>
      <c r="H51">
        <v>0</v>
      </c>
    </row>
    <row r="52" spans="1:8" ht="14.25" customHeight="1">
      <c r="A52" s="322" t="s">
        <v>490</v>
      </c>
      <c r="B52" s="286" t="s">
        <v>151</v>
      </c>
      <c r="C52" s="286" t="s">
        <v>160</v>
      </c>
      <c r="D52" s="286" t="s">
        <v>933</v>
      </c>
      <c r="E52" s="288" t="s">
        <v>499</v>
      </c>
      <c r="F52" s="288" t="s">
        <v>934</v>
      </c>
      <c r="G52" s="288" t="s">
        <v>214</v>
      </c>
      <c r="H52" t="s">
        <v>944</v>
      </c>
    </row>
    <row r="53" spans="1:8" ht="14.25" customHeight="1">
      <c r="A53" s="322" t="s">
        <v>490</v>
      </c>
      <c r="B53" s="24" t="s">
        <v>151</v>
      </c>
      <c r="C53" s="24" t="s">
        <v>875</v>
      </c>
      <c r="D53" s="24" t="s">
        <v>161</v>
      </c>
      <c r="E53" s="278" t="s">
        <v>861</v>
      </c>
      <c r="F53" s="278" t="s">
        <v>711</v>
      </c>
      <c r="G53" s="278" t="s">
        <v>214</v>
      </c>
      <c r="H53" t="s">
        <v>944</v>
      </c>
    </row>
    <row r="54" spans="1:8" ht="14.25" customHeight="1">
      <c r="A54" s="277" t="s">
        <v>148</v>
      </c>
      <c r="B54" s="24" t="s">
        <v>971</v>
      </c>
      <c r="C54" s="24" t="s">
        <v>148</v>
      </c>
      <c r="D54" s="24" t="s">
        <v>149</v>
      </c>
      <c r="E54" s="278"/>
      <c r="F54" s="278"/>
      <c r="G54" s="278"/>
      <c r="H54">
        <v>0</v>
      </c>
    </row>
    <row r="55" spans="1:8" ht="14.25" customHeight="1">
      <c r="A55" s="24" t="s">
        <v>40</v>
      </c>
      <c r="B55" s="24" t="s">
        <v>971</v>
      </c>
      <c r="C55" s="24" t="s">
        <v>40</v>
      </c>
      <c r="D55" s="24" t="s">
        <v>119</v>
      </c>
      <c r="E55" s="278" t="s">
        <v>876</v>
      </c>
      <c r="F55" s="278" t="s">
        <v>950</v>
      </c>
      <c r="G55" s="278" t="s">
        <v>214</v>
      </c>
      <c r="H55">
        <v>0</v>
      </c>
    </row>
    <row r="56" spans="1:8" ht="14.25" customHeight="1">
      <c r="A56" s="362" t="s">
        <v>7</v>
      </c>
      <c r="B56" s="362" t="s">
        <v>151</v>
      </c>
      <c r="C56" s="362" t="s">
        <v>182</v>
      </c>
      <c r="D56" s="362" t="s">
        <v>108</v>
      </c>
      <c r="E56" s="363" t="s">
        <v>499</v>
      </c>
      <c r="F56" s="363" t="s">
        <v>921</v>
      </c>
      <c r="G56" s="363" t="s">
        <v>214</v>
      </c>
      <c r="H56" s="321">
        <v>0</v>
      </c>
    </row>
    <row r="57" spans="1:8" ht="14.25" customHeight="1">
      <c r="A57" s="24" t="s">
        <v>41</v>
      </c>
      <c r="B57" s="24" t="s">
        <v>2</v>
      </c>
      <c r="C57" s="24" t="s">
        <v>41</v>
      </c>
      <c r="D57" s="24" t="s">
        <v>120</v>
      </c>
      <c r="E57" s="278" t="s">
        <v>878</v>
      </c>
      <c r="F57" s="278" t="s">
        <v>922</v>
      </c>
      <c r="G57" s="278" t="s">
        <v>214</v>
      </c>
      <c r="H57" t="s">
        <v>912</v>
      </c>
    </row>
    <row r="58" spans="1:8" ht="14.25" customHeight="1">
      <c r="A58" s="24" t="s">
        <v>18</v>
      </c>
      <c r="B58" s="24" t="s">
        <v>151</v>
      </c>
      <c r="C58" s="24" t="s">
        <v>162</v>
      </c>
      <c r="D58" s="24" t="s">
        <v>163</v>
      </c>
      <c r="E58" s="278" t="s">
        <v>498</v>
      </c>
      <c r="F58" s="278" t="s">
        <v>673</v>
      </c>
      <c r="G58" s="278" t="s">
        <v>214</v>
      </c>
      <c r="H58">
        <v>0</v>
      </c>
    </row>
    <row r="59" spans="1:8" ht="14.25" customHeight="1">
      <c r="A59" s="24" t="s">
        <v>12</v>
      </c>
      <c r="B59" s="24" t="s">
        <v>151</v>
      </c>
      <c r="C59" s="24" t="s">
        <v>12</v>
      </c>
      <c r="D59" s="24" t="s">
        <v>164</v>
      </c>
      <c r="E59" s="278" t="s">
        <v>498</v>
      </c>
      <c r="F59" s="278" t="s">
        <v>946</v>
      </c>
      <c r="G59" s="278" t="s">
        <v>214</v>
      </c>
      <c r="H59">
        <v>0</v>
      </c>
    </row>
    <row r="60" spans="1:8" ht="14.25" customHeight="1">
      <c r="A60" s="24" t="s">
        <v>42</v>
      </c>
      <c r="B60" s="24" t="s">
        <v>2</v>
      </c>
      <c r="C60" s="24" t="s">
        <v>42</v>
      </c>
      <c r="D60" s="24" t="s">
        <v>121</v>
      </c>
      <c r="E60" s="278" t="s">
        <v>880</v>
      </c>
      <c r="F60" s="278" t="s">
        <v>923</v>
      </c>
      <c r="G60" s="278" t="s">
        <v>214</v>
      </c>
      <c r="H60">
        <v>0</v>
      </c>
    </row>
    <row r="61" spans="1:8" ht="14.25" customHeight="1">
      <c r="A61" s="24" t="s">
        <v>43</v>
      </c>
      <c r="B61" s="24" t="s">
        <v>2</v>
      </c>
      <c r="C61" s="24" t="s">
        <v>122</v>
      </c>
      <c r="D61" s="24" t="s">
        <v>123</v>
      </c>
      <c r="E61" s="278" t="s">
        <v>881</v>
      </c>
      <c r="F61" s="278" t="s">
        <v>918</v>
      </c>
      <c r="G61" s="278" t="s">
        <v>214</v>
      </c>
      <c r="H61">
        <v>0</v>
      </c>
    </row>
    <row r="62" spans="1:8" ht="14.25" customHeight="1">
      <c r="A62" s="286" t="s">
        <v>15</v>
      </c>
      <c r="B62" s="286" t="s">
        <v>2</v>
      </c>
      <c r="C62" s="286" t="s">
        <v>15</v>
      </c>
      <c r="D62" s="286" t="s">
        <v>134</v>
      </c>
      <c r="E62" s="288" t="s">
        <v>882</v>
      </c>
      <c r="F62" s="288" t="s">
        <v>916</v>
      </c>
      <c r="G62" s="288" t="s">
        <v>214</v>
      </c>
      <c r="H62">
        <v>0</v>
      </c>
    </row>
    <row r="63" spans="1:8" ht="14.25" customHeight="1">
      <c r="A63" s="362" t="s">
        <v>16</v>
      </c>
      <c r="B63" s="362" t="s">
        <v>151</v>
      </c>
      <c r="C63" s="362" t="s">
        <v>16</v>
      </c>
      <c r="D63" s="362" t="s">
        <v>183</v>
      </c>
      <c r="E63" s="363" t="s">
        <v>894</v>
      </c>
      <c r="F63" s="363">
        <v>45</v>
      </c>
      <c r="G63" s="363" t="s">
        <v>214</v>
      </c>
      <c r="H63" s="321">
        <v>0</v>
      </c>
    </row>
    <row r="64" spans="1:8" ht="14.25" customHeight="1">
      <c r="A64" s="362" t="s">
        <v>32</v>
      </c>
      <c r="B64" s="362" t="s">
        <v>151</v>
      </c>
      <c r="C64" s="365" t="s">
        <v>883</v>
      </c>
      <c r="D64" s="362" t="s">
        <v>108</v>
      </c>
      <c r="E64" s="363" t="s">
        <v>884</v>
      </c>
      <c r="F64" s="363" t="s">
        <v>696</v>
      </c>
      <c r="G64" s="363" t="s">
        <v>214</v>
      </c>
      <c r="H64" s="321">
        <v>0</v>
      </c>
    </row>
    <row r="65" spans="1:10" ht="14.25" customHeight="1">
      <c r="A65" s="362" t="s">
        <v>32</v>
      </c>
      <c r="B65" s="362" t="s">
        <v>151</v>
      </c>
      <c r="C65" s="365" t="s">
        <v>885</v>
      </c>
      <c r="D65" s="362" t="s">
        <v>108</v>
      </c>
      <c r="E65" s="363" t="s">
        <v>886</v>
      </c>
      <c r="F65" s="363" t="s">
        <v>696</v>
      </c>
      <c r="G65" s="363" t="s">
        <v>214</v>
      </c>
      <c r="H65" s="321">
        <v>0</v>
      </c>
    </row>
    <row r="66" spans="1:10" s="289" customFormat="1" ht="14.25" customHeight="1">
      <c r="A66" s="286" t="s">
        <v>66</v>
      </c>
      <c r="B66" s="287" t="s">
        <v>151</v>
      </c>
      <c r="C66" s="286" t="s">
        <v>66</v>
      </c>
      <c r="D66" s="286" t="s">
        <v>111</v>
      </c>
      <c r="E66" s="288" t="s">
        <v>499</v>
      </c>
      <c r="F66" s="288" t="s">
        <v>930</v>
      </c>
      <c r="G66" s="288" t="s">
        <v>214</v>
      </c>
      <c r="H66">
        <v>0</v>
      </c>
    </row>
    <row r="67" spans="1:10" ht="14.25" customHeight="1">
      <c r="A67" s="277" t="s">
        <v>137</v>
      </c>
      <c r="B67" s="24" t="s">
        <v>2</v>
      </c>
      <c r="C67" s="24" t="s">
        <v>137</v>
      </c>
      <c r="D67" s="24" t="s">
        <v>138</v>
      </c>
      <c r="E67" s="278"/>
      <c r="F67" s="278"/>
      <c r="G67" s="278"/>
      <c r="H67">
        <v>0</v>
      </c>
    </row>
    <row r="68" spans="1:10" ht="14.25" customHeight="1">
      <c r="A68" s="277" t="s">
        <v>137</v>
      </c>
      <c r="B68" s="24" t="s">
        <v>2</v>
      </c>
      <c r="C68" s="24" t="s">
        <v>144</v>
      </c>
      <c r="D68" s="24" t="s">
        <v>145</v>
      </c>
      <c r="E68" s="278"/>
      <c r="F68" s="278"/>
      <c r="G68" s="278"/>
      <c r="H68">
        <v>0</v>
      </c>
    </row>
    <row r="69" spans="1:10" ht="14.25" customHeight="1">
      <c r="A69" s="24" t="s">
        <v>44</v>
      </c>
      <c r="B69" s="24" t="s">
        <v>2</v>
      </c>
      <c r="C69" s="24" t="s">
        <v>44</v>
      </c>
      <c r="D69" s="24" t="s">
        <v>124</v>
      </c>
      <c r="E69" s="278" t="s">
        <v>499</v>
      </c>
      <c r="F69" s="278" t="s">
        <v>915</v>
      </c>
      <c r="G69" s="278" t="s">
        <v>214</v>
      </c>
      <c r="H69">
        <v>0</v>
      </c>
    </row>
    <row r="70" spans="1:10" ht="14.25" customHeight="1">
      <c r="A70" s="24" t="s">
        <v>6</v>
      </c>
      <c r="B70" s="24" t="s">
        <v>151</v>
      </c>
      <c r="C70" s="24" t="s">
        <v>165</v>
      </c>
      <c r="D70" s="24" t="s">
        <v>166</v>
      </c>
      <c r="E70" s="278" t="s">
        <v>498</v>
      </c>
      <c r="F70" s="278" t="s">
        <v>929</v>
      </c>
      <c r="G70" s="278" t="s">
        <v>214</v>
      </c>
      <c r="H70" t="s">
        <v>654</v>
      </c>
    </row>
    <row r="71" spans="1:10" ht="14.25" customHeight="1">
      <c r="A71" s="24" t="s">
        <v>6</v>
      </c>
      <c r="B71" s="24" t="s">
        <v>151</v>
      </c>
      <c r="C71" s="24" t="s">
        <v>167</v>
      </c>
      <c r="D71" s="24" t="s">
        <v>168</v>
      </c>
      <c r="E71" s="278" t="s">
        <v>498</v>
      </c>
      <c r="F71" s="278" t="s">
        <v>929</v>
      </c>
      <c r="G71" s="278" t="s">
        <v>214</v>
      </c>
      <c r="H71" t="s">
        <v>654</v>
      </c>
    </row>
    <row r="72" spans="1:10" ht="14.25" customHeight="1">
      <c r="A72" s="362" t="s">
        <v>24</v>
      </c>
      <c r="B72" s="362" t="s">
        <v>151</v>
      </c>
      <c r="C72" s="362" t="s">
        <v>184</v>
      </c>
      <c r="D72" s="362" t="s">
        <v>91</v>
      </c>
      <c r="E72" s="363" t="s">
        <v>886</v>
      </c>
      <c r="F72" s="363" t="s">
        <v>928</v>
      </c>
      <c r="G72" s="363" t="s">
        <v>943</v>
      </c>
      <c r="H72" s="321">
        <v>0</v>
      </c>
    </row>
    <row r="73" spans="1:10" ht="14.25" customHeight="1">
      <c r="A73" s="367" t="s">
        <v>45</v>
      </c>
      <c r="B73" s="362" t="s">
        <v>151</v>
      </c>
      <c r="C73" s="362" t="s">
        <v>125</v>
      </c>
      <c r="D73" s="362" t="s">
        <v>126</v>
      </c>
      <c r="E73" s="363" t="s">
        <v>888</v>
      </c>
      <c r="F73" s="363" t="s">
        <v>925</v>
      </c>
      <c r="G73" s="363" t="s">
        <v>214</v>
      </c>
      <c r="H73" s="321">
        <v>0</v>
      </c>
    </row>
    <row r="74" spans="1:10" ht="14.25" customHeight="1">
      <c r="A74" s="24" t="s">
        <v>46</v>
      </c>
      <c r="B74" s="24" t="s">
        <v>2</v>
      </c>
      <c r="C74" s="24" t="s">
        <v>127</v>
      </c>
      <c r="D74" s="24" t="s">
        <v>128</v>
      </c>
      <c r="E74" s="278" t="s">
        <v>498</v>
      </c>
      <c r="F74" s="278" t="s">
        <v>920</v>
      </c>
      <c r="G74" s="278" t="s">
        <v>214</v>
      </c>
      <c r="H74">
        <v>0</v>
      </c>
    </row>
    <row r="75" spans="1:10" ht="14.25" customHeight="1">
      <c r="A75" s="277" t="s">
        <v>142</v>
      </c>
      <c r="B75" s="24" t="s">
        <v>2</v>
      </c>
      <c r="C75" s="24" t="s">
        <v>55</v>
      </c>
      <c r="D75" s="24" t="s">
        <v>143</v>
      </c>
      <c r="E75" s="278"/>
      <c r="F75" s="278"/>
      <c r="G75" s="278"/>
      <c r="H75">
        <v>0</v>
      </c>
    </row>
    <row r="76" spans="1:10" ht="14.25" customHeight="1">
      <c r="A76" s="286" t="s">
        <v>500</v>
      </c>
      <c r="B76" s="286" t="s">
        <v>151</v>
      </c>
      <c r="C76" s="286" t="s">
        <v>889</v>
      </c>
      <c r="D76" s="286" t="s">
        <v>935</v>
      </c>
      <c r="E76" s="288" t="s">
        <v>496</v>
      </c>
      <c r="F76" s="288">
        <v>20</v>
      </c>
      <c r="G76" s="288" t="s">
        <v>214</v>
      </c>
      <c r="H76">
        <v>0</v>
      </c>
    </row>
    <row r="77" spans="1:10" ht="15" customHeight="1">
      <c r="A77" s="8" t="s">
        <v>44</v>
      </c>
      <c r="B77" s="8" t="s">
        <v>2</v>
      </c>
      <c r="C77" s="8" t="s">
        <v>977</v>
      </c>
      <c r="D77" s="8" t="s">
        <v>978</v>
      </c>
      <c r="E77" s="8" t="s">
        <v>495</v>
      </c>
      <c r="F77" s="278" t="s">
        <v>979</v>
      </c>
      <c r="G77" s="110" t="s">
        <v>214</v>
      </c>
      <c r="H77">
        <v>0</v>
      </c>
      <c r="J77">
        <v>0</v>
      </c>
    </row>
    <row r="78" spans="1:10" ht="15" customHeight="1">
      <c r="A78" s="8" t="s">
        <v>226</v>
      </c>
      <c r="B78" s="8" t="s">
        <v>151</v>
      </c>
      <c r="C78" s="8" t="s">
        <v>980</v>
      </c>
      <c r="D78" s="8" t="s">
        <v>978</v>
      </c>
      <c r="E78" s="8" t="s">
        <v>495</v>
      </c>
      <c r="F78" s="278" t="s">
        <v>981</v>
      </c>
      <c r="G78" s="110" t="s">
        <v>214</v>
      </c>
      <c r="H78">
        <v>0</v>
      </c>
      <c r="J78">
        <v>0</v>
      </c>
    </row>
    <row r="79" spans="1:10" ht="15" customHeight="1">
      <c r="A79" s="8" t="s">
        <v>142</v>
      </c>
      <c r="B79" s="8" t="s">
        <v>2</v>
      </c>
      <c r="C79" s="8" t="s">
        <v>982</v>
      </c>
      <c r="D79" s="8" t="s">
        <v>983</v>
      </c>
      <c r="E79" s="8" t="s">
        <v>498</v>
      </c>
      <c r="F79" s="278" t="s">
        <v>910</v>
      </c>
      <c r="G79" s="110" t="s">
        <v>214</v>
      </c>
      <c r="H79">
        <v>0</v>
      </c>
      <c r="J79">
        <v>0</v>
      </c>
    </row>
    <row r="80" spans="1:10" ht="15" customHeight="1">
      <c r="A80" s="8" t="s">
        <v>72</v>
      </c>
      <c r="B80" s="8" t="s">
        <v>2</v>
      </c>
      <c r="C80" s="8" t="s">
        <v>984</v>
      </c>
      <c r="D80" s="8" t="s">
        <v>985</v>
      </c>
      <c r="E80" s="8" t="s">
        <v>495</v>
      </c>
      <c r="F80" s="278" t="s">
        <v>986</v>
      </c>
      <c r="G80" s="110" t="s">
        <v>214</v>
      </c>
      <c r="H80">
        <v>0</v>
      </c>
      <c r="J80">
        <v>0</v>
      </c>
    </row>
    <row r="81" spans="1:10" ht="15" customHeight="1">
      <c r="A81" s="8" t="s">
        <v>72</v>
      </c>
      <c r="B81" s="8" t="s">
        <v>2</v>
      </c>
      <c r="C81" s="8" t="s">
        <v>987</v>
      </c>
      <c r="D81" s="8" t="s">
        <v>985</v>
      </c>
      <c r="E81" s="8" t="s">
        <v>499</v>
      </c>
      <c r="F81" s="278" t="s">
        <v>988</v>
      </c>
      <c r="G81" s="110" t="s">
        <v>214</v>
      </c>
      <c r="H81">
        <v>0</v>
      </c>
      <c r="J81">
        <v>0</v>
      </c>
    </row>
  </sheetData>
  <autoFilter ref="A1:J76" xr:uid="{00000000-0001-0000-0200-000000000000}"/>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78B5-DF95-45C0-A53C-45373F8B225A}">
  <sheetPr>
    <tabColor theme="7"/>
  </sheetPr>
  <dimension ref="A1:D25"/>
  <sheetViews>
    <sheetView topLeftCell="A11" workbookViewId="0">
      <selection activeCell="A25" sqref="A25"/>
    </sheetView>
  </sheetViews>
  <sheetFormatPr defaultRowHeight="14.5"/>
  <cols>
    <col min="1" max="1" width="32.1796875" bestFit="1" customWidth="1"/>
    <col min="2" max="2" width="7" bestFit="1" customWidth="1"/>
    <col min="3" max="3" width="19.453125" bestFit="1" customWidth="1"/>
    <col min="4" max="4" width="14.1796875" bestFit="1" customWidth="1"/>
    <col min="5" max="5" width="7.08984375" bestFit="1" customWidth="1"/>
  </cols>
  <sheetData>
    <row r="1" spans="1:4">
      <c r="A1" s="357" t="s">
        <v>74</v>
      </c>
      <c r="B1" s="357" t="s">
        <v>961</v>
      </c>
      <c r="C1" s="357" t="s">
        <v>962</v>
      </c>
      <c r="D1" s="358"/>
    </row>
    <row r="2" spans="1:4">
      <c r="A2" s="359" t="s">
        <v>171</v>
      </c>
      <c r="B2" s="359" t="s">
        <v>151</v>
      </c>
      <c r="C2" s="359" t="s">
        <v>903</v>
      </c>
      <c r="D2" s="360" t="s">
        <v>858</v>
      </c>
    </row>
    <row r="3" spans="1:4">
      <c r="A3" s="359" t="s">
        <v>176</v>
      </c>
      <c r="B3" s="359" t="s">
        <v>151</v>
      </c>
      <c r="C3" s="359" t="s">
        <v>903</v>
      </c>
      <c r="D3" s="360" t="s">
        <v>23</v>
      </c>
    </row>
    <row r="4" spans="1:4" ht="29">
      <c r="A4" s="359" t="s">
        <v>963</v>
      </c>
      <c r="B4" s="359" t="s">
        <v>151</v>
      </c>
      <c r="C4" s="359" t="s">
        <v>903</v>
      </c>
      <c r="D4" s="37" t="s">
        <v>226</v>
      </c>
    </row>
    <row r="5" spans="1:4">
      <c r="A5" s="359" t="s">
        <v>160</v>
      </c>
      <c r="B5" s="359" t="s">
        <v>151</v>
      </c>
      <c r="C5" s="359" t="s">
        <v>903</v>
      </c>
      <c r="D5" s="360" t="s">
        <v>964</v>
      </c>
    </row>
    <row r="6" spans="1:4" ht="29">
      <c r="A6" s="359" t="s">
        <v>965</v>
      </c>
      <c r="B6" s="359" t="s">
        <v>151</v>
      </c>
      <c r="C6" s="359" t="s">
        <v>903</v>
      </c>
      <c r="D6" s="36" t="s">
        <v>66</v>
      </c>
    </row>
    <row r="7" spans="1:4">
      <c r="A7" s="359" t="s">
        <v>889</v>
      </c>
      <c r="B7" s="359" t="s">
        <v>151</v>
      </c>
      <c r="C7" s="359" t="s">
        <v>903</v>
      </c>
      <c r="D7" s="360" t="s">
        <v>500</v>
      </c>
    </row>
    <row r="8" spans="1:4">
      <c r="A8" s="359" t="s">
        <v>114</v>
      </c>
      <c r="B8" s="359" t="s">
        <v>151</v>
      </c>
      <c r="C8" s="359" t="s">
        <v>903</v>
      </c>
      <c r="D8" s="359" t="s">
        <v>29</v>
      </c>
    </row>
    <row r="9" spans="1:4">
      <c r="A9" s="8" t="s">
        <v>169</v>
      </c>
      <c r="B9" s="8" t="s">
        <v>151</v>
      </c>
      <c r="C9" s="8" t="s">
        <v>904</v>
      </c>
      <c r="D9" s="36" t="s">
        <v>19</v>
      </c>
    </row>
    <row r="10" spans="1:4">
      <c r="A10" s="8" t="s">
        <v>170</v>
      </c>
      <c r="B10" s="8" t="s">
        <v>151</v>
      </c>
      <c r="C10" s="8" t="s">
        <v>902</v>
      </c>
      <c r="D10" s="361" t="s">
        <v>20</v>
      </c>
    </row>
    <row r="11" spans="1:4">
      <c r="A11" s="8" t="s">
        <v>173</v>
      </c>
      <c r="B11" s="8" t="s">
        <v>151</v>
      </c>
      <c r="C11" s="8" t="s">
        <v>902</v>
      </c>
      <c r="D11" s="361" t="s">
        <v>22</v>
      </c>
    </row>
    <row r="12" spans="1:4">
      <c r="A12" s="8" t="s">
        <v>174</v>
      </c>
      <c r="B12" s="8" t="s">
        <v>151</v>
      </c>
      <c r="C12" s="8" t="s">
        <v>902</v>
      </c>
      <c r="D12" s="361" t="s">
        <v>4</v>
      </c>
    </row>
    <row r="13" spans="1:4">
      <c r="A13" s="8" t="s">
        <v>179</v>
      </c>
      <c r="B13" s="8" t="s">
        <v>151</v>
      </c>
      <c r="C13" s="8" t="s">
        <v>902</v>
      </c>
      <c r="D13" s="361" t="s">
        <v>226</v>
      </c>
    </row>
    <row r="14" spans="1:4" ht="29">
      <c r="A14" s="8" t="s">
        <v>14</v>
      </c>
      <c r="B14" s="8" t="s">
        <v>151</v>
      </c>
      <c r="C14" s="8" t="s">
        <v>902</v>
      </c>
      <c r="D14" s="36" t="s">
        <v>14</v>
      </c>
    </row>
    <row r="15" spans="1:4">
      <c r="A15" s="8" t="s">
        <v>181</v>
      </c>
      <c r="B15" s="8" t="s">
        <v>151</v>
      </c>
      <c r="C15" s="8" t="s">
        <v>902</v>
      </c>
      <c r="D15" s="361" t="s">
        <v>7</v>
      </c>
    </row>
    <row r="16" spans="1:4">
      <c r="A16" s="8" t="s">
        <v>182</v>
      </c>
      <c r="B16" s="8" t="s">
        <v>151</v>
      </c>
      <c r="C16" s="8" t="s">
        <v>902</v>
      </c>
      <c r="D16" s="361" t="s">
        <v>7</v>
      </c>
    </row>
    <row r="17" spans="1:4">
      <c r="A17" s="8" t="s">
        <v>16</v>
      </c>
      <c r="B17" s="8" t="s">
        <v>151</v>
      </c>
      <c r="C17" s="8" t="s">
        <v>902</v>
      </c>
      <c r="D17" s="361" t="s">
        <v>336</v>
      </c>
    </row>
    <row r="18" spans="1:4">
      <c r="A18" s="8" t="s">
        <v>966</v>
      </c>
      <c r="B18" s="8" t="s">
        <v>151</v>
      </c>
      <c r="C18" s="8" t="s">
        <v>902</v>
      </c>
      <c r="D18" s="37" t="s">
        <v>32</v>
      </c>
    </row>
    <row r="19" spans="1:4">
      <c r="A19" s="8" t="s">
        <v>967</v>
      </c>
      <c r="B19" s="8" t="s">
        <v>151</v>
      </c>
      <c r="C19" s="8" t="s">
        <v>902</v>
      </c>
      <c r="D19" s="37" t="s">
        <v>32</v>
      </c>
    </row>
    <row r="20" spans="1:4">
      <c r="A20" s="8" t="s">
        <v>125</v>
      </c>
      <c r="B20" s="8" t="s">
        <v>151</v>
      </c>
      <c r="C20" s="8" t="s">
        <v>902</v>
      </c>
      <c r="D20" t="s">
        <v>60</v>
      </c>
    </row>
    <row r="21" spans="1:4">
      <c r="A21" s="8" t="s">
        <v>112</v>
      </c>
      <c r="B21" s="8" t="s">
        <v>151</v>
      </c>
      <c r="C21" s="8" t="s">
        <v>902</v>
      </c>
      <c r="D21" t="s">
        <v>29</v>
      </c>
    </row>
    <row r="22" spans="1:4">
      <c r="A22" s="8" t="s">
        <v>38</v>
      </c>
      <c r="B22" s="8" t="s">
        <v>151</v>
      </c>
      <c r="C22" s="8" t="s">
        <v>902</v>
      </c>
      <c r="D22" t="str">
        <f t="shared" ref="D22:D25" si="0">A22</f>
        <v>Boubyan</v>
      </c>
    </row>
    <row r="23" spans="1:4">
      <c r="A23" s="8" t="s">
        <v>110</v>
      </c>
      <c r="B23" s="8" t="s">
        <v>151</v>
      </c>
      <c r="C23" s="8" t="s">
        <v>902</v>
      </c>
      <c r="D23" t="s">
        <v>39</v>
      </c>
    </row>
    <row r="24" spans="1:4">
      <c r="A24" s="8" t="s">
        <v>184</v>
      </c>
      <c r="B24" s="8" t="s">
        <v>151</v>
      </c>
      <c r="C24" s="8" t="s">
        <v>905</v>
      </c>
      <c r="D24" t="s">
        <v>24</v>
      </c>
    </row>
    <row r="25" spans="1:4">
      <c r="A25" s="8" t="s">
        <v>15</v>
      </c>
      <c r="B25" s="8" t="s">
        <v>151</v>
      </c>
      <c r="C25" s="6" t="s">
        <v>968</v>
      </c>
      <c r="D25" t="str">
        <f t="shared" si="0"/>
        <v>PSE</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AF590-40A0-7D4B-AF59-08AB7A2384D6}">
  <sheetPr>
    <tabColor theme="7"/>
  </sheetPr>
  <dimension ref="A1:F40"/>
  <sheetViews>
    <sheetView topLeftCell="A24" workbookViewId="0">
      <selection activeCell="A36" sqref="A36"/>
    </sheetView>
  </sheetViews>
  <sheetFormatPr defaultColWidth="8.81640625" defaultRowHeight="15"/>
  <cols>
    <col min="1" max="1" width="8.81640625" style="90"/>
    <col min="2" max="2" width="34.453125" style="62" customWidth="1"/>
    <col min="3" max="3" width="16.453125" style="68" customWidth="1"/>
    <col min="4" max="4" width="19.453125" style="68" bestFit="1" customWidth="1"/>
    <col min="5" max="5" width="36.453125" style="68" bestFit="1" customWidth="1"/>
    <col min="6" max="6" width="15.81640625" style="62" bestFit="1" customWidth="1"/>
    <col min="7" max="257" width="8.81640625" style="62"/>
    <col min="258" max="258" width="34.453125" style="62" customWidth="1"/>
    <col min="259" max="259" width="16.453125" style="62" customWidth="1"/>
    <col min="260" max="260" width="15" style="62" customWidth="1"/>
    <col min="261" max="261" width="27.81640625" style="62" customWidth="1"/>
    <col min="262" max="262" width="15.81640625" style="62" bestFit="1" customWidth="1"/>
    <col min="263" max="513" width="8.81640625" style="62"/>
    <col min="514" max="514" width="34.453125" style="62" customWidth="1"/>
    <col min="515" max="515" width="16.453125" style="62" customWidth="1"/>
    <col min="516" max="516" width="15" style="62" customWidth="1"/>
    <col min="517" max="517" width="27.81640625" style="62" customWidth="1"/>
    <col min="518" max="518" width="15.81640625" style="62" bestFit="1" customWidth="1"/>
    <col min="519" max="769" width="8.81640625" style="62"/>
    <col min="770" max="770" width="34.453125" style="62" customWidth="1"/>
    <col min="771" max="771" width="16.453125" style="62" customWidth="1"/>
    <col min="772" max="772" width="15" style="62" customWidth="1"/>
    <col min="773" max="773" width="27.81640625" style="62" customWidth="1"/>
    <col min="774" max="774" width="15.81640625" style="62" bestFit="1" customWidth="1"/>
    <col min="775" max="1025" width="8.81640625" style="62"/>
    <col min="1026" max="1026" width="34.453125" style="62" customWidth="1"/>
    <col min="1027" max="1027" width="16.453125" style="62" customWidth="1"/>
    <col min="1028" max="1028" width="15" style="62" customWidth="1"/>
    <col min="1029" max="1029" width="27.81640625" style="62" customWidth="1"/>
    <col min="1030" max="1030" width="15.81640625" style="62" bestFit="1" customWidth="1"/>
    <col min="1031" max="1281" width="8.81640625" style="62"/>
    <col min="1282" max="1282" width="34.453125" style="62" customWidth="1"/>
    <col min="1283" max="1283" width="16.453125" style="62" customWidth="1"/>
    <col min="1284" max="1284" width="15" style="62" customWidth="1"/>
    <col min="1285" max="1285" width="27.81640625" style="62" customWidth="1"/>
    <col min="1286" max="1286" width="15.81640625" style="62" bestFit="1" customWidth="1"/>
    <col min="1287" max="1537" width="8.81640625" style="62"/>
    <col min="1538" max="1538" width="34.453125" style="62" customWidth="1"/>
    <col min="1539" max="1539" width="16.453125" style="62" customWidth="1"/>
    <col min="1540" max="1540" width="15" style="62" customWidth="1"/>
    <col min="1541" max="1541" width="27.81640625" style="62" customWidth="1"/>
    <col min="1542" max="1542" width="15.81640625" style="62" bestFit="1" customWidth="1"/>
    <col min="1543" max="1793" width="8.81640625" style="62"/>
    <col min="1794" max="1794" width="34.453125" style="62" customWidth="1"/>
    <col min="1795" max="1795" width="16.453125" style="62" customWidth="1"/>
    <col min="1796" max="1796" width="15" style="62" customWidth="1"/>
    <col min="1797" max="1797" width="27.81640625" style="62" customWidth="1"/>
    <col min="1798" max="1798" width="15.81640625" style="62" bestFit="1" customWidth="1"/>
    <col min="1799" max="2049" width="8.81640625" style="62"/>
    <col min="2050" max="2050" width="34.453125" style="62" customWidth="1"/>
    <col min="2051" max="2051" width="16.453125" style="62" customWidth="1"/>
    <col min="2052" max="2052" width="15" style="62" customWidth="1"/>
    <col min="2053" max="2053" width="27.81640625" style="62" customWidth="1"/>
    <col min="2054" max="2054" width="15.81640625" style="62" bestFit="1" customWidth="1"/>
    <col min="2055" max="2305" width="8.81640625" style="62"/>
    <col min="2306" max="2306" width="34.453125" style="62" customWidth="1"/>
    <col min="2307" max="2307" width="16.453125" style="62" customWidth="1"/>
    <col min="2308" max="2308" width="15" style="62" customWidth="1"/>
    <col min="2309" max="2309" width="27.81640625" style="62" customWidth="1"/>
    <col min="2310" max="2310" width="15.81640625" style="62" bestFit="1" customWidth="1"/>
    <col min="2311" max="2561" width="8.81640625" style="62"/>
    <col min="2562" max="2562" width="34.453125" style="62" customWidth="1"/>
    <col min="2563" max="2563" width="16.453125" style="62" customWidth="1"/>
    <col min="2564" max="2564" width="15" style="62" customWidth="1"/>
    <col min="2565" max="2565" width="27.81640625" style="62" customWidth="1"/>
    <col min="2566" max="2566" width="15.81640625" style="62" bestFit="1" customWidth="1"/>
    <col min="2567" max="2817" width="8.81640625" style="62"/>
    <col min="2818" max="2818" width="34.453125" style="62" customWidth="1"/>
    <col min="2819" max="2819" width="16.453125" style="62" customWidth="1"/>
    <col min="2820" max="2820" width="15" style="62" customWidth="1"/>
    <col min="2821" max="2821" width="27.81640625" style="62" customWidth="1"/>
    <col min="2822" max="2822" width="15.81640625" style="62" bestFit="1" customWidth="1"/>
    <col min="2823" max="3073" width="8.81640625" style="62"/>
    <col min="3074" max="3074" width="34.453125" style="62" customWidth="1"/>
    <col min="3075" max="3075" width="16.453125" style="62" customWidth="1"/>
    <col min="3076" max="3076" width="15" style="62" customWidth="1"/>
    <col min="3077" max="3077" width="27.81640625" style="62" customWidth="1"/>
    <col min="3078" max="3078" width="15.81640625" style="62" bestFit="1" customWidth="1"/>
    <col min="3079" max="3329" width="8.81640625" style="62"/>
    <col min="3330" max="3330" width="34.453125" style="62" customWidth="1"/>
    <col min="3331" max="3331" width="16.453125" style="62" customWidth="1"/>
    <col min="3332" max="3332" width="15" style="62" customWidth="1"/>
    <col min="3333" max="3333" width="27.81640625" style="62" customWidth="1"/>
    <col min="3334" max="3334" width="15.81640625" style="62" bestFit="1" customWidth="1"/>
    <col min="3335" max="3585" width="8.81640625" style="62"/>
    <col min="3586" max="3586" width="34.453125" style="62" customWidth="1"/>
    <col min="3587" max="3587" width="16.453125" style="62" customWidth="1"/>
    <col min="3588" max="3588" width="15" style="62" customWidth="1"/>
    <col min="3589" max="3589" width="27.81640625" style="62" customWidth="1"/>
    <col min="3590" max="3590" width="15.81640625" style="62" bestFit="1" customWidth="1"/>
    <col min="3591" max="3841" width="8.81640625" style="62"/>
    <col min="3842" max="3842" width="34.453125" style="62" customWidth="1"/>
    <col min="3843" max="3843" width="16.453125" style="62" customWidth="1"/>
    <col min="3844" max="3844" width="15" style="62" customWidth="1"/>
    <col min="3845" max="3845" width="27.81640625" style="62" customWidth="1"/>
    <col min="3846" max="3846" width="15.81640625" style="62" bestFit="1" customWidth="1"/>
    <col min="3847" max="4097" width="8.81640625" style="62"/>
    <col min="4098" max="4098" width="34.453125" style="62" customWidth="1"/>
    <col min="4099" max="4099" width="16.453125" style="62" customWidth="1"/>
    <col min="4100" max="4100" width="15" style="62" customWidth="1"/>
    <col min="4101" max="4101" width="27.81640625" style="62" customWidth="1"/>
    <col min="4102" max="4102" width="15.81640625" style="62" bestFit="1" customWidth="1"/>
    <col min="4103" max="4353" width="8.81640625" style="62"/>
    <col min="4354" max="4354" width="34.453125" style="62" customWidth="1"/>
    <col min="4355" max="4355" width="16.453125" style="62" customWidth="1"/>
    <col min="4356" max="4356" width="15" style="62" customWidth="1"/>
    <col min="4357" max="4357" width="27.81640625" style="62" customWidth="1"/>
    <col min="4358" max="4358" width="15.81640625" style="62" bestFit="1" customWidth="1"/>
    <col min="4359" max="4609" width="8.81640625" style="62"/>
    <col min="4610" max="4610" width="34.453125" style="62" customWidth="1"/>
    <col min="4611" max="4611" width="16.453125" style="62" customWidth="1"/>
    <col min="4612" max="4612" width="15" style="62" customWidth="1"/>
    <col min="4613" max="4613" width="27.81640625" style="62" customWidth="1"/>
    <col min="4614" max="4614" width="15.81640625" style="62" bestFit="1" customWidth="1"/>
    <col min="4615" max="4865" width="8.81640625" style="62"/>
    <col min="4866" max="4866" width="34.453125" style="62" customWidth="1"/>
    <col min="4867" max="4867" width="16.453125" style="62" customWidth="1"/>
    <col min="4868" max="4868" width="15" style="62" customWidth="1"/>
    <col min="4869" max="4869" width="27.81640625" style="62" customWidth="1"/>
    <col min="4870" max="4870" width="15.81640625" style="62" bestFit="1" customWidth="1"/>
    <col min="4871" max="5121" width="8.81640625" style="62"/>
    <col min="5122" max="5122" width="34.453125" style="62" customWidth="1"/>
    <col min="5123" max="5123" width="16.453125" style="62" customWidth="1"/>
    <col min="5124" max="5124" width="15" style="62" customWidth="1"/>
    <col min="5125" max="5125" width="27.81640625" style="62" customWidth="1"/>
    <col min="5126" max="5126" width="15.81640625" style="62" bestFit="1" customWidth="1"/>
    <col min="5127" max="5377" width="8.81640625" style="62"/>
    <col min="5378" max="5378" width="34.453125" style="62" customWidth="1"/>
    <col min="5379" max="5379" width="16.453125" style="62" customWidth="1"/>
    <col min="5380" max="5380" width="15" style="62" customWidth="1"/>
    <col min="5381" max="5381" width="27.81640625" style="62" customWidth="1"/>
    <col min="5382" max="5382" width="15.81640625" style="62" bestFit="1" customWidth="1"/>
    <col min="5383" max="5633" width="8.81640625" style="62"/>
    <col min="5634" max="5634" width="34.453125" style="62" customWidth="1"/>
    <col min="5635" max="5635" width="16.453125" style="62" customWidth="1"/>
    <col min="5636" max="5636" width="15" style="62" customWidth="1"/>
    <col min="5637" max="5637" width="27.81640625" style="62" customWidth="1"/>
    <col min="5638" max="5638" width="15.81640625" style="62" bestFit="1" customWidth="1"/>
    <col min="5639" max="5889" width="8.81640625" style="62"/>
    <col min="5890" max="5890" width="34.453125" style="62" customWidth="1"/>
    <col min="5891" max="5891" width="16.453125" style="62" customWidth="1"/>
    <col min="5892" max="5892" width="15" style="62" customWidth="1"/>
    <col min="5893" max="5893" width="27.81640625" style="62" customWidth="1"/>
    <col min="5894" max="5894" width="15.81640625" style="62" bestFit="1" customWidth="1"/>
    <col min="5895" max="6145" width="8.81640625" style="62"/>
    <col min="6146" max="6146" width="34.453125" style="62" customWidth="1"/>
    <col min="6147" max="6147" width="16.453125" style="62" customWidth="1"/>
    <col min="6148" max="6148" width="15" style="62" customWidth="1"/>
    <col min="6149" max="6149" width="27.81640625" style="62" customWidth="1"/>
    <col min="6150" max="6150" width="15.81640625" style="62" bestFit="1" customWidth="1"/>
    <col min="6151" max="6401" width="8.81640625" style="62"/>
    <col min="6402" max="6402" width="34.453125" style="62" customWidth="1"/>
    <col min="6403" max="6403" width="16.453125" style="62" customWidth="1"/>
    <col min="6404" max="6404" width="15" style="62" customWidth="1"/>
    <col min="6405" max="6405" width="27.81640625" style="62" customWidth="1"/>
    <col min="6406" max="6406" width="15.81640625" style="62" bestFit="1" customWidth="1"/>
    <col min="6407" max="6657" width="8.81640625" style="62"/>
    <col min="6658" max="6658" width="34.453125" style="62" customWidth="1"/>
    <col min="6659" max="6659" width="16.453125" style="62" customWidth="1"/>
    <col min="6660" max="6660" width="15" style="62" customWidth="1"/>
    <col min="6661" max="6661" width="27.81640625" style="62" customWidth="1"/>
    <col min="6662" max="6662" width="15.81640625" style="62" bestFit="1" customWidth="1"/>
    <col min="6663" max="6913" width="8.81640625" style="62"/>
    <col min="6914" max="6914" width="34.453125" style="62" customWidth="1"/>
    <col min="6915" max="6915" width="16.453125" style="62" customWidth="1"/>
    <col min="6916" max="6916" width="15" style="62" customWidth="1"/>
    <col min="6917" max="6917" width="27.81640625" style="62" customWidth="1"/>
    <col min="6918" max="6918" width="15.81640625" style="62" bestFit="1" customWidth="1"/>
    <col min="6919" max="7169" width="8.81640625" style="62"/>
    <col min="7170" max="7170" width="34.453125" style="62" customWidth="1"/>
    <col min="7171" max="7171" width="16.453125" style="62" customWidth="1"/>
    <col min="7172" max="7172" width="15" style="62" customWidth="1"/>
    <col min="7173" max="7173" width="27.81640625" style="62" customWidth="1"/>
    <col min="7174" max="7174" width="15.81640625" style="62" bestFit="1" customWidth="1"/>
    <col min="7175" max="7425" width="8.81640625" style="62"/>
    <col min="7426" max="7426" width="34.453125" style="62" customWidth="1"/>
    <col min="7427" max="7427" width="16.453125" style="62" customWidth="1"/>
    <col min="7428" max="7428" width="15" style="62" customWidth="1"/>
    <col min="7429" max="7429" width="27.81640625" style="62" customWidth="1"/>
    <col min="7430" max="7430" width="15.81640625" style="62" bestFit="1" customWidth="1"/>
    <col min="7431" max="7681" width="8.81640625" style="62"/>
    <col min="7682" max="7682" width="34.453125" style="62" customWidth="1"/>
    <col min="7683" max="7683" width="16.453125" style="62" customWidth="1"/>
    <col min="7684" max="7684" width="15" style="62" customWidth="1"/>
    <col min="7685" max="7685" width="27.81640625" style="62" customWidth="1"/>
    <col min="7686" max="7686" width="15.81640625" style="62" bestFit="1" customWidth="1"/>
    <col min="7687" max="7937" width="8.81640625" style="62"/>
    <col min="7938" max="7938" width="34.453125" style="62" customWidth="1"/>
    <col min="7939" max="7939" width="16.453125" style="62" customWidth="1"/>
    <col min="7940" max="7940" width="15" style="62" customWidth="1"/>
    <col min="7941" max="7941" width="27.81640625" style="62" customWidth="1"/>
    <col min="7942" max="7942" width="15.81640625" style="62" bestFit="1" customWidth="1"/>
    <col min="7943" max="8193" width="8.81640625" style="62"/>
    <col min="8194" max="8194" width="34.453125" style="62" customWidth="1"/>
    <col min="8195" max="8195" width="16.453125" style="62" customWidth="1"/>
    <col min="8196" max="8196" width="15" style="62" customWidth="1"/>
    <col min="8197" max="8197" width="27.81640625" style="62" customWidth="1"/>
    <col min="8198" max="8198" width="15.81640625" style="62" bestFit="1" customWidth="1"/>
    <col min="8199" max="8449" width="8.81640625" style="62"/>
    <col min="8450" max="8450" width="34.453125" style="62" customWidth="1"/>
    <col min="8451" max="8451" width="16.453125" style="62" customWidth="1"/>
    <col min="8452" max="8452" width="15" style="62" customWidth="1"/>
    <col min="8453" max="8453" width="27.81640625" style="62" customWidth="1"/>
    <col min="8454" max="8454" width="15.81640625" style="62" bestFit="1" customWidth="1"/>
    <col min="8455" max="8705" width="8.81640625" style="62"/>
    <col min="8706" max="8706" width="34.453125" style="62" customWidth="1"/>
    <col min="8707" max="8707" width="16.453125" style="62" customWidth="1"/>
    <col min="8708" max="8708" width="15" style="62" customWidth="1"/>
    <col min="8709" max="8709" width="27.81640625" style="62" customWidth="1"/>
    <col min="8710" max="8710" width="15.81640625" style="62" bestFit="1" customWidth="1"/>
    <col min="8711" max="8961" width="8.81640625" style="62"/>
    <col min="8962" max="8962" width="34.453125" style="62" customWidth="1"/>
    <col min="8963" max="8963" width="16.453125" style="62" customWidth="1"/>
    <col min="8964" max="8964" width="15" style="62" customWidth="1"/>
    <col min="8965" max="8965" width="27.81640625" style="62" customWidth="1"/>
    <col min="8966" max="8966" width="15.81640625" style="62" bestFit="1" customWidth="1"/>
    <col min="8967" max="9217" width="8.81640625" style="62"/>
    <col min="9218" max="9218" width="34.453125" style="62" customWidth="1"/>
    <col min="9219" max="9219" width="16.453125" style="62" customWidth="1"/>
    <col min="9220" max="9220" width="15" style="62" customWidth="1"/>
    <col min="9221" max="9221" width="27.81640625" style="62" customWidth="1"/>
    <col min="9222" max="9222" width="15.81640625" style="62" bestFit="1" customWidth="1"/>
    <col min="9223" max="9473" width="8.81640625" style="62"/>
    <col min="9474" max="9474" width="34.453125" style="62" customWidth="1"/>
    <col min="9475" max="9475" width="16.453125" style="62" customWidth="1"/>
    <col min="9476" max="9476" width="15" style="62" customWidth="1"/>
    <col min="9477" max="9477" width="27.81640625" style="62" customWidth="1"/>
    <col min="9478" max="9478" width="15.81640625" style="62" bestFit="1" customWidth="1"/>
    <col min="9479" max="9729" width="8.81640625" style="62"/>
    <col min="9730" max="9730" width="34.453125" style="62" customWidth="1"/>
    <col min="9731" max="9731" width="16.453125" style="62" customWidth="1"/>
    <col min="9732" max="9732" width="15" style="62" customWidth="1"/>
    <col min="9733" max="9733" width="27.81640625" style="62" customWidth="1"/>
    <col min="9734" max="9734" width="15.81640625" style="62" bestFit="1" customWidth="1"/>
    <col min="9735" max="9985" width="8.81640625" style="62"/>
    <col min="9986" max="9986" width="34.453125" style="62" customWidth="1"/>
    <col min="9987" max="9987" width="16.453125" style="62" customWidth="1"/>
    <col min="9988" max="9988" width="15" style="62" customWidth="1"/>
    <col min="9989" max="9989" width="27.81640625" style="62" customWidth="1"/>
    <col min="9990" max="9990" width="15.81640625" style="62" bestFit="1" customWidth="1"/>
    <col min="9991" max="10241" width="8.81640625" style="62"/>
    <col min="10242" max="10242" width="34.453125" style="62" customWidth="1"/>
    <col min="10243" max="10243" width="16.453125" style="62" customWidth="1"/>
    <col min="10244" max="10244" width="15" style="62" customWidth="1"/>
    <col min="10245" max="10245" width="27.81640625" style="62" customWidth="1"/>
    <col min="10246" max="10246" width="15.81640625" style="62" bestFit="1" customWidth="1"/>
    <col min="10247" max="10497" width="8.81640625" style="62"/>
    <col min="10498" max="10498" width="34.453125" style="62" customWidth="1"/>
    <col min="10499" max="10499" width="16.453125" style="62" customWidth="1"/>
    <col min="10500" max="10500" width="15" style="62" customWidth="1"/>
    <col min="10501" max="10501" width="27.81640625" style="62" customWidth="1"/>
    <col min="10502" max="10502" width="15.81640625" style="62" bestFit="1" customWidth="1"/>
    <col min="10503" max="10753" width="8.81640625" style="62"/>
    <col min="10754" max="10754" width="34.453125" style="62" customWidth="1"/>
    <col min="10755" max="10755" width="16.453125" style="62" customWidth="1"/>
    <col min="10756" max="10756" width="15" style="62" customWidth="1"/>
    <col min="10757" max="10757" width="27.81640625" style="62" customWidth="1"/>
    <col min="10758" max="10758" width="15.81640625" style="62" bestFit="1" customWidth="1"/>
    <col min="10759" max="11009" width="8.81640625" style="62"/>
    <col min="11010" max="11010" width="34.453125" style="62" customWidth="1"/>
    <col min="11011" max="11011" width="16.453125" style="62" customWidth="1"/>
    <col min="11012" max="11012" width="15" style="62" customWidth="1"/>
    <col min="11013" max="11013" width="27.81640625" style="62" customWidth="1"/>
    <col min="11014" max="11014" width="15.81640625" style="62" bestFit="1" customWidth="1"/>
    <col min="11015" max="11265" width="8.81640625" style="62"/>
    <col min="11266" max="11266" width="34.453125" style="62" customWidth="1"/>
    <col min="11267" max="11267" width="16.453125" style="62" customWidth="1"/>
    <col min="11268" max="11268" width="15" style="62" customWidth="1"/>
    <col min="11269" max="11269" width="27.81640625" style="62" customWidth="1"/>
    <col min="11270" max="11270" width="15.81640625" style="62" bestFit="1" customWidth="1"/>
    <col min="11271" max="11521" width="8.81640625" style="62"/>
    <col min="11522" max="11522" width="34.453125" style="62" customWidth="1"/>
    <col min="11523" max="11523" width="16.453125" style="62" customWidth="1"/>
    <col min="11524" max="11524" width="15" style="62" customWidth="1"/>
    <col min="11525" max="11525" width="27.81640625" style="62" customWidth="1"/>
    <col min="11526" max="11526" width="15.81640625" style="62" bestFit="1" customWidth="1"/>
    <col min="11527" max="11777" width="8.81640625" style="62"/>
    <col min="11778" max="11778" width="34.453125" style="62" customWidth="1"/>
    <col min="11779" max="11779" width="16.453125" style="62" customWidth="1"/>
    <col min="11780" max="11780" width="15" style="62" customWidth="1"/>
    <col min="11781" max="11781" width="27.81640625" style="62" customWidth="1"/>
    <col min="11782" max="11782" width="15.81640625" style="62" bestFit="1" customWidth="1"/>
    <col min="11783" max="12033" width="8.81640625" style="62"/>
    <col min="12034" max="12034" width="34.453125" style="62" customWidth="1"/>
    <col min="12035" max="12035" width="16.453125" style="62" customWidth="1"/>
    <col min="12036" max="12036" width="15" style="62" customWidth="1"/>
    <col min="12037" max="12037" width="27.81640625" style="62" customWidth="1"/>
    <col min="12038" max="12038" width="15.81640625" style="62" bestFit="1" customWidth="1"/>
    <col min="12039" max="12289" width="8.81640625" style="62"/>
    <col min="12290" max="12290" width="34.453125" style="62" customWidth="1"/>
    <col min="12291" max="12291" width="16.453125" style="62" customWidth="1"/>
    <col min="12292" max="12292" width="15" style="62" customWidth="1"/>
    <col min="12293" max="12293" width="27.81640625" style="62" customWidth="1"/>
    <col min="12294" max="12294" width="15.81640625" style="62" bestFit="1" customWidth="1"/>
    <col min="12295" max="12545" width="8.81640625" style="62"/>
    <col min="12546" max="12546" width="34.453125" style="62" customWidth="1"/>
    <col min="12547" max="12547" width="16.453125" style="62" customWidth="1"/>
    <col min="12548" max="12548" width="15" style="62" customWidth="1"/>
    <col min="12549" max="12549" width="27.81640625" style="62" customWidth="1"/>
    <col min="12550" max="12550" width="15.81640625" style="62" bestFit="1" customWidth="1"/>
    <col min="12551" max="12801" width="8.81640625" style="62"/>
    <col min="12802" max="12802" width="34.453125" style="62" customWidth="1"/>
    <col min="12803" max="12803" width="16.453125" style="62" customWidth="1"/>
    <col min="12804" max="12804" width="15" style="62" customWidth="1"/>
    <col min="12805" max="12805" width="27.81640625" style="62" customWidth="1"/>
    <col min="12806" max="12806" width="15.81640625" style="62" bestFit="1" customWidth="1"/>
    <col min="12807" max="13057" width="8.81640625" style="62"/>
    <col min="13058" max="13058" width="34.453125" style="62" customWidth="1"/>
    <col min="13059" max="13059" width="16.453125" style="62" customWidth="1"/>
    <col min="13060" max="13060" width="15" style="62" customWidth="1"/>
    <col min="13061" max="13061" width="27.81640625" style="62" customWidth="1"/>
    <col min="13062" max="13062" width="15.81640625" style="62" bestFit="1" customWidth="1"/>
    <col min="13063" max="13313" width="8.81640625" style="62"/>
    <col min="13314" max="13314" width="34.453125" style="62" customWidth="1"/>
    <col min="13315" max="13315" width="16.453125" style="62" customWidth="1"/>
    <col min="13316" max="13316" width="15" style="62" customWidth="1"/>
    <col min="13317" max="13317" width="27.81640625" style="62" customWidth="1"/>
    <col min="13318" max="13318" width="15.81640625" style="62" bestFit="1" customWidth="1"/>
    <col min="13319" max="13569" width="8.81640625" style="62"/>
    <col min="13570" max="13570" width="34.453125" style="62" customWidth="1"/>
    <col min="13571" max="13571" width="16.453125" style="62" customWidth="1"/>
    <col min="13572" max="13572" width="15" style="62" customWidth="1"/>
    <col min="13573" max="13573" width="27.81640625" style="62" customWidth="1"/>
    <col min="13574" max="13574" width="15.81640625" style="62" bestFit="1" customWidth="1"/>
    <col min="13575" max="13825" width="8.81640625" style="62"/>
    <col min="13826" max="13826" width="34.453125" style="62" customWidth="1"/>
    <col min="13827" max="13827" width="16.453125" style="62" customWidth="1"/>
    <col min="13828" max="13828" width="15" style="62" customWidth="1"/>
    <col min="13829" max="13829" width="27.81640625" style="62" customWidth="1"/>
    <col min="13830" max="13830" width="15.81640625" style="62" bestFit="1" customWidth="1"/>
    <col min="13831" max="14081" width="8.81640625" style="62"/>
    <col min="14082" max="14082" width="34.453125" style="62" customWidth="1"/>
    <col min="14083" max="14083" width="16.453125" style="62" customWidth="1"/>
    <col min="14084" max="14084" width="15" style="62" customWidth="1"/>
    <col min="14085" max="14085" width="27.81640625" style="62" customWidth="1"/>
    <col min="14086" max="14086" width="15.81640625" style="62" bestFit="1" customWidth="1"/>
    <col min="14087" max="14337" width="8.81640625" style="62"/>
    <col min="14338" max="14338" width="34.453125" style="62" customWidth="1"/>
    <col min="14339" max="14339" width="16.453125" style="62" customWidth="1"/>
    <col min="14340" max="14340" width="15" style="62" customWidth="1"/>
    <col min="14341" max="14341" width="27.81640625" style="62" customWidth="1"/>
    <col min="14342" max="14342" width="15.81640625" style="62" bestFit="1" customWidth="1"/>
    <col min="14343" max="14593" width="8.81640625" style="62"/>
    <col min="14594" max="14594" width="34.453125" style="62" customWidth="1"/>
    <col min="14595" max="14595" width="16.453125" style="62" customWidth="1"/>
    <col min="14596" max="14596" width="15" style="62" customWidth="1"/>
    <col min="14597" max="14597" width="27.81640625" style="62" customWidth="1"/>
    <col min="14598" max="14598" width="15.81640625" style="62" bestFit="1" customWidth="1"/>
    <col min="14599" max="14849" width="8.81640625" style="62"/>
    <col min="14850" max="14850" width="34.453125" style="62" customWidth="1"/>
    <col min="14851" max="14851" width="16.453125" style="62" customWidth="1"/>
    <col min="14852" max="14852" width="15" style="62" customWidth="1"/>
    <col min="14853" max="14853" width="27.81640625" style="62" customWidth="1"/>
    <col min="14854" max="14854" width="15.81640625" style="62" bestFit="1" customWidth="1"/>
    <col min="14855" max="15105" width="8.81640625" style="62"/>
    <col min="15106" max="15106" width="34.453125" style="62" customWidth="1"/>
    <col min="15107" max="15107" width="16.453125" style="62" customWidth="1"/>
    <col min="15108" max="15108" width="15" style="62" customWidth="1"/>
    <col min="15109" max="15109" width="27.81640625" style="62" customWidth="1"/>
    <col min="15110" max="15110" width="15.81640625" style="62" bestFit="1" customWidth="1"/>
    <col min="15111" max="15361" width="8.81640625" style="62"/>
    <col min="15362" max="15362" width="34.453125" style="62" customWidth="1"/>
    <col min="15363" max="15363" width="16.453125" style="62" customWidth="1"/>
    <col min="15364" max="15364" width="15" style="62" customWidth="1"/>
    <col min="15365" max="15365" width="27.81640625" style="62" customWidth="1"/>
    <col min="15366" max="15366" width="15.81640625" style="62" bestFit="1" customWidth="1"/>
    <col min="15367" max="15617" width="8.81640625" style="62"/>
    <col min="15618" max="15618" width="34.453125" style="62" customWidth="1"/>
    <col min="15619" max="15619" width="16.453125" style="62" customWidth="1"/>
    <col min="15620" max="15620" width="15" style="62" customWidth="1"/>
    <col min="15621" max="15621" width="27.81640625" style="62" customWidth="1"/>
    <col min="15622" max="15622" width="15.81640625" style="62" bestFit="1" customWidth="1"/>
    <col min="15623" max="15873" width="8.81640625" style="62"/>
    <col min="15874" max="15874" width="34.453125" style="62" customWidth="1"/>
    <col min="15875" max="15875" width="16.453125" style="62" customWidth="1"/>
    <col min="15876" max="15876" width="15" style="62" customWidth="1"/>
    <col min="15877" max="15877" width="27.81640625" style="62" customWidth="1"/>
    <col min="15878" max="15878" width="15.81640625" style="62" bestFit="1" customWidth="1"/>
    <col min="15879" max="16129" width="8.81640625" style="62"/>
    <col min="16130" max="16130" width="34.453125" style="62" customWidth="1"/>
    <col min="16131" max="16131" width="16.453125" style="62" customWidth="1"/>
    <col min="16132" max="16132" width="15" style="62" customWidth="1"/>
    <col min="16133" max="16133" width="27.81640625" style="62" customWidth="1"/>
    <col min="16134" max="16134" width="15.81640625" style="62" bestFit="1" customWidth="1"/>
    <col min="16135" max="16384" width="8.81640625" style="62"/>
  </cols>
  <sheetData>
    <row r="1" spans="1:6" ht="24" customHeight="1" thickBot="1">
      <c r="A1" s="58"/>
      <c r="B1" s="59" t="s">
        <v>501</v>
      </c>
      <c r="C1" s="60" t="s">
        <v>502</v>
      </c>
      <c r="D1" s="95" t="s">
        <v>568</v>
      </c>
      <c r="E1" s="93" t="s">
        <v>503</v>
      </c>
      <c r="F1" s="61"/>
    </row>
    <row r="2" spans="1:6" s="68" customFormat="1" ht="18" customHeight="1">
      <c r="A2" s="63" t="s">
        <v>574</v>
      </c>
      <c r="B2" s="64" t="s">
        <v>573</v>
      </c>
      <c r="C2" s="65" t="s">
        <v>504</v>
      </c>
      <c r="D2" s="65" t="s">
        <v>505</v>
      </c>
      <c r="E2" s="66" t="s">
        <v>506</v>
      </c>
      <c r="F2" s="67" t="s">
        <v>818</v>
      </c>
    </row>
    <row r="3" spans="1:6" ht="18" customHeight="1">
      <c r="A3" s="69">
        <v>1</v>
      </c>
      <c r="B3" s="70" t="s">
        <v>507</v>
      </c>
      <c r="C3" s="71" t="s">
        <v>508</v>
      </c>
      <c r="D3" s="71"/>
      <c r="E3" s="72" t="s">
        <v>509</v>
      </c>
      <c r="F3" s="62" t="s">
        <v>819</v>
      </c>
    </row>
    <row r="4" spans="1:6" ht="18" customHeight="1">
      <c r="A4" s="69">
        <v>2</v>
      </c>
      <c r="B4" s="70" t="s">
        <v>510</v>
      </c>
      <c r="C4" s="71" t="s">
        <v>508</v>
      </c>
      <c r="D4" s="71"/>
      <c r="E4" s="72" t="s">
        <v>509</v>
      </c>
      <c r="F4" s="62" t="s">
        <v>820</v>
      </c>
    </row>
    <row r="5" spans="1:6" ht="18" customHeight="1">
      <c r="A5" s="69">
        <v>3</v>
      </c>
      <c r="B5" s="73" t="s">
        <v>511</v>
      </c>
      <c r="C5" s="71" t="s">
        <v>508</v>
      </c>
      <c r="D5" s="71"/>
      <c r="E5" s="72" t="s">
        <v>509</v>
      </c>
    </row>
    <row r="6" spans="1:6" ht="18" customHeight="1">
      <c r="A6" s="69">
        <v>4</v>
      </c>
      <c r="B6" s="73" t="s">
        <v>512</v>
      </c>
      <c r="C6" s="71" t="s">
        <v>513</v>
      </c>
      <c r="D6" s="71"/>
      <c r="E6" s="72" t="s">
        <v>514</v>
      </c>
    </row>
    <row r="7" spans="1:6" s="77" customFormat="1" ht="18" customHeight="1">
      <c r="A7" s="69">
        <v>5</v>
      </c>
      <c r="B7" s="74" t="s">
        <v>515</v>
      </c>
      <c r="C7" s="75" t="s">
        <v>508</v>
      </c>
      <c r="D7" s="75"/>
      <c r="E7" s="76" t="s">
        <v>509</v>
      </c>
    </row>
    <row r="8" spans="1:6" s="77" customFormat="1" ht="18" customHeight="1">
      <c r="A8" s="69">
        <v>6</v>
      </c>
      <c r="B8" s="78" t="s">
        <v>516</v>
      </c>
      <c r="C8" s="75" t="s">
        <v>517</v>
      </c>
      <c r="D8" s="75"/>
      <c r="E8" s="76" t="s">
        <v>518</v>
      </c>
    </row>
    <row r="9" spans="1:6" s="77" customFormat="1" ht="18" customHeight="1">
      <c r="A9" s="69">
        <v>7</v>
      </c>
      <c r="B9" s="78" t="s">
        <v>561</v>
      </c>
      <c r="C9" s="75" t="s">
        <v>562</v>
      </c>
      <c r="D9" s="75"/>
      <c r="E9" s="76" t="s">
        <v>563</v>
      </c>
    </row>
    <row r="10" spans="1:6" s="77" customFormat="1" ht="18" customHeight="1">
      <c r="A10" s="69">
        <v>8</v>
      </c>
      <c r="B10" s="78" t="s">
        <v>519</v>
      </c>
      <c r="C10" s="75" t="s">
        <v>520</v>
      </c>
      <c r="D10" s="75"/>
      <c r="E10" s="76" t="s">
        <v>521</v>
      </c>
    </row>
    <row r="11" spans="1:6" s="77" customFormat="1" ht="18" customHeight="1">
      <c r="A11" s="69">
        <v>9</v>
      </c>
      <c r="B11" s="78" t="s">
        <v>522</v>
      </c>
      <c r="C11" s="75" t="s">
        <v>523</v>
      </c>
      <c r="D11" s="75"/>
      <c r="E11" s="76" t="s">
        <v>509</v>
      </c>
    </row>
    <row r="12" spans="1:6" s="77" customFormat="1" ht="18" customHeight="1">
      <c r="A12" s="69">
        <v>10</v>
      </c>
      <c r="B12" s="74" t="s">
        <v>35</v>
      </c>
      <c r="C12" s="75" t="s">
        <v>524</v>
      </c>
      <c r="D12" s="75"/>
      <c r="E12" s="76" t="s">
        <v>525</v>
      </c>
    </row>
    <row r="13" spans="1:6" s="77" customFormat="1" ht="18" customHeight="1">
      <c r="A13" s="69">
        <v>11</v>
      </c>
      <c r="B13" s="74" t="s">
        <v>526</v>
      </c>
      <c r="C13" s="75" t="s">
        <v>508</v>
      </c>
      <c r="D13" s="75"/>
      <c r="E13" s="76" t="s">
        <v>509</v>
      </c>
    </row>
    <row r="14" spans="1:6" s="77" customFormat="1" ht="18" customHeight="1">
      <c r="A14" s="69">
        <v>12</v>
      </c>
      <c r="B14" s="74" t="s">
        <v>41</v>
      </c>
      <c r="C14" s="75" t="s">
        <v>513</v>
      </c>
      <c r="D14" s="75"/>
      <c r="E14" s="76" t="s">
        <v>514</v>
      </c>
    </row>
    <row r="15" spans="1:6" s="77" customFormat="1" ht="18" customHeight="1">
      <c r="A15" s="69">
        <v>13</v>
      </c>
      <c r="B15" s="74" t="s">
        <v>527</v>
      </c>
      <c r="C15" s="75" t="s">
        <v>513</v>
      </c>
      <c r="D15" s="75"/>
      <c r="E15" s="76" t="s">
        <v>514</v>
      </c>
    </row>
    <row r="16" spans="1:6" s="77" customFormat="1" ht="18" customHeight="1">
      <c r="A16" s="69">
        <v>14</v>
      </c>
      <c r="B16" s="79" t="s">
        <v>528</v>
      </c>
      <c r="C16" s="80" t="s">
        <v>513</v>
      </c>
      <c r="D16" s="80"/>
      <c r="E16" s="81" t="s">
        <v>514</v>
      </c>
    </row>
    <row r="17" spans="1:5" s="77" customFormat="1" ht="18" customHeight="1">
      <c r="A17" s="69">
        <v>15</v>
      </c>
      <c r="B17" s="79" t="s">
        <v>529</v>
      </c>
      <c r="C17" s="80" t="s">
        <v>530</v>
      </c>
      <c r="D17" s="80"/>
      <c r="E17" s="81" t="s">
        <v>531</v>
      </c>
    </row>
    <row r="18" spans="1:5" s="77" customFormat="1" ht="18" customHeight="1">
      <c r="A18" s="69">
        <v>16</v>
      </c>
      <c r="B18" s="79" t="s">
        <v>532</v>
      </c>
      <c r="C18" s="80" t="s">
        <v>523</v>
      </c>
      <c r="D18" s="80"/>
      <c r="E18" s="81" t="s">
        <v>533</v>
      </c>
    </row>
    <row r="19" spans="1:5" s="77" customFormat="1" ht="18" customHeight="1">
      <c r="A19" s="69">
        <v>17</v>
      </c>
      <c r="B19" s="79" t="s">
        <v>534</v>
      </c>
      <c r="C19" s="80" t="s">
        <v>513</v>
      </c>
      <c r="D19" s="80"/>
      <c r="E19" s="81" t="s">
        <v>514</v>
      </c>
    </row>
    <row r="20" spans="1:5" s="77" customFormat="1" ht="18" customHeight="1">
      <c r="A20" s="69">
        <v>18</v>
      </c>
      <c r="B20" s="79" t="s">
        <v>535</v>
      </c>
      <c r="C20" s="80" t="s">
        <v>564</v>
      </c>
      <c r="D20" s="80" t="s">
        <v>536</v>
      </c>
      <c r="E20" s="81" t="s">
        <v>537</v>
      </c>
    </row>
    <row r="21" spans="1:5" s="77" customFormat="1" ht="18" customHeight="1">
      <c r="A21" s="69">
        <v>19</v>
      </c>
      <c r="B21" s="79" t="s">
        <v>538</v>
      </c>
      <c r="C21" s="80" t="s">
        <v>539</v>
      </c>
      <c r="D21" s="80"/>
      <c r="E21" s="81" t="s">
        <v>540</v>
      </c>
    </row>
    <row r="22" spans="1:5" s="77" customFormat="1" ht="18" customHeight="1">
      <c r="A22" s="69">
        <v>20</v>
      </c>
      <c r="B22" s="79" t="s">
        <v>541</v>
      </c>
      <c r="C22" s="80" t="s">
        <v>513</v>
      </c>
      <c r="D22" s="80"/>
      <c r="E22" s="81" t="s">
        <v>514</v>
      </c>
    </row>
    <row r="23" spans="1:5" s="77" customFormat="1" ht="18" customHeight="1">
      <c r="A23" s="69">
        <v>21</v>
      </c>
      <c r="B23" s="79" t="s">
        <v>542</v>
      </c>
      <c r="C23" s="80" t="s">
        <v>543</v>
      </c>
      <c r="D23" s="80"/>
      <c r="E23" s="81" t="s">
        <v>544</v>
      </c>
    </row>
    <row r="24" spans="1:5" s="77" customFormat="1" ht="18" customHeight="1">
      <c r="A24" s="69">
        <v>22</v>
      </c>
      <c r="B24" s="79" t="s">
        <v>545</v>
      </c>
      <c r="C24" s="82" t="s">
        <v>546</v>
      </c>
      <c r="D24" s="79"/>
      <c r="E24" s="83" t="s">
        <v>540</v>
      </c>
    </row>
    <row r="25" spans="1:5" s="77" customFormat="1" ht="18" customHeight="1">
      <c r="A25" s="69">
        <v>23</v>
      </c>
      <c r="B25" s="79" t="s">
        <v>27</v>
      </c>
      <c r="C25" s="82" t="s">
        <v>547</v>
      </c>
      <c r="D25" s="79"/>
      <c r="E25" s="83" t="s">
        <v>531</v>
      </c>
    </row>
    <row r="26" spans="1:5" s="77" customFormat="1" ht="18" customHeight="1">
      <c r="A26" s="69">
        <v>24</v>
      </c>
      <c r="B26" s="79" t="s">
        <v>548</v>
      </c>
      <c r="C26" s="82" t="s">
        <v>549</v>
      </c>
      <c r="D26" s="79"/>
      <c r="E26" s="83" t="s">
        <v>549</v>
      </c>
    </row>
    <row r="27" spans="1:5" ht="18" customHeight="1">
      <c r="A27" s="69">
        <v>25</v>
      </c>
      <c r="B27" s="84" t="s">
        <v>550</v>
      </c>
      <c r="C27" s="85" t="s">
        <v>523</v>
      </c>
      <c r="D27" s="84"/>
      <c r="E27" s="86" t="s">
        <v>533</v>
      </c>
    </row>
    <row r="28" spans="1:5" ht="18" customHeight="1">
      <c r="A28" s="69">
        <v>26</v>
      </c>
      <c r="B28" s="84" t="s">
        <v>245</v>
      </c>
      <c r="C28" s="85" t="s">
        <v>551</v>
      </c>
      <c r="D28" s="84"/>
      <c r="E28" s="86" t="s">
        <v>551</v>
      </c>
    </row>
    <row r="29" spans="1:5" ht="18" customHeight="1">
      <c r="A29" s="69">
        <v>27</v>
      </c>
      <c r="B29" s="84" t="s">
        <v>552</v>
      </c>
      <c r="C29" s="85" t="s">
        <v>513</v>
      </c>
      <c r="D29" s="84"/>
      <c r="E29" s="86" t="s">
        <v>514</v>
      </c>
    </row>
    <row r="30" spans="1:5" ht="18" customHeight="1">
      <c r="A30" s="69">
        <v>28</v>
      </c>
      <c r="B30" s="84" t="s">
        <v>558</v>
      </c>
      <c r="C30" s="85" t="s">
        <v>559</v>
      </c>
      <c r="D30" s="84"/>
      <c r="E30" s="86" t="s">
        <v>560</v>
      </c>
    </row>
    <row r="31" spans="1:5" ht="18" customHeight="1">
      <c r="A31" s="69">
        <v>29</v>
      </c>
      <c r="B31" s="84" t="s">
        <v>72</v>
      </c>
      <c r="C31" s="85" t="s">
        <v>533</v>
      </c>
      <c r="D31" s="84"/>
      <c r="E31" s="86" t="s">
        <v>523</v>
      </c>
    </row>
    <row r="32" spans="1:5" ht="18" customHeight="1">
      <c r="A32" s="69">
        <v>30</v>
      </c>
      <c r="B32" s="84" t="s">
        <v>232</v>
      </c>
      <c r="C32" s="85" t="s">
        <v>531</v>
      </c>
      <c r="D32" s="84"/>
      <c r="E32" s="86" t="s">
        <v>530</v>
      </c>
    </row>
    <row r="33" spans="1:5" ht="18" customHeight="1">
      <c r="A33" s="69">
        <v>31</v>
      </c>
      <c r="B33" s="84" t="s">
        <v>31</v>
      </c>
      <c r="C33" s="85" t="s">
        <v>513</v>
      </c>
      <c r="D33" s="84"/>
      <c r="E33" s="86" t="s">
        <v>514</v>
      </c>
    </row>
    <row r="34" spans="1:5" ht="18" customHeight="1">
      <c r="A34" s="69">
        <v>32</v>
      </c>
      <c r="B34" s="84" t="s">
        <v>34</v>
      </c>
      <c r="C34" s="85" t="s">
        <v>553</v>
      </c>
      <c r="D34" s="85" t="s">
        <v>565</v>
      </c>
      <c r="E34" s="86" t="s">
        <v>537</v>
      </c>
    </row>
    <row r="35" spans="1:5" ht="18" customHeight="1">
      <c r="A35" s="69">
        <v>33</v>
      </c>
      <c r="B35" s="84" t="s">
        <v>554</v>
      </c>
      <c r="C35" s="85" t="s">
        <v>555</v>
      </c>
      <c r="D35" s="84"/>
      <c r="E35" s="86" t="s">
        <v>556</v>
      </c>
    </row>
    <row r="36" spans="1:5" ht="18" customHeight="1" thickBot="1">
      <c r="A36" s="87">
        <v>34</v>
      </c>
      <c r="B36" s="110" t="s">
        <v>142</v>
      </c>
      <c r="C36" s="110"/>
      <c r="D36" s="88"/>
      <c r="E36" s="89"/>
    </row>
    <row r="37" spans="1:5" ht="18" customHeight="1" thickBot="1">
      <c r="B37" s="319"/>
      <c r="C37" s="320"/>
    </row>
    <row r="38" spans="1:5" ht="18" customHeight="1" thickBot="1">
      <c r="B38" s="319"/>
      <c r="C38" s="320"/>
    </row>
    <row r="39" spans="1:5" ht="18" customHeight="1" thickBot="1">
      <c r="B39" s="319"/>
      <c r="C39" s="320"/>
    </row>
    <row r="40" spans="1:5" ht="18" thickBot="1">
      <c r="B40" s="91" t="s">
        <v>557</v>
      </c>
      <c r="C40" s="92">
        <f>MAX(A:A)</f>
        <v>34</v>
      </c>
    </row>
  </sheetData>
  <hyperlinks>
    <hyperlink ref="E1" r:id="rId1" xr:uid="{29BA41D5-5A6C-3346-B867-0A1917D50146}"/>
    <hyperlink ref="D1" r:id="rId2" xr:uid="{87CCEA7F-0C23-834E-84C2-3999DDCE67D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DDBB-6126-E54C-A898-8F44ADCC60D9}">
  <sheetPr>
    <tabColor theme="7"/>
  </sheetPr>
  <dimension ref="A1:I113"/>
  <sheetViews>
    <sheetView zoomScale="110" zoomScaleNormal="110" workbookViewId="0">
      <selection activeCell="G3" sqref="G3"/>
    </sheetView>
  </sheetViews>
  <sheetFormatPr defaultColWidth="21.1796875" defaultRowHeight="14.5"/>
  <cols>
    <col min="1" max="8" width="21.1796875" style="28"/>
    <col min="9" max="9" width="27.81640625" style="28" bestFit="1" customWidth="1"/>
    <col min="10" max="16384" width="21.1796875" style="28"/>
  </cols>
  <sheetData>
    <row r="1" spans="1:9" ht="29">
      <c r="A1" s="410" t="s">
        <v>0</v>
      </c>
      <c r="B1" s="196" t="s">
        <v>369</v>
      </c>
      <c r="C1" s="196" t="s">
        <v>370</v>
      </c>
      <c r="D1" s="196" t="s">
        <v>805</v>
      </c>
      <c r="E1" s="196" t="s">
        <v>806</v>
      </c>
      <c r="F1" s="196" t="s">
        <v>382</v>
      </c>
      <c r="G1" s="196" t="s">
        <v>812</v>
      </c>
      <c r="H1" s="196" t="s">
        <v>807</v>
      </c>
      <c r="I1" s="196" t="s">
        <v>393</v>
      </c>
    </row>
    <row r="2" spans="1:9">
      <c r="A2" s="410"/>
      <c r="B2" s="196"/>
      <c r="C2" s="196"/>
      <c r="D2" s="196"/>
      <c r="E2" s="196"/>
      <c r="F2" s="196"/>
      <c r="G2" s="196"/>
      <c r="H2" s="196"/>
      <c r="I2" s="196"/>
    </row>
    <row r="3" spans="1:9" ht="87">
      <c r="A3" s="200" t="s">
        <v>142</v>
      </c>
      <c r="B3" s="28" t="str">
        <f>IF(OR(VLOOKUP($A3,Consolidation!$A:B,2,0)=0,VLOOKUP($A3,Consolidation!$A:B,2,0)=""),"No","Yes")</f>
        <v>Yes</v>
      </c>
      <c r="C3" s="28" t="str">
        <f>IF(OR(VLOOKUP($A3,Consolidation!$A:D,4,0)=0,VLOOKUP($A3,Consolidation!$A:D,4,0)=""),"No","Yes")</f>
        <v>Yes</v>
      </c>
      <c r="D3" s="28" t="str">
        <f>IF(OR(VLOOKUP($A3,Consolidation!$A:F,6,0)=0,VLOOKUP($A3,Consolidation!$A:F,6,0)=""),"No","Yes")</f>
        <v>Yes</v>
      </c>
      <c r="E3" s="28" t="str">
        <f>IF(OR(VLOOKUP($A3,Consolidation!$A:H,8,0)=0,VLOOKUP($A3,Consolidation!$A:H,8,0)=""),"No","Yes")</f>
        <v>No</v>
      </c>
      <c r="F3" s="28" t="str">
        <f>IF(OR(VLOOKUP($A3,Consolidation!$A:J,10,0)=0,VLOOKUP($A3,Consolidation!$A:J,10,0)=""),"No","Yes")</f>
        <v>Yes</v>
      </c>
      <c r="G3" s="28" t="str">
        <f>VLOOKUP(A3,Consolidation!A:P,16,0)</f>
        <v>Yes</v>
      </c>
      <c r="H3" s="28">
        <f>VLOOKUP(A3,Consolidation!A:O,14,0)</f>
        <v>67</v>
      </c>
      <c r="I3" s="28" t="str">
        <f>VLOOKUP(A3,Consolidation!A:O,15,0)</f>
        <v>Boursa Fields Source: Reuters
Index Fields Source: FactSet
Shariah DataFeed Fields Source: Reuters
Purification &amp; Zakat Fields Source: Reuters</v>
      </c>
    </row>
    <row r="4" spans="1:9" ht="72.5">
      <c r="A4" s="28" t="s">
        <v>226</v>
      </c>
      <c r="B4" s="28" t="str">
        <f>IF(OR(VLOOKUP($A4,Consolidation!$A:B,2,0)=0,VLOOKUP($A4,Consolidation!$A:B,2,0)=""),"No","Yes")</f>
        <v>Yes</v>
      </c>
      <c r="C4" s="28" t="str">
        <f>IF(OR(VLOOKUP($A4,Consolidation!$A:D,4,0)=0,VLOOKUP($A4,Consolidation!$A:D,4,0)=""),"No","Yes")</f>
        <v>No</v>
      </c>
      <c r="D4" s="28" t="str">
        <f>IF(OR(VLOOKUP($A4,Consolidation!$A:F,6,0)=0,VLOOKUP($A4,Consolidation!$A:F,6,0)=""),"No","Yes")</f>
        <v>Yes</v>
      </c>
      <c r="E4" s="28" t="str">
        <f>IF(OR(VLOOKUP($A4,Consolidation!$A:H,8,0)=0,VLOOKUP($A4,Consolidation!$A:H,8,0)=""),"No","Yes")</f>
        <v>No</v>
      </c>
      <c r="F4" s="28" t="str">
        <f>IF(OR(VLOOKUP($A4,Consolidation!$A:J,10,0)=0,VLOOKUP($A4,Consolidation!$A:J,10,0)=""),"No","Yes")</f>
        <v>Yes</v>
      </c>
      <c r="G4" s="28" t="str">
        <f>VLOOKUP(A4,Consolidation!A:P,16,0)</f>
        <v>No</v>
      </c>
      <c r="H4" s="28">
        <f>VLOOKUP(A4,Consolidation!A:O,14,0)</f>
        <v>21</v>
      </c>
      <c r="I4" s="28" t="str">
        <f>VLOOKUP(A4,Consolidation!A:O,15,0)</f>
        <v>Boursa Fields Source: Reuters
Shariah DataFeed Fields Source: Factset
Purification &amp; Zakat Fields Source: Reuters</v>
      </c>
    </row>
    <row r="5" spans="1:9" ht="58">
      <c r="A5" s="28" t="s">
        <v>373</v>
      </c>
      <c r="B5" s="28" t="str">
        <f>IF(OR(VLOOKUP($A5,Consolidation!$A:B,2,0)=0,VLOOKUP($A5,Consolidation!$A:B,2,0)=""),"No","Yes")</f>
        <v>Yes</v>
      </c>
      <c r="C5" s="28" t="str">
        <f>IF(OR(VLOOKUP($A5,Consolidation!$A:D,4,0)=0,VLOOKUP($A5,Consolidation!$A:D,4,0)=""),"No","Yes")</f>
        <v>Yes</v>
      </c>
      <c r="D5" s="28" t="str">
        <f>IF(OR(VLOOKUP($A5,Consolidation!$A:F,6,0)=0,VLOOKUP($A5,Consolidation!$A:F,6,0)=""),"No","Yes")</f>
        <v>No</v>
      </c>
      <c r="E5" s="28" t="str">
        <f>IF(OR(VLOOKUP($A5,Consolidation!$A:H,8,0)=0,VLOOKUP($A5,Consolidation!$A:H,8,0)=""),"No","Yes")</f>
        <v>No</v>
      </c>
      <c r="F5" s="28" t="str">
        <f>IF(OR(VLOOKUP($A5,Consolidation!$A:J,10,0)=0,VLOOKUP($A5,Consolidation!$A:J,10,0)=""),"No","Yes")</f>
        <v>Yes</v>
      </c>
      <c r="G5" s="28" t="str">
        <f>VLOOKUP(A5,Consolidation!A:P,16,0)</f>
        <v>No</v>
      </c>
      <c r="H5" s="28">
        <f>VLOOKUP(A5,Consolidation!A:O,14,0)</f>
        <v>19</v>
      </c>
      <c r="I5" s="28" t="str">
        <f>VLOOKUP(A5,Consolidation!A:O,15,0)</f>
        <v>Boursa Fields Source: Reuters
Index Fields Source: FactSet
Purification &amp; Zakat Fields Source: Reuters</v>
      </c>
    </row>
    <row r="6" spans="1:9" ht="58">
      <c r="A6" s="28" t="s">
        <v>336</v>
      </c>
      <c r="B6" s="28" t="str">
        <f>IF(OR(VLOOKUP($A6,Consolidation!$A:B,2,0)=0,VLOOKUP($A6,Consolidation!$A:B,2,0)=""),"No","Yes")</f>
        <v>No</v>
      </c>
      <c r="C6" s="28" t="str">
        <f>IF(OR(VLOOKUP($A6,Consolidation!$A:D,4,0)=0,VLOOKUP($A6,Consolidation!$A:D,4,0)=""),"No","Yes")</f>
        <v>No</v>
      </c>
      <c r="D6" s="28" t="str">
        <f>IF(OR(VLOOKUP($A6,Consolidation!$A:F,6,0)=0,VLOOKUP($A6,Consolidation!$A:F,6,0)=""),"No","Yes")</f>
        <v>Yes</v>
      </c>
      <c r="E6" s="28" t="str">
        <f>IF(OR(VLOOKUP($A6,Consolidation!$A:H,8,0)=0,VLOOKUP($A6,Consolidation!$A:H,8,0)=""),"No","Yes")</f>
        <v>No</v>
      </c>
      <c r="F6" s="28" t="str">
        <f>IF(OR(VLOOKUP($A6,Consolidation!$A:J,10,0)=0,VLOOKUP($A6,Consolidation!$A:J,10,0)=""),"No","Yes")</f>
        <v>Yes</v>
      </c>
      <c r="G6" s="28" t="str">
        <f>VLOOKUP(A6,Consolidation!A:P,16,0)</f>
        <v>No</v>
      </c>
      <c r="H6" s="28">
        <f>VLOOKUP(A6,Consolidation!A:O,14,0)</f>
        <v>19</v>
      </c>
      <c r="I6" s="28" t="str">
        <f>VLOOKUP(A6,Consolidation!A:O,15,0)</f>
        <v>Shariah DataFeed Fields Source: Factset
Purification &amp; Zakat Fields Source: Reuters</v>
      </c>
    </row>
    <row r="7" spans="1:9" ht="58">
      <c r="A7" s="28" t="s">
        <v>46</v>
      </c>
      <c r="B7" s="28" t="str">
        <f>IF(OR(VLOOKUP($A7,Consolidation!$A:B,2,0)=0,VLOOKUP($A7,Consolidation!$A:B,2,0)=""),"No","Yes")</f>
        <v>No</v>
      </c>
      <c r="C7" s="28" t="str">
        <f>IF(OR(VLOOKUP($A7,Consolidation!$A:D,4,0)=0,VLOOKUP($A7,Consolidation!$A:D,4,0)=""),"No","Yes")</f>
        <v>No</v>
      </c>
      <c r="D7" s="28" t="str">
        <f>IF(OR(VLOOKUP($A7,Consolidation!$A:F,6,0)=0,VLOOKUP($A7,Consolidation!$A:F,6,0)=""),"No","Yes")</f>
        <v>Yes</v>
      </c>
      <c r="E7" s="28" t="str">
        <f>IF(OR(VLOOKUP($A7,Consolidation!$A:H,8,0)=0,VLOOKUP($A7,Consolidation!$A:H,8,0)=""),"No","Yes")</f>
        <v>No</v>
      </c>
      <c r="F7" s="28" t="str">
        <f>IF(OR(VLOOKUP($A7,Consolidation!$A:J,10,0)=0,VLOOKUP($A7,Consolidation!$A:J,10,0)=""),"No","Yes")</f>
        <v>Yes</v>
      </c>
      <c r="G7" s="28" t="str">
        <f>VLOOKUP(A7,Consolidation!A:P,16,0)</f>
        <v>Yes</v>
      </c>
      <c r="H7" s="28">
        <f>VLOOKUP(A7,Consolidation!A:O,14,0)</f>
        <v>19</v>
      </c>
      <c r="I7" s="28" t="str">
        <f>VLOOKUP(A7,Consolidation!A:O,15,0)</f>
        <v>Shariah DataFeed Fields Source: Reuters
Purification &amp; Zakat Fields Source: Reuters</v>
      </c>
    </row>
    <row r="8" spans="1:9" ht="87">
      <c r="A8" s="28" t="s">
        <v>28</v>
      </c>
      <c r="B8" s="28" t="str">
        <f>IF(OR(VLOOKUP($A8,Consolidation!$A:B,2,0)=0,VLOOKUP($A8,Consolidation!$A:B,2,0)=""),"No","Yes")</f>
        <v>Yes</v>
      </c>
      <c r="C8" s="28" t="str">
        <f>IF(OR(VLOOKUP($A8,Consolidation!$A:D,4,0)=0,VLOOKUP($A8,Consolidation!$A:D,4,0)=""),"No","Yes")</f>
        <v>Yes</v>
      </c>
      <c r="D8" s="28" t="str">
        <f>IF(OR(VLOOKUP($A8,Consolidation!$A:F,6,0)=0,VLOOKUP($A8,Consolidation!$A:F,6,0)=""),"No","Yes")</f>
        <v>Yes</v>
      </c>
      <c r="E8" s="28" t="str">
        <f>IF(OR(VLOOKUP($A8,Consolidation!$A:H,8,0)=0,VLOOKUP($A8,Consolidation!$A:H,8,0)=""),"No","Yes")</f>
        <v>No</v>
      </c>
      <c r="F8" s="28" t="str">
        <f>IF(OR(VLOOKUP($A8,Consolidation!$A:J,10,0)=0,VLOOKUP($A8,Consolidation!$A:J,10,0)=""),"No","Yes")</f>
        <v>Yes</v>
      </c>
      <c r="G8" s="28" t="str">
        <f>VLOOKUP(A8,Consolidation!A:P,16,0)</f>
        <v>Yes</v>
      </c>
      <c r="H8" s="28">
        <f>VLOOKUP(A8,Consolidation!A:O,14,0)</f>
        <v>18</v>
      </c>
      <c r="I8" s="28" t="str">
        <f>VLOOKUP(A8,Consolidation!A:O,15,0)</f>
        <v>Boursa Fields Source: Reuters
Index Fields Source: FactSet
Shariah DataFeed Fields Source: Reuters
Purification &amp; Zakat Fields Source: Reuters</v>
      </c>
    </row>
    <row r="9" spans="1:9" ht="58">
      <c r="A9" s="28" t="s">
        <v>228</v>
      </c>
      <c r="B9" s="28" t="str">
        <f>IF(OR(VLOOKUP($A9,Consolidation!$A:B,2,0)=0,VLOOKUP($A9,Consolidation!$A:B,2,0)=""),"No","Yes")</f>
        <v>No</v>
      </c>
      <c r="C9" s="28" t="str">
        <f>IF(OR(VLOOKUP($A9,Consolidation!$A:D,4,0)=0,VLOOKUP($A9,Consolidation!$A:D,4,0)=""),"No","Yes")</f>
        <v>No</v>
      </c>
      <c r="D9" s="28" t="str">
        <f>IF(OR(VLOOKUP($A9,Consolidation!$A:F,6,0)=0,VLOOKUP($A9,Consolidation!$A:F,6,0)=""),"No","Yes")</f>
        <v>Yes</v>
      </c>
      <c r="E9" s="28" t="str">
        <f>IF(OR(VLOOKUP($A9,Consolidation!$A:H,8,0)=0,VLOOKUP($A9,Consolidation!$A:H,8,0)=""),"No","Yes")</f>
        <v>No</v>
      </c>
      <c r="F9" s="28" t="str">
        <f>IF(OR(VLOOKUP($A9,Consolidation!$A:J,10,0)=0,VLOOKUP($A9,Consolidation!$A:J,10,0)=""),"No","Yes")</f>
        <v>Yes</v>
      </c>
      <c r="G9" s="28" t="str">
        <f>VLOOKUP(A9,Consolidation!A:P,16,0)</f>
        <v>No</v>
      </c>
      <c r="H9" s="28">
        <f>VLOOKUP(A9,Consolidation!A:O,14,0)</f>
        <v>17</v>
      </c>
      <c r="I9" s="28" t="str">
        <f>VLOOKUP(A9,Consolidation!A:O,15,0)</f>
        <v>Shariah DataFeed Fields Source: Reuters
Purification &amp; Zakat Fields Source: Reuters</v>
      </c>
    </row>
    <row r="10" spans="1:9" ht="43.5">
      <c r="A10" s="28" t="s">
        <v>11</v>
      </c>
      <c r="B10" s="28" t="str">
        <f>IF(OR(VLOOKUP($A10,Consolidation!$A:B,2,0)=0,VLOOKUP($A10,Consolidation!$A:B,2,0)=""),"No","Yes")</f>
        <v>Yes</v>
      </c>
      <c r="C10" s="28" t="str">
        <f>IF(OR(VLOOKUP($A10,Consolidation!$A:D,4,0)=0,VLOOKUP($A10,Consolidation!$A:D,4,0)=""),"No","Yes")</f>
        <v>No</v>
      </c>
      <c r="D10" s="28" t="str">
        <f>IF(OR(VLOOKUP($A10,Consolidation!$A:F,6,0)=0,VLOOKUP($A10,Consolidation!$A:F,6,0)=""),"No","Yes")</f>
        <v>Yes</v>
      </c>
      <c r="E10" s="28" t="str">
        <f>IF(OR(VLOOKUP($A10,Consolidation!$A:H,8,0)=0,VLOOKUP($A10,Consolidation!$A:H,8,0)=""),"No","Yes")</f>
        <v>No</v>
      </c>
      <c r="F10" s="28" t="str">
        <f>IF(OR(VLOOKUP($A10,Consolidation!$A:J,10,0)=0,VLOOKUP($A10,Consolidation!$A:J,10,0)=""),"No","Yes")</f>
        <v>No</v>
      </c>
      <c r="G10" s="28" t="str">
        <f>VLOOKUP(A10,Consolidation!A:P,16,0)</f>
        <v>No</v>
      </c>
      <c r="H10" s="28">
        <f>VLOOKUP(A10,Consolidation!A:O,14,0)</f>
        <v>12</v>
      </c>
      <c r="I10" s="28" t="str">
        <f>VLOOKUP(A10,Consolidation!A:O,15,0)</f>
        <v>Boursa Fields Source: Reuters
Shariah DataFeed Fields Source: Factset</v>
      </c>
    </row>
    <row r="11" spans="1:9" ht="58">
      <c r="A11" s="28" t="s">
        <v>368</v>
      </c>
      <c r="B11" s="28" t="str">
        <f>IF(OR(VLOOKUP($A11,Consolidation!$A:B,2,0)=0,VLOOKUP($A11,Consolidation!$A:B,2,0)=""),"No","Yes")</f>
        <v>No</v>
      </c>
      <c r="C11" s="28" t="str">
        <f>IF(OR(VLOOKUP($A11,Consolidation!$A:D,4,0)=0,VLOOKUP($A11,Consolidation!$A:D,4,0)=""),"No","Yes")</f>
        <v>No</v>
      </c>
      <c r="D11" s="28" t="str">
        <f>IF(OR(VLOOKUP($A11,Consolidation!$A:F,6,0)=0,VLOOKUP($A11,Consolidation!$A:F,6,0)=""),"No","Yes")</f>
        <v>Yes</v>
      </c>
      <c r="E11" s="28" t="str">
        <f>IF(OR(VLOOKUP($A11,Consolidation!$A:H,8,0)=0,VLOOKUP($A11,Consolidation!$A:H,8,0)=""),"No","Yes")</f>
        <v>No</v>
      </c>
      <c r="F11" s="28" t="str">
        <f>IF(OR(VLOOKUP($A11,Consolidation!$A:J,10,0)=0,VLOOKUP($A11,Consolidation!$A:J,10,0)=""),"No","Yes")</f>
        <v>Yes</v>
      </c>
      <c r="G11" s="28" t="str">
        <f>VLOOKUP(A11,Consolidation!A:P,16,0)</f>
        <v>Yes</v>
      </c>
      <c r="H11" s="28">
        <f>VLOOKUP(A11,Consolidation!A:O,14,0)</f>
        <v>16</v>
      </c>
      <c r="I11" s="28" t="str">
        <f>VLOOKUP(A11,Consolidation!A:O,15,0)</f>
        <v>Shariah DataFeed Fields Source: Reuters
Purification &amp; Zakat Fields Source: Reuters</v>
      </c>
    </row>
    <row r="12" spans="1:9" ht="58">
      <c r="A12" s="28" t="s">
        <v>29</v>
      </c>
      <c r="B12" s="28" t="str">
        <f>IF(OR(VLOOKUP($A12,Consolidation!$A:B,2,0)=0,VLOOKUP($A12,Consolidation!$A:B,2,0)=""),"No","Yes")</f>
        <v>No</v>
      </c>
      <c r="C12" s="28" t="str">
        <f>IF(OR(VLOOKUP($A12,Consolidation!$A:D,4,0)=0,VLOOKUP($A12,Consolidation!$A:D,4,0)=""),"No","Yes")</f>
        <v>No</v>
      </c>
      <c r="D12" s="28" t="str">
        <f>IF(OR(VLOOKUP($A12,Consolidation!$A:F,6,0)=0,VLOOKUP($A12,Consolidation!$A:F,6,0)=""),"No","Yes")</f>
        <v>Yes</v>
      </c>
      <c r="E12" s="28" t="str">
        <f>IF(OR(VLOOKUP($A12,Consolidation!$A:H,8,0)=0,VLOOKUP($A12,Consolidation!$A:H,8,0)=""),"No","Yes")</f>
        <v>No</v>
      </c>
      <c r="F12" s="28" t="str">
        <f>IF(OR(VLOOKUP($A12,Consolidation!$A:J,10,0)=0,VLOOKUP($A12,Consolidation!$A:J,10,0)=""),"No","Yes")</f>
        <v>Yes</v>
      </c>
      <c r="G12" s="28" t="str">
        <f>VLOOKUP(A12,Consolidation!A:P,16,0)</f>
        <v>No</v>
      </c>
      <c r="H12" s="28">
        <f>VLOOKUP(A12,Consolidation!A:O,14,0)</f>
        <v>14</v>
      </c>
      <c r="I12" s="28" t="str">
        <f>VLOOKUP(A12,Consolidation!A:O,15,0)</f>
        <v>Shariah DataFeed Fields Source: Factset
Purification &amp; Zakat Fields Source: Reuters</v>
      </c>
    </row>
    <row r="13" spans="1:9" ht="72.5">
      <c r="A13" s="28" t="s">
        <v>44</v>
      </c>
      <c r="B13" s="28" t="str">
        <f>IF(OR(VLOOKUP($A13,Consolidation!$A:B,2,0)=0,VLOOKUP($A13,Consolidation!$A:B,2,0)=""),"No","Yes")</f>
        <v>No</v>
      </c>
      <c r="C13" s="28" t="str">
        <f>IF(OR(VLOOKUP($A13,Consolidation!$A:D,4,0)=0,VLOOKUP($A13,Consolidation!$A:D,4,0)=""),"No","Yes")</f>
        <v>Yes</v>
      </c>
      <c r="D13" s="28" t="str">
        <f>IF(OR(VLOOKUP($A13,Consolidation!$A:F,6,0)=0,VLOOKUP($A13,Consolidation!$A:F,6,0)=""),"No","Yes")</f>
        <v>Yes</v>
      </c>
      <c r="E13" s="28" t="str">
        <f>IF(OR(VLOOKUP($A13,Consolidation!$A:H,8,0)=0,VLOOKUP($A13,Consolidation!$A:H,8,0)=""),"No","Yes")</f>
        <v>No</v>
      </c>
      <c r="F13" s="28" t="str">
        <f>IF(OR(VLOOKUP($A13,Consolidation!$A:J,10,0)=0,VLOOKUP($A13,Consolidation!$A:J,10,0)=""),"No","Yes")</f>
        <v>Yes</v>
      </c>
      <c r="G13" s="28" t="str">
        <f>VLOOKUP(A13,Consolidation!A:P,16,0)</f>
        <v>Yes</v>
      </c>
      <c r="H13" s="28">
        <f>VLOOKUP(A13,Consolidation!A:O,14,0)</f>
        <v>13</v>
      </c>
      <c r="I13" s="28" t="str">
        <f>VLOOKUP(A13,Consolidation!A:O,15,0)</f>
        <v>Index Fields Source: FactSet
Shariah DataFeed Fields Source: Reuters
Purification &amp; Zakat Fields Source: Reuters</v>
      </c>
    </row>
    <row r="14" spans="1:9" ht="72.5">
      <c r="A14" s="28" t="s">
        <v>49</v>
      </c>
      <c r="B14" s="28" t="str">
        <f>IF(OR(VLOOKUP($A14,Consolidation!$A:B,2,0)=0,VLOOKUP($A14,Consolidation!$A:B,2,0)=""),"No","Yes")</f>
        <v>No</v>
      </c>
      <c r="C14" s="28" t="str">
        <f>IF(OR(VLOOKUP($A14,Consolidation!$A:D,4,0)=0,VLOOKUP($A14,Consolidation!$A:D,4,0)=""),"No","Yes")</f>
        <v>Yes</v>
      </c>
      <c r="D14" s="28" t="str">
        <f>IF(OR(VLOOKUP($A14,Consolidation!$A:F,6,0)=0,VLOOKUP($A14,Consolidation!$A:F,6,0)=""),"No","Yes")</f>
        <v>Yes</v>
      </c>
      <c r="E14" s="28" t="str">
        <f>IF(OR(VLOOKUP($A14,Consolidation!$A:H,8,0)=0,VLOOKUP($A14,Consolidation!$A:H,8,0)=""),"No","Yes")</f>
        <v>No</v>
      </c>
      <c r="F14" s="28" t="str">
        <f>IF(OR(VLOOKUP($A14,Consolidation!$A:J,10,0)=0,VLOOKUP($A14,Consolidation!$A:J,10,0)=""),"No","Yes")</f>
        <v>Yes</v>
      </c>
      <c r="G14" s="28" t="str">
        <f>VLOOKUP(A14,Consolidation!A:P,16,0)</f>
        <v>Yes</v>
      </c>
      <c r="H14" s="28">
        <f>VLOOKUP(A14,Consolidation!A:O,14,0)</f>
        <v>12</v>
      </c>
      <c r="I14" s="28" t="str">
        <f>VLOOKUP(A14,Consolidation!A:O,15,0)</f>
        <v>Index Fields Source: FactSet
Shariah DataFeed Fields Source: Reuters
Purification &amp; Zakat Fields Source: Reuters</v>
      </c>
    </row>
    <row r="15" spans="1:9" ht="72.5">
      <c r="A15" s="28" t="s">
        <v>66</v>
      </c>
      <c r="B15" s="28" t="str">
        <f>IF(OR(VLOOKUP($A15,Consolidation!$A:B,2,0)=0,VLOOKUP($A15,Consolidation!$A:B,2,0)=""),"No","Yes")</f>
        <v>No</v>
      </c>
      <c r="C15" s="28" t="str">
        <f>IF(OR(VLOOKUP($A15,Consolidation!$A:D,4,0)=0,VLOOKUP($A15,Consolidation!$A:D,4,0)=""),"No","Yes")</f>
        <v>Yes</v>
      </c>
      <c r="D15" s="28" t="str">
        <f>IF(OR(VLOOKUP($A15,Consolidation!$A:F,6,0)=0,VLOOKUP($A15,Consolidation!$A:F,6,0)=""),"No","Yes")</f>
        <v>Yes</v>
      </c>
      <c r="E15" s="28" t="str">
        <f>IF(OR(VLOOKUP($A15,Consolidation!$A:H,8,0)=0,VLOOKUP($A15,Consolidation!$A:H,8,0)=""),"No","Yes")</f>
        <v>No</v>
      </c>
      <c r="F15" s="28" t="str">
        <f>IF(OR(VLOOKUP($A15,Consolidation!$A:J,10,0)=0,VLOOKUP($A15,Consolidation!$A:J,10,0)=""),"No","Yes")</f>
        <v>Yes</v>
      </c>
      <c r="G15" s="28" t="str">
        <f>VLOOKUP(A15,Consolidation!A:P,16,0)</f>
        <v>No</v>
      </c>
      <c r="H15" s="28">
        <f>VLOOKUP(A15,Consolidation!A:O,14,0)</f>
        <v>12</v>
      </c>
      <c r="I15" s="28" t="str">
        <f>VLOOKUP(A15,Consolidation!A:O,15,0)</f>
        <v>Index Fields Source: FactSet
Shariah DataFeed Fields Source: Factset
Purification &amp; Zakat Fields Source: Reuters</v>
      </c>
    </row>
    <row r="16" spans="1:9" ht="72.5">
      <c r="A16" s="28" t="s">
        <v>23</v>
      </c>
      <c r="B16" s="28" t="str">
        <f>IF(OR(VLOOKUP($A16,Consolidation!$A:B,2,0)=0,VLOOKUP($A16,Consolidation!$A:B,2,0)=""),"No","Yes")</f>
        <v>No</v>
      </c>
      <c r="C16" s="28" t="str">
        <f>IF(OR(VLOOKUP($A16,Consolidation!$A:D,4,0)=0,VLOOKUP($A16,Consolidation!$A:D,4,0)=""),"No","Yes")</f>
        <v>Yes</v>
      </c>
      <c r="D16" s="28" t="str">
        <f>IF(OR(VLOOKUP($A16,Consolidation!$A:F,6,0)=0,VLOOKUP($A16,Consolidation!$A:F,6,0)=""),"No","Yes")</f>
        <v>Yes</v>
      </c>
      <c r="E16" s="28" t="str">
        <f>IF(OR(VLOOKUP($A16,Consolidation!$A:H,8,0)=0,VLOOKUP($A16,Consolidation!$A:H,8,0)=""),"No","Yes")</f>
        <v>No</v>
      </c>
      <c r="F16" s="28" t="str">
        <f>IF(OR(VLOOKUP($A16,Consolidation!$A:J,10,0)=0,VLOOKUP($A16,Consolidation!$A:J,10,0)=""),"No","Yes")</f>
        <v>Yes</v>
      </c>
      <c r="G16" s="28" t="str">
        <f>VLOOKUP(A16,Consolidation!A:P,16,0)</f>
        <v>No</v>
      </c>
      <c r="H16" s="28">
        <f>VLOOKUP(A16,Consolidation!A:O,14,0)</f>
        <v>10</v>
      </c>
      <c r="I16" s="28" t="str">
        <f>VLOOKUP(A16,Consolidation!A:O,15,0)</f>
        <v>Index Fields Source: FactSet
Shariah DataFeed Fields Source: Factset
Purification &amp; Zakat Fields Source: Reuters</v>
      </c>
    </row>
    <row r="17" spans="1:9" ht="29">
      <c r="A17" s="28" t="s">
        <v>27</v>
      </c>
      <c r="B17" s="28" t="str">
        <f>IF(OR(VLOOKUP($A17,Consolidation!$A:B,2,0)=0,VLOOKUP($A17,Consolidation!$A:B,2,0)=""),"No","Yes")</f>
        <v>No</v>
      </c>
      <c r="C17" s="28" t="str">
        <f>IF(OR(VLOOKUP($A17,Consolidation!$A:D,4,0)=0,VLOOKUP($A17,Consolidation!$A:D,4,0)=""),"No","Yes")</f>
        <v>No</v>
      </c>
      <c r="D17" s="28" t="str">
        <f>IF(OR(VLOOKUP($A17,Consolidation!$A:F,6,0)=0,VLOOKUP($A17,Consolidation!$A:F,6,0)=""),"No","Yes")</f>
        <v>Yes</v>
      </c>
      <c r="E17" s="28" t="str">
        <f>IF(OR(VLOOKUP($A17,Consolidation!$A:H,8,0)=0,VLOOKUP($A17,Consolidation!$A:H,8,0)=""),"No","Yes")</f>
        <v>No</v>
      </c>
      <c r="F17" s="28" t="str">
        <f>IF(OR(VLOOKUP($A17,Consolidation!$A:J,10,0)=0,VLOOKUP($A17,Consolidation!$A:J,10,0)=""),"No","Yes")</f>
        <v>No</v>
      </c>
      <c r="G17" s="28" t="str">
        <f>VLOOKUP(A17,Consolidation!A:P,16,0)</f>
        <v>Yes</v>
      </c>
      <c r="H17" s="28">
        <f>VLOOKUP(A17,Consolidation!A:O,14,0)</f>
        <v>5</v>
      </c>
      <c r="I17" s="28" t="str">
        <f>VLOOKUP(A17,Consolidation!A:O,15,0)</f>
        <v>Shariah DataFeed Fields Source: Reuters</v>
      </c>
    </row>
    <row r="18" spans="1:9" ht="58">
      <c r="A18" s="28" t="s">
        <v>42</v>
      </c>
      <c r="B18" s="28" t="str">
        <f>IF(OR(VLOOKUP($A18,Consolidation!$A:B,2,0)=0,VLOOKUP($A18,Consolidation!$A:B,2,0)=""),"No","Yes")</f>
        <v>No</v>
      </c>
      <c r="C18" s="28" t="str">
        <f>IF(OR(VLOOKUP($A18,Consolidation!$A:D,4,0)=0,VLOOKUP($A18,Consolidation!$A:D,4,0)=""),"No","Yes")</f>
        <v>No</v>
      </c>
      <c r="D18" s="28" t="str">
        <f>IF(OR(VLOOKUP($A18,Consolidation!$A:F,6,0)=0,VLOOKUP($A18,Consolidation!$A:F,6,0)=""),"No","Yes")</f>
        <v>Yes</v>
      </c>
      <c r="E18" s="28" t="str">
        <f>IF(OR(VLOOKUP($A18,Consolidation!$A:H,8,0)=0,VLOOKUP($A18,Consolidation!$A:H,8,0)=""),"No","Yes")</f>
        <v>No</v>
      </c>
      <c r="F18" s="28" t="str">
        <f>IF(OR(VLOOKUP($A18,Consolidation!$A:J,10,0)=0,VLOOKUP($A18,Consolidation!$A:J,10,0)=""),"No","Yes")</f>
        <v>Yes</v>
      </c>
      <c r="G18" s="28" t="str">
        <f>VLOOKUP(A18,Consolidation!A:P,16,0)</f>
        <v>Yes</v>
      </c>
      <c r="H18" s="28">
        <f>VLOOKUP(A18,Consolidation!A:O,14,0)</f>
        <v>10</v>
      </c>
      <c r="I18" s="28" t="str">
        <f>VLOOKUP(A18,Consolidation!A:O,15,0)</f>
        <v>Shariah DataFeed Fields Source: Reuters
Purification &amp; Zakat Fields Source: Reuters</v>
      </c>
    </row>
    <row r="19" spans="1:9" ht="29">
      <c r="A19" s="28" t="s">
        <v>19</v>
      </c>
      <c r="B19" s="28" t="str">
        <f>IF(OR(VLOOKUP($A19,Consolidation!$A:B,2,0)=0,VLOOKUP($A19,Consolidation!$A:B,2,0)=""),"No","Yes")</f>
        <v>No</v>
      </c>
      <c r="C19" s="28" t="str">
        <f>IF(OR(VLOOKUP($A19,Consolidation!$A:D,4,0)=0,VLOOKUP($A19,Consolidation!$A:D,4,0)=""),"No","Yes")</f>
        <v>No</v>
      </c>
      <c r="D19" s="28" t="str">
        <f>IF(OR(VLOOKUP($A19,Consolidation!$A:F,6,0)=0,VLOOKUP($A19,Consolidation!$A:F,6,0)=""),"No","Yes")</f>
        <v>No</v>
      </c>
      <c r="E19" s="28" t="str">
        <f>IF(OR(VLOOKUP($A19,Consolidation!$A:H,8,0)=0,VLOOKUP($A19,Consolidation!$A:H,8,0)=""),"No","Yes")</f>
        <v>No</v>
      </c>
      <c r="F19" s="28" t="str">
        <f>IF(OR(VLOOKUP($A19,Consolidation!$A:J,10,0)=0,VLOOKUP($A19,Consolidation!$A:J,10,0)=""),"No","Yes")</f>
        <v>No</v>
      </c>
      <c r="G19" s="28" t="str">
        <f>VLOOKUP(A19,Consolidation!A:P,16,0)</f>
        <v>No</v>
      </c>
      <c r="H19" s="28">
        <f>VLOOKUP(A19,Consolidation!A:O,14,0)</f>
        <v>0</v>
      </c>
      <c r="I19" s="28" t="str">
        <f>VLOOKUP(A19,Consolidation!A:O,15,0)</f>
        <v/>
      </c>
    </row>
    <row r="20" spans="1:9">
      <c r="A20" s="28" t="s">
        <v>53</v>
      </c>
      <c r="B20" s="28" t="str">
        <f>IF(OR(VLOOKUP($A20,Consolidation!$A:B,2,0)=0,VLOOKUP($A20,Consolidation!$A:B,2,0)=""),"No","Yes")</f>
        <v>No</v>
      </c>
      <c r="C20" s="28" t="str">
        <f>IF(OR(VLOOKUP($A20,Consolidation!$A:D,4,0)=0,VLOOKUP($A20,Consolidation!$A:D,4,0)=""),"No","Yes")</f>
        <v>Yes</v>
      </c>
      <c r="D20" s="28" t="str">
        <f>IF(OR(VLOOKUP($A20,Consolidation!$A:F,6,0)=0,VLOOKUP($A20,Consolidation!$A:F,6,0)=""),"No","Yes")</f>
        <v>No</v>
      </c>
      <c r="E20" s="28" t="str">
        <f>IF(OR(VLOOKUP($A20,Consolidation!$A:H,8,0)=0,VLOOKUP($A20,Consolidation!$A:H,8,0)=""),"No","Yes")</f>
        <v>No</v>
      </c>
      <c r="F20" s="28" t="str">
        <f>IF(OR(VLOOKUP($A20,Consolidation!$A:J,10,0)=0,VLOOKUP($A20,Consolidation!$A:J,10,0)=""),"No","Yes")</f>
        <v>No</v>
      </c>
      <c r="G20" s="28" t="str">
        <f>VLOOKUP(A20,Consolidation!A:P,16,0)</f>
        <v>No</v>
      </c>
      <c r="H20" s="28">
        <f>VLOOKUP(A20,Consolidation!A:O,14,0)</f>
        <v>5</v>
      </c>
      <c r="I20" s="28" t="str">
        <f>VLOOKUP(A20,Consolidation!A:O,15,0)</f>
        <v>Index Fields Source: FactSet</v>
      </c>
    </row>
    <row r="21" spans="1:9" ht="58">
      <c r="A21" s="28" t="s">
        <v>5</v>
      </c>
      <c r="B21" s="28" t="str">
        <f>IF(OR(VLOOKUP($A21,Consolidation!$A:B,2,0)=0,VLOOKUP($A21,Consolidation!$A:B,2,0)=""),"No","Yes")</f>
        <v>No</v>
      </c>
      <c r="C21" s="28" t="str">
        <f>IF(OR(VLOOKUP($A21,Consolidation!$A:D,4,0)=0,VLOOKUP($A21,Consolidation!$A:D,4,0)=""),"No","Yes")</f>
        <v>No</v>
      </c>
      <c r="D21" s="28" t="str">
        <f>IF(OR(VLOOKUP($A21,Consolidation!$A:F,6,0)=0,VLOOKUP($A21,Consolidation!$A:F,6,0)=""),"No","Yes")</f>
        <v>Yes</v>
      </c>
      <c r="E21" s="28" t="str">
        <f>IF(OR(VLOOKUP($A21,Consolidation!$A:H,8,0)=0,VLOOKUP($A21,Consolidation!$A:H,8,0)=""),"No","Yes")</f>
        <v>No</v>
      </c>
      <c r="F21" s="28" t="str">
        <f>IF(OR(VLOOKUP($A21,Consolidation!$A:J,10,0)=0,VLOOKUP($A21,Consolidation!$A:J,10,0)=""),"No","Yes")</f>
        <v>Yes</v>
      </c>
      <c r="G21" s="28" t="str">
        <f>VLOOKUP(A21,Consolidation!A:P,16,0)</f>
        <v>No</v>
      </c>
      <c r="H21" s="28">
        <f>VLOOKUP(A21,Consolidation!A:O,14,0)</f>
        <v>10</v>
      </c>
      <c r="I21" s="28" t="str">
        <f>VLOOKUP(A21,Consolidation!A:O,15,0)</f>
        <v>Shariah DataFeed Fields Source: Factset
Purification &amp; Zakat Fields Source: Reuters</v>
      </c>
    </row>
    <row r="22" spans="1:9" ht="58">
      <c r="A22" s="28" t="s">
        <v>6</v>
      </c>
      <c r="B22" s="28" t="str">
        <f>IF(OR(VLOOKUP($A22,Consolidation!$A:B,2,0)=0,VLOOKUP($A22,Consolidation!$A:B,2,0)=""),"No","Yes")</f>
        <v>No</v>
      </c>
      <c r="C22" s="28" t="str">
        <f>IF(OR(VLOOKUP($A22,Consolidation!$A:D,4,0)=0,VLOOKUP($A22,Consolidation!$A:D,4,0)=""),"No","Yes")</f>
        <v>No</v>
      </c>
      <c r="D22" s="28" t="str">
        <f>IF(OR(VLOOKUP($A22,Consolidation!$A:F,6,0)=0,VLOOKUP($A22,Consolidation!$A:F,6,0)=""),"No","Yes")</f>
        <v>Yes</v>
      </c>
      <c r="E22" s="28" t="str">
        <f>IF(OR(VLOOKUP($A22,Consolidation!$A:H,8,0)=0,VLOOKUP($A22,Consolidation!$A:H,8,0)=""),"No","Yes")</f>
        <v>No</v>
      </c>
      <c r="F22" s="28" t="str">
        <f>IF(OR(VLOOKUP($A22,Consolidation!$A:J,10,0)=0,VLOOKUP($A22,Consolidation!$A:J,10,0)=""),"No","Yes")</f>
        <v>Yes</v>
      </c>
      <c r="G22" s="28" t="str">
        <f>VLOOKUP(A22,Consolidation!A:P,16,0)</f>
        <v>No</v>
      </c>
      <c r="H22" s="28">
        <f>VLOOKUP(A22,Consolidation!A:O,14,0)</f>
        <v>10</v>
      </c>
      <c r="I22" s="28" t="str">
        <f>VLOOKUP(A22,Consolidation!A:O,15,0)</f>
        <v>Shariah DataFeed Fields Source: Factset
Purification &amp; Zakat Fields Source: Reuters</v>
      </c>
    </row>
    <row r="23" spans="1:9" ht="29">
      <c r="A23" s="28" t="s">
        <v>17</v>
      </c>
      <c r="B23" s="28" t="str">
        <f>IF(OR(VLOOKUP($A23,Consolidation!$A:B,2,0)=0,VLOOKUP($A23,Consolidation!$A:B,2,0)=""),"No","Yes")</f>
        <v>No</v>
      </c>
      <c r="C23" s="28" t="str">
        <f>IF(OR(VLOOKUP($A23,Consolidation!$A:D,4,0)=0,VLOOKUP($A23,Consolidation!$A:D,4,0)=""),"No","Yes")</f>
        <v>No</v>
      </c>
      <c r="D23" s="28" t="str">
        <f>IF(OR(VLOOKUP($A23,Consolidation!$A:F,6,0)=0,VLOOKUP($A23,Consolidation!$A:F,6,0)=""),"No","Yes")</f>
        <v>Yes</v>
      </c>
      <c r="E23" s="28" t="str">
        <f>IF(OR(VLOOKUP($A23,Consolidation!$A:H,8,0)=0,VLOOKUP($A23,Consolidation!$A:H,8,0)=""),"No","Yes")</f>
        <v>No</v>
      </c>
      <c r="F23" s="28" t="str">
        <f>IF(OR(VLOOKUP($A23,Consolidation!$A:J,10,0)=0,VLOOKUP($A23,Consolidation!$A:J,10,0)=""),"No","Yes")</f>
        <v>No</v>
      </c>
      <c r="G23" s="28" t="str">
        <f>VLOOKUP(A23,Consolidation!A:P,16,0)</f>
        <v>No</v>
      </c>
      <c r="H23" s="28">
        <f>VLOOKUP(A23,Consolidation!A:O,14,0)</f>
        <v>4</v>
      </c>
      <c r="I23" s="28" t="str">
        <f>VLOOKUP(A23,Consolidation!A:O,15,0)</f>
        <v>Shariah DataFeed Fields Source: Factset</v>
      </c>
    </row>
    <row r="24" spans="1:9">
      <c r="A24" s="28" t="s">
        <v>58</v>
      </c>
      <c r="B24" s="28" t="str">
        <f>IF(OR(VLOOKUP($A24,Consolidation!$A:B,2,0)=0,VLOOKUP($A24,Consolidation!$A:B,2,0)=""),"No","Yes")</f>
        <v>No</v>
      </c>
      <c r="C24" s="28" t="str">
        <f>IF(OR(VLOOKUP($A24,Consolidation!$A:D,4,0)=0,VLOOKUP($A24,Consolidation!$A:D,4,0)=""),"No","Yes")</f>
        <v>Yes</v>
      </c>
      <c r="D24" s="28" t="str">
        <f>IF(OR(VLOOKUP($A24,Consolidation!$A:F,6,0)=0,VLOOKUP($A24,Consolidation!$A:F,6,0)=""),"No","Yes")</f>
        <v>No</v>
      </c>
      <c r="E24" s="28" t="str">
        <f>IF(OR(VLOOKUP($A24,Consolidation!$A:H,8,0)=0,VLOOKUP($A24,Consolidation!$A:H,8,0)=""),"No","Yes")</f>
        <v>No</v>
      </c>
      <c r="F24" s="28" t="str">
        <f>IF(OR(VLOOKUP($A24,Consolidation!$A:J,10,0)=0,VLOOKUP($A24,Consolidation!$A:J,10,0)=""),"No","Yes")</f>
        <v>No</v>
      </c>
      <c r="G24" s="28" t="str">
        <f>VLOOKUP(A24,Consolidation!A:P,16,0)</f>
        <v>No</v>
      </c>
      <c r="H24" s="28">
        <f>VLOOKUP(A24,Consolidation!A:O,14,0)</f>
        <v>5</v>
      </c>
      <c r="I24" s="28" t="str">
        <f>VLOOKUP(A24,Consolidation!A:O,15,0)</f>
        <v>Index Fields Source: FactSet</v>
      </c>
    </row>
    <row r="25" spans="1:9" ht="43.5">
      <c r="A25" s="28" t="s">
        <v>26</v>
      </c>
      <c r="B25" s="28" t="str">
        <f>IF(OR(VLOOKUP($A25,Consolidation!$A:B,2,0)=0,VLOOKUP($A25,Consolidation!$A:B,2,0)=""),"No","Yes")</f>
        <v>No</v>
      </c>
      <c r="C25" s="28" t="str">
        <f>IF(OR(VLOOKUP($A25,Consolidation!$A:D,4,0)=0,VLOOKUP($A25,Consolidation!$A:D,4,0)=""),"No","Yes")</f>
        <v>Yes</v>
      </c>
      <c r="D25" s="28" t="str">
        <f>IF(OR(VLOOKUP($A25,Consolidation!$A:F,6,0)=0,VLOOKUP($A25,Consolidation!$A:F,6,0)=""),"No","Yes")</f>
        <v>Yes</v>
      </c>
      <c r="E25" s="28" t="str">
        <f>IF(OR(VLOOKUP($A25,Consolidation!$A:H,8,0)=0,VLOOKUP($A25,Consolidation!$A:H,8,0)=""),"No","Yes")</f>
        <v>No</v>
      </c>
      <c r="F25" s="28" t="str">
        <f>IF(OR(VLOOKUP($A25,Consolidation!$A:J,10,0)=0,VLOOKUP($A25,Consolidation!$A:J,10,0)=""),"No","Yes")</f>
        <v>No</v>
      </c>
      <c r="G25" s="28" t="str">
        <f>VLOOKUP(A25,Consolidation!A:P,16,0)</f>
        <v>Yes</v>
      </c>
      <c r="H25" s="28">
        <f>VLOOKUP(A25,Consolidation!A:O,14,0)</f>
        <v>13</v>
      </c>
      <c r="I25" s="28" t="str">
        <f>VLOOKUP(A25,Consolidation!A:O,15,0)</f>
        <v>Index Fields Source: FactSet
Shariah DataFeed Fields Source: Reuters</v>
      </c>
    </row>
    <row r="26" spans="1:9" ht="58">
      <c r="A26" s="28" t="s">
        <v>33</v>
      </c>
      <c r="B26" s="28" t="str">
        <f>IF(OR(VLOOKUP($A26,Consolidation!$A:B,2,0)=0,VLOOKUP($A26,Consolidation!$A:B,2,0)=""),"No","Yes")</f>
        <v>No</v>
      </c>
      <c r="C26" s="28" t="str">
        <f>IF(OR(VLOOKUP($A26,Consolidation!$A:D,4,0)=0,VLOOKUP($A26,Consolidation!$A:D,4,0)=""),"No","Yes")</f>
        <v>No</v>
      </c>
      <c r="D26" s="28" t="str">
        <f>IF(OR(VLOOKUP($A26,Consolidation!$A:F,6,0)=0,VLOOKUP($A26,Consolidation!$A:F,6,0)=""),"No","Yes")</f>
        <v>Yes</v>
      </c>
      <c r="E26" s="28" t="str">
        <f>IF(OR(VLOOKUP($A26,Consolidation!$A:H,8,0)=0,VLOOKUP($A26,Consolidation!$A:H,8,0)=""),"No","Yes")</f>
        <v>No</v>
      </c>
      <c r="F26" s="28" t="str">
        <f>IF(OR(VLOOKUP($A26,Consolidation!$A:J,10,0)=0,VLOOKUP($A26,Consolidation!$A:J,10,0)=""),"No","Yes")</f>
        <v>Yes</v>
      </c>
      <c r="G26" s="28" t="str">
        <f>VLOOKUP(A26,Consolidation!A:P,16,0)</f>
        <v>Yes</v>
      </c>
      <c r="H26" s="28">
        <f>VLOOKUP(A26,Consolidation!A:O,14,0)</f>
        <v>9</v>
      </c>
      <c r="I26" s="28" t="str">
        <f>VLOOKUP(A26,Consolidation!A:O,15,0)</f>
        <v>Shariah DataFeed Fields Source: Reuters
Purification &amp; Zakat Fields Source: Reuters</v>
      </c>
    </row>
    <row r="27" spans="1:9">
      <c r="A27" s="28" t="s">
        <v>67</v>
      </c>
      <c r="B27" s="28" t="str">
        <f>IF(OR(VLOOKUP($A27,Consolidation!$A:B,2,0)=0,VLOOKUP($A27,Consolidation!$A:B,2,0)=""),"No","Yes")</f>
        <v>No</v>
      </c>
      <c r="C27" s="28" t="str">
        <f>IF(OR(VLOOKUP($A27,Consolidation!$A:D,4,0)=0,VLOOKUP($A27,Consolidation!$A:D,4,0)=""),"No","Yes")</f>
        <v>Yes</v>
      </c>
      <c r="D27" s="28" t="str">
        <f>IF(OR(VLOOKUP($A27,Consolidation!$A:F,6,0)=0,VLOOKUP($A27,Consolidation!$A:F,6,0)=""),"No","Yes")</f>
        <v>No</v>
      </c>
      <c r="E27" s="28" t="str">
        <f>IF(OR(VLOOKUP($A27,Consolidation!$A:H,8,0)=0,VLOOKUP($A27,Consolidation!$A:H,8,0)=""),"No","Yes")</f>
        <v>No</v>
      </c>
      <c r="F27" s="28" t="str">
        <f>IF(OR(VLOOKUP($A27,Consolidation!$A:J,10,0)=0,VLOOKUP($A27,Consolidation!$A:J,10,0)=""),"No","Yes")</f>
        <v>No</v>
      </c>
      <c r="G27" s="28" t="str">
        <f>VLOOKUP(A27,Consolidation!A:P,16,0)</f>
        <v>No</v>
      </c>
      <c r="H27" s="28">
        <f>VLOOKUP(A27,Consolidation!A:O,14,0)</f>
        <v>4</v>
      </c>
      <c r="I27" s="28" t="str">
        <f>VLOOKUP(A27,Consolidation!A:O,15,0)</f>
        <v>Index Fields Source: FactSet</v>
      </c>
    </row>
    <row r="28" spans="1:9">
      <c r="A28" s="28" t="s">
        <v>238</v>
      </c>
      <c r="B28" s="28" t="e">
        <f>IF(OR(VLOOKUP($A28,Consolidation!$A:B,2,0)=0,VLOOKUP($A28,Consolidation!$A:B,2,0)=""),"No","Yes")</f>
        <v>#N/A</v>
      </c>
      <c r="C28" s="28" t="e">
        <f>IF(OR(VLOOKUP($A28,Consolidation!$A:D,4,0)=0,VLOOKUP($A28,Consolidation!$A:D,4,0)=""),"No","Yes")</f>
        <v>#N/A</v>
      </c>
      <c r="D28" s="28" t="e">
        <f>IF(OR(VLOOKUP($A28,Consolidation!$A:F,6,0)=0,VLOOKUP($A28,Consolidation!$A:F,6,0)=""),"No","Yes")</f>
        <v>#N/A</v>
      </c>
      <c r="E28" s="28" t="e">
        <f>IF(OR(VLOOKUP($A28,Consolidation!$A:H,8,0)=0,VLOOKUP($A28,Consolidation!$A:H,8,0)=""),"No","Yes")</f>
        <v>#N/A</v>
      </c>
      <c r="F28" s="28" t="e">
        <f>IF(OR(VLOOKUP($A28,Consolidation!$A:J,10,0)=0,VLOOKUP($A28,Consolidation!$A:J,10,0)=""),"No","Yes")</f>
        <v>#N/A</v>
      </c>
      <c r="G28" s="28" t="e">
        <f>VLOOKUP(A28,Consolidation!A:P,16,0)</f>
        <v>#N/A</v>
      </c>
      <c r="H28" s="28" t="e">
        <f>VLOOKUP(A28,Consolidation!A:O,14,0)</f>
        <v>#N/A</v>
      </c>
      <c r="I28" s="28" t="e">
        <f>VLOOKUP(A28,Consolidation!A:O,15,0)</f>
        <v>#N/A</v>
      </c>
    </row>
    <row r="29" spans="1:9" ht="29">
      <c r="A29" s="28" t="s">
        <v>21</v>
      </c>
      <c r="B29" s="28" t="str">
        <f>IF(OR(VLOOKUP($A29,Consolidation!$A:B,2,0)=0,VLOOKUP($A29,Consolidation!$A:B,2,0)=""),"No","Yes")</f>
        <v>No</v>
      </c>
      <c r="C29" s="28" t="str">
        <f>IF(OR(VLOOKUP($A29,Consolidation!$A:D,4,0)=0,VLOOKUP($A29,Consolidation!$A:D,4,0)=""),"No","Yes")</f>
        <v>No</v>
      </c>
      <c r="D29" s="28" t="str">
        <f>IF(OR(VLOOKUP($A29,Consolidation!$A:F,6,0)=0,VLOOKUP($A29,Consolidation!$A:F,6,0)=""),"No","Yes")</f>
        <v>Yes</v>
      </c>
      <c r="E29" s="28" t="str">
        <f>IF(OR(VLOOKUP($A29,Consolidation!$A:H,8,0)=0,VLOOKUP($A29,Consolidation!$A:H,8,0)=""),"No","Yes")</f>
        <v>No</v>
      </c>
      <c r="F29" s="28" t="str">
        <f>IF(OR(VLOOKUP($A29,Consolidation!$A:J,10,0)=0,VLOOKUP($A29,Consolidation!$A:J,10,0)=""),"No","Yes")</f>
        <v>No</v>
      </c>
      <c r="G29" s="28" t="str">
        <f>VLOOKUP(A29,Consolidation!A:P,16,0)</f>
        <v>No</v>
      </c>
      <c r="H29" s="28">
        <f>VLOOKUP(A29,Consolidation!A:O,14,0)</f>
        <v>11</v>
      </c>
      <c r="I29" s="28" t="str">
        <f>VLOOKUP(A29,Consolidation!A:O,15,0)</f>
        <v>Shariah DataFeed Fields Source: Factset</v>
      </c>
    </row>
    <row r="30" spans="1:9">
      <c r="A30" s="28" t="s">
        <v>72</v>
      </c>
      <c r="B30" s="28" t="str">
        <f>IF(OR(VLOOKUP($A30,Consolidation!$A:B,2,0)=0,VLOOKUP($A30,Consolidation!$A:B,2,0)=""),"No","Yes")</f>
        <v>No</v>
      </c>
      <c r="C30" s="28" t="str">
        <f>IF(OR(VLOOKUP($A30,Consolidation!$A:D,4,0)=0,VLOOKUP($A30,Consolidation!$A:D,4,0)=""),"No","Yes")</f>
        <v>Yes</v>
      </c>
      <c r="D30" s="28" t="str">
        <f>IF(OR(VLOOKUP($A30,Consolidation!$A:F,6,0)=0,VLOOKUP($A30,Consolidation!$A:F,6,0)=""),"No","Yes")</f>
        <v>Yes</v>
      </c>
      <c r="E30" s="28" t="str">
        <f>IF(OR(VLOOKUP($A30,Consolidation!$A:H,8,0)=0,VLOOKUP($A30,Consolidation!$A:H,8,0)=""),"No","Yes")</f>
        <v>No</v>
      </c>
      <c r="F30" s="28" t="str">
        <f>IF(OR(VLOOKUP($A30,Consolidation!$A:J,10,0)=0,VLOOKUP($A30,Consolidation!$A:J,10,0)=""),"No","Yes")</f>
        <v>No</v>
      </c>
      <c r="G30" s="28" t="str">
        <f>VLOOKUP(A30,Consolidation!A:P,16,0)</f>
        <v>Yes</v>
      </c>
      <c r="H30" s="28">
        <f>VLOOKUP(A30,Consolidation!A:O,14,0)</f>
        <v>7</v>
      </c>
      <c r="I30" s="28" t="str">
        <f>VLOOKUP(A30,Consolidation!A:O,15,0)</f>
        <v>Index Fields Source: FactSet
Shariah DataFeed Fields Source: Reuters</v>
      </c>
    </row>
    <row r="31" spans="1:9" ht="58">
      <c r="A31" s="28" t="s">
        <v>8</v>
      </c>
      <c r="B31" s="28" t="str">
        <f>IF(OR(VLOOKUP($A31,Consolidation!$A:B,2,0)=0,VLOOKUP($A31,Consolidation!$A:B,2,0)=""),"No","Yes")</f>
        <v>No</v>
      </c>
      <c r="C31" s="28" t="str">
        <f>IF(OR(VLOOKUP($A31,Consolidation!$A:D,4,0)=0,VLOOKUP($A31,Consolidation!$A:D,4,0)=""),"No","Yes")</f>
        <v>No</v>
      </c>
      <c r="D31" s="28" t="str">
        <f>IF(OR(VLOOKUP($A31,Consolidation!$A:F,6,0)=0,VLOOKUP($A31,Consolidation!$A:F,6,0)=""),"No","Yes")</f>
        <v>Yes</v>
      </c>
      <c r="E31" s="28" t="str">
        <f>IF(OR(VLOOKUP($A31,Consolidation!$A:H,8,0)=0,VLOOKUP($A31,Consolidation!$A:H,8,0)=""),"No","Yes")</f>
        <v>No</v>
      </c>
      <c r="F31" s="28" t="str">
        <f>IF(OR(VLOOKUP($A31,Consolidation!$A:J,10,0)=0,VLOOKUP($A31,Consolidation!$A:J,10,0)=""),"No","Yes")</f>
        <v>Yes</v>
      </c>
      <c r="G31" s="28" t="str">
        <f>VLOOKUP(A31,Consolidation!A:P,16,0)</f>
        <v>No</v>
      </c>
      <c r="H31" s="28">
        <f>VLOOKUP(A31,Consolidation!A:O,14,0)</f>
        <v>7</v>
      </c>
      <c r="I31" s="28" t="str">
        <f>VLOOKUP(A31,Consolidation!A:O,15,0)</f>
        <v>Shariah DataFeed Fields Source: Factset
Purification &amp; Zakat Fields Source: Reuters</v>
      </c>
    </row>
    <row r="32" spans="1:9" ht="29">
      <c r="A32" s="28" t="s">
        <v>35</v>
      </c>
      <c r="B32" s="28" t="str">
        <f>IF(OR(VLOOKUP($A32,Consolidation!$A:B,2,0)=0,VLOOKUP($A32,Consolidation!$A:B,2,0)=""),"No","Yes")</f>
        <v>No</v>
      </c>
      <c r="C32" s="28" t="str">
        <f>IF(OR(VLOOKUP($A32,Consolidation!$A:D,4,0)=0,VLOOKUP($A32,Consolidation!$A:D,4,0)=""),"No","Yes")</f>
        <v>No</v>
      </c>
      <c r="D32" s="28" t="str">
        <f>IF(OR(VLOOKUP($A32,Consolidation!$A:F,6,0)=0,VLOOKUP($A32,Consolidation!$A:F,6,0)=""),"No","Yes")</f>
        <v>Yes</v>
      </c>
      <c r="E32" s="28" t="str">
        <f>IF(OR(VLOOKUP($A32,Consolidation!$A:H,8,0)=0,VLOOKUP($A32,Consolidation!$A:H,8,0)=""),"No","Yes")</f>
        <v>No</v>
      </c>
      <c r="F32" s="28" t="str">
        <f>IF(OR(VLOOKUP($A32,Consolidation!$A:J,10,0)=0,VLOOKUP($A32,Consolidation!$A:J,10,0)=""),"No","Yes")</f>
        <v>No</v>
      </c>
      <c r="G32" s="28" t="str">
        <f>VLOOKUP(A32,Consolidation!A:P,16,0)</f>
        <v>Yes</v>
      </c>
      <c r="H32" s="28">
        <f>VLOOKUP(A32,Consolidation!A:O,14,0)</f>
        <v>70</v>
      </c>
      <c r="I32" s="28" t="str">
        <f>VLOOKUP(A32,Consolidation!A:O,15,0)</f>
        <v>Shariah DataFeed Fields Source: Reuters</v>
      </c>
    </row>
    <row r="33" spans="1:9" ht="29">
      <c r="A33" s="28" t="s">
        <v>36</v>
      </c>
      <c r="B33" s="28" t="str">
        <f>IF(OR(VLOOKUP($A33,Consolidation!$A:B,2,0)=0,VLOOKUP($A33,Consolidation!$A:B,2,0)=""),"No","Yes")</f>
        <v>No</v>
      </c>
      <c r="C33" s="28" t="str">
        <f>IF(OR(VLOOKUP($A33,Consolidation!$A:D,4,0)=0,VLOOKUP($A33,Consolidation!$A:D,4,0)=""),"No","Yes")</f>
        <v>No</v>
      </c>
      <c r="D33" s="28" t="str">
        <f>IF(OR(VLOOKUP($A33,Consolidation!$A:F,6,0)=0,VLOOKUP($A33,Consolidation!$A:F,6,0)=""),"No","Yes")</f>
        <v>Yes</v>
      </c>
      <c r="E33" s="28" t="str">
        <f>IF(OR(VLOOKUP($A33,Consolidation!$A:H,8,0)=0,VLOOKUP($A33,Consolidation!$A:H,8,0)=""),"No","Yes")</f>
        <v>No</v>
      </c>
      <c r="F33" s="28" t="str">
        <f>IF(OR(VLOOKUP($A33,Consolidation!$A:J,10,0)=0,VLOOKUP($A33,Consolidation!$A:J,10,0)=""),"No","Yes")</f>
        <v>No</v>
      </c>
      <c r="G33" s="28" t="str">
        <f>VLOOKUP(A33,Consolidation!A:P,16,0)</f>
        <v>Yes</v>
      </c>
      <c r="H33" s="28">
        <f>VLOOKUP(A33,Consolidation!A:O,14,0)</f>
        <v>5</v>
      </c>
      <c r="I33" s="28" t="str">
        <f>VLOOKUP(A33,Consolidation!A:O,15,0)</f>
        <v>Shariah DataFeed Fields Source: Reuters</v>
      </c>
    </row>
    <row r="34" spans="1:9" ht="29">
      <c r="A34" s="28" t="s">
        <v>22</v>
      </c>
      <c r="B34" s="28" t="str">
        <f>IF(OR(VLOOKUP($A34,Consolidation!$A:B,2,0)=0,VLOOKUP($A34,Consolidation!$A:B,2,0)=""),"No","Yes")</f>
        <v>No</v>
      </c>
      <c r="C34" s="28" t="str">
        <f>IF(OR(VLOOKUP($A34,Consolidation!$A:D,4,0)=0,VLOOKUP($A34,Consolidation!$A:D,4,0)=""),"No","Yes")</f>
        <v>No</v>
      </c>
      <c r="D34" s="28" t="str">
        <f>IF(OR(VLOOKUP($A34,Consolidation!$A:F,6,0)=0,VLOOKUP($A34,Consolidation!$A:F,6,0)=""),"No","Yes")</f>
        <v>Yes</v>
      </c>
      <c r="E34" s="28" t="str">
        <f>IF(OR(VLOOKUP($A34,Consolidation!$A:H,8,0)=0,VLOOKUP($A34,Consolidation!$A:H,8,0)=""),"No","Yes")</f>
        <v>No</v>
      </c>
      <c r="F34" s="28" t="str">
        <f>IF(OR(VLOOKUP($A34,Consolidation!$A:J,10,0)=0,VLOOKUP($A34,Consolidation!$A:J,10,0)=""),"No","Yes")</f>
        <v>No</v>
      </c>
      <c r="G34" s="28" t="str">
        <f>VLOOKUP(A34,Consolidation!A:P,16,0)</f>
        <v>No</v>
      </c>
      <c r="H34" s="28">
        <f>VLOOKUP(A34,Consolidation!A:O,14,0)</f>
        <v>3</v>
      </c>
      <c r="I34" s="28" t="str">
        <f>VLOOKUP(A34,Consolidation!A:O,15,0)</f>
        <v>Shariah DataFeed Fields Source: Factset</v>
      </c>
    </row>
    <row r="35" spans="1:9" ht="29">
      <c r="A35" s="28" t="s">
        <v>37</v>
      </c>
      <c r="B35" s="28" t="str">
        <f>IF(OR(VLOOKUP($A35,Consolidation!$A:B,2,0)=0,VLOOKUP($A35,Consolidation!$A:B,2,0)=""),"No","Yes")</f>
        <v>No</v>
      </c>
      <c r="C35" s="28" t="str">
        <f>IF(OR(VLOOKUP($A35,Consolidation!$A:D,4,0)=0,VLOOKUP($A35,Consolidation!$A:D,4,0)=""),"No","Yes")</f>
        <v>No</v>
      </c>
      <c r="D35" s="28" t="str">
        <f>IF(OR(VLOOKUP($A35,Consolidation!$A:F,6,0)=0,VLOOKUP($A35,Consolidation!$A:F,6,0)=""),"No","Yes")</f>
        <v>Yes</v>
      </c>
      <c r="E35" s="28" t="str">
        <f>IF(OR(VLOOKUP($A35,Consolidation!$A:H,8,0)=0,VLOOKUP($A35,Consolidation!$A:H,8,0)=""),"No","Yes")</f>
        <v>No</v>
      </c>
      <c r="F35" s="28" t="str">
        <f>IF(OR(VLOOKUP($A35,Consolidation!$A:J,10,0)=0,VLOOKUP($A35,Consolidation!$A:J,10,0)=""),"No","Yes")</f>
        <v>No</v>
      </c>
      <c r="G35" s="28" t="str">
        <f>VLOOKUP(A35,Consolidation!A:P,16,0)</f>
        <v>Yes</v>
      </c>
      <c r="H35" s="28">
        <f>VLOOKUP(A35,Consolidation!A:O,14,0)</f>
        <v>3</v>
      </c>
      <c r="I35" s="28" t="str">
        <f>VLOOKUP(A35,Consolidation!A:O,15,0)</f>
        <v>Shariah DataFeed Fields Source: Reuters</v>
      </c>
    </row>
    <row r="36" spans="1:9" ht="29">
      <c r="A36" s="28" t="s">
        <v>185</v>
      </c>
      <c r="B36" s="28" t="str">
        <f>IF(OR(VLOOKUP($A36,Consolidation!$A:B,2,0)=0,VLOOKUP($A36,Consolidation!$A:B,2,0)=""),"No","Yes")</f>
        <v>No</v>
      </c>
      <c r="C36" s="28" t="str">
        <f>IF(OR(VLOOKUP($A36,Consolidation!$A:D,4,0)=0,VLOOKUP($A36,Consolidation!$A:D,4,0)=""),"No","Yes")</f>
        <v>No</v>
      </c>
      <c r="D36" s="28" t="str">
        <f>IF(OR(VLOOKUP($A36,Consolidation!$A:F,6,0)=0,VLOOKUP($A36,Consolidation!$A:F,6,0)=""),"No","Yes")</f>
        <v>Yes</v>
      </c>
      <c r="E36" s="28" t="str">
        <f>IF(OR(VLOOKUP($A36,Consolidation!$A:H,8,0)=0,VLOOKUP($A36,Consolidation!$A:H,8,0)=""),"No","Yes")</f>
        <v>No</v>
      </c>
      <c r="F36" s="28" t="str">
        <f>IF(OR(VLOOKUP($A36,Consolidation!$A:J,10,0)=0,VLOOKUP($A36,Consolidation!$A:J,10,0)=""),"No","Yes")</f>
        <v>No</v>
      </c>
      <c r="G36" s="28" t="str">
        <f>VLOOKUP(A36,Consolidation!A:P,16,0)</f>
        <v>No</v>
      </c>
      <c r="H36" s="28">
        <f>VLOOKUP(A36,Consolidation!A:O,14,0)</f>
        <v>12</v>
      </c>
      <c r="I36" s="28" t="str">
        <f>VLOOKUP(A36,Consolidation!A:O,15,0)</f>
        <v>Shariah DataFeed Fields Source: Factset</v>
      </c>
    </row>
    <row r="37" spans="1:9" ht="58">
      <c r="A37" s="28" t="s">
        <v>4</v>
      </c>
      <c r="B37" s="28" t="str">
        <f>IF(OR(VLOOKUP($A37,Consolidation!$A:B,2,0)=0,VLOOKUP($A37,Consolidation!$A:B,2,0)=""),"No","Yes")</f>
        <v>No</v>
      </c>
      <c r="C37" s="28" t="str">
        <f>IF(OR(VLOOKUP($A37,Consolidation!$A:D,4,0)=0,VLOOKUP($A37,Consolidation!$A:D,4,0)=""),"No","Yes")</f>
        <v>No</v>
      </c>
      <c r="D37" s="28" t="str">
        <f>IF(OR(VLOOKUP($A37,Consolidation!$A:F,6,0)=0,VLOOKUP($A37,Consolidation!$A:F,6,0)=""),"No","Yes")</f>
        <v>Yes</v>
      </c>
      <c r="E37" s="28" t="str">
        <f>IF(OR(VLOOKUP($A37,Consolidation!$A:H,8,0)=0,VLOOKUP($A37,Consolidation!$A:H,8,0)=""),"No","Yes")</f>
        <v>No</v>
      </c>
      <c r="F37" s="28" t="str">
        <f>IF(OR(VLOOKUP($A37,Consolidation!$A:J,10,0)=0,VLOOKUP($A37,Consolidation!$A:J,10,0)=""),"No","Yes")</f>
        <v>Yes</v>
      </c>
      <c r="G37" s="28" t="str">
        <f>VLOOKUP(A37,Consolidation!A:P,16,0)</f>
        <v>No</v>
      </c>
      <c r="H37" s="28">
        <f>VLOOKUP(A37,Consolidation!A:O,14,0)</f>
        <v>7</v>
      </c>
      <c r="I37" s="28" t="str">
        <f>VLOOKUP(A37,Consolidation!A:O,15,0)</f>
        <v>Shariah DataFeed Fields Source: Factset
Purification &amp; Zakat Fields Source: Reuters</v>
      </c>
    </row>
    <row r="38" spans="1:9">
      <c r="A38" s="28" t="s">
        <v>51</v>
      </c>
      <c r="B38" s="28" t="str">
        <f>IF(OR(VLOOKUP($A38,Consolidation!$A:B,2,0)=0,VLOOKUP($A38,Consolidation!$A:B,2,0)=""),"No","Yes")</f>
        <v>No</v>
      </c>
      <c r="C38" s="28" t="str">
        <f>IF(OR(VLOOKUP($A38,Consolidation!$A:D,4,0)=0,VLOOKUP($A38,Consolidation!$A:D,4,0)=""),"No","Yes")</f>
        <v>Yes</v>
      </c>
      <c r="D38" s="28" t="str">
        <f>IF(OR(VLOOKUP($A38,Consolidation!$A:F,6,0)=0,VLOOKUP($A38,Consolidation!$A:F,6,0)=""),"No","Yes")</f>
        <v>No</v>
      </c>
      <c r="E38" s="28" t="str">
        <f>IF(OR(VLOOKUP($A38,Consolidation!$A:H,8,0)=0,VLOOKUP($A38,Consolidation!$A:H,8,0)=""),"No","Yes")</f>
        <v>No</v>
      </c>
      <c r="F38" s="28" t="str">
        <f>IF(OR(VLOOKUP($A38,Consolidation!$A:J,10,0)=0,VLOOKUP($A38,Consolidation!$A:J,10,0)=""),"No","Yes")</f>
        <v>No</v>
      </c>
      <c r="G38" s="28" t="str">
        <f>VLOOKUP(A38,Consolidation!A:P,16,0)</f>
        <v>Yes</v>
      </c>
      <c r="H38" s="28">
        <f>VLOOKUP(A38,Consolidation!A:O,14,0)</f>
        <v>7</v>
      </c>
      <c r="I38" s="28" t="str">
        <f>VLOOKUP(A38,Consolidation!A:O,15,0)</f>
        <v>Index Fields Source: FactSet</v>
      </c>
    </row>
    <row r="39" spans="1:9" ht="29">
      <c r="A39" s="28" t="s">
        <v>47</v>
      </c>
      <c r="B39" s="28" t="str">
        <f>IF(OR(VLOOKUP($A39,Consolidation!$A:B,2,0)=0,VLOOKUP($A39,Consolidation!$A:B,2,0)=""),"No","Yes")</f>
        <v>No</v>
      </c>
      <c r="C39" s="28" t="str">
        <f>IF(OR(VLOOKUP($A39,Consolidation!$A:D,4,0)=0,VLOOKUP($A39,Consolidation!$A:D,4,0)=""),"No","Yes")</f>
        <v>No</v>
      </c>
      <c r="D39" s="28" t="str">
        <f>IF(OR(VLOOKUP($A39,Consolidation!$A:F,6,0)=0,VLOOKUP($A39,Consolidation!$A:F,6,0)=""),"No","Yes")</f>
        <v>Yes</v>
      </c>
      <c r="E39" s="28" t="str">
        <f>IF(OR(VLOOKUP($A39,Consolidation!$A:H,8,0)=0,VLOOKUP($A39,Consolidation!$A:H,8,0)=""),"No","Yes")</f>
        <v>No</v>
      </c>
      <c r="F39" s="28" t="str">
        <f>IF(OR(VLOOKUP($A39,Consolidation!$A:J,10,0)=0,VLOOKUP($A39,Consolidation!$A:J,10,0)=""),"No","Yes")</f>
        <v>No</v>
      </c>
      <c r="G39" s="28" t="str">
        <f>VLOOKUP(A39,Consolidation!A:P,16,0)</f>
        <v>Yes</v>
      </c>
      <c r="H39" s="28">
        <f>VLOOKUP(A39,Consolidation!A:O,14,0)</f>
        <v>14</v>
      </c>
      <c r="I39" s="28" t="str">
        <f>VLOOKUP(A39,Consolidation!A:O,15,0)</f>
        <v>Shariah DataFeed Fields Source: Reuters</v>
      </c>
    </row>
    <row r="40" spans="1:9" ht="29">
      <c r="A40" s="28" t="s">
        <v>34</v>
      </c>
      <c r="B40" s="28" t="str">
        <f>IF(OR(VLOOKUP($A40,Consolidation!$A:B,2,0)=0,VLOOKUP($A40,Consolidation!$A:B,2,0)=""),"No","Yes")</f>
        <v>No</v>
      </c>
      <c r="C40" s="28" t="str">
        <f>IF(OR(VLOOKUP($A40,Consolidation!$A:D,4,0)=0,VLOOKUP($A40,Consolidation!$A:D,4,0)=""),"No","Yes")</f>
        <v>No</v>
      </c>
      <c r="D40" s="28" t="str">
        <f>IF(OR(VLOOKUP($A40,Consolidation!$A:F,6,0)=0,VLOOKUP($A40,Consolidation!$A:F,6,0)=""),"No","Yes")</f>
        <v>Yes</v>
      </c>
      <c r="E40" s="28" t="str">
        <f>IF(OR(VLOOKUP($A40,Consolidation!$A:H,8,0)=0,VLOOKUP($A40,Consolidation!$A:H,8,0)=""),"No","Yes")</f>
        <v>No</v>
      </c>
      <c r="F40" s="28" t="str">
        <f>IF(OR(VLOOKUP($A40,Consolidation!$A:J,10,0)=0,VLOOKUP($A40,Consolidation!$A:J,10,0)=""),"No","Yes")</f>
        <v>No</v>
      </c>
      <c r="G40" s="28" t="str">
        <f>VLOOKUP(A40,Consolidation!A:P,16,0)</f>
        <v>Yes</v>
      </c>
      <c r="H40" s="28">
        <f>VLOOKUP(A40,Consolidation!A:O,14,0)</f>
        <v>4</v>
      </c>
      <c r="I40" s="28" t="str">
        <f>VLOOKUP(A40,Consolidation!A:O,15,0)</f>
        <v>Shariah DataFeed Fields Source: Reuters</v>
      </c>
    </row>
    <row r="41" spans="1:9">
      <c r="A41" s="28" t="s">
        <v>73</v>
      </c>
      <c r="B41" s="28" t="str">
        <f>IF(OR(VLOOKUP($A41,Consolidation!$A:B,2,0)=0,VLOOKUP($A41,Consolidation!$A:B,2,0)=""),"No","Yes")</f>
        <v>No</v>
      </c>
      <c r="C41" s="28" t="str">
        <f>IF(OR(VLOOKUP($A41,Consolidation!$A:D,4,0)=0,VLOOKUP($A41,Consolidation!$A:D,4,0)=""),"No","Yes")</f>
        <v>Yes</v>
      </c>
      <c r="D41" s="28" t="str">
        <f>IF(OR(VLOOKUP($A41,Consolidation!$A:F,6,0)=0,VLOOKUP($A41,Consolidation!$A:F,6,0)=""),"No","Yes")</f>
        <v>No</v>
      </c>
      <c r="E41" s="28" t="str">
        <f>IF(OR(VLOOKUP($A41,Consolidation!$A:H,8,0)=0,VLOOKUP($A41,Consolidation!$A:H,8,0)=""),"No","Yes")</f>
        <v>No</v>
      </c>
      <c r="F41" s="28" t="str">
        <f>IF(OR(VLOOKUP($A41,Consolidation!$A:J,10,0)=0,VLOOKUP($A41,Consolidation!$A:J,10,0)=""),"No","Yes")</f>
        <v>No</v>
      </c>
      <c r="G41" s="28" t="str">
        <f>VLOOKUP(A41,Consolidation!A:P,16,0)</f>
        <v>No</v>
      </c>
      <c r="H41" s="28">
        <f>VLOOKUP(A41,Consolidation!A:O,14,0)</f>
        <v>5</v>
      </c>
      <c r="I41" s="28" t="str">
        <f>VLOOKUP(A41,Consolidation!A:O,15,0)</f>
        <v>Index Fields Source: FactSet</v>
      </c>
    </row>
    <row r="42" spans="1:9" ht="29">
      <c r="A42" s="28" t="s">
        <v>135</v>
      </c>
      <c r="B42" s="28" t="str">
        <f>IF(OR(VLOOKUP($A42,Consolidation!$A:B,2,0)=0,VLOOKUP($A42,Consolidation!$A:B,2,0)=""),"No","Yes")</f>
        <v>No</v>
      </c>
      <c r="C42" s="28" t="str">
        <f>IF(OR(VLOOKUP($A42,Consolidation!$A:D,4,0)=0,VLOOKUP($A42,Consolidation!$A:D,4,0)=""),"No","Yes")</f>
        <v>No</v>
      </c>
      <c r="D42" s="28" t="str">
        <f>IF(OR(VLOOKUP($A42,Consolidation!$A:F,6,0)=0,VLOOKUP($A42,Consolidation!$A:F,6,0)=""),"No","Yes")</f>
        <v>Yes</v>
      </c>
      <c r="E42" s="28" t="str">
        <f>IF(OR(VLOOKUP($A42,Consolidation!$A:H,8,0)=0,VLOOKUP($A42,Consolidation!$A:H,8,0)=""),"No","Yes")</f>
        <v>No</v>
      </c>
      <c r="F42" s="28" t="str">
        <f>IF(OR(VLOOKUP($A42,Consolidation!$A:J,10,0)=0,VLOOKUP($A42,Consolidation!$A:J,10,0)=""),"No","Yes")</f>
        <v>No</v>
      </c>
      <c r="G42" s="28" t="str">
        <f>VLOOKUP(A42,Consolidation!A:P,16,0)</f>
        <v>No</v>
      </c>
      <c r="H42" s="28">
        <f>VLOOKUP(A42,Consolidation!A:O,14,0)</f>
        <v>4</v>
      </c>
      <c r="I42" s="28" t="str">
        <f>VLOOKUP(A42,Consolidation!A:O,15,0)</f>
        <v>Shariah DataFeed Fields Source: Reuters</v>
      </c>
    </row>
    <row r="43" spans="1:9" ht="29">
      <c r="A43" s="28" t="s">
        <v>38</v>
      </c>
      <c r="B43" s="28" t="str">
        <f>IF(OR(VLOOKUP($A43,Consolidation!$A:B,2,0)=0,VLOOKUP($A43,Consolidation!$A:B,2,0)=""),"No","Yes")</f>
        <v>No</v>
      </c>
      <c r="C43" s="28" t="str">
        <f>IF(OR(VLOOKUP($A43,Consolidation!$A:D,4,0)=0,VLOOKUP($A43,Consolidation!$A:D,4,0)=""),"No","Yes")</f>
        <v>No</v>
      </c>
      <c r="D43" s="28" t="str">
        <f>IF(OR(VLOOKUP($A43,Consolidation!$A:F,6,0)=0,VLOOKUP($A43,Consolidation!$A:F,6,0)=""),"No","Yes")</f>
        <v>Yes</v>
      </c>
      <c r="E43" s="28" t="str">
        <f>IF(OR(VLOOKUP($A43,Consolidation!$A:H,8,0)=0,VLOOKUP($A43,Consolidation!$A:H,8,0)=""),"No","Yes")</f>
        <v>No</v>
      </c>
      <c r="F43" s="28" t="str">
        <f>IF(OR(VLOOKUP($A43,Consolidation!$A:J,10,0)=0,VLOOKUP($A43,Consolidation!$A:J,10,0)=""),"No","Yes")</f>
        <v>No</v>
      </c>
      <c r="G43" s="28" t="str">
        <f>VLOOKUP(A43,Consolidation!A:P,16,0)</f>
        <v>No</v>
      </c>
      <c r="H43" s="28">
        <f>VLOOKUP(A43,Consolidation!A:O,14,0)</f>
        <v>5</v>
      </c>
      <c r="I43" s="28" t="str">
        <f>VLOOKUP(A43,Consolidation!A:O,15,0)</f>
        <v>Shariah DataFeed Fields Source: Factset</v>
      </c>
    </row>
    <row r="44" spans="1:9" ht="29">
      <c r="A44" s="28" t="s">
        <v>234</v>
      </c>
      <c r="B44" s="28" t="str">
        <f>IF(OR(VLOOKUP($A44,Consolidation!$A:B,2,0)=0,VLOOKUP($A44,Consolidation!$A:B,2,0)=""),"No","Yes")</f>
        <v>No</v>
      </c>
      <c r="C44" s="28" t="str">
        <f>IF(OR(VLOOKUP($A44,Consolidation!$A:D,4,0)=0,VLOOKUP($A44,Consolidation!$A:D,4,0)=""),"No","Yes")</f>
        <v>No</v>
      </c>
      <c r="D44" s="28" t="str">
        <f>IF(OR(VLOOKUP($A44,Consolidation!$A:F,6,0)=0,VLOOKUP($A44,Consolidation!$A:F,6,0)=""),"No","Yes")</f>
        <v>No</v>
      </c>
      <c r="E44" s="28" t="str">
        <f>IF(OR(VLOOKUP($A44,Consolidation!$A:H,8,0)=0,VLOOKUP($A44,Consolidation!$A:H,8,0)=""),"No","Yes")</f>
        <v>No</v>
      </c>
      <c r="F44" s="28" t="str">
        <f>IF(OR(VLOOKUP($A44,Consolidation!$A:J,10,0)=0,VLOOKUP($A44,Consolidation!$A:J,10,0)=""),"No","Yes")</f>
        <v>Yes</v>
      </c>
      <c r="G44" s="28" t="str">
        <f>VLOOKUP(A44,Consolidation!A:P,16,0)</f>
        <v>No</v>
      </c>
      <c r="H44" s="28">
        <f>VLOOKUP(A44,Consolidation!A:O,14,0)</f>
        <v>7</v>
      </c>
      <c r="I44" s="28" t="str">
        <f>VLOOKUP(A44,Consolidation!A:O,15,0)</f>
        <v>Purification &amp; Zakat Fields Source: Reuters</v>
      </c>
    </row>
    <row r="45" spans="1:9" ht="29">
      <c r="A45" s="28" t="s">
        <v>9</v>
      </c>
      <c r="B45" s="28" t="str">
        <f>IF(OR(VLOOKUP($A45,Consolidation!$A:B,2,0)=0,VLOOKUP($A45,Consolidation!$A:B,2,0)=""),"No","Yes")</f>
        <v>No</v>
      </c>
      <c r="C45" s="28" t="str">
        <f>IF(OR(VLOOKUP($A45,Consolidation!$A:D,4,0)=0,VLOOKUP($A45,Consolidation!$A:D,4,0)=""),"No","Yes")</f>
        <v>No</v>
      </c>
      <c r="D45" s="28" t="str">
        <f>IF(OR(VLOOKUP($A45,Consolidation!$A:F,6,0)=0,VLOOKUP($A45,Consolidation!$A:F,6,0)=""),"No","Yes")</f>
        <v>Yes</v>
      </c>
      <c r="E45" s="28" t="str">
        <f>IF(OR(VLOOKUP($A45,Consolidation!$A:H,8,0)=0,VLOOKUP($A45,Consolidation!$A:H,8,0)=""),"No","Yes")</f>
        <v>No</v>
      </c>
      <c r="F45" s="28" t="str">
        <f>IF(OR(VLOOKUP($A45,Consolidation!$A:J,10,0)=0,VLOOKUP($A45,Consolidation!$A:J,10,0)=""),"No","Yes")</f>
        <v>No</v>
      </c>
      <c r="G45" s="28" t="str">
        <f>VLOOKUP(A45,Consolidation!A:P,16,0)</f>
        <v>No</v>
      </c>
      <c r="H45" s="28">
        <f>VLOOKUP(A45,Consolidation!A:O,14,0)</f>
        <v>5</v>
      </c>
      <c r="I45" s="28" t="str">
        <f>VLOOKUP(A45,Consolidation!A:O,15,0)</f>
        <v>Shariah DataFeed Fields Source: Factset</v>
      </c>
    </row>
    <row r="46" spans="1:9" ht="29">
      <c r="A46" s="28" t="s">
        <v>48</v>
      </c>
      <c r="B46" s="28" t="str">
        <f>IF(OR(VLOOKUP($A46,Consolidation!$A:B,2,0)=0,VLOOKUP($A46,Consolidation!$A:B,2,0)=""),"No","Yes")</f>
        <v>No</v>
      </c>
      <c r="C46" s="28" t="str">
        <f>IF(OR(VLOOKUP($A46,Consolidation!$A:D,4,0)=0,VLOOKUP($A46,Consolidation!$A:D,4,0)=""),"No","Yes")</f>
        <v>No</v>
      </c>
      <c r="D46" s="28" t="str">
        <f>IF(OR(VLOOKUP($A46,Consolidation!$A:F,6,0)=0,VLOOKUP($A46,Consolidation!$A:F,6,0)=""),"No","Yes")</f>
        <v>Yes</v>
      </c>
      <c r="E46" s="28" t="str">
        <f>IF(OR(VLOOKUP($A46,Consolidation!$A:H,8,0)=0,VLOOKUP($A46,Consolidation!$A:H,8,0)=""),"No","Yes")</f>
        <v>No</v>
      </c>
      <c r="F46" s="28" t="str">
        <f>IF(OR(VLOOKUP($A46,Consolidation!$A:J,10,0)=0,VLOOKUP($A46,Consolidation!$A:J,10,0)=""),"No","Yes")</f>
        <v>No</v>
      </c>
      <c r="G46" s="28" t="str">
        <f>VLOOKUP(A46,Consolidation!A:P,16,0)</f>
        <v>No</v>
      </c>
      <c r="H46" s="28">
        <f>VLOOKUP(A46,Consolidation!A:O,14,0)</f>
        <v>267</v>
      </c>
      <c r="I46" s="28" t="str">
        <f>VLOOKUP(A46,Consolidation!A:O,15,0)</f>
        <v>Shariah DataFeed Fields Source: Reuters</v>
      </c>
    </row>
    <row r="47" spans="1:9" ht="29">
      <c r="A47" s="28" t="s">
        <v>39</v>
      </c>
      <c r="B47" s="28" t="str">
        <f>IF(OR(VLOOKUP($A47,Consolidation!$A:B,2,0)=0,VLOOKUP($A47,Consolidation!$A:B,2,0)=""),"No","Yes")</f>
        <v>No</v>
      </c>
      <c r="C47" s="28" t="str">
        <f>IF(OR(VLOOKUP($A47,Consolidation!$A:D,4,0)=0,VLOOKUP($A47,Consolidation!$A:D,4,0)=""),"No","Yes")</f>
        <v>No</v>
      </c>
      <c r="D47" s="28" t="str">
        <f>IF(OR(VLOOKUP($A47,Consolidation!$A:F,6,0)=0,VLOOKUP($A47,Consolidation!$A:F,6,0)=""),"No","Yes")</f>
        <v>Yes</v>
      </c>
      <c r="E47" s="28" t="str">
        <f>IF(OR(VLOOKUP($A47,Consolidation!$A:H,8,0)=0,VLOOKUP($A47,Consolidation!$A:H,8,0)=""),"No","Yes")</f>
        <v>No</v>
      </c>
      <c r="F47" s="28" t="str">
        <f>IF(OR(VLOOKUP($A47,Consolidation!$A:J,10,0)=0,VLOOKUP($A47,Consolidation!$A:J,10,0)=""),"No","Yes")</f>
        <v>No</v>
      </c>
      <c r="G47" s="28" t="str">
        <f>VLOOKUP(A47,Consolidation!A:P,16,0)</f>
        <v>No</v>
      </c>
      <c r="H47" s="28">
        <f>VLOOKUP(A47,Consolidation!A:O,14,0)</f>
        <v>4</v>
      </c>
      <c r="I47" s="28" t="str">
        <f>VLOOKUP(A47,Consolidation!A:O,15,0)</f>
        <v>Shariah DataFeed Fields Source: Factset</v>
      </c>
    </row>
    <row r="48" spans="1:9" ht="58">
      <c r="A48" s="28" t="s">
        <v>32</v>
      </c>
      <c r="B48" s="28" t="str">
        <f>IF(OR(VLOOKUP($A48,Consolidation!$A:B,2,0)=0,VLOOKUP($A48,Consolidation!$A:B,2,0)=""),"No","Yes")</f>
        <v>No</v>
      </c>
      <c r="C48" s="28" t="str">
        <f>IF(OR(VLOOKUP($A48,Consolidation!$A:D,4,0)=0,VLOOKUP($A48,Consolidation!$A:D,4,0)=""),"No","Yes")</f>
        <v>No</v>
      </c>
      <c r="D48" s="28" t="str">
        <f>IF(OR(VLOOKUP($A48,Consolidation!$A:F,6,0)=0,VLOOKUP($A48,Consolidation!$A:F,6,0)=""),"No","Yes")</f>
        <v>Yes</v>
      </c>
      <c r="E48" s="28" t="str">
        <f>IF(OR(VLOOKUP($A48,Consolidation!$A:H,8,0)=0,VLOOKUP($A48,Consolidation!$A:H,8,0)=""),"No","Yes")</f>
        <v>No</v>
      </c>
      <c r="F48" s="28" t="str">
        <f>IF(OR(VLOOKUP($A48,Consolidation!$A:J,10,0)=0,VLOOKUP($A48,Consolidation!$A:J,10,0)=""),"No","Yes")</f>
        <v>Yes</v>
      </c>
      <c r="G48" s="28" t="str">
        <f>VLOOKUP(A48,Consolidation!A:P,16,0)</f>
        <v>No</v>
      </c>
      <c r="H48" s="28">
        <f>VLOOKUP(A48,Consolidation!A:O,14,0)</f>
        <v>7</v>
      </c>
      <c r="I48" s="28" t="str">
        <f>VLOOKUP(A48,Consolidation!A:O,15,0)</f>
        <v>Shariah DataFeed Fields Source: Factset
Purification &amp; Zakat Fields Source: Reuters</v>
      </c>
    </row>
    <row r="49" spans="1:9" ht="29">
      <c r="A49" s="28" t="s">
        <v>140</v>
      </c>
      <c r="B49" s="28" t="str">
        <f>IF(OR(VLOOKUP($A49,Consolidation!$A:B,2,0)=0,VLOOKUP($A49,Consolidation!$A:B,2,0)=""),"No","Yes")</f>
        <v>No</v>
      </c>
      <c r="C49" s="28" t="str">
        <f>IF(OR(VLOOKUP($A49,Consolidation!$A:D,4,0)=0,VLOOKUP($A49,Consolidation!$A:D,4,0)=""),"No","Yes")</f>
        <v>No</v>
      </c>
      <c r="D49" s="28" t="str">
        <f>IF(OR(VLOOKUP($A49,Consolidation!$A:F,6,0)=0,VLOOKUP($A49,Consolidation!$A:F,6,0)=""),"No","Yes")</f>
        <v>Yes</v>
      </c>
      <c r="E49" s="28" t="str">
        <f>IF(OR(VLOOKUP($A49,Consolidation!$A:H,8,0)=0,VLOOKUP($A49,Consolidation!$A:H,8,0)=""),"No","Yes")</f>
        <v>No</v>
      </c>
      <c r="F49" s="28" t="str">
        <f>IF(OR(VLOOKUP($A49,Consolidation!$A:J,10,0)=0,VLOOKUP($A49,Consolidation!$A:J,10,0)=""),"No","Yes")</f>
        <v>No</v>
      </c>
      <c r="G49" s="28" t="str">
        <f>VLOOKUP(A49,Consolidation!A:P,16,0)</f>
        <v>No</v>
      </c>
      <c r="H49" s="28">
        <f>VLOOKUP(A49,Consolidation!A:O,14,0)</f>
        <v>17</v>
      </c>
      <c r="I49" s="28" t="str">
        <f>VLOOKUP(A49,Consolidation!A:O,15,0)</f>
        <v>Shariah DataFeed Fields Source: Reuters</v>
      </c>
    </row>
    <row r="50" spans="1:9">
      <c r="A50" s="28" t="s">
        <v>60</v>
      </c>
      <c r="B50" s="28" t="str">
        <f>IF(OR(VLOOKUP($A50,Consolidation!$A:B,2,0)=0,VLOOKUP($A50,Consolidation!$A:B,2,0)=""),"No","Yes")</f>
        <v>No</v>
      </c>
      <c r="C50" s="28" t="str">
        <f>IF(OR(VLOOKUP($A50,Consolidation!$A:D,4,0)=0,VLOOKUP($A50,Consolidation!$A:D,4,0)=""),"No","Yes")</f>
        <v>Yes</v>
      </c>
      <c r="D50" s="28" t="str">
        <f>IF(OR(VLOOKUP($A50,Consolidation!$A:F,6,0)=0,VLOOKUP($A50,Consolidation!$A:F,6,0)=""),"No","Yes")</f>
        <v>No</v>
      </c>
      <c r="E50" s="28" t="str">
        <f>IF(OR(VLOOKUP($A50,Consolidation!$A:H,8,0)=0,VLOOKUP($A50,Consolidation!$A:H,8,0)=""),"No","Yes")</f>
        <v>No</v>
      </c>
      <c r="F50" s="28" t="str">
        <f>IF(OR(VLOOKUP($A50,Consolidation!$A:J,10,0)=0,VLOOKUP($A50,Consolidation!$A:J,10,0)=""),"No","Yes")</f>
        <v>No</v>
      </c>
      <c r="G50" s="28" t="str">
        <f>VLOOKUP(A50,Consolidation!A:P,16,0)</f>
        <v>No</v>
      </c>
      <c r="H50" s="28">
        <f>VLOOKUP(A50,Consolidation!A:O,14,0)</f>
        <v>7</v>
      </c>
      <c r="I50" s="28" t="str">
        <f>VLOOKUP(A50,Consolidation!A:O,15,0)</f>
        <v>Index Fields Source: FactSet</v>
      </c>
    </row>
    <row r="51" spans="1:9" ht="72.5">
      <c r="A51" s="28" t="s">
        <v>20</v>
      </c>
      <c r="B51" s="28" t="str">
        <f>IF(OR(VLOOKUP($A51,Consolidation!$A:B,2,0)=0,VLOOKUP($A51,Consolidation!$A:B,2,0)=""),"No","Yes")</f>
        <v>No</v>
      </c>
      <c r="C51" s="28" t="str">
        <f>IF(OR(VLOOKUP($A51,Consolidation!$A:D,4,0)=0,VLOOKUP($A51,Consolidation!$A:D,4,0)=""),"No","Yes")</f>
        <v>Yes</v>
      </c>
      <c r="D51" s="28" t="str">
        <f>IF(OR(VLOOKUP($A51,Consolidation!$A:F,6,0)=0,VLOOKUP($A51,Consolidation!$A:F,6,0)=""),"No","Yes")</f>
        <v>Yes</v>
      </c>
      <c r="E51" s="28" t="str">
        <f>IF(OR(VLOOKUP($A51,Consolidation!$A:H,8,0)=0,VLOOKUP($A51,Consolidation!$A:H,8,0)=""),"No","Yes")</f>
        <v>No</v>
      </c>
      <c r="F51" s="28" t="str">
        <f>IF(OR(VLOOKUP($A51,Consolidation!$A:J,10,0)=0,VLOOKUP($A51,Consolidation!$A:J,10,0)=""),"No","Yes")</f>
        <v>Yes</v>
      </c>
      <c r="G51" s="28" t="str">
        <f>VLOOKUP(A51,Consolidation!A:P,16,0)</f>
        <v>No</v>
      </c>
      <c r="H51" s="28">
        <f>VLOOKUP(A51,Consolidation!A:O,14,0)</f>
        <v>10</v>
      </c>
      <c r="I51" s="28" t="str">
        <f>VLOOKUP(A51,Consolidation!A:O,15,0)</f>
        <v>Index Fields Source: FactSet
Shariah DataFeed Fields Source: Factset
Purification &amp; Zakat Fields Source: Reuters</v>
      </c>
    </row>
    <row r="52" spans="1:9" ht="58">
      <c r="A52" s="28" t="s">
        <v>25</v>
      </c>
      <c r="B52" s="28" t="str">
        <f>IF(OR(VLOOKUP($A52,Consolidation!$A:B,2,0)=0,VLOOKUP($A52,Consolidation!$A:B,2,0)=""),"No","Yes")</f>
        <v>No</v>
      </c>
      <c r="C52" s="28" t="str">
        <f>IF(OR(VLOOKUP($A52,Consolidation!$A:D,4,0)=0,VLOOKUP($A52,Consolidation!$A:D,4,0)=""),"No","Yes")</f>
        <v>No</v>
      </c>
      <c r="D52" s="28" t="str">
        <f>IF(OR(VLOOKUP($A52,Consolidation!$A:F,6,0)=0,VLOOKUP($A52,Consolidation!$A:F,6,0)=""),"No","Yes")</f>
        <v>Yes</v>
      </c>
      <c r="E52" s="28" t="str">
        <f>IF(OR(VLOOKUP($A52,Consolidation!$A:H,8,0)=0,VLOOKUP($A52,Consolidation!$A:H,8,0)=""),"No","Yes")</f>
        <v>No</v>
      </c>
      <c r="F52" s="28" t="str">
        <f>IF(OR(VLOOKUP($A52,Consolidation!$A:J,10,0)=0,VLOOKUP($A52,Consolidation!$A:J,10,0)=""),"No","Yes")</f>
        <v>Yes</v>
      </c>
      <c r="G52" s="28" t="str">
        <f>VLOOKUP(A52,Consolidation!A:P,16,0)</f>
        <v>No</v>
      </c>
      <c r="H52" s="28">
        <f>VLOOKUP(A52,Consolidation!A:O,14,0)</f>
        <v>5</v>
      </c>
      <c r="I52" s="28" t="str">
        <f>VLOOKUP(A52,Consolidation!A:O,15,0)</f>
        <v>Shariah DataFeed Fields Source: Reuters
Purification &amp; Zakat Fields Source: Reuters</v>
      </c>
    </row>
    <row r="53" spans="1:9" ht="29">
      <c r="A53" s="28" t="s">
        <v>10</v>
      </c>
      <c r="B53" s="28" t="str">
        <f>IF(OR(VLOOKUP($A53,Consolidation!$A:B,2,0)=0,VLOOKUP($A53,Consolidation!$A:B,2,0)=""),"No","Yes")</f>
        <v>No</v>
      </c>
      <c r="C53" s="28" t="str">
        <f>IF(OR(VLOOKUP($A53,Consolidation!$A:D,4,0)=0,VLOOKUP($A53,Consolidation!$A:D,4,0)=""),"No","Yes")</f>
        <v>No</v>
      </c>
      <c r="D53" s="28" t="str">
        <f>IF(OR(VLOOKUP($A53,Consolidation!$A:F,6,0)=0,VLOOKUP($A53,Consolidation!$A:F,6,0)=""),"No","Yes")</f>
        <v>Yes</v>
      </c>
      <c r="E53" s="28" t="str">
        <f>IF(OR(VLOOKUP($A53,Consolidation!$A:H,8,0)=0,VLOOKUP($A53,Consolidation!$A:H,8,0)=""),"No","Yes")</f>
        <v>No</v>
      </c>
      <c r="F53" s="28" t="str">
        <f>IF(OR(VLOOKUP($A53,Consolidation!$A:J,10,0)=0,VLOOKUP($A53,Consolidation!$A:J,10,0)=""),"No","Yes")</f>
        <v>No</v>
      </c>
      <c r="G53" s="28" t="str">
        <f>VLOOKUP(A53,Consolidation!A:P,16,0)</f>
        <v>No</v>
      </c>
      <c r="H53" s="28">
        <f>VLOOKUP(A53,Consolidation!A:O,14,0)</f>
        <v>12</v>
      </c>
      <c r="I53" s="28" t="str">
        <f>VLOOKUP(A53,Consolidation!A:O,15,0)</f>
        <v>Shariah DataFeed Fields Source: Factset</v>
      </c>
    </row>
    <row r="54" spans="1:9">
      <c r="A54" s="28" t="s">
        <v>227</v>
      </c>
      <c r="B54" s="28" t="e">
        <f>IF(OR(VLOOKUP($A54,Consolidation!$A:B,2,0)=0,VLOOKUP($A54,Consolidation!$A:B,2,0)=""),"No","Yes")</f>
        <v>#N/A</v>
      </c>
      <c r="C54" s="28" t="e">
        <f>IF(OR(VLOOKUP($A54,Consolidation!$A:D,4,0)=0,VLOOKUP($A54,Consolidation!$A:D,4,0)=""),"No","Yes")</f>
        <v>#N/A</v>
      </c>
      <c r="D54" s="28" t="e">
        <f>IF(OR(VLOOKUP($A54,Consolidation!$A:F,6,0)=0,VLOOKUP($A54,Consolidation!$A:F,6,0)=""),"No","Yes")</f>
        <v>#N/A</v>
      </c>
      <c r="E54" s="28" t="e">
        <f>IF(OR(VLOOKUP($A54,Consolidation!$A:H,8,0)=0,VLOOKUP($A54,Consolidation!$A:H,8,0)=""),"No","Yes")</f>
        <v>#N/A</v>
      </c>
      <c r="F54" s="28" t="e">
        <f>IF(OR(VLOOKUP($A54,Consolidation!$A:J,10,0)=0,VLOOKUP($A54,Consolidation!$A:J,10,0)=""),"No","Yes")</f>
        <v>#N/A</v>
      </c>
      <c r="G54" s="28" t="e">
        <f>VLOOKUP(A54,Consolidation!A:P,16,0)</f>
        <v>#N/A</v>
      </c>
      <c r="H54" s="28" t="e">
        <f>VLOOKUP(A54,Consolidation!A:O,14,0)</f>
        <v>#N/A</v>
      </c>
      <c r="I54" s="28" t="e">
        <f>VLOOKUP(A54,Consolidation!A:O,15,0)</f>
        <v>#N/A</v>
      </c>
    </row>
    <row r="55" spans="1:9" ht="43.5">
      <c r="A55" s="28" t="s">
        <v>231</v>
      </c>
      <c r="B55" s="28" t="str">
        <f>IF(OR(VLOOKUP($A55,Consolidation!$A:B,2,0)=0,VLOOKUP($A55,Consolidation!$A:B,2,0)=""),"No","Yes")</f>
        <v>No</v>
      </c>
      <c r="C55" s="28" t="str">
        <f>IF(OR(VLOOKUP($A55,Consolidation!$A:D,4,0)=0,VLOOKUP($A55,Consolidation!$A:D,4,0)=""),"No","Yes")</f>
        <v>No</v>
      </c>
      <c r="D55" s="28" t="str">
        <f>IF(OR(VLOOKUP($A55,Consolidation!$A:F,6,0)=0,VLOOKUP($A55,Consolidation!$A:F,6,0)=""),"No","Yes")</f>
        <v>No</v>
      </c>
      <c r="E55" s="28" t="str">
        <f>IF(OR(VLOOKUP($A55,Consolidation!$A:H,8,0)=0,VLOOKUP($A55,Consolidation!$A:H,8,0)=""),"No","Yes")</f>
        <v>Yes</v>
      </c>
      <c r="F55" s="28" t="str">
        <f>IF(OR(VLOOKUP($A55,Consolidation!$A:J,10,0)=0,VLOOKUP($A55,Consolidation!$A:J,10,0)=""),"No","Yes")</f>
        <v>Yes</v>
      </c>
      <c r="G55" s="28" t="str">
        <f>VLOOKUP(A55,Consolidation!A:P,16,0)</f>
        <v>No</v>
      </c>
      <c r="H55" s="28">
        <f>VLOOKUP(A55,Consolidation!A:O,14,0)</f>
        <v>8</v>
      </c>
      <c r="I55" s="28" t="str">
        <f>VLOOKUP(A55,Consolidation!A:O,15,0)</f>
        <v>ESG Fields Source: FactSet: NPIN
Purification &amp; Zakat Fields Source: Reuters</v>
      </c>
    </row>
    <row r="56" spans="1:9" ht="29">
      <c r="A56" s="28" t="s">
        <v>374</v>
      </c>
      <c r="B56" s="28" t="str">
        <f>IF(OR(VLOOKUP($A56,Consolidation!$A:B,2,0)=0,VLOOKUP($A56,Consolidation!$A:B,2,0)=""),"No","Yes")</f>
        <v>No</v>
      </c>
      <c r="C56" s="28" t="str">
        <f>IF(OR(VLOOKUP($A56,Consolidation!$A:D,4,0)=0,VLOOKUP($A56,Consolidation!$A:D,4,0)=""),"No","Yes")</f>
        <v>No</v>
      </c>
      <c r="D56" s="28" t="str">
        <f>IF(OR(VLOOKUP($A56,Consolidation!$A:F,6,0)=0,VLOOKUP($A56,Consolidation!$A:F,6,0)=""),"No","Yes")</f>
        <v>No</v>
      </c>
      <c r="E56" s="28" t="str">
        <f>IF(OR(VLOOKUP($A56,Consolidation!$A:H,8,0)=0,VLOOKUP($A56,Consolidation!$A:H,8,0)=""),"No","Yes")</f>
        <v>No</v>
      </c>
      <c r="F56" s="28" t="str">
        <f>IF(OR(VLOOKUP($A56,Consolidation!$A:J,10,0)=0,VLOOKUP($A56,Consolidation!$A:J,10,0)=""),"No","Yes")</f>
        <v>Yes</v>
      </c>
      <c r="G56" s="28" t="str">
        <f>VLOOKUP(A56,Consolidation!A:P,16,0)</f>
        <v>Yes</v>
      </c>
      <c r="H56" s="28">
        <f>VLOOKUP(A56,Consolidation!A:O,14,0)</f>
        <v>4</v>
      </c>
      <c r="I56" s="28" t="str">
        <f>VLOOKUP(A56,Consolidation!A:O,15,0)</f>
        <v>Purification &amp; Zakat Fields Source: Reuters</v>
      </c>
    </row>
    <row r="57" spans="1:9" ht="29">
      <c r="A57" s="28" t="s">
        <v>13</v>
      </c>
      <c r="B57" s="28" t="str">
        <f>IF(OR(VLOOKUP($A57,Consolidation!$A:B,2,0)=0,VLOOKUP($A57,Consolidation!$A:B,2,0)=""),"No","Yes")</f>
        <v>No</v>
      </c>
      <c r="C57" s="28" t="str">
        <f>IF(OR(VLOOKUP($A57,Consolidation!$A:D,4,0)=0,VLOOKUP($A57,Consolidation!$A:D,4,0)=""),"No","Yes")</f>
        <v>No</v>
      </c>
      <c r="D57" s="28" t="str">
        <f>IF(OR(VLOOKUP($A57,Consolidation!$A:F,6,0)=0,VLOOKUP($A57,Consolidation!$A:F,6,0)=""),"No","Yes")</f>
        <v>Yes</v>
      </c>
      <c r="E57" s="28" t="str">
        <f>IF(OR(VLOOKUP($A57,Consolidation!$A:H,8,0)=0,VLOOKUP($A57,Consolidation!$A:H,8,0)=""),"No","Yes")</f>
        <v>No</v>
      </c>
      <c r="F57" s="28" t="str">
        <f>IF(OR(VLOOKUP($A57,Consolidation!$A:J,10,0)=0,VLOOKUP($A57,Consolidation!$A:J,10,0)=""),"No","Yes")</f>
        <v>No</v>
      </c>
      <c r="G57" s="28" t="str">
        <f>VLOOKUP(A57,Consolidation!A:P,16,0)</f>
        <v>No</v>
      </c>
      <c r="H57" s="28">
        <f>VLOOKUP(A57,Consolidation!A:O,14,0)</f>
        <v>6</v>
      </c>
      <c r="I57" s="28" t="str">
        <f>VLOOKUP(A57,Consolidation!A:O,15,0)</f>
        <v>Shariah DataFeed Fields Source: Factset</v>
      </c>
    </row>
    <row r="58" spans="1:9">
      <c r="A58" s="28" t="s">
        <v>62</v>
      </c>
      <c r="B58" s="28" t="str">
        <f>IF(OR(VLOOKUP($A58,Consolidation!$A:B,2,0)=0,VLOOKUP($A58,Consolidation!$A:B,2,0)=""),"No","Yes")</f>
        <v>No</v>
      </c>
      <c r="C58" s="28" t="str">
        <f>IF(OR(VLOOKUP($A58,Consolidation!$A:D,4,0)=0,VLOOKUP($A58,Consolidation!$A:D,4,0)=""),"No","Yes")</f>
        <v>Yes</v>
      </c>
      <c r="D58" s="28" t="str">
        <f>IF(OR(VLOOKUP($A58,Consolidation!$A:F,6,0)=0,VLOOKUP($A58,Consolidation!$A:F,6,0)=""),"No","Yes")</f>
        <v>No</v>
      </c>
      <c r="E58" s="28" t="str">
        <f>IF(OR(VLOOKUP($A58,Consolidation!$A:H,8,0)=0,VLOOKUP($A58,Consolidation!$A:H,8,0)=""),"No","Yes")</f>
        <v>No</v>
      </c>
      <c r="F58" s="28" t="str">
        <f>IF(OR(VLOOKUP($A58,Consolidation!$A:J,10,0)=0,VLOOKUP($A58,Consolidation!$A:J,10,0)=""),"No","Yes")</f>
        <v>No</v>
      </c>
      <c r="G58" s="28" t="str">
        <f>VLOOKUP(A58,Consolidation!A:P,16,0)</f>
        <v>No</v>
      </c>
      <c r="H58" s="28">
        <f>VLOOKUP(A58,Consolidation!A:O,14,0)</f>
        <v>5</v>
      </c>
      <c r="I58" s="28" t="str">
        <f>VLOOKUP(A58,Consolidation!A:O,15,0)</f>
        <v>Index Fields Source: FactSet</v>
      </c>
    </row>
    <row r="59" spans="1:9" ht="29">
      <c r="A59" s="28" t="s">
        <v>212</v>
      </c>
      <c r="B59" s="28" t="str">
        <f>IF(OR(VLOOKUP($A59,Consolidation!$A:B,2,0)=0,VLOOKUP($A59,Consolidation!$A:B,2,0)=""),"No","Yes")</f>
        <v>No</v>
      </c>
      <c r="C59" s="28" t="str">
        <f>IF(OR(VLOOKUP($A59,Consolidation!$A:D,4,0)=0,VLOOKUP($A59,Consolidation!$A:D,4,0)=""),"No","Yes")</f>
        <v>No</v>
      </c>
      <c r="D59" s="28" t="str">
        <f>IF(OR(VLOOKUP($A59,Consolidation!$A:F,6,0)=0,VLOOKUP($A59,Consolidation!$A:F,6,0)=""),"No","Yes")</f>
        <v>No</v>
      </c>
      <c r="E59" s="28" t="str">
        <f>IF(OR(VLOOKUP($A59,Consolidation!$A:H,8,0)=0,VLOOKUP($A59,Consolidation!$A:H,8,0)=""),"No","Yes")</f>
        <v>No</v>
      </c>
      <c r="F59" s="28" t="str">
        <f>IF(OR(VLOOKUP($A59,Consolidation!$A:J,10,0)=0,VLOOKUP($A59,Consolidation!$A:J,10,0)=""),"No","Yes")</f>
        <v>Yes</v>
      </c>
      <c r="G59" s="28" t="str">
        <f>VLOOKUP(A59,Consolidation!A:P,16,0)</f>
        <v>No</v>
      </c>
      <c r="H59" s="28">
        <f>VLOOKUP(A59,Consolidation!A:O,14,0)</f>
        <v>3</v>
      </c>
      <c r="I59" s="28" t="str">
        <f>VLOOKUP(A59,Consolidation!A:O,15,0)</f>
        <v>Purification &amp; Zakat Fields Source: Reuters</v>
      </c>
    </row>
    <row r="60" spans="1:9" ht="29">
      <c r="A60" s="28" t="s">
        <v>217</v>
      </c>
      <c r="B60" s="28" t="str">
        <f>IF(OR(VLOOKUP($A60,Consolidation!$A:B,2,0)=0,VLOOKUP($A60,Consolidation!$A:B,2,0)=""),"No","Yes")</f>
        <v>No</v>
      </c>
      <c r="C60" s="28" t="str">
        <f>IF(OR(VLOOKUP($A60,Consolidation!$A:D,4,0)=0,VLOOKUP($A60,Consolidation!$A:D,4,0)=""),"No","Yes")</f>
        <v>No</v>
      </c>
      <c r="D60" s="28" t="str">
        <f>IF(OR(VLOOKUP($A60,Consolidation!$A:F,6,0)=0,VLOOKUP($A60,Consolidation!$A:F,6,0)=""),"No","Yes")</f>
        <v>No</v>
      </c>
      <c r="E60" s="28" t="str">
        <f>IF(OR(VLOOKUP($A60,Consolidation!$A:H,8,0)=0,VLOOKUP($A60,Consolidation!$A:H,8,0)=""),"No","Yes")</f>
        <v>No</v>
      </c>
      <c r="F60" s="28" t="str">
        <f>IF(OR(VLOOKUP($A60,Consolidation!$A:J,10,0)=0,VLOOKUP($A60,Consolidation!$A:J,10,0)=""),"No","Yes")</f>
        <v>Yes</v>
      </c>
      <c r="G60" s="28" t="str">
        <f>VLOOKUP(A60,Consolidation!A:P,16,0)</f>
        <v>No</v>
      </c>
      <c r="H60" s="28">
        <f>VLOOKUP(A60,Consolidation!A:O,14,0)</f>
        <v>3</v>
      </c>
      <c r="I60" s="28" t="str">
        <f>VLOOKUP(A60,Consolidation!A:O,15,0)</f>
        <v>Purification &amp; Zakat Fields Source: Reuters</v>
      </c>
    </row>
    <row r="61" spans="1:9" ht="29">
      <c r="A61" s="28" t="s">
        <v>223</v>
      </c>
      <c r="B61" s="28" t="str">
        <f>IF(OR(VLOOKUP($A61,Consolidation!$A:B,2,0)=0,VLOOKUP($A61,Consolidation!$A:B,2,0)=""),"No","Yes")</f>
        <v>No</v>
      </c>
      <c r="C61" s="28" t="str">
        <f>IF(OR(VLOOKUP($A61,Consolidation!$A:D,4,0)=0,VLOOKUP($A61,Consolidation!$A:D,4,0)=""),"No","Yes")</f>
        <v>No</v>
      </c>
      <c r="D61" s="28" t="str">
        <f>IF(OR(VLOOKUP($A61,Consolidation!$A:F,6,0)=0,VLOOKUP($A61,Consolidation!$A:F,6,0)=""),"No","Yes")</f>
        <v>No</v>
      </c>
      <c r="E61" s="28" t="str">
        <f>IF(OR(VLOOKUP($A61,Consolidation!$A:H,8,0)=0,VLOOKUP($A61,Consolidation!$A:H,8,0)=""),"No","Yes")</f>
        <v>No</v>
      </c>
      <c r="F61" s="28" t="str">
        <f>IF(OR(VLOOKUP($A61,Consolidation!$A:J,10,0)=0,VLOOKUP($A61,Consolidation!$A:J,10,0)=""),"No","Yes")</f>
        <v>Yes</v>
      </c>
      <c r="G61" s="28" t="str">
        <f>VLOOKUP(A61,Consolidation!A:P,16,0)</f>
        <v>No</v>
      </c>
      <c r="H61" s="28">
        <f>VLOOKUP(A61,Consolidation!A:O,14,0)</f>
        <v>3</v>
      </c>
      <c r="I61" s="28" t="str">
        <f>VLOOKUP(A61,Consolidation!A:O,15,0)</f>
        <v>Purification &amp; Zakat Fields Source: Reuters</v>
      </c>
    </row>
    <row r="62" spans="1:9" ht="29">
      <c r="A62" s="28" t="s">
        <v>14</v>
      </c>
      <c r="B62" s="28" t="str">
        <f>IF(OR(VLOOKUP($A62,Consolidation!$A:B,2,0)=0,VLOOKUP($A62,Consolidation!$A:B,2,0)=""),"No","Yes")</f>
        <v>No</v>
      </c>
      <c r="C62" s="28" t="str">
        <f>IF(OR(VLOOKUP($A62,Consolidation!$A:D,4,0)=0,VLOOKUP($A62,Consolidation!$A:D,4,0)=""),"No","Yes")</f>
        <v>No</v>
      </c>
      <c r="D62" s="28" t="str">
        <f>IF(OR(VLOOKUP($A62,Consolidation!$A:F,6,0)=0,VLOOKUP($A62,Consolidation!$A:F,6,0)=""),"No","Yes")</f>
        <v>Yes</v>
      </c>
      <c r="E62" s="28" t="str">
        <f>IF(OR(VLOOKUP($A62,Consolidation!$A:H,8,0)=0,VLOOKUP($A62,Consolidation!$A:H,8,0)=""),"No","Yes")</f>
        <v>No</v>
      </c>
      <c r="F62" s="28" t="str">
        <f>IF(OR(VLOOKUP($A62,Consolidation!$A:J,10,0)=0,VLOOKUP($A62,Consolidation!$A:J,10,0)=""),"No","Yes")</f>
        <v>No</v>
      </c>
      <c r="G62" s="28" t="str">
        <f>VLOOKUP(A62,Consolidation!A:P,16,0)</f>
        <v>No</v>
      </c>
      <c r="H62" s="28">
        <f>VLOOKUP(A62,Consolidation!A:O,14,0)</f>
        <v>4</v>
      </c>
      <c r="I62" s="28" t="str">
        <f>VLOOKUP(A62,Consolidation!A:O,15,0)</f>
        <v>Shariah DataFeed Fields Source: Factset</v>
      </c>
    </row>
    <row r="63" spans="1:9" ht="43.5">
      <c r="A63" s="28" t="s">
        <v>30</v>
      </c>
      <c r="B63" s="28" t="str">
        <f>IF(OR(VLOOKUP($A63,Consolidation!$A:B,2,0)=0,VLOOKUP($A63,Consolidation!$A:B,2,0)=""),"No","Yes")</f>
        <v>No</v>
      </c>
      <c r="C63" s="28" t="str">
        <f>IF(OR(VLOOKUP($A63,Consolidation!$A:D,4,0)=0,VLOOKUP($A63,Consolidation!$A:D,4,0)=""),"No","Yes")</f>
        <v>Yes</v>
      </c>
      <c r="D63" s="28" t="str">
        <f>IF(OR(VLOOKUP($A63,Consolidation!$A:F,6,0)=0,VLOOKUP($A63,Consolidation!$A:F,6,0)=""),"No","Yes")</f>
        <v>Yes</v>
      </c>
      <c r="E63" s="28" t="str">
        <f>IF(OR(VLOOKUP($A63,Consolidation!$A:H,8,0)=0,VLOOKUP($A63,Consolidation!$A:H,8,0)=""),"No","Yes")</f>
        <v>No</v>
      </c>
      <c r="F63" s="28" t="str">
        <f>IF(OR(VLOOKUP($A63,Consolidation!$A:J,10,0)=0,VLOOKUP($A63,Consolidation!$A:J,10,0)=""),"No","Yes")</f>
        <v>No</v>
      </c>
      <c r="G63" s="28" t="str">
        <f>VLOOKUP(A63,Consolidation!A:P,16,0)</f>
        <v>Yes</v>
      </c>
      <c r="H63" s="28">
        <f>VLOOKUP(A63,Consolidation!A:O,14,0)</f>
        <v>25</v>
      </c>
      <c r="I63" s="28" t="str">
        <f>VLOOKUP(A63,Consolidation!A:O,15,0)</f>
        <v>Index Fields Source: FactSet
Shariah DataFeed Fields Source: Reuters</v>
      </c>
    </row>
    <row r="64" spans="1:9" ht="29">
      <c r="A64" s="28" t="s">
        <v>232</v>
      </c>
      <c r="B64" s="28" t="str">
        <f>IF(OR(VLOOKUP($A64,Consolidation!$A:B,2,0)=0,VLOOKUP($A64,Consolidation!$A:B,2,0)=""),"No","Yes")</f>
        <v>No</v>
      </c>
      <c r="C64" s="28" t="str">
        <f>IF(OR(VLOOKUP($A64,Consolidation!$A:D,4,0)=0,VLOOKUP($A64,Consolidation!$A:D,4,0)=""),"No","Yes")</f>
        <v>No</v>
      </c>
      <c r="D64" s="28" t="str">
        <f>IF(OR(VLOOKUP($A64,Consolidation!$A:F,6,0)=0,VLOOKUP($A64,Consolidation!$A:F,6,0)=""),"No","Yes")</f>
        <v>No</v>
      </c>
      <c r="E64" s="28" t="str">
        <f>IF(OR(VLOOKUP($A64,Consolidation!$A:H,8,0)=0,VLOOKUP($A64,Consolidation!$A:H,8,0)=""),"No","Yes")</f>
        <v>No</v>
      </c>
      <c r="F64" s="28" t="str">
        <f>IF(OR(VLOOKUP($A64,Consolidation!$A:J,10,0)=0,VLOOKUP($A64,Consolidation!$A:J,10,0)=""),"No","Yes")</f>
        <v>Yes</v>
      </c>
      <c r="G64" s="28" t="str">
        <f>VLOOKUP(A64,Consolidation!A:P,16,0)</f>
        <v>Yes</v>
      </c>
      <c r="H64" s="28">
        <f>VLOOKUP(A64,Consolidation!A:O,14,0)</f>
        <v>3</v>
      </c>
      <c r="I64" s="28" t="str">
        <f>VLOOKUP(A64,Consolidation!A:O,15,0)</f>
        <v>Purification &amp; Zakat Fields Source: Reuters</v>
      </c>
    </row>
    <row r="65" spans="1:9" ht="29">
      <c r="A65" s="28" t="s">
        <v>31</v>
      </c>
      <c r="B65" s="28" t="str">
        <f>IF(OR(VLOOKUP($A65,Consolidation!$A:B,2,0)=0,VLOOKUP($A65,Consolidation!$A:B,2,0)=""),"No","Yes")</f>
        <v>No</v>
      </c>
      <c r="C65" s="28" t="str">
        <f>IF(OR(VLOOKUP($A65,Consolidation!$A:D,4,0)=0,VLOOKUP($A65,Consolidation!$A:D,4,0)=""),"No","Yes")</f>
        <v>No</v>
      </c>
      <c r="D65" s="28" t="str">
        <f>IF(OR(VLOOKUP($A65,Consolidation!$A:F,6,0)=0,VLOOKUP($A65,Consolidation!$A:F,6,0)=""),"No","Yes")</f>
        <v>Yes</v>
      </c>
      <c r="E65" s="28" t="str">
        <f>IF(OR(VLOOKUP($A65,Consolidation!$A:H,8,0)=0,VLOOKUP($A65,Consolidation!$A:H,8,0)=""),"No","Yes")</f>
        <v>No</v>
      </c>
      <c r="F65" s="28" t="str">
        <f>IF(OR(VLOOKUP($A65,Consolidation!$A:J,10,0)=0,VLOOKUP($A65,Consolidation!$A:J,10,0)=""),"No","Yes")</f>
        <v>No</v>
      </c>
      <c r="G65" s="28" t="str">
        <f>VLOOKUP(A65,Consolidation!A:P,16,0)</f>
        <v>Yes</v>
      </c>
      <c r="H65" s="28">
        <f>VLOOKUP(A65,Consolidation!A:O,14,0)</f>
        <v>4</v>
      </c>
      <c r="I65" s="28" t="str">
        <f>VLOOKUP(A65,Consolidation!A:O,15,0)</f>
        <v>Shariah DataFeed Fields Source: Reuters</v>
      </c>
    </row>
    <row r="66" spans="1:9">
      <c r="A66" s="28" t="s">
        <v>63</v>
      </c>
      <c r="B66" s="28" t="str">
        <f>IF(OR(VLOOKUP($A66,Consolidation!$A:B,2,0)=0,VLOOKUP($A66,Consolidation!$A:B,2,0)=""),"No","Yes")</f>
        <v>No</v>
      </c>
      <c r="C66" s="28" t="str">
        <f>IF(OR(VLOOKUP($A66,Consolidation!$A:D,4,0)=0,VLOOKUP($A66,Consolidation!$A:D,4,0)=""),"No","Yes")</f>
        <v>Yes</v>
      </c>
      <c r="D66" s="28" t="str">
        <f>IF(OR(VLOOKUP($A66,Consolidation!$A:F,6,0)=0,VLOOKUP($A66,Consolidation!$A:F,6,0)=""),"No","Yes")</f>
        <v>No</v>
      </c>
      <c r="E66" s="28" t="str">
        <f>IF(OR(VLOOKUP($A66,Consolidation!$A:H,8,0)=0,VLOOKUP($A66,Consolidation!$A:H,8,0)=""),"No","Yes")</f>
        <v>No</v>
      </c>
      <c r="F66" s="28" t="str">
        <f>IF(OR(VLOOKUP($A66,Consolidation!$A:J,10,0)=0,VLOOKUP($A66,Consolidation!$A:J,10,0)=""),"No","Yes")</f>
        <v>No</v>
      </c>
      <c r="G66" s="28" t="str">
        <f>VLOOKUP(A66,Consolidation!A:P,16,0)</f>
        <v>No</v>
      </c>
      <c r="H66" s="28">
        <f>VLOOKUP(A66,Consolidation!A:O,14,0)</f>
        <v>5</v>
      </c>
      <c r="I66" s="28" t="str">
        <f>VLOOKUP(A66,Consolidation!A:O,15,0)</f>
        <v>Index Fields Source: FactSet</v>
      </c>
    </row>
    <row r="67" spans="1:9" ht="14.5" customHeight="1">
      <c r="A67" s="28" t="s">
        <v>490</v>
      </c>
      <c r="B67" s="28" t="str">
        <f>IF(OR(VLOOKUP($A67,Consolidation!$A:B,2,0)=0,VLOOKUP($A67,Consolidation!$A:B,2,0)=""),"No","Yes")</f>
        <v>No</v>
      </c>
      <c r="C67" s="28" t="str">
        <f>IF(OR(VLOOKUP($A67,Consolidation!$A:D,4,0)=0,VLOOKUP($A67,Consolidation!$A:D,4,0)=""),"No","Yes")</f>
        <v>No</v>
      </c>
      <c r="D67" s="28" t="str">
        <f>IF(OR(VLOOKUP($A67,Consolidation!$A:F,6,0)=0,VLOOKUP($A67,Consolidation!$A:F,6,0)=""),"No","Yes")</f>
        <v>Yes</v>
      </c>
      <c r="E67" s="28" t="str">
        <f>IF(OR(VLOOKUP($A67,Consolidation!$A:H,8,0)=0,VLOOKUP($A67,Consolidation!$A:H,8,0)=""),"No","Yes")</f>
        <v>No</v>
      </c>
      <c r="F67" s="28" t="str">
        <f>IF(OR(VLOOKUP($A67,Consolidation!$A:J,10,0)=0,VLOOKUP($A67,Consolidation!$A:J,10,0)=""),"No","Yes")</f>
        <v>No</v>
      </c>
      <c r="G67" s="28" t="str">
        <f>VLOOKUP(A67,Consolidation!A:P,16,0)</f>
        <v>No</v>
      </c>
      <c r="H67" s="28">
        <f>VLOOKUP(A67,Consolidation!A:O,14,0)</f>
        <v>3</v>
      </c>
      <c r="I67" s="28" t="str">
        <f>VLOOKUP(A67,Consolidation!A:O,15,0)</f>
        <v>Shariah DataFeed Fields Source: Factset</v>
      </c>
    </row>
    <row r="68" spans="1:9" ht="29">
      <c r="A68" s="28" t="s">
        <v>148</v>
      </c>
      <c r="B68" s="28" t="str">
        <f>IF(OR(VLOOKUP($A68,Consolidation!$A:B,2,0)=0,VLOOKUP($A68,Consolidation!$A:B,2,0)=""),"No","Yes")</f>
        <v>No</v>
      </c>
      <c r="C68" s="28" t="str">
        <f>IF(OR(VLOOKUP($A68,Consolidation!$A:D,4,0)=0,VLOOKUP($A68,Consolidation!$A:D,4,0)=""),"No","Yes")</f>
        <v>No</v>
      </c>
      <c r="D68" s="28" t="str">
        <f>IF(OR(VLOOKUP($A68,Consolidation!$A:F,6,0)=0,VLOOKUP($A68,Consolidation!$A:F,6,0)=""),"No","Yes")</f>
        <v>Yes</v>
      </c>
      <c r="E68" s="28" t="str">
        <f>IF(OR(VLOOKUP($A68,Consolidation!$A:H,8,0)=0,VLOOKUP($A68,Consolidation!$A:H,8,0)=""),"No","Yes")</f>
        <v>No</v>
      </c>
      <c r="F68" s="28" t="str">
        <f>IF(OR(VLOOKUP($A68,Consolidation!$A:J,10,0)=0,VLOOKUP($A68,Consolidation!$A:J,10,0)=""),"No","Yes")</f>
        <v>No</v>
      </c>
      <c r="G68" s="28" t="str">
        <f>VLOOKUP(A68,Consolidation!A:P,16,0)</f>
        <v>No</v>
      </c>
      <c r="H68" s="28">
        <f>VLOOKUP(A68,Consolidation!A:O,14,0)</f>
        <v>16</v>
      </c>
      <c r="I68" s="28" t="str">
        <f>VLOOKUP(A68,Consolidation!A:O,15,0)</f>
        <v>Shariah DataFeed Fields Source: IdealRatings</v>
      </c>
    </row>
    <row r="69" spans="1:9" ht="29">
      <c r="A69" s="28" t="s">
        <v>40</v>
      </c>
      <c r="B69" s="28" t="str">
        <f>IF(OR(VLOOKUP($A69,Consolidation!$A:B,2,0)=0,VLOOKUP($A69,Consolidation!$A:B,2,0)=""),"No","Yes")</f>
        <v>No</v>
      </c>
      <c r="C69" s="28" t="str">
        <f>IF(OR(VLOOKUP($A69,Consolidation!$A:D,4,0)=0,VLOOKUP($A69,Consolidation!$A:D,4,0)=""),"No","Yes")</f>
        <v>No</v>
      </c>
      <c r="D69" s="28" t="str">
        <f>IF(OR(VLOOKUP($A69,Consolidation!$A:F,6,0)=0,VLOOKUP($A69,Consolidation!$A:F,6,0)=""),"No","Yes")</f>
        <v>Yes</v>
      </c>
      <c r="E69" s="28" t="str">
        <f>IF(OR(VLOOKUP($A69,Consolidation!$A:H,8,0)=0,VLOOKUP($A69,Consolidation!$A:H,8,0)=""),"No","Yes")</f>
        <v>No</v>
      </c>
      <c r="F69" s="28" t="str">
        <f>IF(OR(VLOOKUP($A69,Consolidation!$A:J,10,0)=0,VLOOKUP($A69,Consolidation!$A:J,10,0)=""),"No","Yes")</f>
        <v>No</v>
      </c>
      <c r="G69" s="28" t="str">
        <f>VLOOKUP(A69,Consolidation!A:P,16,0)</f>
        <v>No</v>
      </c>
      <c r="H69" s="28">
        <f>VLOOKUP(A69,Consolidation!A:O,14,0)</f>
        <v>12</v>
      </c>
      <c r="I69" s="28" t="str">
        <f>VLOOKUP(A69,Consolidation!A:O,15,0)</f>
        <v>Shariah DataFeed Fields Source: IdealRatings</v>
      </c>
    </row>
    <row r="70" spans="1:9" ht="29">
      <c r="A70" s="28" t="s">
        <v>7</v>
      </c>
      <c r="B70" s="28" t="str">
        <f>IF(OR(VLOOKUP($A70,Consolidation!$A:B,2,0)=0,VLOOKUP($A70,Consolidation!$A:B,2,0)=""),"No","Yes")</f>
        <v>No</v>
      </c>
      <c r="C70" s="28" t="str">
        <f>IF(OR(VLOOKUP($A70,Consolidation!$A:D,4,0)=0,VLOOKUP($A70,Consolidation!$A:D,4,0)=""),"No","Yes")</f>
        <v>No</v>
      </c>
      <c r="D70" s="28" t="str">
        <f>IF(OR(VLOOKUP($A70,Consolidation!$A:F,6,0)=0,VLOOKUP($A70,Consolidation!$A:F,6,0)=""),"No","Yes")</f>
        <v>Yes</v>
      </c>
      <c r="E70" s="28" t="str">
        <f>IF(OR(VLOOKUP($A70,Consolidation!$A:H,8,0)=0,VLOOKUP($A70,Consolidation!$A:H,8,0)=""),"No","Yes")</f>
        <v>No</v>
      </c>
      <c r="F70" s="28" t="str">
        <f>IF(OR(VLOOKUP($A70,Consolidation!$A:J,10,0)=0,VLOOKUP($A70,Consolidation!$A:J,10,0)=""),"No","Yes")</f>
        <v>No</v>
      </c>
      <c r="G70" s="28" t="str">
        <f>VLOOKUP(A70,Consolidation!A:P,16,0)</f>
        <v>No</v>
      </c>
      <c r="H70" s="28">
        <f>VLOOKUP(A70,Consolidation!A:O,14,0)</f>
        <v>3</v>
      </c>
      <c r="I70" s="28" t="str">
        <f>VLOOKUP(A70,Consolidation!A:O,15,0)</f>
        <v>Shariah DataFeed Fields Source: Factset</v>
      </c>
    </row>
    <row r="71" spans="1:9">
      <c r="A71" s="28" t="s">
        <v>64</v>
      </c>
      <c r="B71" s="28" t="str">
        <f>IF(OR(VLOOKUP($A71,Consolidation!$A:B,2,0)=0,VLOOKUP($A71,Consolidation!$A:B,2,0)=""),"No","Yes")</f>
        <v>No</v>
      </c>
      <c r="C71" s="28" t="str">
        <f>IF(OR(VLOOKUP($A71,Consolidation!$A:D,4,0)=0,VLOOKUP($A71,Consolidation!$A:D,4,0)=""),"No","Yes")</f>
        <v>Yes</v>
      </c>
      <c r="D71" s="28" t="str">
        <f>IF(OR(VLOOKUP($A71,Consolidation!$A:F,6,0)=0,VLOOKUP($A71,Consolidation!$A:F,6,0)=""),"No","Yes")</f>
        <v>No</v>
      </c>
      <c r="E71" s="28" t="str">
        <f>IF(OR(VLOOKUP($A71,Consolidation!$A:H,8,0)=0,VLOOKUP($A71,Consolidation!$A:H,8,0)=""),"No","Yes")</f>
        <v>No</v>
      </c>
      <c r="F71" s="28" t="str">
        <f>IF(OR(VLOOKUP($A71,Consolidation!$A:J,10,0)=0,VLOOKUP($A71,Consolidation!$A:J,10,0)=""),"No","Yes")</f>
        <v>No</v>
      </c>
      <c r="G71" s="28" t="str">
        <f>VLOOKUP(A71,Consolidation!A:P,16,0)</f>
        <v>No</v>
      </c>
      <c r="H71" s="28">
        <f>VLOOKUP(A71,Consolidation!A:O,14,0)</f>
        <v>5</v>
      </c>
      <c r="I71" s="28" t="str">
        <f>VLOOKUP(A71,Consolidation!A:O,15,0)</f>
        <v>Index Fields Source: FactSet</v>
      </c>
    </row>
    <row r="72" spans="1:9" ht="29">
      <c r="A72" s="28" t="s">
        <v>41</v>
      </c>
      <c r="B72" s="28" t="str">
        <f>IF(OR(VLOOKUP($A72,Consolidation!$A:B,2,0)=0,VLOOKUP($A72,Consolidation!$A:B,2,0)=""),"No","Yes")</f>
        <v>No</v>
      </c>
      <c r="C72" s="28" t="str">
        <f>IF(OR(VLOOKUP($A72,Consolidation!$A:D,4,0)=0,VLOOKUP($A72,Consolidation!$A:D,4,0)=""),"No","Yes")</f>
        <v>No</v>
      </c>
      <c r="D72" s="28" t="str">
        <f>IF(OR(VLOOKUP($A72,Consolidation!$A:F,6,0)=0,VLOOKUP($A72,Consolidation!$A:F,6,0)=""),"No","Yes")</f>
        <v>Yes</v>
      </c>
      <c r="E72" s="28" t="str">
        <f>IF(OR(VLOOKUP($A72,Consolidation!$A:H,8,0)=0,VLOOKUP($A72,Consolidation!$A:H,8,0)=""),"No","Yes")</f>
        <v>No</v>
      </c>
      <c r="F72" s="28" t="str">
        <f>IF(OR(VLOOKUP($A72,Consolidation!$A:J,10,0)=0,VLOOKUP($A72,Consolidation!$A:J,10,0)=""),"No","Yes")</f>
        <v>No</v>
      </c>
      <c r="G72" s="28" t="str">
        <f>VLOOKUP(A72,Consolidation!A:P,16,0)</f>
        <v>Yes</v>
      </c>
      <c r="H72" s="28">
        <f>VLOOKUP(A72,Consolidation!A:O,14,0)</f>
        <v>11</v>
      </c>
      <c r="I72" s="28" t="str">
        <f>VLOOKUP(A72,Consolidation!A:O,15,0)</f>
        <v>Shariah DataFeed Fields Source: Reuters</v>
      </c>
    </row>
    <row r="73" spans="1:9" ht="29">
      <c r="A73" s="28" t="s">
        <v>18</v>
      </c>
      <c r="B73" s="28" t="str">
        <f>IF(OR(VLOOKUP($A73,Consolidation!$A:B,2,0)=0,VLOOKUP($A73,Consolidation!$A:B,2,0)=""),"No","Yes")</f>
        <v>No</v>
      </c>
      <c r="C73" s="28" t="str">
        <f>IF(OR(VLOOKUP($A73,Consolidation!$A:D,4,0)=0,VLOOKUP($A73,Consolidation!$A:D,4,0)=""),"No","Yes")</f>
        <v>No</v>
      </c>
      <c r="D73" s="28" t="str">
        <f>IF(OR(VLOOKUP($A73,Consolidation!$A:F,6,0)=0,VLOOKUP($A73,Consolidation!$A:F,6,0)=""),"No","Yes")</f>
        <v>Yes</v>
      </c>
      <c r="E73" s="28" t="str">
        <f>IF(OR(VLOOKUP($A73,Consolidation!$A:H,8,0)=0,VLOOKUP($A73,Consolidation!$A:H,8,0)=""),"No","Yes")</f>
        <v>No</v>
      </c>
      <c r="F73" s="28" t="str">
        <f>IF(OR(VLOOKUP($A73,Consolidation!$A:J,10,0)=0,VLOOKUP($A73,Consolidation!$A:J,10,0)=""),"No","Yes")</f>
        <v>No</v>
      </c>
      <c r="G73" s="28" t="str">
        <f>VLOOKUP(A73,Consolidation!A:P,16,0)</f>
        <v>No</v>
      </c>
      <c r="H73" s="28">
        <f>VLOOKUP(A73,Consolidation!A:O,14,0)</f>
        <v>4</v>
      </c>
      <c r="I73" s="28" t="str">
        <f>VLOOKUP(A73,Consolidation!A:O,15,0)</f>
        <v>Shariah DataFeed Fields Source: Factset</v>
      </c>
    </row>
    <row r="74" spans="1:9" ht="29">
      <c r="A74" s="28" t="s">
        <v>12</v>
      </c>
      <c r="B74" s="28" t="str">
        <f>IF(OR(VLOOKUP($A74,Consolidation!$A:B,2,0)=0,VLOOKUP($A74,Consolidation!$A:B,2,0)=""),"No","Yes")</f>
        <v>No</v>
      </c>
      <c r="C74" s="28" t="str">
        <f>IF(OR(VLOOKUP($A74,Consolidation!$A:D,4,0)=0,VLOOKUP($A74,Consolidation!$A:D,4,0)=""),"No","Yes")</f>
        <v>No</v>
      </c>
      <c r="D74" s="28" t="str">
        <f>IF(OR(VLOOKUP($A74,Consolidation!$A:F,6,0)=0,VLOOKUP($A74,Consolidation!$A:F,6,0)=""),"No","Yes")</f>
        <v>Yes</v>
      </c>
      <c r="E74" s="28" t="str">
        <f>IF(OR(VLOOKUP($A74,Consolidation!$A:H,8,0)=0,VLOOKUP($A74,Consolidation!$A:H,8,0)=""),"No","Yes")</f>
        <v>No</v>
      </c>
      <c r="F74" s="28" t="str">
        <f>IF(OR(VLOOKUP($A74,Consolidation!$A:J,10,0)=0,VLOOKUP($A74,Consolidation!$A:J,10,0)=""),"No","Yes")</f>
        <v>No</v>
      </c>
      <c r="G74" s="28" t="str">
        <f>VLOOKUP(A74,Consolidation!A:P,16,0)</f>
        <v>No</v>
      </c>
      <c r="H74" s="28">
        <f>VLOOKUP(A74,Consolidation!A:O,14,0)</f>
        <v>7</v>
      </c>
      <c r="I74" s="28" t="str">
        <f>VLOOKUP(A74,Consolidation!A:O,15,0)</f>
        <v>Shariah DataFeed Fields Source: Factset</v>
      </c>
    </row>
    <row r="75" spans="1:9">
      <c r="A75" s="28" t="s">
        <v>65</v>
      </c>
      <c r="B75" s="28" t="str">
        <f>IF(OR(VLOOKUP($A75,Consolidation!$A:B,2,0)=0,VLOOKUP($A75,Consolidation!$A:B,2,0)=""),"No","Yes")</f>
        <v>No</v>
      </c>
      <c r="C75" s="28" t="str">
        <f>IF(OR(VLOOKUP($A75,Consolidation!$A:D,4,0)=0,VLOOKUP($A75,Consolidation!$A:D,4,0)=""),"No","Yes")</f>
        <v>Yes</v>
      </c>
      <c r="D75" s="28" t="str">
        <f>IF(OR(VLOOKUP($A75,Consolidation!$A:F,6,0)=0,VLOOKUP($A75,Consolidation!$A:F,6,0)=""),"No","Yes")</f>
        <v>No</v>
      </c>
      <c r="E75" s="28" t="str">
        <f>IF(OR(VLOOKUP($A75,Consolidation!$A:H,8,0)=0,VLOOKUP($A75,Consolidation!$A:H,8,0)=""),"No","Yes")</f>
        <v>No</v>
      </c>
      <c r="F75" s="28" t="str">
        <f>IF(OR(VLOOKUP($A75,Consolidation!$A:J,10,0)=0,VLOOKUP($A75,Consolidation!$A:J,10,0)=""),"No","Yes")</f>
        <v>No</v>
      </c>
      <c r="G75" s="28" t="str">
        <f>VLOOKUP(A75,Consolidation!A:P,16,0)</f>
        <v>No</v>
      </c>
      <c r="H75" s="28">
        <f>VLOOKUP(A75,Consolidation!A:O,14,0)</f>
        <v>5</v>
      </c>
      <c r="I75" s="28" t="str">
        <f>VLOOKUP(A75,Consolidation!A:O,15,0)</f>
        <v>Index Fields Source: FactSet</v>
      </c>
    </row>
    <row r="76" spans="1:9" ht="29">
      <c r="A76" s="28" t="s">
        <v>43</v>
      </c>
      <c r="B76" s="28" t="str">
        <f>IF(OR(VLOOKUP($A76,Consolidation!$A:B,2,0)=0,VLOOKUP($A76,Consolidation!$A:B,2,0)=""),"No","Yes")</f>
        <v>No</v>
      </c>
      <c r="C76" s="28" t="str">
        <f>IF(OR(VLOOKUP($A76,Consolidation!$A:D,4,0)=0,VLOOKUP($A76,Consolidation!$A:D,4,0)=""),"No","Yes")</f>
        <v>No</v>
      </c>
      <c r="D76" s="28" t="str">
        <f>IF(OR(VLOOKUP($A76,Consolidation!$A:F,6,0)=0,VLOOKUP($A76,Consolidation!$A:F,6,0)=""),"No","Yes")</f>
        <v>Yes</v>
      </c>
      <c r="E76" s="28" t="str">
        <f>IF(OR(VLOOKUP($A76,Consolidation!$A:H,8,0)=0,VLOOKUP($A76,Consolidation!$A:H,8,0)=""),"No","Yes")</f>
        <v>No</v>
      </c>
      <c r="F76" s="28" t="str">
        <f>IF(OR(VLOOKUP($A76,Consolidation!$A:J,10,0)=0,VLOOKUP($A76,Consolidation!$A:J,10,0)=""),"No","Yes")</f>
        <v>No</v>
      </c>
      <c r="G76" s="28" t="str">
        <f>VLOOKUP(A76,Consolidation!A:P,16,0)</f>
        <v>Yes</v>
      </c>
      <c r="H76" s="28">
        <f>VLOOKUP(A76,Consolidation!A:O,14,0)</f>
        <v>4</v>
      </c>
      <c r="I76" s="28" t="str">
        <f>VLOOKUP(A76,Consolidation!A:O,15,0)</f>
        <v>Shariah DataFeed Fields Source: Reuters</v>
      </c>
    </row>
    <row r="77" spans="1:9" ht="29">
      <c r="A77" s="28" t="s">
        <v>15</v>
      </c>
      <c r="B77" s="28" t="str">
        <f>IF(OR(VLOOKUP($A77,Consolidation!$A:B,2,0)=0,VLOOKUP($A77,Consolidation!$A:B,2,0)=""),"No","Yes")</f>
        <v>No</v>
      </c>
      <c r="C77" s="28" t="str">
        <f>IF(OR(VLOOKUP($A77,Consolidation!$A:D,4,0)=0,VLOOKUP($A77,Consolidation!$A:D,4,0)=""),"No","Yes")</f>
        <v>No</v>
      </c>
      <c r="D77" s="28" t="str">
        <f>IF(OR(VLOOKUP($A77,Consolidation!$A:F,6,0)=0,VLOOKUP($A77,Consolidation!$A:F,6,0)=""),"No","Yes")</f>
        <v>Yes</v>
      </c>
      <c r="E77" s="28" t="str">
        <f>IF(OR(VLOOKUP($A77,Consolidation!$A:H,8,0)=0,VLOOKUP($A77,Consolidation!$A:H,8,0)=""),"No","Yes")</f>
        <v>No</v>
      </c>
      <c r="F77" s="28" t="str">
        <f>IF(OR(VLOOKUP($A77,Consolidation!$A:J,10,0)=0,VLOOKUP($A77,Consolidation!$A:J,10,0)=""),"No","Yes")</f>
        <v>No</v>
      </c>
      <c r="G77" s="28" t="str">
        <f>VLOOKUP(A77,Consolidation!A:P,16,0)</f>
        <v>No</v>
      </c>
      <c r="H77" s="28">
        <f>VLOOKUP(A77,Consolidation!A:O,14,0)</f>
        <v>13</v>
      </c>
      <c r="I77" s="28" t="str">
        <f>VLOOKUP(A77,Consolidation!A:O,15,0)</f>
        <v>Shariah DataFeed Fields Source: Reuters</v>
      </c>
    </row>
    <row r="78" spans="1:9" ht="29">
      <c r="A78" s="28" t="s">
        <v>244</v>
      </c>
      <c r="B78" s="28" t="str">
        <f>IF(OR(VLOOKUP($A78,Consolidation!$A:B,2,0)=0,VLOOKUP($A78,Consolidation!$A:B,2,0)=""),"No","Yes")</f>
        <v>No</v>
      </c>
      <c r="C78" s="28" t="str">
        <f>IF(OR(VLOOKUP($A78,Consolidation!$A:D,4,0)=0,VLOOKUP($A78,Consolidation!$A:D,4,0)=""),"No","Yes")</f>
        <v>No</v>
      </c>
      <c r="D78" s="28" t="str">
        <f>IF(OR(VLOOKUP($A78,Consolidation!$A:F,6,0)=0,VLOOKUP($A78,Consolidation!$A:F,6,0)=""),"No","Yes")</f>
        <v>No</v>
      </c>
      <c r="E78" s="28" t="str">
        <f>IF(OR(VLOOKUP($A78,Consolidation!$A:H,8,0)=0,VLOOKUP($A78,Consolidation!$A:H,8,0)=""),"No","Yes")</f>
        <v>No</v>
      </c>
      <c r="F78" s="28" t="str">
        <f>IF(OR(VLOOKUP($A78,Consolidation!$A:J,10,0)=0,VLOOKUP($A78,Consolidation!$A:J,10,0)=""),"No","Yes")</f>
        <v>Yes</v>
      </c>
      <c r="G78" s="28" t="str">
        <f>VLOOKUP(A78,Consolidation!A:P,16,0)</f>
        <v>No</v>
      </c>
      <c r="H78" s="28">
        <f>VLOOKUP(A78,Consolidation!A:O,14,0)</f>
        <v>3</v>
      </c>
      <c r="I78" s="28" t="str">
        <f>VLOOKUP(A78,Consolidation!A:O,15,0)</f>
        <v>Purification &amp; Zakat Fields Source: Reuters</v>
      </c>
    </row>
    <row r="79" spans="1:9" ht="29">
      <c r="A79" s="28" t="s">
        <v>137</v>
      </c>
      <c r="B79" s="28" t="str">
        <f>IF(OR(VLOOKUP($A79,Consolidation!$A:B,2,0)=0,VLOOKUP($A79,Consolidation!$A:B,2,0)=""),"No","Yes")</f>
        <v>No</v>
      </c>
      <c r="C79" s="28" t="str">
        <f>IF(OR(VLOOKUP($A79,Consolidation!$A:D,4,0)=0,VLOOKUP($A79,Consolidation!$A:D,4,0)=""),"No","Yes")</f>
        <v>No</v>
      </c>
      <c r="D79" s="28" t="str">
        <f>IF(OR(VLOOKUP($A79,Consolidation!$A:F,6,0)=0,VLOOKUP($A79,Consolidation!$A:F,6,0)=""),"No","Yes")</f>
        <v>Yes</v>
      </c>
      <c r="E79" s="28" t="str">
        <f>IF(OR(VLOOKUP($A79,Consolidation!$A:H,8,0)=0,VLOOKUP($A79,Consolidation!$A:H,8,0)=""),"No","Yes")</f>
        <v>No</v>
      </c>
      <c r="F79" s="28" t="str">
        <f>IF(OR(VLOOKUP($A79,Consolidation!$A:J,10,0)=0,VLOOKUP($A79,Consolidation!$A:J,10,0)=""),"No","Yes")</f>
        <v>No</v>
      </c>
      <c r="G79" s="28" t="str">
        <f>VLOOKUP(A79,Consolidation!A:P,16,0)</f>
        <v>No</v>
      </c>
      <c r="H79" s="28">
        <f>VLOOKUP(A79,Consolidation!A:O,14,0)</f>
        <v>5</v>
      </c>
      <c r="I79" s="28" t="str">
        <f>VLOOKUP(A79,Consolidation!A:O,15,0)</f>
        <v>Shariah DataFeed Fields Source: Reuters</v>
      </c>
    </row>
    <row r="80" spans="1:9">
      <c r="A80" s="28" t="s">
        <v>278</v>
      </c>
      <c r="B80" s="28" t="str">
        <f>IF(OR(VLOOKUP($A80,Consolidation!$A:B,2,0)=0,VLOOKUP($A80,Consolidation!$A:B,2,0)=""),"No","Yes")</f>
        <v>Yes</v>
      </c>
      <c r="C80" s="28" t="str">
        <f>IF(OR(VLOOKUP($A80,Consolidation!$A:D,4,0)=0,VLOOKUP($A80,Consolidation!$A:D,4,0)=""),"No","Yes")</f>
        <v>No</v>
      </c>
      <c r="D80" s="28" t="str">
        <f>IF(OR(VLOOKUP($A80,Consolidation!$A:F,6,0)=0,VLOOKUP($A80,Consolidation!$A:F,6,0)=""),"No","Yes")</f>
        <v>No</v>
      </c>
      <c r="E80" s="28" t="str">
        <f>IF(OR(VLOOKUP($A80,Consolidation!$A:H,8,0)=0,VLOOKUP($A80,Consolidation!$A:H,8,0)=""),"No","Yes")</f>
        <v>No</v>
      </c>
      <c r="F80" s="28" t="str">
        <f>IF(OR(VLOOKUP($A80,Consolidation!$A:J,10,0)=0,VLOOKUP($A80,Consolidation!$A:J,10,0)=""),"No","Yes")</f>
        <v>No</v>
      </c>
      <c r="G80" s="28" t="str">
        <f>VLOOKUP(A80,Consolidation!A:P,16,0)</f>
        <v>No</v>
      </c>
      <c r="H80" s="28">
        <f>VLOOKUP(A80,Consolidation!A:O,14,0)</f>
        <v>7</v>
      </c>
      <c r="I80" s="28" t="str">
        <f>VLOOKUP(A80,Consolidation!A:O,15,0)</f>
        <v>Boursa Fields Source: Reuters</v>
      </c>
    </row>
    <row r="81" spans="1:9" ht="29">
      <c r="A81" s="28" t="s">
        <v>241</v>
      </c>
      <c r="B81" s="28" t="str">
        <f>IF(OR(VLOOKUP($A81,Consolidation!$A:B,2,0)=0,VLOOKUP($A81,Consolidation!$A:B,2,0)=""),"No","Yes")</f>
        <v>No</v>
      </c>
      <c r="C81" s="28" t="str">
        <f>IF(OR(VLOOKUP($A81,Consolidation!$A:D,4,0)=0,VLOOKUP($A81,Consolidation!$A:D,4,0)=""),"No","Yes")</f>
        <v>No</v>
      </c>
      <c r="D81" s="28" t="str">
        <f>IF(OR(VLOOKUP($A81,Consolidation!$A:F,6,0)=0,VLOOKUP($A81,Consolidation!$A:F,6,0)=""),"No","Yes")</f>
        <v>No</v>
      </c>
      <c r="E81" s="28" t="str">
        <f>IF(OR(VLOOKUP($A81,Consolidation!$A:H,8,0)=0,VLOOKUP($A81,Consolidation!$A:H,8,0)=""),"No","Yes")</f>
        <v>No</v>
      </c>
      <c r="F81" s="28" t="str">
        <f>IF(OR(VLOOKUP($A81,Consolidation!$A:J,10,0)=0,VLOOKUP($A81,Consolidation!$A:J,10,0)=""),"No","Yes")</f>
        <v>Yes</v>
      </c>
      <c r="G81" s="28" t="str">
        <f>VLOOKUP(A81,Consolidation!A:P,16,0)</f>
        <v>No</v>
      </c>
      <c r="H81" s="28">
        <f>VLOOKUP(A81,Consolidation!A:O,14,0)</f>
        <v>2</v>
      </c>
      <c r="I81" s="28" t="str">
        <f>VLOOKUP(A81,Consolidation!A:O,15,0)</f>
        <v>Purification &amp; Zakat Fields Source: Reuters</v>
      </c>
    </row>
    <row r="82" spans="1:9" ht="29">
      <c r="A82" s="28" t="s">
        <v>24</v>
      </c>
      <c r="B82" s="28" t="str">
        <f>IF(OR(VLOOKUP($A82,Consolidation!$A:B,2,0)=0,VLOOKUP($A82,Consolidation!$A:B,2,0)=""),"No","Yes")</f>
        <v>No</v>
      </c>
      <c r="C82" s="28" t="str">
        <f>IF(OR(VLOOKUP($A82,Consolidation!$A:D,4,0)=0,VLOOKUP($A82,Consolidation!$A:D,4,0)=""),"No","Yes")</f>
        <v>No</v>
      </c>
      <c r="D82" s="28" t="str">
        <f>IF(OR(VLOOKUP($A82,Consolidation!$A:F,6,0)=0,VLOOKUP($A82,Consolidation!$A:F,6,0)=""),"No","Yes")</f>
        <v>Yes</v>
      </c>
      <c r="E82" s="28" t="str">
        <f>IF(OR(VLOOKUP($A82,Consolidation!$A:H,8,0)=0,VLOOKUP($A82,Consolidation!$A:H,8,0)=""),"No","Yes")</f>
        <v>No</v>
      </c>
      <c r="F82" s="28" t="str">
        <f>IF(OR(VLOOKUP($A82,Consolidation!$A:J,10,0)=0,VLOOKUP($A82,Consolidation!$A:J,10,0)=""),"No","Yes")</f>
        <v>No</v>
      </c>
      <c r="G82" s="28" t="str">
        <f>VLOOKUP(A82,Consolidation!A:P,16,0)</f>
        <v>No</v>
      </c>
      <c r="H82" s="28">
        <f>VLOOKUP(A82,Consolidation!A:O,14,0)</f>
        <v>4</v>
      </c>
      <c r="I82" s="28" t="str">
        <f>VLOOKUP(A82,Consolidation!A:O,15,0)</f>
        <v>Shariah DataFeed Fields Source: Factset</v>
      </c>
    </row>
    <row r="83" spans="1:9">
      <c r="A83" s="28" t="s">
        <v>57</v>
      </c>
      <c r="B83" s="28" t="str">
        <f>IF(OR(VLOOKUP($A83,Consolidation!$A:B,2,0)=0,VLOOKUP($A83,Consolidation!$A:B,2,0)=""),"No","Yes")</f>
        <v>No</v>
      </c>
      <c r="C83" s="28" t="str">
        <f>IF(OR(VLOOKUP($A83,Consolidation!$A:D,4,0)=0,VLOOKUP($A83,Consolidation!$A:D,4,0)=""),"No","Yes")</f>
        <v>Yes</v>
      </c>
      <c r="D83" s="28" t="str">
        <f>IF(OR(VLOOKUP($A83,Consolidation!$A:F,6,0)=0,VLOOKUP($A83,Consolidation!$A:F,6,0)=""),"No","Yes")</f>
        <v>No</v>
      </c>
      <c r="E83" s="28" t="str">
        <f>IF(OR(VLOOKUP($A83,Consolidation!$A:H,8,0)=0,VLOOKUP($A83,Consolidation!$A:H,8,0)=""),"No","Yes")</f>
        <v>No</v>
      </c>
      <c r="F83" s="28" t="str">
        <f>IF(OR(VLOOKUP($A83,Consolidation!$A:J,10,0)=0,VLOOKUP($A83,Consolidation!$A:J,10,0)=""),"No","Yes")</f>
        <v>No</v>
      </c>
      <c r="G83" s="28" t="str">
        <f>VLOOKUP(A83,Consolidation!A:P,16,0)</f>
        <v>No</v>
      </c>
      <c r="H83" s="28">
        <f>VLOOKUP(A83,Consolidation!A:O,14,0)</f>
        <v>5</v>
      </c>
      <c r="I83" s="28" t="str">
        <f>VLOOKUP(A83,Consolidation!A:O,15,0)</f>
        <v>Index Fields Source: FactSet</v>
      </c>
    </row>
    <row r="84" spans="1:9" ht="29">
      <c r="A84" s="28" t="s">
        <v>45</v>
      </c>
      <c r="B84" s="28" t="str">
        <f>IF(OR(VLOOKUP($A84,Consolidation!$A:B,2,0)=0,VLOOKUP($A84,Consolidation!$A:B,2,0)=""),"No","Yes")</f>
        <v>No</v>
      </c>
      <c r="C84" s="28" t="str">
        <f>IF(OR(VLOOKUP($A84,Consolidation!$A:D,4,0)=0,VLOOKUP($A84,Consolidation!$A:D,4,0)=""),"No","Yes")</f>
        <v>No</v>
      </c>
      <c r="D84" s="28" t="str">
        <f>IF(OR(VLOOKUP($A84,Consolidation!$A:F,6,0)=0,VLOOKUP($A84,Consolidation!$A:F,6,0)=""),"No","Yes")</f>
        <v>Yes</v>
      </c>
      <c r="E84" s="28" t="str">
        <f>IF(OR(VLOOKUP($A84,Consolidation!$A:H,8,0)=0,VLOOKUP($A84,Consolidation!$A:H,8,0)=""),"No","Yes")</f>
        <v>No</v>
      </c>
      <c r="F84" s="28" t="str">
        <f>IF(OR(VLOOKUP($A84,Consolidation!$A:J,10,0)=0,VLOOKUP($A84,Consolidation!$A:J,10,0)=""),"No","Yes")</f>
        <v>No</v>
      </c>
      <c r="G84" s="28" t="str">
        <f>VLOOKUP(A84,Consolidation!A:P,16,0)</f>
        <v>No</v>
      </c>
      <c r="H84" s="28">
        <f>VLOOKUP(A84,Consolidation!A:O,14,0)</f>
        <v>17</v>
      </c>
      <c r="I84" s="28" t="str">
        <f>VLOOKUP(A84,Consolidation!A:O,15,0)</f>
        <v>Shariah DataFeed Fields Source: Factset</v>
      </c>
    </row>
    <row r="85" spans="1:9" ht="29">
      <c r="A85" s="28" t="s">
        <v>242</v>
      </c>
      <c r="B85" s="28" t="str">
        <f>IF(OR(VLOOKUP($A85,Consolidation!$A:B,2,0)=0,VLOOKUP($A85,Consolidation!$A:B,2,0)=""),"No","Yes")</f>
        <v>No</v>
      </c>
      <c r="C85" s="28" t="str">
        <f>IF(OR(VLOOKUP($A85,Consolidation!$A:D,4,0)=0,VLOOKUP($A85,Consolidation!$A:D,4,0)=""),"No","Yes")</f>
        <v>No</v>
      </c>
      <c r="D85" s="28" t="str">
        <f>IF(OR(VLOOKUP($A85,Consolidation!$A:F,6,0)=0,VLOOKUP($A85,Consolidation!$A:F,6,0)=""),"No","Yes")</f>
        <v>No</v>
      </c>
      <c r="E85" s="28" t="str">
        <f>IF(OR(VLOOKUP($A85,Consolidation!$A:H,8,0)=0,VLOOKUP($A85,Consolidation!$A:H,8,0)=""),"No","Yes")</f>
        <v>No</v>
      </c>
      <c r="F85" s="28" t="str">
        <f>IF(OR(VLOOKUP($A85,Consolidation!$A:J,10,0)=0,VLOOKUP($A85,Consolidation!$A:J,10,0)=""),"No","Yes")</f>
        <v>Yes</v>
      </c>
      <c r="G85" s="28" t="str">
        <f>VLOOKUP(A85,Consolidation!A:P,16,0)</f>
        <v>No</v>
      </c>
      <c r="H85" s="28">
        <f>VLOOKUP(A85,Consolidation!A:O,14,0)</f>
        <v>2</v>
      </c>
      <c r="I85" s="28" t="str">
        <f>VLOOKUP(A85,Consolidation!A:O,15,0)</f>
        <v>Purification &amp; Zakat Fields Source: FactSet</v>
      </c>
    </row>
    <row r="86" spans="1:9" ht="29">
      <c r="A86" s="28" t="s">
        <v>247</v>
      </c>
      <c r="B86" s="28" t="str">
        <f>IF(OR(VLOOKUP($A86,Consolidation!$A:B,2,0)=0,VLOOKUP($A86,Consolidation!$A:B,2,0)=""),"No","Yes")</f>
        <v>No</v>
      </c>
      <c r="C86" s="28" t="str">
        <f>IF(OR(VLOOKUP($A86,Consolidation!$A:D,4,0)=0,VLOOKUP($A86,Consolidation!$A:D,4,0)=""),"No","Yes")</f>
        <v>No</v>
      </c>
      <c r="D86" s="28" t="str">
        <f>IF(OR(VLOOKUP($A86,Consolidation!$A:F,6,0)=0,VLOOKUP($A86,Consolidation!$A:F,6,0)=""),"No","Yes")</f>
        <v>No</v>
      </c>
      <c r="E86" s="28" t="str">
        <f>IF(OR(VLOOKUP($A86,Consolidation!$A:H,8,0)=0,VLOOKUP($A86,Consolidation!$A:H,8,0)=""),"No","Yes")</f>
        <v>No</v>
      </c>
      <c r="F86" s="28" t="str">
        <f>IF(OR(VLOOKUP($A86,Consolidation!$A:J,10,0)=0,VLOOKUP($A86,Consolidation!$A:J,10,0)=""),"No","Yes")</f>
        <v>Yes</v>
      </c>
      <c r="G86" s="28" t="str">
        <f>VLOOKUP(A86,Consolidation!A:P,16,0)</f>
        <v>No</v>
      </c>
      <c r="H86" s="28">
        <f>VLOOKUP(A86,Consolidation!A:O,14,0)</f>
        <v>1</v>
      </c>
      <c r="I86" s="28" t="str">
        <f>VLOOKUP(A86,Consolidation!A:O,15,0)</f>
        <v>Purification &amp; Zakat Fields Source: Reuters</v>
      </c>
    </row>
    <row r="87" spans="1:9" ht="29">
      <c r="A87" s="28" t="s">
        <v>245</v>
      </c>
      <c r="B87" s="28" t="str">
        <f>IF(OR(VLOOKUP($A87,Consolidation!$A:B,2,0)=0,VLOOKUP($A87,Consolidation!$A:B,2,0)=""),"No","Yes")</f>
        <v>No</v>
      </c>
      <c r="C87" s="28" t="str">
        <f>IF(OR(VLOOKUP($A87,Consolidation!$A:D,4,0)=0,VLOOKUP($A87,Consolidation!$A:D,4,0)=""),"No","Yes")</f>
        <v>No</v>
      </c>
      <c r="D87" s="28" t="str">
        <f>IF(OR(VLOOKUP($A87,Consolidation!$A:F,6,0)=0,VLOOKUP($A87,Consolidation!$A:F,6,0)=""),"No","Yes")</f>
        <v>No</v>
      </c>
      <c r="E87" s="28" t="str">
        <f>IF(OR(VLOOKUP($A87,Consolidation!$A:H,8,0)=0,VLOOKUP($A87,Consolidation!$A:H,8,0)=""),"No","Yes")</f>
        <v>No</v>
      </c>
      <c r="F87" s="28" t="str">
        <f>IF(OR(VLOOKUP($A87,Consolidation!$A:J,10,0)=0,VLOOKUP($A87,Consolidation!$A:J,10,0)=""),"No","Yes")</f>
        <v>Yes</v>
      </c>
      <c r="G87" s="28" t="str">
        <f>VLOOKUP(A87,Consolidation!A:P,16,0)</f>
        <v>Yes</v>
      </c>
      <c r="H87" s="28">
        <f>VLOOKUP(A87,Consolidation!A:O,14,0)</f>
        <v>1</v>
      </c>
      <c r="I87" s="28" t="str">
        <f>VLOOKUP(A87,Consolidation!A:O,15,0)</f>
        <v>Purification &amp; Zakat Fields Source: FactSet</v>
      </c>
    </row>
    <row r="88" spans="1:9" ht="29">
      <c r="A88" s="28" t="s">
        <v>235</v>
      </c>
      <c r="B88" s="28" t="str">
        <f>IF(OR(VLOOKUP($A88,Consolidation!$A:B,2,0)=0,VLOOKUP($A88,Consolidation!$A:B,2,0)=""),"No","Yes")</f>
        <v>No</v>
      </c>
      <c r="C88" s="28" t="str">
        <f>IF(OR(VLOOKUP($A88,Consolidation!$A:D,4,0)=0,VLOOKUP($A88,Consolidation!$A:D,4,0)=""),"No","Yes")</f>
        <v>No</v>
      </c>
      <c r="D88" s="28" t="str">
        <f>IF(OR(VLOOKUP($A88,Consolidation!$A:F,6,0)=0,VLOOKUP($A88,Consolidation!$A:F,6,0)=""),"No","Yes")</f>
        <v>No</v>
      </c>
      <c r="E88" s="28" t="str">
        <f>IF(OR(VLOOKUP($A88,Consolidation!$A:H,8,0)=0,VLOOKUP($A88,Consolidation!$A:H,8,0)=""),"No","Yes")</f>
        <v>No</v>
      </c>
      <c r="F88" s="28" t="str">
        <f>IF(OR(VLOOKUP($A88,Consolidation!$A:J,10,0)=0,VLOOKUP($A88,Consolidation!$A:J,10,0)=""),"No","Yes")</f>
        <v>Yes</v>
      </c>
      <c r="G88" s="28" t="str">
        <f>VLOOKUP(A88,Consolidation!A:P,16,0)</f>
        <v>No</v>
      </c>
      <c r="H88" s="28">
        <f>VLOOKUP(A88,Consolidation!A:O,14,0)</f>
        <v>1</v>
      </c>
      <c r="I88" s="28" t="str">
        <f>VLOOKUP(A88,Consolidation!A:O,15,0)</f>
        <v>Purification &amp; Zakat Fields Source: Reuters</v>
      </c>
    </row>
    <row r="89" spans="1:9">
      <c r="A89" s="28" t="s">
        <v>187</v>
      </c>
      <c r="B89" s="28" t="str">
        <f>IF(OR(VLOOKUP($A89,Consolidation!$A:B,2,0)=0,VLOOKUP($A89,Consolidation!$A:B,2,0)=""),"No","Yes")</f>
        <v>No</v>
      </c>
      <c r="C89" s="28" t="str">
        <f>IF(OR(VLOOKUP($A89,Consolidation!$A:D,4,0)=0,VLOOKUP($A89,Consolidation!$A:D,4,0)=""),"No","Yes")</f>
        <v>No</v>
      </c>
      <c r="D89" s="28" t="str">
        <f>IF(OR(VLOOKUP($A89,Consolidation!$A:F,6,0)=0,VLOOKUP($A89,Consolidation!$A:F,6,0)=""),"No","Yes")</f>
        <v>No</v>
      </c>
      <c r="E89" s="28" t="str">
        <f>IF(OR(VLOOKUP($A89,Consolidation!$A:H,8,0)=0,VLOOKUP($A89,Consolidation!$A:H,8,0)=""),"No","Yes")</f>
        <v>Yes</v>
      </c>
      <c r="F89" s="28" t="str">
        <f>IF(OR(VLOOKUP($A89,Consolidation!$A:J,10,0)=0,VLOOKUP($A89,Consolidation!$A:J,10,0)=""),"No","Yes")</f>
        <v>No</v>
      </c>
      <c r="G89" s="28" t="str">
        <f>VLOOKUP(A89,Consolidation!A:P,16,0)</f>
        <v>No</v>
      </c>
      <c r="H89" s="28">
        <f>VLOOKUP(A89,Consolidation!A:O,14,0)</f>
        <v>1</v>
      </c>
      <c r="I89" s="28" t="str">
        <f>VLOOKUP(A89,Consolidation!A:O,15,0)</f>
        <v>ESG Fields Source: FactSet: NPIN</v>
      </c>
    </row>
    <row r="90" spans="1:9" ht="43.5">
      <c r="A90" s="28" t="s">
        <v>190</v>
      </c>
      <c r="B90" s="28" t="str">
        <f>IF(OR(VLOOKUP($A90,Consolidation!$A:B,2,0)=0,VLOOKUP($A90,Consolidation!$A:B,2,0)=""),"No","Yes")</f>
        <v>No</v>
      </c>
      <c r="C90" s="28" t="str">
        <f>IF(OR(VLOOKUP($A90,Consolidation!$A:D,4,0)=0,VLOOKUP($A90,Consolidation!$A:D,4,0)=""),"No","Yes")</f>
        <v>No</v>
      </c>
      <c r="D90" s="28" t="str">
        <f>IF(OR(VLOOKUP($A90,Consolidation!$A:F,6,0)=0,VLOOKUP($A90,Consolidation!$A:F,6,0)=""),"No","Yes")</f>
        <v>No</v>
      </c>
      <c r="E90" s="28" t="str">
        <f>IF(OR(VLOOKUP($A90,Consolidation!$A:H,8,0)=0,VLOOKUP($A90,Consolidation!$A:H,8,0)=""),"No","Yes")</f>
        <v>Yes</v>
      </c>
      <c r="F90" s="28" t="str">
        <f>IF(OR(VLOOKUP($A90,Consolidation!$A:J,10,0)=0,VLOOKUP($A90,Consolidation!$A:J,10,0)=""),"No","Yes")</f>
        <v>No</v>
      </c>
      <c r="G90" s="28" t="str">
        <f>VLOOKUP(A90,Consolidation!A:P,16,0)</f>
        <v>No</v>
      </c>
      <c r="H90" s="28">
        <f>VLOOKUP(A90,Consolidation!A:O,14,0)</f>
        <v>5</v>
      </c>
      <c r="I90" s="28" t="str">
        <f>VLOOKUP(A90,Consolidation!A:O,15,0)</f>
        <v>ESG Fields Source: FactSet: NPIN &amp; Qual
Reuters: Metric</v>
      </c>
    </row>
    <row r="91" spans="1:9" ht="43.5">
      <c r="A91" s="28" t="s">
        <v>197</v>
      </c>
      <c r="B91" s="28" t="str">
        <f>IF(OR(VLOOKUP($A91,Consolidation!$A:B,2,0)=0,VLOOKUP($A91,Consolidation!$A:B,2,0)=""),"No","Yes")</f>
        <v>No</v>
      </c>
      <c r="C91" s="28" t="str">
        <f>IF(OR(VLOOKUP($A91,Consolidation!$A:D,4,0)=0,VLOOKUP($A91,Consolidation!$A:D,4,0)=""),"No","Yes")</f>
        <v>No</v>
      </c>
      <c r="D91" s="28" t="str">
        <f>IF(OR(VLOOKUP($A91,Consolidation!$A:F,6,0)=0,VLOOKUP($A91,Consolidation!$A:F,6,0)=""),"No","Yes")</f>
        <v>No</v>
      </c>
      <c r="E91" s="28" t="str">
        <f>IF(OR(VLOOKUP($A91,Consolidation!$A:H,8,0)=0,VLOOKUP($A91,Consolidation!$A:H,8,0)=""),"No","Yes")</f>
        <v>Yes</v>
      </c>
      <c r="F91" s="28" t="str">
        <f>IF(OR(VLOOKUP($A91,Consolidation!$A:J,10,0)=0,VLOOKUP($A91,Consolidation!$A:J,10,0)=""),"No","Yes")</f>
        <v>No</v>
      </c>
      <c r="G91" s="28" t="str">
        <f>VLOOKUP(A91,Consolidation!A:P,16,0)</f>
        <v>No</v>
      </c>
      <c r="H91" s="28">
        <f>VLOOKUP(A91,Consolidation!A:O,14,0)</f>
        <v>4</v>
      </c>
      <c r="I91" s="28" t="str">
        <f>VLOOKUP(A91,Consolidation!A:O,15,0)</f>
        <v>ESG Fields Source: FactSet: NPIN &amp; Qual
Reuters: Metric</v>
      </c>
    </row>
    <row r="92" spans="1:9" ht="43.5">
      <c r="A92" s="28" t="s">
        <v>198</v>
      </c>
      <c r="B92" s="28" t="str">
        <f>IF(OR(VLOOKUP($A92,Consolidation!$A:B,2,0)=0,VLOOKUP($A92,Consolidation!$A:B,2,0)=""),"No","Yes")</f>
        <v>No</v>
      </c>
      <c r="C92" s="28" t="str">
        <f>IF(OR(VLOOKUP($A92,Consolidation!$A:D,4,0)=0,VLOOKUP($A92,Consolidation!$A:D,4,0)=""),"No","Yes")</f>
        <v>No</v>
      </c>
      <c r="D92" s="28" t="str">
        <f>IF(OR(VLOOKUP($A92,Consolidation!$A:F,6,0)=0,VLOOKUP($A92,Consolidation!$A:F,6,0)=""),"No","Yes")</f>
        <v>No</v>
      </c>
      <c r="E92" s="28" t="str">
        <f>IF(OR(VLOOKUP($A92,Consolidation!$A:H,8,0)=0,VLOOKUP($A92,Consolidation!$A:H,8,0)=""),"No","Yes")</f>
        <v>Yes</v>
      </c>
      <c r="F92" s="28" t="str">
        <f>IF(OR(VLOOKUP($A92,Consolidation!$A:J,10,0)=0,VLOOKUP($A92,Consolidation!$A:J,10,0)=""),"No","Yes")</f>
        <v>No</v>
      </c>
      <c r="G92" s="28" t="str">
        <f>VLOOKUP(A92,Consolidation!A:P,16,0)</f>
        <v>No</v>
      </c>
      <c r="H92" s="28">
        <f>VLOOKUP(A92,Consolidation!A:O,14,0)</f>
        <v>4</v>
      </c>
      <c r="I92" s="28" t="str">
        <f>VLOOKUP(A92,Consolidation!A:O,15,0)</f>
        <v>ESG Fields Source: FactSet: NPIN &amp; Qual
Reuters: Metric</v>
      </c>
    </row>
    <row r="93" spans="1:9" ht="43.5">
      <c r="A93" s="28" t="s">
        <v>199</v>
      </c>
      <c r="B93" s="28" t="str">
        <f>IF(OR(VLOOKUP($A93,Consolidation!$A:B,2,0)=0,VLOOKUP($A93,Consolidation!$A:B,2,0)=""),"No","Yes")</f>
        <v>No</v>
      </c>
      <c r="C93" s="28" t="str">
        <f>IF(OR(VLOOKUP($A93,Consolidation!$A:D,4,0)=0,VLOOKUP($A93,Consolidation!$A:D,4,0)=""),"No","Yes")</f>
        <v>No</v>
      </c>
      <c r="D93" s="28" t="str">
        <f>IF(OR(VLOOKUP($A93,Consolidation!$A:F,6,0)=0,VLOOKUP($A93,Consolidation!$A:F,6,0)=""),"No","Yes")</f>
        <v>No</v>
      </c>
      <c r="E93" s="28" t="str">
        <f>IF(OR(VLOOKUP($A93,Consolidation!$A:H,8,0)=0,VLOOKUP($A93,Consolidation!$A:H,8,0)=""),"No","Yes")</f>
        <v>Yes</v>
      </c>
      <c r="F93" s="28" t="str">
        <f>IF(OR(VLOOKUP($A93,Consolidation!$A:J,10,0)=0,VLOOKUP($A93,Consolidation!$A:J,10,0)=""),"No","Yes")</f>
        <v>No</v>
      </c>
      <c r="G93" s="28" t="str">
        <f>VLOOKUP(A93,Consolidation!A:P,16,0)</f>
        <v>No</v>
      </c>
      <c r="H93" s="28">
        <f>VLOOKUP(A93,Consolidation!A:O,14,0)</f>
        <v>2</v>
      </c>
      <c r="I93" s="28" t="str">
        <f>VLOOKUP(A93,Consolidation!A:O,15,0)</f>
        <v>ESG Fields Source: FactSet: NPIN &amp; Qual
Reuters: Metric</v>
      </c>
    </row>
    <row r="94" spans="1:9" ht="43.5">
      <c r="A94" s="28" t="s">
        <v>200</v>
      </c>
      <c r="B94" s="28" t="str">
        <f>IF(OR(VLOOKUP($A94,Consolidation!$A:B,2,0)=0,VLOOKUP($A94,Consolidation!$A:B,2,0)=""),"No","Yes")</f>
        <v>No</v>
      </c>
      <c r="C94" s="28" t="str">
        <f>IF(OR(VLOOKUP($A94,Consolidation!$A:D,4,0)=0,VLOOKUP($A94,Consolidation!$A:D,4,0)=""),"No","Yes")</f>
        <v>No</v>
      </c>
      <c r="D94" s="28" t="str">
        <f>IF(OR(VLOOKUP($A94,Consolidation!$A:F,6,0)=0,VLOOKUP($A94,Consolidation!$A:F,6,0)=""),"No","Yes")</f>
        <v>No</v>
      </c>
      <c r="E94" s="28" t="str">
        <f>IF(OR(VLOOKUP($A94,Consolidation!$A:H,8,0)=0,VLOOKUP($A94,Consolidation!$A:H,8,0)=""),"No","Yes")</f>
        <v>Yes</v>
      </c>
      <c r="F94" s="28" t="str">
        <f>IF(OR(VLOOKUP($A94,Consolidation!$A:J,10,0)=0,VLOOKUP($A94,Consolidation!$A:J,10,0)=""),"No","Yes")</f>
        <v>No</v>
      </c>
      <c r="G94" s="28" t="str">
        <f>VLOOKUP(A94,Consolidation!A:P,16,0)</f>
        <v>No</v>
      </c>
      <c r="H94" s="28">
        <f>VLOOKUP(A94,Consolidation!A:O,14,0)</f>
        <v>4</v>
      </c>
      <c r="I94" s="28" t="str">
        <f>VLOOKUP(A94,Consolidation!A:O,15,0)</f>
        <v>ESG Fields Source: FactSet: NPIN &amp; Qual
Reuters: Metric</v>
      </c>
    </row>
    <row r="95" spans="1:9" ht="43.5">
      <c r="A95" s="28" t="s">
        <v>201</v>
      </c>
      <c r="B95" s="28" t="str">
        <f>IF(OR(VLOOKUP($A95,Consolidation!$A:B,2,0)=0,VLOOKUP($A95,Consolidation!$A:B,2,0)=""),"No","Yes")</f>
        <v>No</v>
      </c>
      <c r="C95" s="28" t="str">
        <f>IF(OR(VLOOKUP($A95,Consolidation!$A:D,4,0)=0,VLOOKUP($A95,Consolidation!$A:D,4,0)=""),"No","Yes")</f>
        <v>No</v>
      </c>
      <c r="D95" s="28" t="str">
        <f>IF(OR(VLOOKUP($A95,Consolidation!$A:F,6,0)=0,VLOOKUP($A95,Consolidation!$A:F,6,0)=""),"No","Yes")</f>
        <v>No</v>
      </c>
      <c r="E95" s="28" t="str">
        <f>IF(OR(VLOOKUP($A95,Consolidation!$A:H,8,0)=0,VLOOKUP($A95,Consolidation!$A:H,8,0)=""),"No","Yes")</f>
        <v>Yes</v>
      </c>
      <c r="F95" s="28" t="str">
        <f>IF(OR(VLOOKUP($A95,Consolidation!$A:J,10,0)=0,VLOOKUP($A95,Consolidation!$A:J,10,0)=""),"No","Yes")</f>
        <v>No</v>
      </c>
      <c r="G95" s="28" t="str">
        <f>VLOOKUP(A95,Consolidation!A:P,16,0)</f>
        <v>No</v>
      </c>
      <c r="H95" s="28">
        <f>VLOOKUP(A95,Consolidation!A:O,14,0)</f>
        <v>4</v>
      </c>
      <c r="I95" s="28" t="str">
        <f>VLOOKUP(A95,Consolidation!A:O,15,0)</f>
        <v>ESG Fields Source: FactSet: NPIN &amp; Qual
Reuters: Metric</v>
      </c>
    </row>
    <row r="96" spans="1:9">
      <c r="A96" s="28" t="s">
        <v>202</v>
      </c>
      <c r="B96" s="28" t="e">
        <f>IF(OR(VLOOKUP($A96,Consolidation!$A:B,2,0)=0,VLOOKUP($A96,Consolidation!$A:B,2,0)=""),"No","Yes")</f>
        <v>#N/A</v>
      </c>
      <c r="C96" s="28" t="e">
        <f>IF(OR(VLOOKUP($A96,Consolidation!$A:D,4,0)=0,VLOOKUP($A96,Consolidation!$A:D,4,0)=""),"No","Yes")</f>
        <v>#N/A</v>
      </c>
      <c r="D96" s="28" t="e">
        <f>IF(OR(VLOOKUP($A96,Consolidation!$A:F,6,0)=0,VLOOKUP($A96,Consolidation!$A:F,6,0)=""),"No","Yes")</f>
        <v>#N/A</v>
      </c>
      <c r="E96" s="28" t="e">
        <f>IF(OR(VLOOKUP($A96,Consolidation!$A:H,8,0)=0,VLOOKUP($A96,Consolidation!$A:H,8,0)=""),"No","Yes")</f>
        <v>#N/A</v>
      </c>
      <c r="F96" s="28" t="e">
        <f>IF(OR(VLOOKUP($A96,Consolidation!$A:J,10,0)=0,VLOOKUP($A96,Consolidation!$A:J,10,0)=""),"No","Yes")</f>
        <v>#N/A</v>
      </c>
      <c r="G96" s="28" t="e">
        <f>VLOOKUP(A96,Consolidation!A:P,16,0)</f>
        <v>#N/A</v>
      </c>
      <c r="H96" s="28" t="e">
        <f>VLOOKUP(A96,Consolidation!A:O,14,0)</f>
        <v>#N/A</v>
      </c>
      <c r="I96" s="28" t="e">
        <f>VLOOKUP(A96,Consolidation!A:O,15,0)</f>
        <v>#N/A</v>
      </c>
    </row>
    <row r="97" spans="1:9">
      <c r="A97" s="28" t="s">
        <v>203</v>
      </c>
      <c r="B97" s="28" t="e">
        <f>IF(OR(VLOOKUP($A97,Consolidation!$A:B,2,0)=0,VLOOKUP($A97,Consolidation!$A:B,2,0)=""),"No","Yes")</f>
        <v>#N/A</v>
      </c>
      <c r="C97" s="28" t="e">
        <f>IF(OR(VLOOKUP($A97,Consolidation!$A:D,4,0)=0,VLOOKUP($A97,Consolidation!$A:D,4,0)=""),"No","Yes")</f>
        <v>#N/A</v>
      </c>
      <c r="D97" s="28" t="e">
        <f>IF(OR(VLOOKUP($A97,Consolidation!$A:F,6,0)=0,VLOOKUP($A97,Consolidation!$A:F,6,0)=""),"No","Yes")</f>
        <v>#N/A</v>
      </c>
      <c r="E97" s="28" t="e">
        <f>IF(OR(VLOOKUP($A97,Consolidation!$A:H,8,0)=0,VLOOKUP($A97,Consolidation!$A:H,8,0)=""),"No","Yes")</f>
        <v>#N/A</v>
      </c>
      <c r="F97" s="28" t="e">
        <f>IF(OR(VLOOKUP($A97,Consolidation!$A:J,10,0)=0,VLOOKUP($A97,Consolidation!$A:J,10,0)=""),"No","Yes")</f>
        <v>#N/A</v>
      </c>
      <c r="G97" s="28" t="e">
        <f>VLOOKUP(A97,Consolidation!A:P,16,0)</f>
        <v>#N/A</v>
      </c>
      <c r="H97" s="28" t="e">
        <f>VLOOKUP(A97,Consolidation!A:O,14,0)</f>
        <v>#N/A</v>
      </c>
      <c r="I97" s="28" t="e">
        <f>VLOOKUP(A97,Consolidation!A:O,15,0)</f>
        <v>#N/A</v>
      </c>
    </row>
    <row r="98" spans="1:9">
      <c r="A98" s="28" t="s">
        <v>151</v>
      </c>
      <c r="B98" s="28" t="e">
        <f>IF(OR(VLOOKUP($A98,Consolidation!$A:B,2,0)=0,VLOOKUP($A98,Consolidation!$A:B,2,0)=""),"No","Yes")</f>
        <v>#N/A</v>
      </c>
      <c r="C98" s="28" t="e">
        <f>IF(OR(VLOOKUP($A98,Consolidation!$A:D,4,0)=0,VLOOKUP($A98,Consolidation!$A:D,4,0)=""),"No","Yes")</f>
        <v>#N/A</v>
      </c>
      <c r="D98" s="28" t="e">
        <f>IF(OR(VLOOKUP($A98,Consolidation!$A:F,6,0)=0,VLOOKUP($A98,Consolidation!$A:F,6,0)=""),"No","Yes")</f>
        <v>#N/A</v>
      </c>
      <c r="E98" s="28" t="e">
        <f>IF(OR(VLOOKUP($A98,Consolidation!$A:H,8,0)=0,VLOOKUP($A98,Consolidation!$A:H,8,0)=""),"No","Yes")</f>
        <v>#N/A</v>
      </c>
      <c r="F98" s="28" t="e">
        <f>IF(OR(VLOOKUP($A98,Consolidation!$A:J,10,0)=0,VLOOKUP($A98,Consolidation!$A:J,10,0)=""),"No","Yes")</f>
        <v>#N/A</v>
      </c>
      <c r="G98" s="28" t="e">
        <f>VLOOKUP(A98,Consolidation!A:P,16,0)</f>
        <v>#N/A</v>
      </c>
      <c r="H98" s="28" t="e">
        <f>VLOOKUP(A98,Consolidation!A:O,14,0)</f>
        <v>#N/A</v>
      </c>
      <c r="I98" s="28" t="e">
        <f>VLOOKUP(A98,Consolidation!A:O,15,0)</f>
        <v>#N/A</v>
      </c>
    </row>
    <row r="99" spans="1:9" ht="43.5">
      <c r="A99" s="28" t="s">
        <v>204</v>
      </c>
      <c r="B99" s="28" t="str">
        <f>IF(OR(VLOOKUP($A99,Consolidation!$A:B,2,0)=0,VLOOKUP($A99,Consolidation!$A:B,2,0)=""),"No","Yes")</f>
        <v>No</v>
      </c>
      <c r="C99" s="28" t="str">
        <f>IF(OR(VLOOKUP($A99,Consolidation!$A:D,4,0)=0,VLOOKUP($A99,Consolidation!$A:D,4,0)=""),"No","Yes")</f>
        <v>No</v>
      </c>
      <c r="D99" s="28" t="str">
        <f>IF(OR(VLOOKUP($A99,Consolidation!$A:F,6,0)=0,VLOOKUP($A99,Consolidation!$A:F,6,0)=""),"No","Yes")</f>
        <v>No</v>
      </c>
      <c r="E99" s="28" t="str">
        <f>IF(OR(VLOOKUP($A99,Consolidation!$A:H,8,0)=0,VLOOKUP($A99,Consolidation!$A:H,8,0)=""),"No","Yes")</f>
        <v>Yes</v>
      </c>
      <c r="F99" s="28" t="str">
        <f>IF(OR(VLOOKUP($A99,Consolidation!$A:J,10,0)=0,VLOOKUP($A99,Consolidation!$A:J,10,0)=""),"No","Yes")</f>
        <v>No</v>
      </c>
      <c r="G99" s="28" t="str">
        <f>VLOOKUP(A99,Consolidation!A:P,16,0)</f>
        <v>No</v>
      </c>
      <c r="H99" s="28">
        <f>VLOOKUP(A99,Consolidation!A:O,14,0)</f>
        <v>4</v>
      </c>
      <c r="I99" s="28" t="str">
        <f>VLOOKUP(A99,Consolidation!A:O,15,0)</f>
        <v>ESG Fields Source: FactSet: NPIN &amp; Qual
Reuters: Metric</v>
      </c>
    </row>
    <row r="100" spans="1:9">
      <c r="A100" s="28" t="s">
        <v>205</v>
      </c>
      <c r="B100" s="28" t="e">
        <f>IF(OR(VLOOKUP($A100,Consolidation!$A:B,2,0)=0,VLOOKUP($A100,Consolidation!$A:B,2,0)=""),"No","Yes")</f>
        <v>#N/A</v>
      </c>
      <c r="C100" s="28" t="e">
        <f>IF(OR(VLOOKUP($A100,Consolidation!$A:D,4,0)=0,VLOOKUP($A100,Consolidation!$A:D,4,0)=""),"No","Yes")</f>
        <v>#N/A</v>
      </c>
      <c r="D100" s="28" t="e">
        <f>IF(OR(VLOOKUP($A100,Consolidation!$A:F,6,0)=0,VLOOKUP($A100,Consolidation!$A:F,6,0)=""),"No","Yes")</f>
        <v>#N/A</v>
      </c>
      <c r="E100" s="28" t="e">
        <f>IF(OR(VLOOKUP($A100,Consolidation!$A:H,8,0)=0,VLOOKUP($A100,Consolidation!$A:H,8,0)=""),"No","Yes")</f>
        <v>#N/A</v>
      </c>
      <c r="F100" s="28" t="e">
        <f>IF(OR(VLOOKUP($A100,Consolidation!$A:J,10,0)=0,VLOOKUP($A100,Consolidation!$A:J,10,0)=""),"No","Yes")</f>
        <v>#N/A</v>
      </c>
      <c r="G100" s="28" t="e">
        <f>VLOOKUP(A100,Consolidation!A:P,16,0)</f>
        <v>#N/A</v>
      </c>
      <c r="H100" s="28" t="e">
        <f>VLOOKUP(A100,Consolidation!A:O,14,0)</f>
        <v>#N/A</v>
      </c>
      <c r="I100" s="28" t="e">
        <f>VLOOKUP(A100,Consolidation!A:O,15,0)</f>
        <v>#N/A</v>
      </c>
    </row>
    <row r="101" spans="1:9">
      <c r="A101" s="28" t="s">
        <v>206</v>
      </c>
      <c r="B101" s="28" t="e">
        <f>IF(OR(VLOOKUP($A101,Consolidation!$A:B,2,0)=0,VLOOKUP($A101,Consolidation!$A:B,2,0)=""),"No","Yes")</f>
        <v>#N/A</v>
      </c>
      <c r="C101" s="28" t="e">
        <f>IF(OR(VLOOKUP($A101,Consolidation!$A:D,4,0)=0,VLOOKUP($A101,Consolidation!$A:D,4,0)=""),"No","Yes")</f>
        <v>#N/A</v>
      </c>
      <c r="D101" s="28" t="e">
        <f>IF(OR(VLOOKUP($A101,Consolidation!$A:F,6,0)=0,VLOOKUP($A101,Consolidation!$A:F,6,0)=""),"No","Yes")</f>
        <v>#N/A</v>
      </c>
      <c r="E101" s="28" t="e">
        <f>IF(OR(VLOOKUP($A101,Consolidation!$A:H,8,0)=0,VLOOKUP($A101,Consolidation!$A:H,8,0)=""),"No","Yes")</f>
        <v>#N/A</v>
      </c>
      <c r="F101" s="28" t="e">
        <f>IF(OR(VLOOKUP($A101,Consolidation!$A:J,10,0)=0,VLOOKUP($A101,Consolidation!$A:J,10,0)=""),"No","Yes")</f>
        <v>#N/A</v>
      </c>
      <c r="G101" s="28" t="e">
        <f>VLOOKUP(A101,Consolidation!A:P,16,0)</f>
        <v>#N/A</v>
      </c>
      <c r="H101" s="28" t="e">
        <f>VLOOKUP(A101,Consolidation!A:O,14,0)</f>
        <v>#N/A</v>
      </c>
      <c r="I101" s="28" t="e">
        <f>VLOOKUP(A101,Consolidation!A:O,15,0)</f>
        <v>#N/A</v>
      </c>
    </row>
    <row r="102" spans="1:9" ht="43.5">
      <c r="A102" s="28" t="s">
        <v>207</v>
      </c>
      <c r="B102" s="28" t="str">
        <f>IF(OR(VLOOKUP($A102,Consolidation!$A:B,2,0)=0,VLOOKUP($A102,Consolidation!$A:B,2,0)=""),"No","Yes")</f>
        <v>No</v>
      </c>
      <c r="C102" s="28" t="str">
        <f>IF(OR(VLOOKUP($A102,Consolidation!$A:D,4,0)=0,VLOOKUP($A102,Consolidation!$A:D,4,0)=""),"No","Yes")</f>
        <v>No</v>
      </c>
      <c r="D102" s="28" t="str">
        <f>IF(OR(VLOOKUP($A102,Consolidation!$A:F,6,0)=0,VLOOKUP($A102,Consolidation!$A:F,6,0)=""),"No","Yes")</f>
        <v>No</v>
      </c>
      <c r="E102" s="28" t="str">
        <f>IF(OR(VLOOKUP($A102,Consolidation!$A:H,8,0)=0,VLOOKUP($A102,Consolidation!$A:H,8,0)=""),"No","Yes")</f>
        <v>Yes</v>
      </c>
      <c r="F102" s="28" t="str">
        <f>IF(OR(VLOOKUP($A102,Consolidation!$A:J,10,0)=0,VLOOKUP($A102,Consolidation!$A:J,10,0)=""),"No","Yes")</f>
        <v>No</v>
      </c>
      <c r="G102" s="28" t="str">
        <f>VLOOKUP(A102,Consolidation!A:P,16,0)</f>
        <v>No</v>
      </c>
      <c r="H102" s="28">
        <f>VLOOKUP(A102,Consolidation!A:O,14,0)</f>
        <v>4</v>
      </c>
      <c r="I102" s="28" t="str">
        <f>VLOOKUP(A102,Consolidation!A:O,15,0)</f>
        <v>ESG Fields Source: FactSet: NPIN &amp; Qual
Reuters: Metric</v>
      </c>
    </row>
    <row r="103" spans="1:9" ht="29">
      <c r="A103" s="257" t="s">
        <v>500</v>
      </c>
      <c r="B103" s="28" t="str">
        <f>IF(OR(VLOOKUP($A103,Consolidation!$A:B,2,0)=0,VLOOKUP($A103,Consolidation!$A:B,2,0)=""),"No","Yes")</f>
        <v>No</v>
      </c>
      <c r="C103" s="28" t="str">
        <f>IF(OR(VLOOKUP($A103,Consolidation!$A:D,4,0)=0,VLOOKUP($A103,Consolidation!$A:D,4,0)=""),"No","Yes")</f>
        <v>No</v>
      </c>
      <c r="D103" s="28" t="str">
        <f>IF(OR(VLOOKUP($A103,Consolidation!$A:F,6,0)=0,VLOOKUP($A103,Consolidation!$A:F,6,0)=""),"No","Yes")</f>
        <v>Yes</v>
      </c>
      <c r="E103" s="28" t="str">
        <f>IF(OR(VLOOKUP($A103,Consolidation!$A:H,8,0)=0,VLOOKUP($A103,Consolidation!$A:H,8,0)=""),"No","Yes")</f>
        <v>No</v>
      </c>
      <c r="F103" s="28" t="str">
        <f>IF(OR(VLOOKUP($A103,Consolidation!$A:J,10,0)=0,VLOOKUP($A103,Consolidation!$A:J,10,0)=""),"No","Yes")</f>
        <v>No</v>
      </c>
      <c r="G103" s="28" t="str">
        <f>VLOOKUP(A103,Consolidation!A:P,16,0)</f>
        <v>No</v>
      </c>
      <c r="H103" s="28">
        <f>VLOOKUP(A103,Consolidation!A:O,14,0)</f>
        <v>4</v>
      </c>
      <c r="I103" s="28" t="str">
        <f>VLOOKUP(A103,Consolidation!A:O,15,0)</f>
        <v>Shariah DataFeed Fields Source: Factset</v>
      </c>
    </row>
    <row r="104" spans="1:9">
      <c r="A104" s="28" t="s">
        <v>535</v>
      </c>
      <c r="B104" s="28" t="str">
        <f>IF(OR(VLOOKUP($A104,Consolidation!$A:B,2,0)=0,VLOOKUP($A104,Consolidation!$A:B,2,0)=""),"No","Yes")</f>
        <v>No</v>
      </c>
      <c r="C104" s="28" t="str">
        <f>IF(OR(VLOOKUP($A104,Consolidation!$A:D,4,0)=0,VLOOKUP($A104,Consolidation!$A:D,4,0)=""),"No","Yes")</f>
        <v>No</v>
      </c>
      <c r="D104" s="28" t="str">
        <f>IF(OR(VLOOKUP($A104,Consolidation!$A:F,6,0)=0,VLOOKUP($A104,Consolidation!$A:F,6,0)=""),"No","Yes")</f>
        <v>No</v>
      </c>
      <c r="E104" s="28" t="str">
        <f>IF(OR(VLOOKUP($A104,Consolidation!$A:H,8,0)=0,VLOOKUP($A104,Consolidation!$A:H,8,0)=""),"No","Yes")</f>
        <v>No</v>
      </c>
      <c r="F104" s="28" t="str">
        <f>IF(OR(VLOOKUP($A104,Consolidation!$A:J,10,0)=0,VLOOKUP($A104,Consolidation!$A:J,10,0)=""),"No","Yes")</f>
        <v>No</v>
      </c>
      <c r="G104" s="28" t="str">
        <f>VLOOKUP(A104,Consolidation!A:P,16,0)</f>
        <v>Yes</v>
      </c>
      <c r="H104" s="28">
        <f>VLOOKUP(A104,Consolidation!A:O,14,0)</f>
        <v>0</v>
      </c>
      <c r="I104" s="28" t="str">
        <f>VLOOKUP(A104,Consolidation!A:O,15,0)</f>
        <v/>
      </c>
    </row>
    <row r="105" spans="1:9">
      <c r="A105" s="28" t="s">
        <v>519</v>
      </c>
      <c r="B105" s="28" t="str">
        <f>IF(OR(VLOOKUP($A105,Consolidation!$A:B,2,0)=0,VLOOKUP($A105,Consolidation!$A:B,2,0)=""),"No","Yes")</f>
        <v>No</v>
      </c>
      <c r="C105" s="28" t="str">
        <f>IF(OR(VLOOKUP($A105,Consolidation!$A:D,4,0)=0,VLOOKUP($A105,Consolidation!$A:D,4,0)=""),"No","Yes")</f>
        <v>No</v>
      </c>
      <c r="D105" s="28" t="str">
        <f>IF(OR(VLOOKUP($A105,Consolidation!$A:F,6,0)=0,VLOOKUP($A105,Consolidation!$A:F,6,0)=""),"No","Yes")</f>
        <v>No</v>
      </c>
      <c r="E105" s="28" t="str">
        <f>IF(OR(VLOOKUP($A105,Consolidation!$A:H,8,0)=0,VLOOKUP($A105,Consolidation!$A:H,8,0)=""),"No","Yes")</f>
        <v>No</v>
      </c>
      <c r="F105" s="28" t="str">
        <f>IF(OR(VLOOKUP($A105,Consolidation!$A:J,10,0)=0,VLOOKUP($A105,Consolidation!$A:J,10,0)=""),"No","Yes")</f>
        <v>No</v>
      </c>
      <c r="G105" s="28" t="str">
        <f>VLOOKUP(A105,Consolidation!A:P,16,0)</f>
        <v>Yes</v>
      </c>
      <c r="H105" s="28">
        <f>VLOOKUP(A105,Consolidation!A:O,14,0)</f>
        <v>0</v>
      </c>
      <c r="I105" s="28" t="str">
        <f>VLOOKUP(A105,Consolidation!A:O,15,0)</f>
        <v/>
      </c>
    </row>
    <row r="106" spans="1:9" ht="29">
      <c r="A106" s="28" t="s">
        <v>951</v>
      </c>
      <c r="B106" s="28" t="str">
        <f>IF(OR(VLOOKUP($A106,Consolidation!$A:B,2,0)=0,VLOOKUP($A106,Consolidation!$A:B,2,0)=""),"No","Yes")</f>
        <v>No</v>
      </c>
      <c r="C106" s="28" t="str">
        <f>IF(OR(VLOOKUP($A106,Consolidation!$A:D,4,0)=0,VLOOKUP($A106,Consolidation!$A:D,4,0)=""),"No","Yes")</f>
        <v>No</v>
      </c>
      <c r="D106" s="28" t="str">
        <f>IF(OR(VLOOKUP($A106,Consolidation!$A:F,6,0)=0,VLOOKUP($A106,Consolidation!$A:F,6,0)=""),"No","Yes")</f>
        <v>No</v>
      </c>
      <c r="E106" s="28" t="str">
        <f>IF(OR(VLOOKUP($A106,Consolidation!$A:H,8,0)=0,VLOOKUP($A106,Consolidation!$A:H,8,0)=""),"No","Yes")</f>
        <v>No</v>
      </c>
      <c r="F106" s="28" t="str">
        <f>IF(OR(VLOOKUP($A106,Consolidation!$A:J,10,0)=0,VLOOKUP($A106,Consolidation!$A:J,10,0)=""),"No","Yes")</f>
        <v>Yes</v>
      </c>
      <c r="G106" s="28" t="str">
        <f>VLOOKUP(A106,Consolidation!A:P,16,0)</f>
        <v>Yes</v>
      </c>
      <c r="H106" s="28">
        <f>VLOOKUP(A106,Consolidation!A:O,14,0)</f>
        <v>5</v>
      </c>
      <c r="I106" s="28" t="str">
        <f>VLOOKUP(A106,Consolidation!A:O,15,0)</f>
        <v>Purification &amp; Zakat Fields Source: Reuters</v>
      </c>
    </row>
    <row r="107" spans="1:9">
      <c r="A107" s="28" t="s">
        <v>538</v>
      </c>
      <c r="B107" s="28" t="str">
        <f>IF(OR(VLOOKUP($A107,Consolidation!$A:B,2,0)=0,VLOOKUP($A107,Consolidation!$A:B,2,0)=""),"No","Yes")</f>
        <v>No</v>
      </c>
      <c r="C107" s="28" t="str">
        <f>IF(OR(VLOOKUP($A107,Consolidation!$A:D,4,0)=0,VLOOKUP($A107,Consolidation!$A:D,4,0)=""),"No","Yes")</f>
        <v>No</v>
      </c>
      <c r="D107" s="28" t="str">
        <f>IF(OR(VLOOKUP($A107,Consolidation!$A:F,6,0)=0,VLOOKUP($A107,Consolidation!$A:F,6,0)=""),"No","Yes")</f>
        <v>No</v>
      </c>
      <c r="E107" s="28" t="str">
        <f>IF(OR(VLOOKUP($A107,Consolidation!$A:H,8,0)=0,VLOOKUP($A107,Consolidation!$A:H,8,0)=""),"No","Yes")</f>
        <v>No</v>
      </c>
      <c r="F107" s="28" t="str">
        <f>IF(OR(VLOOKUP($A107,Consolidation!$A:J,10,0)=0,VLOOKUP($A107,Consolidation!$A:J,10,0)=""),"No","Yes")</f>
        <v>No</v>
      </c>
      <c r="G107" s="28" t="str">
        <f>VLOOKUP(A107,Consolidation!A:P,16,0)</f>
        <v>Yes</v>
      </c>
      <c r="H107" s="28">
        <f>VLOOKUP(A107,Consolidation!A:O,14,0)</f>
        <v>0</v>
      </c>
      <c r="I107" s="28" t="str">
        <f>VLOOKUP(A107,Consolidation!A:O,15,0)</f>
        <v/>
      </c>
    </row>
    <row r="108" spans="1:9" ht="29">
      <c r="A108" s="28" t="s">
        <v>554</v>
      </c>
      <c r="B108" s="28" t="str">
        <f>IF(OR(VLOOKUP($A108,Consolidation!$A:B,2,0)=0,VLOOKUP($A108,Consolidation!$A:B,2,0)=""),"No","Yes")</f>
        <v>No</v>
      </c>
      <c r="C108" s="28" t="str">
        <f>IF(OR(VLOOKUP($A108,Consolidation!$A:D,4,0)=0,VLOOKUP($A108,Consolidation!$A:D,4,0)=""),"No","Yes")</f>
        <v>No</v>
      </c>
      <c r="D108" s="28" t="str">
        <f>IF(OR(VLOOKUP($A108,Consolidation!$A:F,6,0)=0,VLOOKUP($A108,Consolidation!$A:F,6,0)=""),"No","Yes")</f>
        <v>No</v>
      </c>
      <c r="E108" s="28" t="str">
        <f>IF(OR(VLOOKUP($A108,Consolidation!$A:H,8,0)=0,VLOOKUP($A108,Consolidation!$A:H,8,0)=""),"No","Yes")</f>
        <v>No</v>
      </c>
      <c r="F108" s="28" t="str">
        <f>IF(OR(VLOOKUP($A108,Consolidation!$A:J,10,0)=0,VLOOKUP($A108,Consolidation!$A:J,10,0)=""),"No","Yes")</f>
        <v>No</v>
      </c>
      <c r="G108" s="28" t="str">
        <f>VLOOKUP(A108,Consolidation!A:P,16,0)</f>
        <v>Yes</v>
      </c>
      <c r="H108" s="28">
        <f>VLOOKUP(A108,Consolidation!A:O,14,0)</f>
        <v>0</v>
      </c>
      <c r="I108" s="28" t="str">
        <f>VLOOKUP(A108,Consolidation!A:O,15,0)</f>
        <v/>
      </c>
    </row>
    <row r="109" spans="1:9" ht="29">
      <c r="A109" s="28" t="s">
        <v>545</v>
      </c>
      <c r="B109" s="28" t="str">
        <f>IF(OR(VLOOKUP($A109,Consolidation!$A:B,2,0)=0,VLOOKUP($A109,Consolidation!$A:B,2,0)=""),"No","Yes")</f>
        <v>No</v>
      </c>
      <c r="C109" s="28" t="str">
        <f>IF(OR(VLOOKUP($A109,Consolidation!$A:D,4,0)=0,VLOOKUP($A109,Consolidation!$A:D,4,0)=""),"No","Yes")</f>
        <v>No</v>
      </c>
      <c r="D109" s="28" t="str">
        <f>IF(OR(VLOOKUP($A109,Consolidation!$A:F,6,0)=0,VLOOKUP($A109,Consolidation!$A:F,6,0)=""),"No","Yes")</f>
        <v>No</v>
      </c>
      <c r="E109" s="28" t="str">
        <f>IF(OR(VLOOKUP($A109,Consolidation!$A:H,8,0)=0,VLOOKUP($A109,Consolidation!$A:H,8,0)=""),"No","Yes")</f>
        <v>No</v>
      </c>
      <c r="F109" s="28" t="str">
        <f>IF(OR(VLOOKUP($A109,Consolidation!$A:J,10,0)=0,VLOOKUP($A109,Consolidation!$A:J,10,0)=""),"No","Yes")</f>
        <v>Yes</v>
      </c>
      <c r="G109" s="28" t="str">
        <f>VLOOKUP(A109,Consolidation!A:P,16,0)</f>
        <v>Yes</v>
      </c>
      <c r="H109" s="28">
        <f>VLOOKUP(A109,Consolidation!A:O,14,0)</f>
        <v>8</v>
      </c>
      <c r="I109" s="28" t="str">
        <f>VLOOKUP(A109,Consolidation!A:O,15,0)</f>
        <v>Purification &amp; Zakat Fields Source: Reuters</v>
      </c>
    </row>
    <row r="110" spans="1:9">
      <c r="A110" s="28" t="s">
        <v>534</v>
      </c>
      <c r="B110" s="28" t="str">
        <f>IF(OR(VLOOKUP($A110,Consolidation!$A:B,2,0)=0,VLOOKUP($A110,Consolidation!$A:B,2,0)=""),"No","Yes")</f>
        <v>No</v>
      </c>
      <c r="C110" s="28" t="str">
        <f>IF(OR(VLOOKUP($A110,Consolidation!$A:D,4,0)=0,VLOOKUP($A110,Consolidation!$A:D,4,0)=""),"No","Yes")</f>
        <v>No</v>
      </c>
      <c r="D110" s="28" t="str">
        <f>IF(OR(VLOOKUP($A110,Consolidation!$A:F,6,0)=0,VLOOKUP($A110,Consolidation!$A:F,6,0)=""),"No","Yes")</f>
        <v>No</v>
      </c>
      <c r="E110" s="28" t="str">
        <f>IF(OR(VLOOKUP($A110,Consolidation!$A:H,8,0)=0,VLOOKUP($A110,Consolidation!$A:H,8,0)=""),"No","Yes")</f>
        <v>No</v>
      </c>
      <c r="F110" s="28" t="str">
        <f>IF(OR(VLOOKUP($A110,Consolidation!$A:J,10,0)=0,VLOOKUP($A110,Consolidation!$A:J,10,0)=""),"No","Yes")</f>
        <v>No</v>
      </c>
      <c r="G110" s="28" t="str">
        <f>VLOOKUP(A110,Consolidation!A:P,16,0)</f>
        <v>Yes</v>
      </c>
      <c r="H110" s="28">
        <f>VLOOKUP(A110,Consolidation!A:O,14,0)</f>
        <v>0</v>
      </c>
      <c r="I110" s="28" t="str">
        <f>VLOOKUP(A110,Consolidation!A:O,15,0)</f>
        <v/>
      </c>
    </row>
    <row r="111" spans="1:9" ht="29">
      <c r="A111" s="28" t="s">
        <v>541</v>
      </c>
      <c r="B111" s="28" t="str">
        <f>IF(OR(VLOOKUP($A111,Consolidation!$A:B,2,0)=0,VLOOKUP($A111,Consolidation!$A:B,2,0)=""),"No","Yes")</f>
        <v>No</v>
      </c>
      <c r="C111" s="28" t="str">
        <f>IF(OR(VLOOKUP($A111,Consolidation!$A:D,4,0)=0,VLOOKUP($A111,Consolidation!$A:D,4,0)=""),"No","Yes")</f>
        <v>No</v>
      </c>
      <c r="D111" s="28" t="str">
        <f>IF(OR(VLOOKUP($A111,Consolidation!$A:F,6,0)=0,VLOOKUP($A111,Consolidation!$A:F,6,0)=""),"No","Yes")</f>
        <v>No</v>
      </c>
      <c r="E111" s="28" t="str">
        <f>IF(OR(VLOOKUP($A111,Consolidation!$A:H,8,0)=0,VLOOKUP($A111,Consolidation!$A:H,8,0)=""),"No","Yes")</f>
        <v>No</v>
      </c>
      <c r="F111" s="28" t="str">
        <f>IF(OR(VLOOKUP($A111,Consolidation!$A:J,10,0)=0,VLOOKUP($A111,Consolidation!$A:J,10,0)=""),"No","Yes")</f>
        <v>No</v>
      </c>
      <c r="G111" s="28" t="str">
        <f>VLOOKUP(A111,Consolidation!A:P,16,0)</f>
        <v>Yes</v>
      </c>
      <c r="H111" s="28">
        <f>VLOOKUP(A111,Consolidation!A:O,14,0)</f>
        <v>0</v>
      </c>
      <c r="I111" s="28" t="str">
        <f>VLOOKUP(A111,Consolidation!A:O,15,0)</f>
        <v/>
      </c>
    </row>
    <row r="112" spans="1:9">
      <c r="A112" s="28" t="s">
        <v>512</v>
      </c>
      <c r="B112" s="28" t="str">
        <f>IF(OR(VLOOKUP($A112,Consolidation!$A:B,2,0)=0,VLOOKUP($A112,Consolidation!$A:B,2,0)=""),"No","Yes")</f>
        <v>No</v>
      </c>
      <c r="C112" s="28" t="str">
        <f>IF(OR(VLOOKUP($A112,Consolidation!$A:D,4,0)=0,VLOOKUP($A112,Consolidation!$A:D,4,0)=""),"No","Yes")</f>
        <v>No</v>
      </c>
      <c r="D112" s="28" t="str">
        <f>IF(OR(VLOOKUP($A112,Consolidation!$A:F,6,0)=0,VLOOKUP($A112,Consolidation!$A:F,6,0)=""),"No","Yes")</f>
        <v>No</v>
      </c>
      <c r="E112" s="28" t="str">
        <f>IF(OR(VLOOKUP($A112,Consolidation!$A:H,8,0)=0,VLOOKUP($A112,Consolidation!$A:H,8,0)=""),"No","Yes")</f>
        <v>No</v>
      </c>
      <c r="F112" s="28" t="str">
        <f>IF(OR(VLOOKUP($A112,Consolidation!$A:J,10,0)=0,VLOOKUP($A112,Consolidation!$A:J,10,0)=""),"No","Yes")</f>
        <v>No</v>
      </c>
      <c r="G112" s="28" t="str">
        <f>VLOOKUP(A112,Consolidation!A:P,16,0)</f>
        <v>Yes</v>
      </c>
      <c r="H112" s="28">
        <f>VLOOKUP(A112,Consolidation!A:O,14,0)</f>
        <v>0</v>
      </c>
      <c r="I112" s="28" t="str">
        <f>VLOOKUP(A112,Consolidation!A:O,15,0)</f>
        <v/>
      </c>
    </row>
    <row r="113" spans="1:9">
      <c r="A113" s="28" t="s">
        <v>558</v>
      </c>
      <c r="B113" s="28" t="str">
        <f>IF(OR(VLOOKUP($A113,Consolidation!$A:B,2,0)=0,VLOOKUP($A113,Consolidation!$A:B,2,0)=""),"No","Yes")</f>
        <v>No</v>
      </c>
      <c r="C113" s="28" t="str">
        <f>IF(OR(VLOOKUP($A113,Consolidation!$A:D,4,0)=0,VLOOKUP($A113,Consolidation!$A:D,4,0)=""),"No","Yes")</f>
        <v>No</v>
      </c>
      <c r="D113" s="28" t="str">
        <f>IF(OR(VLOOKUP($A113,Consolidation!$A:F,6,0)=0,VLOOKUP($A113,Consolidation!$A:F,6,0)=""),"No","Yes")</f>
        <v>No</v>
      </c>
      <c r="E113" s="28" t="str">
        <f>IF(OR(VLOOKUP($A113,Consolidation!$A:H,8,0)=0,VLOOKUP($A113,Consolidation!$A:H,8,0)=""),"No","Yes")</f>
        <v>No</v>
      </c>
      <c r="F113" s="28" t="str">
        <f>IF(OR(VLOOKUP($A113,Consolidation!$A:J,10,0)=0,VLOOKUP($A113,Consolidation!$A:J,10,0)=""),"No","Yes")</f>
        <v>No</v>
      </c>
      <c r="G113" s="28" t="str">
        <f>VLOOKUP(A113,Consolidation!A:P,16,0)</f>
        <v>Yes</v>
      </c>
      <c r="H113" s="28">
        <f>VLOOKUP(A113,Consolidation!A:O,14,0)</f>
        <v>0</v>
      </c>
      <c r="I113" s="28" t="str">
        <f>VLOOKUP(A113,Consolidation!A:O,15,0)</f>
        <v/>
      </c>
    </row>
  </sheetData>
  <autoFilter ref="A2:I3" xr:uid="{EBA3B5DB-5849-449C-A978-8BD7307590DD}"/>
  <mergeCells count="1">
    <mergeCell ref="A1:A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CBFC2-D991-FF4E-9EE3-969C6FCDCF53}">
  <sheetPr>
    <tabColor theme="7"/>
  </sheetPr>
  <dimension ref="A1:W23"/>
  <sheetViews>
    <sheetView topLeftCell="B7" workbookViewId="0">
      <selection activeCell="H9" sqref="H9"/>
    </sheetView>
  </sheetViews>
  <sheetFormatPr defaultColWidth="9.1796875" defaultRowHeight="14"/>
  <cols>
    <col min="1" max="1" width="15.1796875" style="172" bestFit="1" customWidth="1"/>
    <col min="2" max="2" width="21" style="172" bestFit="1" customWidth="1"/>
    <col min="3" max="3" width="16" style="172" bestFit="1" customWidth="1"/>
    <col min="4" max="4" width="17.36328125" style="172" bestFit="1" customWidth="1"/>
    <col min="5" max="5" width="18.453125" style="172" customWidth="1"/>
    <col min="6" max="6" width="14.1796875" style="172" customWidth="1"/>
    <col min="7" max="7" width="13" style="272" bestFit="1" customWidth="1"/>
    <col min="8" max="8" width="14.6328125" style="172" bestFit="1" customWidth="1"/>
    <col min="9" max="9" width="41.453125" style="172" bestFit="1" customWidth="1"/>
    <col min="10" max="11" width="11.453125" style="172" customWidth="1"/>
    <col min="12" max="12" width="16.81640625" style="172" bestFit="1" customWidth="1"/>
    <col min="13" max="13" width="14" style="172" bestFit="1" customWidth="1"/>
    <col min="14" max="14" width="29.81640625" style="172" bestFit="1" customWidth="1"/>
    <col min="15" max="15" width="36.36328125" style="172" bestFit="1" customWidth="1"/>
    <col min="16" max="16" width="16.6328125" style="172" bestFit="1" customWidth="1"/>
    <col min="17" max="17" width="17" style="172" bestFit="1" customWidth="1"/>
    <col min="18" max="18" width="4.453125" style="189" customWidth="1"/>
    <col min="19" max="19" width="42.6328125" style="172" bestFit="1" customWidth="1"/>
    <col min="20" max="20" width="21.36328125" style="172" bestFit="1" customWidth="1"/>
    <col min="21" max="23" width="18.36328125" style="172" bestFit="1" customWidth="1"/>
    <col min="24" max="16384" width="9.1796875" style="172"/>
  </cols>
  <sheetData>
    <row r="1" spans="1:23">
      <c r="A1" s="168" t="s">
        <v>614</v>
      </c>
      <c r="B1" s="168" t="s">
        <v>615</v>
      </c>
      <c r="C1" s="169" t="s">
        <v>616</v>
      </c>
      <c r="D1" s="168" t="s">
        <v>617</v>
      </c>
      <c r="E1" s="168" t="s">
        <v>618</v>
      </c>
      <c r="F1" s="168" t="s">
        <v>619</v>
      </c>
      <c r="G1" s="269" t="s">
        <v>620</v>
      </c>
      <c r="H1" s="168" t="s">
        <v>506</v>
      </c>
      <c r="I1" s="168" t="s">
        <v>621</v>
      </c>
      <c r="J1" s="168" t="s">
        <v>622</v>
      </c>
      <c r="K1" s="168" t="s">
        <v>504</v>
      </c>
      <c r="L1" s="168" t="s">
        <v>623</v>
      </c>
      <c r="M1" s="168" t="s">
        <v>505</v>
      </c>
      <c r="N1" s="168" t="s">
        <v>624</v>
      </c>
      <c r="O1" s="168" t="s">
        <v>625</v>
      </c>
      <c r="P1" s="168" t="s">
        <v>626</v>
      </c>
      <c r="Q1" s="168" t="s">
        <v>627</v>
      </c>
      <c r="R1" s="170"/>
      <c r="S1" s="171" t="s">
        <v>628</v>
      </c>
      <c r="T1" s="171" t="s">
        <v>629</v>
      </c>
      <c r="U1" s="171" t="s">
        <v>630</v>
      </c>
      <c r="V1" s="171" t="s">
        <v>631</v>
      </c>
      <c r="W1" s="171" t="s">
        <v>209</v>
      </c>
    </row>
    <row r="2" spans="1:23" s="178" customFormat="1" ht="14.5">
      <c r="A2" s="7" t="s">
        <v>632</v>
      </c>
      <c r="B2" s="7" t="s">
        <v>633</v>
      </c>
      <c r="C2" s="9"/>
      <c r="D2" s="7" t="s">
        <v>25</v>
      </c>
      <c r="E2" s="8"/>
      <c r="F2" s="8"/>
      <c r="G2" s="280" t="s">
        <v>641</v>
      </c>
      <c r="H2" s="10" t="s">
        <v>635</v>
      </c>
      <c r="I2" s="8" t="s">
        <v>636</v>
      </c>
      <c r="J2" s="8"/>
      <c r="K2" s="8" t="s">
        <v>637</v>
      </c>
      <c r="L2" s="173" t="s">
        <v>638</v>
      </c>
      <c r="M2" s="8" t="s">
        <v>639</v>
      </c>
      <c r="N2" s="8" t="str">
        <f>VLOOKUP(D2,'Shariah DataFeed'!A:A,1,0)</f>
        <v>Acadian</v>
      </c>
      <c r="O2" s="174"/>
      <c r="P2" s="7"/>
      <c r="Q2" s="175">
        <v>44927</v>
      </c>
      <c r="R2" s="176"/>
      <c r="S2" s="177"/>
      <c r="T2" s="177"/>
      <c r="U2" s="177"/>
      <c r="V2" s="177"/>
      <c r="W2" s="177"/>
    </row>
    <row r="3" spans="1:23" ht="14.5">
      <c r="A3" s="7" t="s">
        <v>632</v>
      </c>
      <c r="B3" s="7" t="s">
        <v>640</v>
      </c>
      <c r="C3" s="9"/>
      <c r="D3" s="7" t="s">
        <v>35</v>
      </c>
      <c r="E3" s="8"/>
      <c r="F3" s="8"/>
      <c r="G3" s="271" t="s">
        <v>641</v>
      </c>
      <c r="H3" s="10" t="s">
        <v>642</v>
      </c>
      <c r="I3" s="8" t="s">
        <v>643</v>
      </c>
      <c r="J3" s="8"/>
      <c r="K3" s="8" t="s">
        <v>644</v>
      </c>
      <c r="L3" s="7" t="s">
        <v>645</v>
      </c>
      <c r="M3" s="8"/>
      <c r="N3" s="8" t="str">
        <f>VLOOKUP(D3,'Shariah DataFeed'!A:A,1,0)</f>
        <v>Arabesque</v>
      </c>
      <c r="O3" s="174"/>
      <c r="P3" s="7"/>
      <c r="Q3" s="175">
        <v>44927</v>
      </c>
      <c r="R3" s="170"/>
      <c r="S3" s="179"/>
      <c r="T3" s="179"/>
      <c r="U3" s="179"/>
      <c r="V3" s="179"/>
      <c r="W3" s="179"/>
    </row>
    <row r="4" spans="1:23" ht="14.5">
      <c r="A4" s="7" t="s">
        <v>632</v>
      </c>
      <c r="B4" s="7" t="s">
        <v>646</v>
      </c>
      <c r="C4" s="180"/>
      <c r="D4" s="7" t="s">
        <v>647</v>
      </c>
      <c r="E4" s="8"/>
      <c r="F4" s="8"/>
      <c r="G4" s="280" t="s">
        <v>944</v>
      </c>
      <c r="H4" s="10" t="s">
        <v>635</v>
      </c>
      <c r="I4" s="8" t="s">
        <v>649</v>
      </c>
      <c r="J4" s="8"/>
      <c r="K4" s="8" t="s">
        <v>637</v>
      </c>
      <c r="L4" s="181" t="s">
        <v>650</v>
      </c>
      <c r="M4" s="8" t="s">
        <v>639</v>
      </c>
      <c r="N4" s="8" t="str">
        <f>VLOOKUP(D4,'Shariah DataFeed'!A:A,1,0)</f>
        <v>ArrowStreet</v>
      </c>
      <c r="O4" s="174"/>
      <c r="P4" s="7"/>
      <c r="Q4" s="175">
        <v>44927</v>
      </c>
      <c r="R4" s="170"/>
      <c r="S4" s="179"/>
      <c r="T4" s="179"/>
      <c r="U4" s="179"/>
      <c r="V4" s="179"/>
      <c r="W4" s="179"/>
    </row>
    <row r="5" spans="1:23" ht="14.5">
      <c r="A5" s="7" t="s">
        <v>632</v>
      </c>
      <c r="B5" s="7" t="s">
        <v>651</v>
      </c>
      <c r="C5" s="9"/>
      <c r="D5" s="7" t="s">
        <v>4</v>
      </c>
      <c r="E5" s="8"/>
      <c r="F5" s="8"/>
      <c r="G5" s="280" t="s">
        <v>944</v>
      </c>
      <c r="H5" s="10" t="s">
        <v>533</v>
      </c>
      <c r="I5" s="8" t="s">
        <v>652</v>
      </c>
      <c r="J5" s="8"/>
      <c r="K5" s="8" t="s">
        <v>523</v>
      </c>
      <c r="L5" s="7">
        <v>12213</v>
      </c>
      <c r="M5" s="8"/>
      <c r="N5" s="8" t="str">
        <f>VLOOKUP(D5,'Shariah DataFeed'!A:A,1,0)</f>
        <v>Ashmore</v>
      </c>
      <c r="O5" s="182"/>
      <c r="P5" s="7"/>
      <c r="Q5" s="175">
        <v>44927</v>
      </c>
      <c r="R5" s="170"/>
      <c r="S5" s="179"/>
      <c r="T5" s="179"/>
      <c r="U5" s="179"/>
      <c r="V5" s="179"/>
      <c r="W5" s="179"/>
    </row>
    <row r="6" spans="1:23" ht="14.5">
      <c r="A6" s="7" t="s">
        <v>632</v>
      </c>
      <c r="B6" s="7" t="s">
        <v>653</v>
      </c>
      <c r="C6" s="8"/>
      <c r="D6" s="99" t="s">
        <v>8</v>
      </c>
      <c r="E6" s="8"/>
      <c r="F6" s="8"/>
      <c r="G6" s="280" t="s">
        <v>898</v>
      </c>
      <c r="H6" s="10" t="s">
        <v>635</v>
      </c>
      <c r="I6" s="13" t="s">
        <v>655</v>
      </c>
      <c r="J6" s="8"/>
      <c r="K6" s="8" t="s">
        <v>656</v>
      </c>
      <c r="L6" s="181" t="s">
        <v>657</v>
      </c>
      <c r="M6" s="8" t="s">
        <v>658</v>
      </c>
      <c r="N6" s="8" t="str">
        <f>VLOOKUP(D6,'Shariah DataFeed'!A:A,1,0)</f>
        <v>Axiom</v>
      </c>
      <c r="O6" s="174"/>
      <c r="P6" s="7"/>
      <c r="Q6" s="175">
        <v>44927</v>
      </c>
      <c r="R6" s="170"/>
      <c r="S6" s="179"/>
      <c r="T6" s="179"/>
      <c r="U6" s="179"/>
      <c r="V6" s="179"/>
      <c r="W6" s="179"/>
    </row>
    <row r="7" spans="1:23" ht="14.5">
      <c r="A7" s="7" t="s">
        <v>632</v>
      </c>
      <c r="B7" s="7" t="s">
        <v>659</v>
      </c>
      <c r="C7" s="9"/>
      <c r="D7" s="7" t="s">
        <v>47</v>
      </c>
      <c r="E7" s="8"/>
      <c r="F7" s="8"/>
      <c r="G7" s="271" t="s">
        <v>641</v>
      </c>
      <c r="H7" s="8" t="s">
        <v>642</v>
      </c>
      <c r="I7" s="8" t="s">
        <v>660</v>
      </c>
      <c r="J7" s="8"/>
      <c r="K7" s="8" t="s">
        <v>543</v>
      </c>
      <c r="L7" s="7" t="s">
        <v>661</v>
      </c>
      <c r="M7" s="8"/>
      <c r="N7" s="8" t="str">
        <f>VLOOKUP(D7,'Shariah DataFeed'!A:A,1,0)</f>
        <v>Baillie Gifford</v>
      </c>
      <c r="O7" s="174"/>
      <c r="P7" s="7"/>
      <c r="Q7" s="175">
        <v>44927</v>
      </c>
      <c r="R7" s="170"/>
      <c r="S7" s="179"/>
      <c r="T7" s="179"/>
      <c r="U7" s="179"/>
      <c r="V7" s="179"/>
      <c r="W7" s="179"/>
    </row>
    <row r="8" spans="1:23" ht="14.5">
      <c r="A8" s="183" t="s">
        <v>370</v>
      </c>
      <c r="B8" s="7" t="s">
        <v>662</v>
      </c>
      <c r="C8" s="8"/>
      <c r="D8" s="281" t="s">
        <v>663</v>
      </c>
      <c r="E8" s="8"/>
      <c r="F8" s="8"/>
      <c r="G8" s="271" t="s">
        <v>664</v>
      </c>
      <c r="H8" s="179" t="s">
        <v>665</v>
      </c>
      <c r="I8" s="179" t="s">
        <v>666</v>
      </c>
      <c r="J8" s="179"/>
      <c r="K8" s="179" t="s">
        <v>667</v>
      </c>
      <c r="L8" s="183">
        <v>92120</v>
      </c>
      <c r="M8" s="179"/>
      <c r="N8" s="8" t="e">
        <f>VLOOKUP(D8,'Shariah DataFeed'!A:A,1,0)</f>
        <v>#N/A</v>
      </c>
      <c r="O8" s="184"/>
      <c r="P8" s="179"/>
      <c r="Q8" s="175">
        <v>44927</v>
      </c>
      <c r="R8" s="170"/>
      <c r="S8" s="179"/>
      <c r="T8" s="179"/>
      <c r="U8" s="179"/>
      <c r="V8" s="179"/>
      <c r="W8" s="179"/>
    </row>
    <row r="9" spans="1:23" ht="14.5">
      <c r="A9" s="7" t="s">
        <v>632</v>
      </c>
      <c r="B9" s="7" t="s">
        <v>668</v>
      </c>
      <c r="C9" s="9"/>
      <c r="D9" s="281" t="s">
        <v>5</v>
      </c>
      <c r="E9" s="8"/>
      <c r="F9" s="8"/>
      <c r="G9" s="271" t="s">
        <v>669</v>
      </c>
      <c r="H9" s="10" t="s">
        <v>635</v>
      </c>
      <c r="I9" s="8" t="s">
        <v>670</v>
      </c>
      <c r="J9" s="8"/>
      <c r="K9" s="8" t="s">
        <v>671</v>
      </c>
      <c r="L9" s="7">
        <v>10017</v>
      </c>
      <c r="M9" s="8" t="s">
        <v>671</v>
      </c>
      <c r="N9" s="8" t="str">
        <f>VLOOKUP(D9,'Shariah DataFeed'!A:A,1,0)</f>
        <v>Cohen &amp; Steers</v>
      </c>
      <c r="O9" s="174"/>
      <c r="P9" s="7"/>
      <c r="Q9" s="175">
        <v>44927</v>
      </c>
      <c r="R9" s="170"/>
      <c r="S9" s="179"/>
      <c r="T9" s="179"/>
      <c r="U9" s="179"/>
      <c r="V9" s="179"/>
      <c r="W9" s="179"/>
    </row>
    <row r="10" spans="1:23" ht="14.5">
      <c r="A10" s="7" t="s">
        <v>632</v>
      </c>
      <c r="B10" s="7" t="s">
        <v>672</v>
      </c>
      <c r="C10" s="9"/>
      <c r="D10" s="7" t="s">
        <v>10</v>
      </c>
      <c r="E10" s="8"/>
      <c r="F10" s="8"/>
      <c r="G10" s="280" t="s">
        <v>945</v>
      </c>
      <c r="H10" s="8" t="s">
        <v>635</v>
      </c>
      <c r="I10" s="8" t="s">
        <v>674</v>
      </c>
      <c r="J10" s="8"/>
      <c r="K10" s="8" t="s">
        <v>675</v>
      </c>
      <c r="L10" s="7">
        <v>98101</v>
      </c>
      <c r="M10" s="8" t="s">
        <v>676</v>
      </c>
      <c r="N10" s="8" t="str">
        <f>VLOOKUP(D10,'Shariah DataFeed'!A:A,1,0)</f>
        <v>GQG</v>
      </c>
      <c r="O10" s="174"/>
      <c r="P10" s="7"/>
      <c r="Q10" s="175">
        <v>44927</v>
      </c>
      <c r="R10" s="170"/>
      <c r="S10" s="179"/>
      <c r="T10" s="179"/>
      <c r="U10" s="179"/>
      <c r="V10" s="179"/>
      <c r="W10" s="179"/>
    </row>
    <row r="11" spans="1:23" ht="14.5">
      <c r="A11" s="7" t="s">
        <v>632</v>
      </c>
      <c r="B11" s="7" t="s">
        <v>677</v>
      </c>
      <c r="C11" s="9"/>
      <c r="D11" s="281" t="s">
        <v>197</v>
      </c>
      <c r="E11" s="8"/>
      <c r="F11" s="8"/>
      <c r="G11" s="271" t="s">
        <v>678</v>
      </c>
      <c r="H11" s="10" t="s">
        <v>635</v>
      </c>
      <c r="I11" s="99" t="s">
        <v>679</v>
      </c>
      <c r="J11" s="8"/>
      <c r="K11" s="8" t="s">
        <v>671</v>
      </c>
      <c r="L11" s="7"/>
      <c r="M11" s="8"/>
      <c r="N11" s="8" t="e">
        <f>VLOOKUP(D11,'Shariah DataFeed'!A:A,1,0)</f>
        <v>#N/A</v>
      </c>
      <c r="O11" s="174"/>
      <c r="P11" s="7"/>
      <c r="Q11" s="175">
        <v>44927</v>
      </c>
      <c r="R11" s="170"/>
      <c r="S11" s="179"/>
      <c r="T11" s="179"/>
      <c r="U11" s="179"/>
      <c r="V11" s="179"/>
      <c r="W11" s="179"/>
    </row>
    <row r="12" spans="1:23" ht="14.5">
      <c r="A12" s="7" t="s">
        <v>370</v>
      </c>
      <c r="B12" s="7" t="s">
        <v>680</v>
      </c>
      <c r="C12" s="9"/>
      <c r="D12" s="281" t="s">
        <v>483</v>
      </c>
      <c r="E12" s="8"/>
      <c r="F12" s="8"/>
      <c r="G12" s="271" t="s">
        <v>664</v>
      </c>
      <c r="H12" s="10" t="s">
        <v>635</v>
      </c>
      <c r="I12" s="8" t="s">
        <v>681</v>
      </c>
      <c r="J12" s="8"/>
      <c r="K12" s="8" t="s">
        <v>682</v>
      </c>
      <c r="L12" s="7"/>
      <c r="M12" s="8" t="s">
        <v>683</v>
      </c>
      <c r="N12" s="8" t="e">
        <f>VLOOKUP(D12,'Shariah DataFeed'!A:A,1,0)</f>
        <v>#N/A</v>
      </c>
      <c r="O12" s="174"/>
      <c r="P12" s="7"/>
      <c r="Q12" s="175">
        <v>44927</v>
      </c>
      <c r="R12" s="170"/>
      <c r="S12" s="179"/>
      <c r="T12" s="179"/>
      <c r="U12" s="179"/>
      <c r="V12" s="179"/>
      <c r="W12" s="179"/>
    </row>
    <row r="13" spans="1:23" ht="14.5">
      <c r="A13" s="183" t="s">
        <v>370</v>
      </c>
      <c r="B13" s="7" t="s">
        <v>684</v>
      </c>
      <c r="C13" s="179"/>
      <c r="D13" s="281" t="s">
        <v>552</v>
      </c>
      <c r="E13" s="8"/>
      <c r="F13" s="8"/>
      <c r="G13" s="271" t="s">
        <v>664</v>
      </c>
      <c r="H13" s="179" t="s">
        <v>514</v>
      </c>
      <c r="I13" s="185" t="s">
        <v>685</v>
      </c>
      <c r="J13" s="179"/>
      <c r="K13" s="8" t="s">
        <v>513</v>
      </c>
      <c r="L13" s="183">
        <v>50490</v>
      </c>
      <c r="M13" s="179"/>
      <c r="N13" s="8" t="str">
        <f>VLOOKUP(D13,'Shariah DataFeed'!A:A,1,0)</f>
        <v>Manulife</v>
      </c>
      <c r="O13" s="184"/>
      <c r="P13" s="179"/>
      <c r="Q13" s="175">
        <v>44927</v>
      </c>
      <c r="R13" s="170"/>
      <c r="S13" s="179"/>
      <c r="T13" s="179"/>
      <c r="U13" s="179"/>
      <c r="V13" s="179"/>
      <c r="W13" s="179"/>
    </row>
    <row r="14" spans="1:23" ht="14.5">
      <c r="A14" s="183" t="s">
        <v>370</v>
      </c>
      <c r="B14" s="7" t="s">
        <v>686</v>
      </c>
      <c r="C14" s="179"/>
      <c r="D14" s="281" t="s">
        <v>687</v>
      </c>
      <c r="E14" s="8"/>
      <c r="F14" s="8"/>
      <c r="G14" s="271" t="s">
        <v>664</v>
      </c>
      <c r="H14" s="179" t="s">
        <v>635</v>
      </c>
      <c r="I14" s="179" t="s">
        <v>688</v>
      </c>
      <c r="J14" s="179"/>
      <c r="K14" s="179" t="s">
        <v>689</v>
      </c>
      <c r="L14" s="183">
        <v>60602</v>
      </c>
      <c r="M14" s="179" t="s">
        <v>564</v>
      </c>
      <c r="N14" s="8" t="e">
        <f>VLOOKUP(D14,'Shariah DataFeed'!A:A,1,0)</f>
        <v>#N/A</v>
      </c>
      <c r="O14" s="184"/>
      <c r="P14" s="179"/>
      <c r="Q14" s="175">
        <v>44927</v>
      </c>
      <c r="R14" s="170"/>
      <c r="S14" s="179"/>
      <c r="T14" s="179"/>
      <c r="U14" s="179"/>
      <c r="V14" s="179"/>
      <c r="W14" s="179"/>
    </row>
    <row r="15" spans="1:23" ht="14.5">
      <c r="A15" s="7" t="s">
        <v>632</v>
      </c>
      <c r="B15" s="7" t="s">
        <v>690</v>
      </c>
      <c r="C15" s="9"/>
      <c r="D15" s="7" t="s">
        <v>41</v>
      </c>
      <c r="E15" s="8"/>
      <c r="F15" s="8"/>
      <c r="G15" s="280" t="s">
        <v>912</v>
      </c>
      <c r="H15" s="10" t="s">
        <v>514</v>
      </c>
      <c r="I15" s="8" t="s">
        <v>691</v>
      </c>
      <c r="J15" s="8"/>
      <c r="K15" s="8" t="s">
        <v>513</v>
      </c>
      <c r="L15" s="7">
        <v>50250</v>
      </c>
      <c r="M15" s="8"/>
      <c r="N15" s="8" t="str">
        <f>VLOOKUP(D15,'Shariah DataFeed'!A:A,1,0)</f>
        <v>Nomura</v>
      </c>
      <c r="O15" s="174"/>
      <c r="P15" s="7"/>
      <c r="Q15" s="175">
        <v>44927</v>
      </c>
      <c r="R15" s="170"/>
      <c r="S15" s="179"/>
      <c r="T15" s="179"/>
      <c r="U15" s="179"/>
      <c r="V15" s="179"/>
      <c r="W15" s="179"/>
    </row>
    <row r="16" spans="1:23" ht="14.5">
      <c r="A16" s="7" t="s">
        <v>632</v>
      </c>
      <c r="B16" s="7" t="s">
        <v>692</v>
      </c>
      <c r="C16" s="9"/>
      <c r="D16" s="281" t="s">
        <v>199</v>
      </c>
      <c r="E16" s="8"/>
      <c r="F16" s="8"/>
      <c r="G16" s="270" t="s">
        <v>678</v>
      </c>
      <c r="H16" s="10" t="s">
        <v>642</v>
      </c>
      <c r="I16" s="8" t="s">
        <v>693</v>
      </c>
      <c r="J16" s="8"/>
      <c r="K16" s="8" t="s">
        <v>644</v>
      </c>
      <c r="L16" s="7"/>
      <c r="M16" s="8"/>
      <c r="N16" s="8" t="e">
        <f>VLOOKUP(D16,'Shariah DataFeed'!A:A,1,0)</f>
        <v>#N/A</v>
      </c>
      <c r="O16" s="174"/>
      <c r="P16" s="181"/>
      <c r="Q16" s="175">
        <v>44927</v>
      </c>
      <c r="R16" s="170"/>
      <c r="S16" s="179"/>
      <c r="T16" s="179"/>
      <c r="U16" s="179"/>
      <c r="V16" s="179"/>
      <c r="W16" s="179"/>
    </row>
    <row r="17" spans="1:17" ht="14.5">
      <c r="A17" s="7" t="s">
        <v>632</v>
      </c>
      <c r="B17" s="7" t="s">
        <v>694</v>
      </c>
      <c r="C17" s="8"/>
      <c r="D17" s="323" t="s">
        <v>695</v>
      </c>
      <c r="E17" s="8"/>
      <c r="F17" s="8"/>
      <c r="G17" s="271" t="s">
        <v>696</v>
      </c>
      <c r="H17" s="179" t="s">
        <v>549</v>
      </c>
      <c r="I17" s="179" t="s">
        <v>697</v>
      </c>
      <c r="J17" s="179"/>
      <c r="K17" s="179" t="s">
        <v>549</v>
      </c>
      <c r="L17" s="179" t="s">
        <v>698</v>
      </c>
      <c r="M17" s="179"/>
      <c r="N17" s="8" t="e">
        <f>VLOOKUP(D17,'Shariah DataFeed'!A:A,1,0)</f>
        <v>#N/A</v>
      </c>
      <c r="O17" s="184"/>
      <c r="P17" s="179"/>
      <c r="Q17" s="175">
        <v>44927</v>
      </c>
    </row>
    <row r="18" spans="1:17" ht="14.5">
      <c r="A18" s="7" t="s">
        <v>632</v>
      </c>
      <c r="B18" s="7" t="s">
        <v>699</v>
      </c>
      <c r="C18" s="9"/>
      <c r="D18" s="281" t="s">
        <v>198</v>
      </c>
      <c r="E18" s="8"/>
      <c r="F18" s="8"/>
      <c r="G18" s="271" t="s">
        <v>678</v>
      </c>
      <c r="H18" s="8" t="s">
        <v>549</v>
      </c>
      <c r="I18" s="8" t="s">
        <v>700</v>
      </c>
      <c r="J18" s="8"/>
      <c r="K18" s="8" t="s">
        <v>549</v>
      </c>
      <c r="L18" s="7" t="s">
        <v>701</v>
      </c>
      <c r="M18" s="8"/>
      <c r="N18" s="8" t="e">
        <f>VLOOKUP(D18,'Shariah DataFeed'!A:A,1,0)</f>
        <v>#N/A</v>
      </c>
      <c r="O18" s="174"/>
      <c r="P18" s="7"/>
      <c r="Q18" s="175">
        <v>44927</v>
      </c>
    </row>
    <row r="19" spans="1:17" ht="14.5">
      <c r="A19" s="183" t="s">
        <v>370</v>
      </c>
      <c r="B19" s="7" t="s">
        <v>702</v>
      </c>
      <c r="C19" s="8"/>
      <c r="D19" s="281" t="s">
        <v>486</v>
      </c>
      <c r="E19" s="8"/>
      <c r="F19" s="8"/>
      <c r="G19" s="271" t="s">
        <v>664</v>
      </c>
      <c r="H19" s="179" t="s">
        <v>635</v>
      </c>
      <c r="I19" s="179" t="s">
        <v>703</v>
      </c>
      <c r="J19" s="179"/>
      <c r="K19" s="179" t="s">
        <v>671</v>
      </c>
      <c r="L19" s="183">
        <v>10012</v>
      </c>
      <c r="M19" s="179" t="s">
        <v>671</v>
      </c>
      <c r="N19" s="8" t="e">
        <f>VLOOKUP(D19,'Shariah DataFeed'!A:A,1,0)</f>
        <v>#N/A</v>
      </c>
      <c r="O19" s="184"/>
      <c r="P19" s="179"/>
      <c r="Q19" s="175">
        <v>44927</v>
      </c>
    </row>
    <row r="20" spans="1:17" ht="14.5">
      <c r="A20" s="7" t="s">
        <v>632</v>
      </c>
      <c r="B20" s="7" t="s">
        <v>704</v>
      </c>
      <c r="C20" s="179"/>
      <c r="D20" s="281" t="s">
        <v>6</v>
      </c>
      <c r="E20" s="8"/>
      <c r="F20" s="8"/>
      <c r="G20" s="271" t="s">
        <v>654</v>
      </c>
      <c r="H20" s="179" t="s">
        <v>635</v>
      </c>
      <c r="I20" s="179" t="s">
        <v>705</v>
      </c>
      <c r="J20" s="179"/>
      <c r="K20" s="179" t="s">
        <v>675</v>
      </c>
      <c r="L20" s="183">
        <v>98101</v>
      </c>
      <c r="M20" s="179" t="s">
        <v>676</v>
      </c>
      <c r="N20" s="8" t="str">
        <f>VLOOKUP(D20,'Shariah DataFeed'!A:A,1,0)</f>
        <v>Russell Investments</v>
      </c>
      <c r="O20" s="186"/>
      <c r="P20" s="179"/>
      <c r="Q20" s="175">
        <v>44927</v>
      </c>
    </row>
    <row r="21" spans="1:17" ht="14.5">
      <c r="A21" s="7" t="s">
        <v>632</v>
      </c>
      <c r="B21" s="7" t="s">
        <v>706</v>
      </c>
      <c r="C21" s="9"/>
      <c r="D21" s="281" t="s">
        <v>201</v>
      </c>
      <c r="E21" s="8"/>
      <c r="F21" s="8"/>
      <c r="G21" s="271" t="s">
        <v>678</v>
      </c>
      <c r="H21" s="10" t="s">
        <v>635</v>
      </c>
      <c r="I21" s="8" t="s">
        <v>707</v>
      </c>
      <c r="J21" s="8"/>
      <c r="K21" s="8" t="s">
        <v>637</v>
      </c>
      <c r="L21" s="181" t="s">
        <v>708</v>
      </c>
      <c r="M21" s="8" t="s">
        <v>639</v>
      </c>
      <c r="N21" s="8" t="e">
        <f>VLOOKUP(D21,'Shariah DataFeed'!A:A,1,0)</f>
        <v>#N/A</v>
      </c>
      <c r="O21" s="174"/>
      <c r="P21" s="7"/>
      <c r="Q21" s="175">
        <v>44927</v>
      </c>
    </row>
    <row r="22" spans="1:17" ht="14.5">
      <c r="A22" s="7" t="s">
        <v>632</v>
      </c>
      <c r="B22" s="7" t="s">
        <v>709</v>
      </c>
      <c r="C22" s="8"/>
      <c r="D22" s="7" t="s">
        <v>490</v>
      </c>
      <c r="E22" s="179"/>
      <c r="F22" s="8"/>
      <c r="G22" s="280" t="s">
        <v>944</v>
      </c>
      <c r="H22" s="10" t="s">
        <v>533</v>
      </c>
      <c r="I22" s="179"/>
      <c r="J22" s="179"/>
      <c r="K22" s="179" t="s">
        <v>523</v>
      </c>
      <c r="L22" s="183"/>
      <c r="M22" s="179"/>
      <c r="N22" s="8" t="str">
        <f>VLOOKUP(D22,'Shariah DataFeed'!A:A,1,0)</f>
        <v>Morgan Stanley</v>
      </c>
      <c r="O22" s="187"/>
      <c r="P22" s="179"/>
      <c r="Q22" s="188"/>
    </row>
    <row r="23" spans="1:17" ht="14.5">
      <c r="A23" s="7" t="s">
        <v>632</v>
      </c>
      <c r="B23" s="7" t="s">
        <v>710</v>
      </c>
      <c r="C23" s="8"/>
      <c r="D23" s="324" t="s">
        <v>534</v>
      </c>
      <c r="E23" s="8"/>
      <c r="F23" s="8"/>
      <c r="G23" s="270" t="s">
        <v>711</v>
      </c>
      <c r="H23" s="179" t="s">
        <v>514</v>
      </c>
      <c r="I23" s="179" t="s">
        <v>712</v>
      </c>
      <c r="J23" s="179"/>
      <c r="K23" s="179" t="s">
        <v>513</v>
      </c>
      <c r="L23" s="179">
        <v>50400</v>
      </c>
      <c r="M23" s="179"/>
      <c r="N23" s="8" t="e">
        <f>VLOOKUP(D23,'Shariah DataFeed'!A:A,1,0)</f>
        <v>#N/A</v>
      </c>
      <c r="O23" s="179"/>
      <c r="P23" s="179"/>
      <c r="Q23" s="179"/>
    </row>
  </sheetData>
  <conditionalFormatting sqref="B3 B5 B7 B11 B15 B19 B9 B13 B17 B21 B23">
    <cfRule type="duplicateValues" dxfId="0" priority="1"/>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5F81D-19B4-5F41-87B2-B1A2C0444565}">
  <sheetPr>
    <tabColor theme="7"/>
  </sheetPr>
  <dimension ref="A1:L8"/>
  <sheetViews>
    <sheetView workbookViewId="0">
      <selection activeCell="H9" sqref="H9"/>
    </sheetView>
  </sheetViews>
  <sheetFormatPr defaultColWidth="8.81640625" defaultRowHeight="14.5"/>
  <cols>
    <col min="1" max="1" width="19.1796875" bestFit="1" customWidth="1"/>
    <col min="2" max="2" width="19.1796875" customWidth="1"/>
    <col min="3" max="3" width="22.453125" bestFit="1" customWidth="1"/>
    <col min="4" max="4" width="19.6328125" bestFit="1" customWidth="1"/>
    <col min="5" max="5" width="13.453125" bestFit="1" customWidth="1"/>
    <col min="6" max="6" width="6.453125" bestFit="1" customWidth="1"/>
    <col min="7" max="7" width="5.36328125" bestFit="1" customWidth="1"/>
    <col min="8" max="8" width="8.36328125" bestFit="1" customWidth="1"/>
    <col min="9" max="9" width="11" bestFit="1" customWidth="1"/>
    <col min="10" max="10" width="13.1796875" bestFit="1" customWidth="1"/>
    <col min="11" max="11" width="6.453125" bestFit="1" customWidth="1"/>
    <col min="12" max="12" width="27.81640625" bestFit="1" customWidth="1"/>
  </cols>
  <sheetData>
    <row r="1" spans="1:12">
      <c r="A1" s="190" t="s">
        <v>713</v>
      </c>
      <c r="B1" s="190" t="s">
        <v>714</v>
      </c>
      <c r="C1" s="190" t="s">
        <v>715</v>
      </c>
      <c r="D1" s="191" t="s">
        <v>716</v>
      </c>
      <c r="E1" s="191" t="s">
        <v>717</v>
      </c>
      <c r="F1" s="191" t="s">
        <v>504</v>
      </c>
      <c r="G1" s="191" t="s">
        <v>505</v>
      </c>
      <c r="H1" s="191" t="s">
        <v>718</v>
      </c>
      <c r="I1" s="191" t="s">
        <v>506</v>
      </c>
      <c r="J1" s="191" t="s">
        <v>719</v>
      </c>
      <c r="K1" s="191" t="s">
        <v>720</v>
      </c>
      <c r="L1" s="191" t="s">
        <v>273</v>
      </c>
    </row>
    <row r="2" spans="1:12">
      <c r="A2" s="8" t="s">
        <v>802</v>
      </c>
      <c r="B2" s="8" t="s">
        <v>496</v>
      </c>
      <c r="C2" s="8" t="s">
        <v>142</v>
      </c>
      <c r="D2" s="8" t="s">
        <v>750</v>
      </c>
      <c r="E2" s="8" t="s">
        <v>751</v>
      </c>
      <c r="F2" s="8" t="s">
        <v>523</v>
      </c>
      <c r="G2" s="8" t="s">
        <v>262</v>
      </c>
      <c r="H2" s="8" t="s">
        <v>262</v>
      </c>
      <c r="I2" s="8" t="s">
        <v>533</v>
      </c>
      <c r="J2" s="8" t="s">
        <v>752</v>
      </c>
      <c r="K2" s="8" t="s">
        <v>262</v>
      </c>
      <c r="L2" s="8" t="s">
        <v>753</v>
      </c>
    </row>
    <row r="3" spans="1:12">
      <c r="A3" s="13" t="s">
        <v>479</v>
      </c>
      <c r="B3" s="13"/>
      <c r="C3" s="13" t="s">
        <v>135</v>
      </c>
      <c r="D3" s="13"/>
      <c r="E3" s="13"/>
      <c r="F3" s="13"/>
      <c r="G3" s="13"/>
      <c r="H3" s="13"/>
      <c r="I3" s="13"/>
      <c r="J3" s="13"/>
      <c r="K3" s="13"/>
      <c r="L3" s="13"/>
    </row>
    <row r="4" spans="1:12">
      <c r="A4" s="13" t="s">
        <v>479</v>
      </c>
      <c r="B4" s="13"/>
      <c r="C4" s="13" t="s">
        <v>137</v>
      </c>
      <c r="D4" s="13"/>
      <c r="E4" s="13"/>
      <c r="F4" s="13"/>
      <c r="G4" s="13"/>
      <c r="H4" s="13"/>
      <c r="I4" s="13"/>
      <c r="J4" s="13"/>
      <c r="K4" s="13"/>
      <c r="L4" s="13"/>
    </row>
    <row r="5" spans="1:12">
      <c r="A5" s="13" t="s">
        <v>279</v>
      </c>
      <c r="B5" s="13"/>
      <c r="C5" s="13" t="s">
        <v>72</v>
      </c>
      <c r="D5" s="13"/>
      <c r="E5" s="13"/>
      <c r="F5" s="13"/>
      <c r="G5" s="13"/>
      <c r="H5" s="13"/>
      <c r="I5" s="13"/>
      <c r="J5" s="13"/>
      <c r="K5" s="13"/>
      <c r="L5" s="13"/>
    </row>
    <row r="6" spans="1:12">
      <c r="A6" s="13" t="s">
        <v>279</v>
      </c>
      <c r="B6" s="13"/>
      <c r="C6" s="13" t="s">
        <v>803</v>
      </c>
      <c r="D6" s="13"/>
      <c r="E6" s="13"/>
      <c r="F6" s="13"/>
      <c r="G6" s="13"/>
      <c r="H6" s="13"/>
      <c r="I6" s="13"/>
      <c r="J6" s="13"/>
      <c r="K6" s="13"/>
      <c r="L6" s="13"/>
    </row>
    <row r="7" spans="1:12">
      <c r="A7" s="13" t="s">
        <v>279</v>
      </c>
      <c r="B7" s="13"/>
      <c r="C7" s="13" t="s">
        <v>792</v>
      </c>
      <c r="D7" s="13"/>
      <c r="E7" s="13"/>
      <c r="F7" s="13"/>
      <c r="G7" s="13"/>
      <c r="H7" s="13"/>
      <c r="I7" s="13"/>
      <c r="J7" s="13"/>
      <c r="K7" s="13"/>
      <c r="L7" s="13"/>
    </row>
    <row r="8" spans="1:12">
      <c r="A8" s="13" t="s">
        <v>279</v>
      </c>
      <c r="B8" s="13"/>
      <c r="C8" s="13" t="s">
        <v>787</v>
      </c>
      <c r="D8" s="13"/>
      <c r="E8" s="13"/>
      <c r="F8" s="13"/>
      <c r="G8" s="13"/>
      <c r="H8" s="13"/>
      <c r="I8" s="13"/>
      <c r="J8" s="13"/>
      <c r="K8" s="13"/>
      <c r="L8" s="1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F6FA0-F7A0-B341-A35A-E585155F6403}">
  <sheetPr>
    <tabColor theme="7"/>
  </sheetPr>
  <dimension ref="A1:L108"/>
  <sheetViews>
    <sheetView topLeftCell="F1" workbookViewId="0">
      <selection activeCell="H9" sqref="H9"/>
    </sheetView>
  </sheetViews>
  <sheetFormatPr defaultColWidth="8.81640625" defaultRowHeight="14.5"/>
  <cols>
    <col min="1" max="1" width="35.1796875" bestFit="1" customWidth="1"/>
    <col min="2" max="2" width="23.36328125" customWidth="1"/>
    <col min="3" max="3" width="46.81640625" customWidth="1"/>
    <col min="4" max="4" width="59.453125" customWidth="1"/>
    <col min="5" max="5" width="55.453125" bestFit="1" customWidth="1"/>
    <col min="6" max="6" width="25.453125" customWidth="1"/>
    <col min="7" max="8" width="28.6328125" customWidth="1"/>
    <col min="9" max="9" width="14" bestFit="1" customWidth="1"/>
    <col min="10" max="10" width="16.453125" bestFit="1" customWidth="1"/>
    <col min="11" max="11" width="17.36328125" bestFit="1" customWidth="1"/>
    <col min="12" max="12" width="39" bestFit="1" customWidth="1"/>
  </cols>
  <sheetData>
    <row r="1" spans="1:12">
      <c r="A1" s="190" t="s">
        <v>713</v>
      </c>
      <c r="B1" s="190" t="s">
        <v>714</v>
      </c>
      <c r="C1" s="190" t="s">
        <v>715</v>
      </c>
      <c r="D1" s="191" t="s">
        <v>716</v>
      </c>
      <c r="E1" s="191" t="s">
        <v>717</v>
      </c>
      <c r="F1" s="191" t="s">
        <v>504</v>
      </c>
      <c r="G1" s="191" t="s">
        <v>505</v>
      </c>
      <c r="H1" s="191" t="s">
        <v>718</v>
      </c>
      <c r="I1" s="191" t="s">
        <v>506</v>
      </c>
      <c r="J1" s="191" t="s">
        <v>719</v>
      </c>
      <c r="K1" s="191" t="s">
        <v>720</v>
      </c>
      <c r="L1" s="191" t="s">
        <v>273</v>
      </c>
    </row>
    <row r="2" spans="1:12">
      <c r="A2" s="8" t="s">
        <v>721</v>
      </c>
      <c r="B2" s="8" t="s">
        <v>498</v>
      </c>
      <c r="C2" s="8" t="s">
        <v>25</v>
      </c>
      <c r="D2" s="8" t="s">
        <v>722</v>
      </c>
      <c r="E2" s="8" t="s">
        <v>723</v>
      </c>
      <c r="F2" s="8" t="s">
        <v>724</v>
      </c>
      <c r="G2" s="8" t="s">
        <v>639</v>
      </c>
      <c r="H2" s="8" t="s">
        <v>725</v>
      </c>
      <c r="I2" s="8" t="s">
        <v>635</v>
      </c>
      <c r="J2" s="8" t="s">
        <v>726</v>
      </c>
      <c r="K2" s="8" t="s">
        <v>727</v>
      </c>
      <c r="L2" s="8" t="s">
        <v>728</v>
      </c>
    </row>
    <row r="3" spans="1:12">
      <c r="A3" s="8" t="s">
        <v>729</v>
      </c>
      <c r="B3" s="8" t="s">
        <v>498</v>
      </c>
      <c r="C3" s="8" t="s">
        <v>25</v>
      </c>
      <c r="D3" s="8" t="s">
        <v>730</v>
      </c>
      <c r="E3" s="8" t="s">
        <v>731</v>
      </c>
      <c r="F3" s="8" t="s">
        <v>644</v>
      </c>
      <c r="G3" s="8" t="s">
        <v>262</v>
      </c>
      <c r="H3" s="8" t="s">
        <v>732</v>
      </c>
      <c r="I3" s="8" t="s">
        <v>642</v>
      </c>
      <c r="J3" s="8" t="s">
        <v>733</v>
      </c>
      <c r="K3" s="8" t="s">
        <v>734</v>
      </c>
      <c r="L3" s="8" t="s">
        <v>735</v>
      </c>
    </row>
    <row r="4" spans="1:12">
      <c r="A4" s="8" t="s">
        <v>721</v>
      </c>
      <c r="B4" s="8" t="s">
        <v>498</v>
      </c>
      <c r="C4" s="8" t="s">
        <v>736</v>
      </c>
      <c r="D4" s="8" t="s">
        <v>737</v>
      </c>
      <c r="E4" s="8" t="s">
        <v>738</v>
      </c>
      <c r="F4" s="8" t="s">
        <v>523</v>
      </c>
      <c r="G4" s="8" t="s">
        <v>262</v>
      </c>
      <c r="H4" s="7">
        <v>11455</v>
      </c>
      <c r="I4" s="8" t="s">
        <v>533</v>
      </c>
      <c r="J4" s="8" t="s">
        <v>739</v>
      </c>
      <c r="K4" s="8" t="s">
        <v>740</v>
      </c>
      <c r="L4" s="8" t="s">
        <v>741</v>
      </c>
    </row>
    <row r="5" spans="1:12">
      <c r="A5" s="8" t="s">
        <v>721</v>
      </c>
      <c r="B5" s="8" t="s">
        <v>742</v>
      </c>
      <c r="C5" s="8" t="s">
        <v>743</v>
      </c>
      <c r="D5" s="8" t="s">
        <v>744</v>
      </c>
      <c r="E5" s="8" t="s">
        <v>745</v>
      </c>
      <c r="F5" s="8" t="s">
        <v>746</v>
      </c>
      <c r="G5" s="8" t="s">
        <v>262</v>
      </c>
      <c r="H5" s="7">
        <v>4000</v>
      </c>
      <c r="I5" s="8" t="s">
        <v>518</v>
      </c>
      <c r="J5" s="8" t="s">
        <v>747</v>
      </c>
      <c r="K5" s="8" t="s">
        <v>748</v>
      </c>
      <c r="L5" s="8" t="s">
        <v>749</v>
      </c>
    </row>
    <row r="6" spans="1:12">
      <c r="A6" s="8" t="s">
        <v>729</v>
      </c>
      <c r="B6" s="8" t="s">
        <v>496</v>
      </c>
      <c r="C6" s="8" t="s">
        <v>142</v>
      </c>
      <c r="D6" s="8" t="s">
        <v>750</v>
      </c>
      <c r="E6" s="8" t="s">
        <v>751</v>
      </c>
      <c r="F6" s="8" t="s">
        <v>523</v>
      </c>
      <c r="G6" s="8" t="s">
        <v>262</v>
      </c>
      <c r="H6" s="8" t="s">
        <v>262</v>
      </c>
      <c r="I6" s="8" t="s">
        <v>533</v>
      </c>
      <c r="J6" s="8" t="s">
        <v>752</v>
      </c>
      <c r="K6" s="8" t="s">
        <v>262</v>
      </c>
      <c r="L6" s="8" t="s">
        <v>753</v>
      </c>
    </row>
    <row r="7" spans="1:12">
      <c r="A7" s="8" t="s">
        <v>754</v>
      </c>
      <c r="B7" s="8" t="s">
        <v>499</v>
      </c>
      <c r="C7" s="8" t="s">
        <v>49</v>
      </c>
      <c r="D7" s="8" t="s">
        <v>755</v>
      </c>
      <c r="E7" s="8" t="s">
        <v>756</v>
      </c>
      <c r="F7" s="8" t="s">
        <v>523</v>
      </c>
      <c r="G7" s="8" t="s">
        <v>262</v>
      </c>
      <c r="H7" s="8" t="s">
        <v>757</v>
      </c>
      <c r="I7" s="8" t="s">
        <v>533</v>
      </c>
      <c r="J7" s="8" t="s">
        <v>758</v>
      </c>
      <c r="K7" s="8" t="s">
        <v>759</v>
      </c>
      <c r="L7" s="8" t="s">
        <v>760</v>
      </c>
    </row>
    <row r="8" spans="1:12">
      <c r="A8" s="8" t="s">
        <v>729</v>
      </c>
      <c r="B8" s="8" t="s">
        <v>498</v>
      </c>
      <c r="C8" s="8" t="s">
        <v>241</v>
      </c>
      <c r="D8" s="8" t="s">
        <v>241</v>
      </c>
      <c r="E8" s="8" t="s">
        <v>761</v>
      </c>
      <c r="F8" s="8" t="s">
        <v>262</v>
      </c>
      <c r="G8" s="8" t="s">
        <v>262</v>
      </c>
      <c r="H8" s="8" t="s">
        <v>262</v>
      </c>
      <c r="I8" s="8" t="s">
        <v>262</v>
      </c>
      <c r="J8" s="8" t="s">
        <v>762</v>
      </c>
      <c r="K8" s="8" t="s">
        <v>763</v>
      </c>
      <c r="L8" s="8" t="s">
        <v>764</v>
      </c>
    </row>
    <row r="9" spans="1:12">
      <c r="A9" s="8" t="s">
        <v>479</v>
      </c>
      <c r="B9" s="8"/>
      <c r="C9" s="8" t="s">
        <v>41</v>
      </c>
      <c r="D9" s="8"/>
      <c r="E9" s="8" t="s">
        <v>691</v>
      </c>
      <c r="F9" s="8" t="s">
        <v>513</v>
      </c>
      <c r="G9" s="8">
        <v>0</v>
      </c>
      <c r="H9" s="8">
        <v>50250</v>
      </c>
      <c r="I9" s="8" t="s">
        <v>514</v>
      </c>
      <c r="J9" s="8"/>
      <c r="K9" s="8"/>
      <c r="L9" s="8"/>
    </row>
    <row r="10" spans="1:12">
      <c r="A10" s="8" t="s">
        <v>479</v>
      </c>
      <c r="B10" s="8"/>
      <c r="C10" s="8" t="s">
        <v>765</v>
      </c>
      <c r="D10" s="8"/>
      <c r="E10" s="8" t="s">
        <v>766</v>
      </c>
      <c r="F10" s="8" t="s">
        <v>766</v>
      </c>
      <c r="G10" s="8" t="s">
        <v>766</v>
      </c>
      <c r="H10" s="8" t="s">
        <v>766</v>
      </c>
      <c r="I10" s="8" t="s">
        <v>635</v>
      </c>
      <c r="J10" s="8"/>
      <c r="K10" s="8"/>
      <c r="L10" s="8"/>
    </row>
    <row r="11" spans="1:12">
      <c r="A11" s="8" t="s">
        <v>479</v>
      </c>
      <c r="B11" s="8"/>
      <c r="C11" s="8" t="s">
        <v>46</v>
      </c>
      <c r="D11" s="8"/>
      <c r="E11" s="8" t="s">
        <v>766</v>
      </c>
      <c r="F11" s="8" t="s">
        <v>766</v>
      </c>
      <c r="G11" s="8" t="s">
        <v>766</v>
      </c>
      <c r="H11" s="8" t="s">
        <v>766</v>
      </c>
      <c r="I11" s="8" t="s">
        <v>533</v>
      </c>
      <c r="J11" s="8"/>
      <c r="K11" s="8"/>
      <c r="L11" s="8"/>
    </row>
    <row r="12" spans="1:12">
      <c r="A12" s="8" t="s">
        <v>767</v>
      </c>
      <c r="B12" s="8"/>
      <c r="C12" s="8" t="s">
        <v>552</v>
      </c>
      <c r="D12" s="8"/>
      <c r="E12" s="8" t="s">
        <v>768</v>
      </c>
      <c r="F12" s="8" t="s">
        <v>513</v>
      </c>
      <c r="G12" s="8">
        <v>0</v>
      </c>
      <c r="H12" s="8">
        <v>50490</v>
      </c>
      <c r="I12" s="8" t="s">
        <v>514</v>
      </c>
      <c r="J12" s="8"/>
      <c r="K12" s="8"/>
      <c r="L12" s="8"/>
    </row>
    <row r="13" spans="1:12">
      <c r="A13" s="8" t="s">
        <v>479</v>
      </c>
      <c r="B13" s="8"/>
      <c r="C13" s="8" t="s">
        <v>35</v>
      </c>
      <c r="D13" s="8"/>
      <c r="E13" s="8" t="s">
        <v>643</v>
      </c>
      <c r="F13" s="8" t="s">
        <v>644</v>
      </c>
      <c r="G13" s="8">
        <v>0</v>
      </c>
      <c r="H13" s="8" t="s">
        <v>645</v>
      </c>
      <c r="I13" s="8" t="s">
        <v>642</v>
      </c>
      <c r="J13" s="8"/>
      <c r="K13" s="8"/>
      <c r="L13" s="8"/>
    </row>
    <row r="14" spans="1:12">
      <c r="A14" s="8" t="s">
        <v>479</v>
      </c>
      <c r="B14" s="8"/>
      <c r="C14" s="8" t="s">
        <v>47</v>
      </c>
      <c r="D14" s="8"/>
      <c r="E14" s="8" t="s">
        <v>660</v>
      </c>
      <c r="F14" s="8" t="s">
        <v>543</v>
      </c>
      <c r="G14" s="8">
        <v>0</v>
      </c>
      <c r="H14" s="8" t="s">
        <v>661</v>
      </c>
      <c r="I14" s="8" t="s">
        <v>642</v>
      </c>
      <c r="J14" s="8"/>
      <c r="K14" s="8"/>
      <c r="L14" s="8"/>
    </row>
    <row r="15" spans="1:12">
      <c r="A15" s="8" t="s">
        <v>370</v>
      </c>
      <c r="B15" s="8"/>
      <c r="C15" s="8" t="s">
        <v>663</v>
      </c>
      <c r="D15" s="8"/>
      <c r="E15" s="8" t="s">
        <v>666</v>
      </c>
      <c r="F15" s="8" t="s">
        <v>667</v>
      </c>
      <c r="G15" s="8">
        <v>0</v>
      </c>
      <c r="H15" s="8">
        <v>92120</v>
      </c>
      <c r="I15" s="8" t="s">
        <v>665</v>
      </c>
      <c r="J15" s="8"/>
      <c r="K15" s="8"/>
      <c r="L15" s="8"/>
    </row>
    <row r="16" spans="1:12">
      <c r="A16" s="8" t="s">
        <v>370</v>
      </c>
      <c r="B16" s="8"/>
      <c r="C16" s="8" t="s">
        <v>769</v>
      </c>
      <c r="D16" s="8"/>
      <c r="E16" s="8" t="s">
        <v>703</v>
      </c>
      <c r="F16" s="8" t="s">
        <v>671</v>
      </c>
      <c r="G16" s="8" t="s">
        <v>671</v>
      </c>
      <c r="H16" s="8">
        <v>10012</v>
      </c>
      <c r="I16" s="8" t="s">
        <v>635</v>
      </c>
      <c r="J16" s="8"/>
      <c r="K16" s="8"/>
      <c r="L16" s="8"/>
    </row>
    <row r="17" spans="1:12">
      <c r="A17" s="8" t="s">
        <v>479</v>
      </c>
      <c r="B17" s="8"/>
      <c r="C17" s="8" t="s">
        <v>10</v>
      </c>
      <c r="D17" s="8"/>
      <c r="E17" s="8" t="s">
        <v>674</v>
      </c>
      <c r="F17" s="8" t="s">
        <v>675</v>
      </c>
      <c r="G17" s="8" t="s">
        <v>676</v>
      </c>
      <c r="H17" s="8">
        <v>98101</v>
      </c>
      <c r="I17" s="8" t="s">
        <v>635</v>
      </c>
      <c r="J17" s="8"/>
      <c r="K17" s="8"/>
      <c r="L17" s="8"/>
    </row>
    <row r="18" spans="1:12">
      <c r="A18" s="8" t="s">
        <v>479</v>
      </c>
      <c r="B18" s="8"/>
      <c r="C18" s="8" t="s">
        <v>4</v>
      </c>
      <c r="D18" s="8"/>
      <c r="E18" s="8" t="s">
        <v>652</v>
      </c>
      <c r="F18" s="8" t="s">
        <v>523</v>
      </c>
      <c r="G18" s="8">
        <v>0</v>
      </c>
      <c r="H18" s="8">
        <v>12213</v>
      </c>
      <c r="I18" s="8" t="s">
        <v>533</v>
      </c>
      <c r="J18" s="8"/>
      <c r="K18" s="8"/>
      <c r="L18" s="8"/>
    </row>
    <row r="19" spans="1:12">
      <c r="A19" s="8" t="s">
        <v>479</v>
      </c>
      <c r="B19" s="8"/>
      <c r="C19" s="8" t="s">
        <v>8</v>
      </c>
      <c r="D19" s="8"/>
      <c r="E19" s="8" t="s">
        <v>655</v>
      </c>
      <c r="F19" s="8" t="s">
        <v>656</v>
      </c>
      <c r="G19" s="8" t="s">
        <v>658</v>
      </c>
      <c r="H19" s="8">
        <v>6830</v>
      </c>
      <c r="I19" s="8" t="s">
        <v>635</v>
      </c>
      <c r="J19" s="8"/>
      <c r="K19" s="8"/>
      <c r="L19" s="8"/>
    </row>
    <row r="20" spans="1:12">
      <c r="A20" s="8" t="s">
        <v>767</v>
      </c>
      <c r="B20" s="8"/>
      <c r="C20" s="8" t="s">
        <v>5</v>
      </c>
      <c r="D20" s="8"/>
      <c r="E20" s="8" t="s">
        <v>670</v>
      </c>
      <c r="F20" s="8" t="s">
        <v>671</v>
      </c>
      <c r="G20" s="8" t="s">
        <v>671</v>
      </c>
      <c r="H20" s="8">
        <v>10017</v>
      </c>
      <c r="I20" s="8" t="s">
        <v>635</v>
      </c>
      <c r="J20" s="8"/>
      <c r="K20" s="8"/>
      <c r="L20" s="8"/>
    </row>
    <row r="21" spans="1:12">
      <c r="A21" s="8" t="s">
        <v>370</v>
      </c>
      <c r="B21" s="8"/>
      <c r="C21" s="8" t="s">
        <v>687</v>
      </c>
      <c r="D21" s="8"/>
      <c r="E21" s="8" t="s">
        <v>688</v>
      </c>
      <c r="F21" s="8" t="s">
        <v>689</v>
      </c>
      <c r="G21" s="8" t="s">
        <v>564</v>
      </c>
      <c r="H21" s="8">
        <v>60602</v>
      </c>
      <c r="I21" s="8" t="s">
        <v>635</v>
      </c>
      <c r="J21" s="8"/>
      <c r="K21" s="8"/>
      <c r="L21" s="8"/>
    </row>
    <row r="22" spans="1:12">
      <c r="A22" s="8" t="s">
        <v>479</v>
      </c>
      <c r="B22" s="8"/>
      <c r="C22" s="8" t="s">
        <v>185</v>
      </c>
      <c r="D22" s="8"/>
      <c r="E22" s="8" t="s">
        <v>649</v>
      </c>
      <c r="F22" s="8" t="s">
        <v>637</v>
      </c>
      <c r="G22" s="8" t="s">
        <v>639</v>
      </c>
      <c r="H22" s="8">
        <v>2116</v>
      </c>
      <c r="I22" s="8" t="s">
        <v>635</v>
      </c>
      <c r="J22" s="8"/>
      <c r="K22" s="8"/>
      <c r="L22" s="8"/>
    </row>
    <row r="23" spans="1:12">
      <c r="A23" s="8" t="s">
        <v>479</v>
      </c>
      <c r="B23" s="8"/>
      <c r="C23" s="8" t="s">
        <v>6</v>
      </c>
      <c r="D23" s="8"/>
      <c r="E23" s="8" t="s">
        <v>705</v>
      </c>
      <c r="F23" s="8" t="s">
        <v>675</v>
      </c>
      <c r="G23" s="8" t="s">
        <v>676</v>
      </c>
      <c r="H23" s="8">
        <v>98101</v>
      </c>
      <c r="I23" s="8" t="s">
        <v>635</v>
      </c>
      <c r="J23" s="8"/>
      <c r="K23" s="8"/>
      <c r="L23" s="8"/>
    </row>
    <row r="24" spans="1:12">
      <c r="A24" s="8" t="s">
        <v>370</v>
      </c>
      <c r="B24" s="8"/>
      <c r="C24" s="8" t="s">
        <v>483</v>
      </c>
      <c r="D24" s="8"/>
      <c r="E24" s="8" t="s">
        <v>681</v>
      </c>
      <c r="F24" s="8" t="s">
        <v>682</v>
      </c>
      <c r="G24" s="8" t="s">
        <v>683</v>
      </c>
      <c r="H24" s="8">
        <v>0</v>
      </c>
      <c r="I24" s="8" t="s">
        <v>635</v>
      </c>
      <c r="J24" s="8"/>
      <c r="K24" s="8"/>
      <c r="L24" s="8"/>
    </row>
    <row r="25" spans="1:12">
      <c r="A25" s="8" t="s">
        <v>479</v>
      </c>
      <c r="B25" s="8"/>
      <c r="C25" s="8" t="s">
        <v>27</v>
      </c>
      <c r="D25" s="8"/>
      <c r="E25" s="8"/>
      <c r="F25" s="8"/>
      <c r="G25" s="8"/>
      <c r="H25" s="8"/>
      <c r="I25" s="8"/>
      <c r="J25" s="8"/>
      <c r="K25" s="8"/>
      <c r="L25" s="8"/>
    </row>
    <row r="26" spans="1:12">
      <c r="A26" s="8" t="s">
        <v>479</v>
      </c>
      <c r="B26" s="8"/>
      <c r="C26" s="8" t="s">
        <v>19</v>
      </c>
      <c r="D26" s="8"/>
      <c r="E26" s="192"/>
      <c r="F26" s="8"/>
      <c r="G26" s="8"/>
      <c r="H26" s="8"/>
      <c r="I26" s="8"/>
      <c r="J26" s="8"/>
      <c r="K26" s="8"/>
      <c r="L26" s="8"/>
    </row>
    <row r="27" spans="1:12">
      <c r="A27" s="8" t="s">
        <v>370</v>
      </c>
      <c r="B27" s="8"/>
      <c r="C27" s="8" t="s">
        <v>53</v>
      </c>
      <c r="D27" s="8"/>
      <c r="E27" s="192"/>
      <c r="F27" s="8"/>
      <c r="G27" s="8"/>
      <c r="H27" s="8"/>
      <c r="I27" s="8"/>
      <c r="J27" s="8"/>
      <c r="K27" s="8"/>
      <c r="L27" s="8"/>
    </row>
    <row r="28" spans="1:12">
      <c r="A28" s="8" t="s">
        <v>479</v>
      </c>
      <c r="B28" s="8"/>
      <c r="C28" s="8" t="s">
        <v>497</v>
      </c>
      <c r="D28" s="8"/>
      <c r="E28" s="8"/>
      <c r="F28" s="8"/>
      <c r="G28" s="8"/>
      <c r="H28" s="8"/>
      <c r="I28" s="8"/>
      <c r="J28" s="8"/>
      <c r="K28" s="8"/>
      <c r="L28" s="8"/>
    </row>
    <row r="29" spans="1:12">
      <c r="A29" s="8" t="s">
        <v>479</v>
      </c>
      <c r="B29" s="8"/>
      <c r="C29" s="8" t="s">
        <v>58</v>
      </c>
      <c r="D29" s="8"/>
      <c r="E29" s="8"/>
      <c r="F29" s="8"/>
      <c r="G29" s="8"/>
      <c r="H29" s="8"/>
      <c r="I29" s="8"/>
      <c r="J29" s="8"/>
      <c r="K29" s="8"/>
      <c r="L29" s="8"/>
    </row>
    <row r="30" spans="1:12">
      <c r="A30" s="8" t="s">
        <v>767</v>
      </c>
      <c r="B30" s="8"/>
      <c r="C30" s="8" t="s">
        <v>770</v>
      </c>
      <c r="D30" s="8"/>
      <c r="E30" s="8"/>
      <c r="F30" s="8"/>
      <c r="G30" s="8"/>
      <c r="H30" s="8"/>
      <c r="I30" s="8"/>
      <c r="J30" s="8"/>
      <c r="K30" s="8"/>
      <c r="L30" s="8"/>
    </row>
    <row r="31" spans="1:12">
      <c r="A31" s="8" t="s">
        <v>767</v>
      </c>
      <c r="B31" s="8"/>
      <c r="C31" s="8" t="s">
        <v>28</v>
      </c>
      <c r="D31" s="8"/>
      <c r="E31" s="8"/>
      <c r="F31" s="8"/>
      <c r="G31" s="8"/>
      <c r="H31" s="8"/>
      <c r="I31" s="8"/>
      <c r="J31" s="8"/>
      <c r="K31" s="8"/>
      <c r="L31" s="8"/>
    </row>
    <row r="32" spans="1:12">
      <c r="A32" s="8" t="s">
        <v>479</v>
      </c>
      <c r="B32" s="8"/>
      <c r="C32" s="8" t="s">
        <v>491</v>
      </c>
      <c r="D32" s="8"/>
      <c r="E32" s="8"/>
      <c r="F32" s="8"/>
      <c r="G32" s="8"/>
      <c r="H32" s="8"/>
      <c r="I32" s="8"/>
      <c r="J32" s="8"/>
      <c r="K32" s="8"/>
      <c r="L32" s="8"/>
    </row>
    <row r="33" spans="1:12">
      <c r="A33" s="8" t="s">
        <v>370</v>
      </c>
      <c r="B33" s="8"/>
      <c r="C33" s="8" t="s">
        <v>771</v>
      </c>
      <c r="D33" s="8"/>
      <c r="E33" s="8"/>
      <c r="F33" s="8"/>
      <c r="G33" s="8"/>
      <c r="H33" s="8"/>
      <c r="I33" s="8"/>
      <c r="J33" s="8"/>
      <c r="K33" s="8"/>
      <c r="L33" s="8"/>
    </row>
    <row r="34" spans="1:12">
      <c r="A34" s="8" t="s">
        <v>479</v>
      </c>
      <c r="B34" s="8"/>
      <c r="C34" s="8" t="s">
        <v>306</v>
      </c>
      <c r="D34" s="8"/>
      <c r="E34" s="8"/>
      <c r="F34" s="8"/>
      <c r="G34" s="8"/>
      <c r="H34" s="8"/>
      <c r="I34" s="8"/>
      <c r="J34" s="8"/>
      <c r="K34" s="8"/>
      <c r="L34" s="8"/>
    </row>
    <row r="35" spans="1:12">
      <c r="A35" s="8" t="s">
        <v>479</v>
      </c>
      <c r="B35" s="8"/>
      <c r="C35" s="8" t="s">
        <v>772</v>
      </c>
      <c r="D35" s="8"/>
      <c r="E35" s="8"/>
      <c r="F35" s="8"/>
      <c r="G35" s="8"/>
      <c r="H35" s="8"/>
      <c r="I35" s="8"/>
      <c r="J35" s="8"/>
      <c r="K35" s="8"/>
      <c r="L35" s="8"/>
    </row>
    <row r="36" spans="1:12">
      <c r="A36" s="8" t="s">
        <v>479</v>
      </c>
      <c r="B36" s="8"/>
      <c r="C36" s="8" t="s">
        <v>21</v>
      </c>
      <c r="D36" s="8"/>
      <c r="E36" s="8"/>
      <c r="F36" s="8"/>
      <c r="G36" s="8"/>
      <c r="H36" s="8"/>
      <c r="I36" s="8"/>
      <c r="J36" s="8"/>
      <c r="K36" s="8"/>
      <c r="L36" s="8"/>
    </row>
    <row r="37" spans="1:12">
      <c r="A37" s="8" t="s">
        <v>370</v>
      </c>
      <c r="B37" s="8"/>
      <c r="C37" s="8" t="s">
        <v>72</v>
      </c>
      <c r="D37" s="8"/>
      <c r="E37" s="8"/>
      <c r="F37" s="8"/>
      <c r="G37" s="8"/>
      <c r="H37" s="8"/>
      <c r="I37" s="8"/>
      <c r="J37" s="8"/>
      <c r="K37" s="8"/>
      <c r="L37" s="8"/>
    </row>
    <row r="38" spans="1:12">
      <c r="A38" s="8" t="s">
        <v>479</v>
      </c>
      <c r="B38" s="8"/>
      <c r="C38" s="8" t="s">
        <v>36</v>
      </c>
      <c r="D38" s="8"/>
      <c r="E38" s="8"/>
      <c r="F38" s="8"/>
      <c r="G38" s="8"/>
      <c r="H38" s="8"/>
      <c r="I38" s="8"/>
      <c r="J38" s="8"/>
      <c r="K38" s="8"/>
      <c r="L38" s="8"/>
    </row>
    <row r="39" spans="1:12">
      <c r="A39" s="8" t="s">
        <v>479</v>
      </c>
      <c r="B39" s="8"/>
      <c r="C39" s="8" t="s">
        <v>22</v>
      </c>
      <c r="D39" s="8"/>
      <c r="E39" s="8"/>
      <c r="F39" s="8"/>
      <c r="G39" s="8"/>
      <c r="H39" s="8"/>
      <c r="I39" s="8"/>
      <c r="J39" s="8"/>
      <c r="K39" s="8"/>
      <c r="L39" s="8"/>
    </row>
    <row r="40" spans="1:12">
      <c r="A40" s="8" t="s">
        <v>479</v>
      </c>
      <c r="B40" s="8"/>
      <c r="C40" s="8" t="s">
        <v>773</v>
      </c>
      <c r="D40" s="8"/>
      <c r="E40" s="8"/>
      <c r="F40" s="8"/>
      <c r="G40" s="8"/>
      <c r="H40" s="8"/>
      <c r="I40" s="8"/>
      <c r="J40" s="8"/>
      <c r="K40" s="8"/>
      <c r="L40" s="8"/>
    </row>
    <row r="41" spans="1:12">
      <c r="A41" s="8" t="s">
        <v>767</v>
      </c>
      <c r="B41" s="8"/>
      <c r="C41" s="8" t="s">
        <v>51</v>
      </c>
      <c r="D41" s="8"/>
      <c r="E41" s="8"/>
      <c r="F41" s="8"/>
      <c r="G41" s="8"/>
      <c r="H41" s="8"/>
      <c r="I41" s="8"/>
      <c r="J41" s="8"/>
      <c r="K41" s="8"/>
      <c r="L41" s="8"/>
    </row>
    <row r="42" spans="1:12">
      <c r="A42" s="8" t="s">
        <v>479</v>
      </c>
      <c r="B42" s="8"/>
      <c r="C42" s="8" t="s">
        <v>135</v>
      </c>
      <c r="D42" s="8"/>
      <c r="E42" s="8"/>
      <c r="F42" s="8"/>
      <c r="G42" s="8"/>
      <c r="H42" s="8"/>
      <c r="I42" s="8"/>
      <c r="J42" s="8"/>
      <c r="K42" s="8"/>
      <c r="L42" s="8"/>
    </row>
    <row r="43" spans="1:12">
      <c r="A43" s="8" t="s">
        <v>479</v>
      </c>
      <c r="B43" s="8"/>
      <c r="C43" s="8" t="s">
        <v>23</v>
      </c>
      <c r="D43" s="8"/>
      <c r="E43" s="8"/>
      <c r="F43" s="8"/>
      <c r="G43" s="8"/>
      <c r="H43" s="8"/>
      <c r="I43" s="8"/>
      <c r="J43" s="8"/>
      <c r="K43" s="8"/>
      <c r="L43" s="8"/>
    </row>
    <row r="44" spans="1:12">
      <c r="A44" s="8" t="s">
        <v>479</v>
      </c>
      <c r="B44" s="8"/>
      <c r="C44" s="8" t="s">
        <v>9</v>
      </c>
      <c r="D44" s="8"/>
      <c r="E44" s="8"/>
      <c r="F44" s="8"/>
      <c r="G44" s="8"/>
      <c r="H44" s="8"/>
      <c r="I44" s="8"/>
      <c r="J44" s="8"/>
      <c r="K44" s="8"/>
      <c r="L44" s="8"/>
    </row>
    <row r="45" spans="1:12">
      <c r="A45" s="8" t="s">
        <v>479</v>
      </c>
      <c r="B45" s="8"/>
      <c r="C45" s="8" t="s">
        <v>48</v>
      </c>
      <c r="D45" s="8"/>
      <c r="E45" s="8"/>
      <c r="F45" s="8"/>
      <c r="G45" s="8"/>
      <c r="H45" s="8"/>
      <c r="I45" s="8"/>
      <c r="J45" s="8"/>
      <c r="K45" s="8"/>
      <c r="L45" s="8"/>
    </row>
    <row r="46" spans="1:12">
      <c r="A46" s="8" t="s">
        <v>479</v>
      </c>
      <c r="B46" s="8"/>
      <c r="C46" s="8" t="s">
        <v>492</v>
      </c>
      <c r="D46" s="8"/>
      <c r="E46" s="8"/>
      <c r="F46" s="8"/>
      <c r="G46" s="8"/>
      <c r="H46" s="8"/>
      <c r="I46" s="8"/>
      <c r="J46" s="8"/>
      <c r="K46" s="8"/>
      <c r="L46" s="8"/>
    </row>
    <row r="47" spans="1:12">
      <c r="A47" s="8" t="s">
        <v>370</v>
      </c>
      <c r="B47" s="8"/>
      <c r="C47" s="8" t="s">
        <v>151</v>
      </c>
      <c r="D47" s="8"/>
      <c r="E47" s="8"/>
      <c r="F47" s="8"/>
      <c r="G47" s="8"/>
      <c r="H47" s="8"/>
      <c r="I47" s="8"/>
      <c r="J47" s="8"/>
      <c r="K47" s="8"/>
      <c r="L47" s="8"/>
    </row>
    <row r="48" spans="1:12">
      <c r="A48" s="8" t="s">
        <v>479</v>
      </c>
      <c r="B48" s="8"/>
      <c r="C48" s="8" t="s">
        <v>139</v>
      </c>
      <c r="D48" s="8"/>
      <c r="E48" s="8"/>
      <c r="F48" s="8"/>
      <c r="G48" s="8"/>
      <c r="H48" s="8"/>
      <c r="I48" s="8"/>
      <c r="J48" s="8"/>
      <c r="K48" s="8"/>
      <c r="L48" s="8"/>
    </row>
    <row r="49" spans="1:12">
      <c r="A49" s="8" t="s">
        <v>479</v>
      </c>
      <c r="B49" s="8"/>
      <c r="C49" s="8" t="s">
        <v>231</v>
      </c>
      <c r="D49" s="8"/>
      <c r="E49" s="8"/>
      <c r="F49" s="8"/>
      <c r="G49" s="8"/>
      <c r="H49" s="8"/>
      <c r="I49" s="8"/>
      <c r="J49" s="8"/>
      <c r="K49" s="8"/>
      <c r="L49" s="8"/>
    </row>
    <row r="50" spans="1:12">
      <c r="A50" s="8" t="s">
        <v>479</v>
      </c>
      <c r="B50" s="8"/>
      <c r="C50" s="8" t="s">
        <v>774</v>
      </c>
      <c r="D50" s="8"/>
      <c r="E50" s="8"/>
      <c r="F50" s="8"/>
      <c r="G50" s="8"/>
      <c r="H50" s="8"/>
      <c r="I50" s="8"/>
      <c r="J50" s="8"/>
      <c r="K50" s="8"/>
      <c r="L50" s="8"/>
    </row>
    <row r="51" spans="1:12">
      <c r="A51" s="8" t="s">
        <v>479</v>
      </c>
      <c r="B51" s="8"/>
      <c r="C51" s="8" t="s">
        <v>29</v>
      </c>
      <c r="D51" s="8"/>
      <c r="E51" s="8"/>
      <c r="F51" s="8"/>
      <c r="G51" s="8"/>
      <c r="H51" s="8"/>
      <c r="I51" s="8"/>
      <c r="J51" s="8"/>
      <c r="K51" s="8"/>
      <c r="L51" s="8"/>
    </row>
    <row r="52" spans="1:12">
      <c r="A52" s="8" t="s">
        <v>370</v>
      </c>
      <c r="B52" s="8"/>
      <c r="C52" s="8" t="s">
        <v>775</v>
      </c>
      <c r="D52" s="8"/>
      <c r="E52" s="8"/>
      <c r="F52" s="8"/>
      <c r="G52" s="8"/>
      <c r="H52" s="8"/>
      <c r="I52" s="8"/>
      <c r="J52" s="8"/>
      <c r="K52" s="8"/>
      <c r="L52" s="8"/>
    </row>
    <row r="53" spans="1:12">
      <c r="A53" s="8" t="s">
        <v>479</v>
      </c>
      <c r="B53" s="8"/>
      <c r="C53" s="8" t="s">
        <v>13</v>
      </c>
      <c r="D53" s="8"/>
      <c r="E53" s="8"/>
      <c r="F53" s="8"/>
      <c r="G53" s="8"/>
      <c r="H53" s="8"/>
      <c r="I53" s="8"/>
      <c r="J53" s="8"/>
      <c r="K53" s="8"/>
      <c r="L53" s="8"/>
    </row>
    <row r="54" spans="1:12">
      <c r="A54" s="8" t="s">
        <v>370</v>
      </c>
      <c r="B54" s="8"/>
      <c r="C54" s="8" t="s">
        <v>62</v>
      </c>
      <c r="D54" s="8"/>
      <c r="E54" s="8"/>
      <c r="F54" s="8"/>
      <c r="G54" s="8"/>
      <c r="H54" s="8"/>
      <c r="I54" s="8"/>
      <c r="J54" s="8"/>
      <c r="K54" s="8"/>
      <c r="L54" s="8"/>
    </row>
    <row r="55" spans="1:12">
      <c r="A55" s="8" t="s">
        <v>479</v>
      </c>
      <c r="B55" s="8"/>
      <c r="C55" s="8" t="s">
        <v>31</v>
      </c>
      <c r="D55" s="8"/>
      <c r="E55" s="8"/>
      <c r="F55" s="8"/>
      <c r="G55" s="8"/>
      <c r="H55" s="8"/>
      <c r="I55" s="8"/>
      <c r="J55" s="8"/>
      <c r="K55" s="8"/>
      <c r="L55" s="8"/>
    </row>
    <row r="56" spans="1:12">
      <c r="A56" s="8" t="s">
        <v>370</v>
      </c>
      <c r="B56" s="8"/>
      <c r="C56" s="8" t="s">
        <v>63</v>
      </c>
      <c r="D56" s="8"/>
      <c r="E56" s="8"/>
      <c r="F56" s="8"/>
      <c r="G56" s="8"/>
      <c r="H56" s="8"/>
      <c r="I56" s="8"/>
      <c r="J56" s="8"/>
      <c r="K56" s="8"/>
      <c r="L56" s="8"/>
    </row>
    <row r="57" spans="1:12">
      <c r="A57" s="8" t="s">
        <v>479</v>
      </c>
      <c r="B57" s="8"/>
      <c r="C57" s="8" t="s">
        <v>776</v>
      </c>
      <c r="D57" s="8"/>
      <c r="E57" s="8"/>
      <c r="F57" s="8"/>
      <c r="G57" s="8"/>
      <c r="H57" s="8"/>
      <c r="I57" s="8"/>
      <c r="J57" s="8"/>
      <c r="K57" s="8"/>
      <c r="L57" s="8"/>
    </row>
    <row r="58" spans="1:12">
      <c r="A58" s="8" t="s">
        <v>479</v>
      </c>
      <c r="B58" s="8"/>
      <c r="C58" s="8" t="s">
        <v>40</v>
      </c>
      <c r="D58" s="8"/>
      <c r="E58" s="8"/>
      <c r="F58" s="8"/>
      <c r="G58" s="8"/>
      <c r="H58" s="8"/>
      <c r="I58" s="8"/>
      <c r="J58" s="8"/>
      <c r="K58" s="8"/>
      <c r="L58" s="8"/>
    </row>
    <row r="59" spans="1:12">
      <c r="A59" s="8" t="s">
        <v>767</v>
      </c>
      <c r="B59" s="8"/>
      <c r="C59" s="8" t="s">
        <v>7</v>
      </c>
      <c r="D59" s="8"/>
      <c r="E59" s="8"/>
      <c r="F59" s="8"/>
      <c r="G59" s="8"/>
      <c r="H59" s="8"/>
      <c r="I59" s="8"/>
      <c r="J59" s="8"/>
      <c r="K59" s="8"/>
      <c r="L59" s="8"/>
    </row>
    <row r="60" spans="1:12">
      <c r="A60" s="8" t="s">
        <v>479</v>
      </c>
      <c r="B60" s="8"/>
      <c r="C60" s="8" t="s">
        <v>55</v>
      </c>
      <c r="D60" s="8"/>
      <c r="E60" s="8"/>
      <c r="F60" s="8"/>
      <c r="G60" s="8"/>
      <c r="H60" s="8"/>
      <c r="I60" s="8"/>
      <c r="J60" s="8"/>
      <c r="K60" s="8"/>
      <c r="L60" s="8"/>
    </row>
    <row r="61" spans="1:12">
      <c r="A61" s="8" t="s">
        <v>370</v>
      </c>
      <c r="B61" s="8"/>
      <c r="C61" s="8" t="s">
        <v>777</v>
      </c>
      <c r="D61" s="8"/>
      <c r="E61" s="8"/>
      <c r="F61" s="8"/>
      <c r="G61" s="8"/>
      <c r="H61" s="8"/>
      <c r="I61" s="8"/>
      <c r="J61" s="8"/>
      <c r="K61" s="8"/>
      <c r="L61" s="8"/>
    </row>
    <row r="62" spans="1:12">
      <c r="A62" s="8" t="s">
        <v>479</v>
      </c>
      <c r="B62" s="8"/>
      <c r="C62" s="8" t="s">
        <v>12</v>
      </c>
      <c r="D62" s="8"/>
      <c r="E62" s="8"/>
      <c r="F62" s="8"/>
      <c r="G62" s="8"/>
      <c r="H62" s="8"/>
      <c r="I62" s="8"/>
      <c r="J62" s="8"/>
      <c r="K62" s="8"/>
      <c r="L62" s="8"/>
    </row>
    <row r="63" spans="1:12">
      <c r="A63" s="8" t="s">
        <v>370</v>
      </c>
      <c r="B63" s="8"/>
      <c r="C63" s="8" t="s">
        <v>778</v>
      </c>
      <c r="D63" s="8"/>
      <c r="E63" s="8"/>
      <c r="F63" s="8"/>
      <c r="G63" s="8"/>
      <c r="H63" s="8"/>
      <c r="I63" s="8"/>
      <c r="J63" s="8"/>
      <c r="K63" s="8"/>
      <c r="L63" s="8"/>
    </row>
    <row r="64" spans="1:12">
      <c r="A64" s="8" t="s">
        <v>479</v>
      </c>
      <c r="B64" s="8"/>
      <c r="C64" s="8" t="s">
        <v>43</v>
      </c>
      <c r="D64" s="8"/>
      <c r="E64" s="8"/>
      <c r="F64" s="8"/>
      <c r="G64" s="8"/>
      <c r="H64" s="8"/>
      <c r="I64" s="8"/>
      <c r="J64" s="8"/>
      <c r="K64" s="8"/>
      <c r="L64" s="8"/>
    </row>
    <row r="65" spans="1:12">
      <c r="A65" s="8" t="s">
        <v>479</v>
      </c>
      <c r="B65" s="8"/>
      <c r="C65" s="8" t="s">
        <v>15</v>
      </c>
      <c r="D65" s="8"/>
      <c r="E65" s="8"/>
      <c r="F65" s="8"/>
      <c r="G65" s="8"/>
      <c r="H65" s="8"/>
      <c r="I65" s="8"/>
      <c r="J65" s="8"/>
      <c r="K65" s="8"/>
      <c r="L65" s="8"/>
    </row>
    <row r="66" spans="1:12">
      <c r="A66" s="8" t="s">
        <v>479</v>
      </c>
      <c r="B66" s="8"/>
      <c r="C66" s="8" t="s">
        <v>779</v>
      </c>
      <c r="D66" s="8"/>
      <c r="E66" s="8"/>
      <c r="F66" s="8"/>
      <c r="G66" s="8"/>
      <c r="H66" s="8"/>
      <c r="I66" s="8"/>
      <c r="J66" s="8"/>
      <c r="K66" s="8"/>
      <c r="L66" s="8"/>
    </row>
    <row r="67" spans="1:12">
      <c r="A67" s="8" t="s">
        <v>479</v>
      </c>
      <c r="B67" s="8"/>
      <c r="C67" s="8" t="s">
        <v>32</v>
      </c>
      <c r="D67" s="8"/>
      <c r="E67" s="8"/>
      <c r="F67" s="8"/>
      <c r="G67" s="8"/>
      <c r="H67" s="8"/>
      <c r="I67" s="8"/>
      <c r="J67" s="8"/>
      <c r="K67" s="8"/>
      <c r="L67" s="8"/>
    </row>
    <row r="68" spans="1:12">
      <c r="A68" s="8" t="s">
        <v>479</v>
      </c>
      <c r="B68" s="8"/>
      <c r="C68" s="8" t="s">
        <v>66</v>
      </c>
      <c r="D68" s="8"/>
      <c r="E68" s="8"/>
      <c r="F68" s="8"/>
      <c r="G68" s="8"/>
      <c r="H68" s="8"/>
      <c r="I68" s="8"/>
      <c r="J68" s="8"/>
      <c r="K68" s="8"/>
      <c r="L68" s="8"/>
    </row>
    <row r="69" spans="1:12">
      <c r="A69" s="8" t="s">
        <v>479</v>
      </c>
      <c r="B69" s="8"/>
      <c r="C69" s="8" t="s">
        <v>137</v>
      </c>
      <c r="D69" s="8"/>
      <c r="E69" s="8"/>
      <c r="F69" s="8"/>
      <c r="G69" s="8"/>
      <c r="H69" s="8"/>
      <c r="I69" s="8"/>
      <c r="J69" s="8"/>
      <c r="K69" s="8"/>
      <c r="L69" s="8"/>
    </row>
    <row r="70" spans="1:12">
      <c r="A70" s="8" t="s">
        <v>767</v>
      </c>
      <c r="B70" s="8"/>
      <c r="C70" s="8" t="s">
        <v>780</v>
      </c>
      <c r="D70" s="8"/>
      <c r="E70" s="8"/>
      <c r="F70" s="8"/>
      <c r="G70" s="8"/>
      <c r="H70" s="8"/>
      <c r="I70" s="8"/>
      <c r="J70" s="8"/>
      <c r="K70" s="8"/>
      <c r="L70" s="8"/>
    </row>
    <row r="71" spans="1:12">
      <c r="A71" s="8" t="s">
        <v>479</v>
      </c>
      <c r="B71" s="8"/>
      <c r="C71" s="8" t="s">
        <v>781</v>
      </c>
      <c r="D71" s="8"/>
      <c r="E71" s="8"/>
      <c r="F71" s="8"/>
      <c r="G71" s="8"/>
      <c r="H71" s="8"/>
      <c r="I71" s="8"/>
      <c r="J71" s="8"/>
      <c r="K71" s="8"/>
      <c r="L71" s="8"/>
    </row>
    <row r="72" spans="1:12">
      <c r="A72" s="8" t="s">
        <v>767</v>
      </c>
      <c r="B72" s="8"/>
      <c r="C72" s="8" t="s">
        <v>782</v>
      </c>
      <c r="D72" s="8"/>
      <c r="E72" s="8"/>
      <c r="F72" s="8"/>
      <c r="G72" s="8"/>
      <c r="H72" s="8"/>
      <c r="I72" s="8"/>
      <c r="J72" s="8"/>
      <c r="K72" s="8"/>
      <c r="L72" s="8"/>
    </row>
    <row r="73" spans="1:12">
      <c r="A73" s="8" t="s">
        <v>479</v>
      </c>
      <c r="B73" s="8"/>
      <c r="C73" s="8" t="s">
        <v>500</v>
      </c>
      <c r="D73" s="8"/>
      <c r="E73" s="8"/>
      <c r="F73" s="8"/>
      <c r="G73" s="8"/>
      <c r="H73" s="8"/>
      <c r="I73" s="8"/>
      <c r="J73" s="8"/>
      <c r="K73" s="8"/>
      <c r="L73" s="8"/>
    </row>
    <row r="74" spans="1:12">
      <c r="A74" s="8" t="s">
        <v>479</v>
      </c>
      <c r="B74" s="8"/>
      <c r="C74" s="8" t="s">
        <v>783</v>
      </c>
      <c r="D74" s="8"/>
      <c r="E74" s="8"/>
      <c r="F74" s="8"/>
      <c r="G74" s="8"/>
      <c r="H74" s="8"/>
      <c r="I74" s="8"/>
      <c r="J74" s="8"/>
      <c r="K74" s="8"/>
      <c r="L74" s="8"/>
    </row>
    <row r="75" spans="1:12">
      <c r="A75" s="8" t="s">
        <v>370</v>
      </c>
      <c r="B75" s="8"/>
      <c r="C75" s="8" t="s">
        <v>144</v>
      </c>
      <c r="D75" s="8"/>
      <c r="E75" s="8"/>
      <c r="F75" s="8"/>
      <c r="G75" s="8"/>
      <c r="H75" s="8"/>
      <c r="I75" s="8"/>
      <c r="J75" s="8"/>
      <c r="K75" s="8"/>
      <c r="L75" s="8"/>
    </row>
    <row r="76" spans="1:12">
      <c r="A76" s="8" t="s">
        <v>370</v>
      </c>
      <c r="B76" s="8"/>
      <c r="C76" s="8" t="s">
        <v>784</v>
      </c>
      <c r="D76" s="8"/>
      <c r="E76" s="8"/>
      <c r="F76" s="8"/>
      <c r="G76" s="8"/>
      <c r="H76" s="8"/>
      <c r="I76" s="8"/>
      <c r="J76" s="8"/>
      <c r="K76" s="8"/>
      <c r="L76" s="8"/>
    </row>
    <row r="77" spans="1:12" s="194" customFormat="1" ht="16">
      <c r="A77" s="193" t="s">
        <v>279</v>
      </c>
      <c r="B77" s="193"/>
      <c r="C77" s="193" t="s">
        <v>27</v>
      </c>
      <c r="D77" s="193"/>
      <c r="E77" s="193"/>
      <c r="F77" s="193"/>
      <c r="G77" s="193"/>
      <c r="H77" s="193"/>
      <c r="I77" s="193"/>
      <c r="J77" s="193"/>
      <c r="K77" s="193"/>
      <c r="L77" s="193"/>
    </row>
    <row r="78" spans="1:12" s="194" customFormat="1" ht="16">
      <c r="A78" s="193" t="s">
        <v>279</v>
      </c>
      <c r="B78" s="193"/>
      <c r="C78" s="193" t="s">
        <v>770</v>
      </c>
      <c r="D78" s="193"/>
      <c r="E78" s="193"/>
      <c r="F78" s="193"/>
      <c r="G78" s="193"/>
      <c r="H78" s="193"/>
      <c r="I78" s="193"/>
      <c r="J78" s="193"/>
      <c r="K78" s="193"/>
      <c r="L78" s="193"/>
    </row>
    <row r="79" spans="1:12" s="194" customFormat="1" ht="16">
      <c r="A79" s="193" t="s">
        <v>279</v>
      </c>
      <c r="B79" s="193"/>
      <c r="C79" s="193" t="s">
        <v>28</v>
      </c>
      <c r="D79" s="193"/>
      <c r="E79" s="193"/>
      <c r="F79" s="193"/>
      <c r="G79" s="193"/>
      <c r="H79" s="193"/>
      <c r="I79" s="193"/>
      <c r="J79" s="193"/>
      <c r="K79" s="193"/>
      <c r="L79" s="193"/>
    </row>
    <row r="80" spans="1:12" s="194" customFormat="1" ht="16">
      <c r="A80" s="193" t="s">
        <v>279</v>
      </c>
      <c r="B80" s="193"/>
      <c r="C80" s="193" t="s">
        <v>772</v>
      </c>
      <c r="D80" s="193"/>
      <c r="E80" s="193"/>
      <c r="F80" s="193"/>
      <c r="G80" s="193"/>
      <c r="H80" s="193"/>
      <c r="I80" s="193"/>
      <c r="J80" s="193"/>
      <c r="K80" s="193"/>
      <c r="L80" s="193"/>
    </row>
    <row r="81" spans="1:12" s="194" customFormat="1" ht="16">
      <c r="A81" s="193" t="s">
        <v>279</v>
      </c>
      <c r="B81" s="193"/>
      <c r="C81" s="193" t="s">
        <v>35</v>
      </c>
      <c r="D81" s="193"/>
      <c r="E81" s="193"/>
      <c r="F81" s="193"/>
      <c r="G81" s="193"/>
      <c r="H81" s="193"/>
      <c r="I81" s="193"/>
      <c r="J81" s="193"/>
      <c r="K81" s="193"/>
      <c r="L81" s="193"/>
    </row>
    <row r="82" spans="1:12" s="194" customFormat="1" ht="16">
      <c r="A82" s="193" t="s">
        <v>279</v>
      </c>
      <c r="B82" s="193"/>
      <c r="C82" s="193" t="s">
        <v>785</v>
      </c>
      <c r="D82" s="193"/>
      <c r="E82" s="193"/>
      <c r="F82" s="193"/>
      <c r="G82" s="193"/>
      <c r="H82" s="193"/>
      <c r="I82" s="193"/>
      <c r="J82" s="193"/>
      <c r="K82" s="193"/>
      <c r="L82" s="193"/>
    </row>
    <row r="83" spans="1:12" s="194" customFormat="1" ht="16">
      <c r="A83" s="193" t="s">
        <v>279</v>
      </c>
      <c r="B83" s="193"/>
      <c r="C83" s="193" t="s">
        <v>786</v>
      </c>
      <c r="D83" s="193"/>
      <c r="E83" s="193"/>
      <c r="F83" s="193"/>
      <c r="G83" s="193"/>
      <c r="H83" s="193"/>
      <c r="I83" s="193"/>
      <c r="J83" s="193"/>
      <c r="K83" s="193"/>
      <c r="L83" s="193"/>
    </row>
    <row r="84" spans="1:12" s="194" customFormat="1" ht="16">
      <c r="A84" s="193" t="s">
        <v>279</v>
      </c>
      <c r="B84" s="193"/>
      <c r="C84" s="193" t="s">
        <v>49</v>
      </c>
      <c r="D84" s="193"/>
      <c r="E84" s="193"/>
      <c r="F84" s="193"/>
      <c r="G84" s="193"/>
      <c r="H84" s="193"/>
      <c r="I84" s="193"/>
      <c r="J84" s="193"/>
      <c r="K84" s="193"/>
      <c r="L84" s="193"/>
    </row>
    <row r="85" spans="1:12" s="194" customFormat="1" ht="16">
      <c r="A85" s="193" t="s">
        <v>279</v>
      </c>
      <c r="B85" s="193"/>
      <c r="C85" s="193" t="s">
        <v>41</v>
      </c>
      <c r="D85" s="193"/>
      <c r="E85" s="193"/>
      <c r="F85" s="193"/>
      <c r="G85" s="193"/>
      <c r="H85" s="193"/>
      <c r="I85" s="193"/>
      <c r="J85" s="193"/>
      <c r="K85" s="193"/>
      <c r="L85" s="193"/>
    </row>
    <row r="86" spans="1:12" s="194" customFormat="1" ht="16">
      <c r="A86" s="193" t="s">
        <v>279</v>
      </c>
      <c r="B86" s="193"/>
      <c r="C86" s="193" t="s">
        <v>787</v>
      </c>
      <c r="D86" s="193"/>
      <c r="E86" s="193"/>
      <c r="F86" s="193"/>
      <c r="G86" s="193"/>
      <c r="H86" s="193"/>
      <c r="I86" s="193"/>
      <c r="J86" s="193"/>
      <c r="K86" s="193"/>
      <c r="L86" s="193"/>
    </row>
    <row r="87" spans="1:12" s="194" customFormat="1" ht="16">
      <c r="A87" s="193" t="s">
        <v>279</v>
      </c>
      <c r="B87" s="193"/>
      <c r="C87" s="193" t="s">
        <v>780</v>
      </c>
      <c r="D87" s="193"/>
      <c r="E87" s="193"/>
      <c r="F87" s="193"/>
      <c r="G87" s="193"/>
      <c r="H87" s="193"/>
      <c r="I87" s="193"/>
      <c r="J87" s="193"/>
      <c r="K87" s="193"/>
      <c r="L87" s="193"/>
    </row>
    <row r="88" spans="1:12" s="194" customFormat="1" ht="16">
      <c r="A88" s="193" t="s">
        <v>279</v>
      </c>
      <c r="B88" s="193"/>
      <c r="C88" s="193" t="s">
        <v>72</v>
      </c>
      <c r="D88" s="193"/>
      <c r="E88" s="193"/>
      <c r="F88" s="193"/>
      <c r="G88" s="193"/>
      <c r="H88" s="193"/>
      <c r="I88" s="193"/>
      <c r="J88" s="193"/>
      <c r="K88" s="193"/>
      <c r="L88" s="193"/>
    </row>
    <row r="89" spans="1:12" s="194" customFormat="1" ht="16">
      <c r="A89" s="193" t="s">
        <v>279</v>
      </c>
      <c r="B89" s="193"/>
      <c r="C89" s="193" t="s">
        <v>227</v>
      </c>
      <c r="D89" s="193"/>
      <c r="E89" s="193"/>
      <c r="F89" s="193"/>
      <c r="G89" s="193"/>
      <c r="H89" s="193"/>
      <c r="I89" s="193"/>
      <c r="J89" s="193"/>
      <c r="K89" s="193"/>
      <c r="L89" s="193"/>
    </row>
    <row r="90" spans="1:12" s="194" customFormat="1" ht="16">
      <c r="A90" s="193" t="s">
        <v>279</v>
      </c>
      <c r="B90" s="193"/>
      <c r="C90" s="193" t="s">
        <v>788</v>
      </c>
      <c r="D90" s="193"/>
      <c r="E90" s="193"/>
      <c r="F90" s="193"/>
      <c r="G90" s="193"/>
      <c r="H90" s="193"/>
      <c r="I90" s="193"/>
      <c r="J90" s="193"/>
      <c r="K90" s="193"/>
      <c r="L90" s="193"/>
    </row>
    <row r="91" spans="1:12" s="194" customFormat="1" ht="16">
      <c r="A91" s="193" t="s">
        <v>279</v>
      </c>
      <c r="B91" s="193"/>
      <c r="C91" s="193" t="s">
        <v>789</v>
      </c>
      <c r="D91" s="193"/>
      <c r="E91" s="193"/>
      <c r="F91" s="193"/>
      <c r="G91" s="193"/>
      <c r="H91" s="193"/>
      <c r="I91" s="193"/>
      <c r="J91" s="193"/>
      <c r="K91" s="193"/>
      <c r="L91" s="193"/>
    </row>
    <row r="92" spans="1:12" s="194" customFormat="1" ht="16">
      <c r="A92" s="193" t="s">
        <v>279</v>
      </c>
      <c r="B92" s="193"/>
      <c r="C92" s="193" t="s">
        <v>790</v>
      </c>
      <c r="D92" s="193"/>
      <c r="E92" s="193"/>
      <c r="F92" s="193"/>
      <c r="G92" s="193"/>
      <c r="H92" s="193"/>
      <c r="I92" s="193"/>
      <c r="J92" s="193"/>
      <c r="K92" s="193"/>
      <c r="L92" s="193"/>
    </row>
    <row r="93" spans="1:12" s="194" customFormat="1" ht="16">
      <c r="A93" s="193" t="s">
        <v>279</v>
      </c>
      <c r="B93" s="193"/>
      <c r="C93" s="193" t="s">
        <v>791</v>
      </c>
      <c r="D93" s="193"/>
      <c r="E93" s="193"/>
      <c r="F93" s="193"/>
      <c r="G93" s="193"/>
      <c r="H93" s="193"/>
      <c r="I93" s="193"/>
      <c r="J93" s="193"/>
      <c r="K93" s="193"/>
      <c r="L93" s="193"/>
    </row>
    <row r="94" spans="1:12" s="194" customFormat="1" ht="16">
      <c r="A94" s="193" t="s">
        <v>279</v>
      </c>
      <c r="B94" s="193"/>
      <c r="C94" s="193" t="s">
        <v>232</v>
      </c>
      <c r="D94" s="193"/>
      <c r="E94" s="193"/>
      <c r="F94" s="193"/>
      <c r="G94" s="193"/>
      <c r="H94" s="193"/>
      <c r="I94" s="193"/>
      <c r="J94" s="193"/>
      <c r="K94" s="193"/>
      <c r="L94" s="193"/>
    </row>
    <row r="95" spans="1:12" s="194" customFormat="1" ht="16">
      <c r="A95" s="193" t="s">
        <v>279</v>
      </c>
      <c r="B95" s="193"/>
      <c r="C95" s="193" t="s">
        <v>792</v>
      </c>
      <c r="D95" s="193"/>
      <c r="E95" s="193"/>
      <c r="F95" s="193"/>
      <c r="G95" s="193"/>
      <c r="H95" s="193"/>
      <c r="I95" s="193"/>
      <c r="J95" s="193"/>
      <c r="K95" s="193"/>
      <c r="L95" s="193"/>
    </row>
    <row r="96" spans="1:12" s="194" customFormat="1" ht="16">
      <c r="A96" s="193" t="s">
        <v>279</v>
      </c>
      <c r="B96" s="193"/>
      <c r="C96" s="193" t="s">
        <v>793</v>
      </c>
      <c r="D96" s="193"/>
      <c r="E96" s="193"/>
      <c r="F96" s="193"/>
      <c r="G96" s="193"/>
      <c r="H96" s="193"/>
      <c r="I96" s="193"/>
      <c r="J96" s="193"/>
      <c r="K96" s="193"/>
      <c r="L96" s="193"/>
    </row>
    <row r="97" spans="1:12" s="194" customFormat="1" ht="16">
      <c r="A97" s="193" t="s">
        <v>279</v>
      </c>
      <c r="B97" s="193"/>
      <c r="C97" s="193" t="s">
        <v>794</v>
      </c>
      <c r="D97" s="193"/>
      <c r="E97" s="193"/>
      <c r="F97" s="193"/>
      <c r="G97" s="193"/>
      <c r="H97" s="193"/>
      <c r="I97" s="193"/>
      <c r="J97" s="193"/>
      <c r="K97" s="193"/>
      <c r="L97" s="193"/>
    </row>
    <row r="98" spans="1:12" s="194" customFormat="1" ht="16">
      <c r="A98" s="193" t="s">
        <v>279</v>
      </c>
      <c r="B98" s="193"/>
      <c r="C98" s="193" t="s">
        <v>374</v>
      </c>
      <c r="D98" s="193"/>
      <c r="E98" s="193"/>
      <c r="F98" s="193"/>
      <c r="G98" s="193"/>
      <c r="H98" s="193"/>
      <c r="I98" s="193"/>
      <c r="J98" s="193"/>
      <c r="K98" s="193"/>
      <c r="L98" s="193"/>
    </row>
    <row r="99" spans="1:12" s="194" customFormat="1" ht="16">
      <c r="A99" s="193" t="s">
        <v>279</v>
      </c>
      <c r="B99" s="193"/>
      <c r="C99" s="193" t="s">
        <v>795</v>
      </c>
      <c r="D99" s="193"/>
      <c r="E99" s="193"/>
      <c r="F99" s="193"/>
      <c r="G99" s="193"/>
      <c r="H99" s="193"/>
      <c r="I99" s="193"/>
      <c r="J99" s="193"/>
      <c r="K99" s="193"/>
      <c r="L99" s="193"/>
    </row>
    <row r="100" spans="1:12" s="194" customFormat="1" ht="16">
      <c r="A100" s="193" t="s">
        <v>279</v>
      </c>
      <c r="B100" s="193"/>
      <c r="C100" s="193" t="s">
        <v>796</v>
      </c>
      <c r="D100" s="193"/>
      <c r="E100" s="193"/>
      <c r="F100" s="193"/>
      <c r="G100" s="193"/>
      <c r="H100" s="193"/>
      <c r="I100" s="193"/>
      <c r="J100" s="193"/>
      <c r="K100" s="193"/>
      <c r="L100" s="193"/>
    </row>
    <row r="101" spans="1:12" s="194" customFormat="1" ht="16">
      <c r="A101" s="193" t="s">
        <v>279</v>
      </c>
      <c r="B101" s="193"/>
      <c r="C101" s="193" t="s">
        <v>43</v>
      </c>
      <c r="D101" s="193"/>
      <c r="E101" s="193"/>
      <c r="F101" s="193"/>
      <c r="G101" s="193"/>
      <c r="H101" s="193"/>
      <c r="I101" s="193"/>
      <c r="J101" s="193"/>
      <c r="K101" s="193"/>
      <c r="L101" s="193"/>
    </row>
    <row r="102" spans="1:12" s="194" customFormat="1" ht="16">
      <c r="A102" s="193" t="s">
        <v>279</v>
      </c>
      <c r="B102" s="193"/>
      <c r="C102" s="193" t="s">
        <v>797</v>
      </c>
      <c r="D102" s="193"/>
      <c r="E102" s="193"/>
      <c r="F102" s="193"/>
      <c r="G102" s="193"/>
      <c r="H102" s="193"/>
      <c r="I102" s="193"/>
      <c r="J102" s="193"/>
      <c r="K102" s="193"/>
      <c r="L102" s="193"/>
    </row>
    <row r="103" spans="1:12" s="194" customFormat="1" ht="16">
      <c r="A103" s="193" t="s">
        <v>279</v>
      </c>
      <c r="B103" s="193"/>
      <c r="C103" s="193" t="s">
        <v>798</v>
      </c>
      <c r="D103" s="193"/>
      <c r="E103" s="193"/>
      <c r="F103" s="193"/>
      <c r="G103" s="193"/>
      <c r="H103" s="193"/>
      <c r="I103" s="193"/>
      <c r="J103" s="193"/>
      <c r="K103" s="193"/>
      <c r="L103" s="193"/>
    </row>
    <row r="104" spans="1:12" s="194" customFormat="1" ht="16">
      <c r="A104" s="193" t="s">
        <v>279</v>
      </c>
      <c r="B104" s="193"/>
      <c r="C104" s="193" t="s">
        <v>799</v>
      </c>
      <c r="D104" s="193"/>
      <c r="E104" s="193"/>
      <c r="F104" s="193"/>
      <c r="G104" s="193"/>
      <c r="H104" s="193"/>
      <c r="I104" s="193"/>
      <c r="J104" s="193"/>
      <c r="K104" s="193"/>
      <c r="L104" s="193"/>
    </row>
    <row r="105" spans="1:12" s="194" customFormat="1" ht="16">
      <c r="A105" s="193" t="s">
        <v>279</v>
      </c>
      <c r="B105" s="193"/>
      <c r="C105" s="193" t="s">
        <v>30</v>
      </c>
      <c r="D105" s="193"/>
      <c r="E105" s="193"/>
      <c r="F105" s="193"/>
      <c r="G105" s="193"/>
      <c r="H105" s="193"/>
      <c r="I105" s="193"/>
      <c r="J105" s="193"/>
      <c r="K105" s="193"/>
      <c r="L105" s="193"/>
    </row>
    <row r="106" spans="1:12" s="194" customFormat="1" ht="16">
      <c r="A106" s="193" t="s">
        <v>279</v>
      </c>
      <c r="B106" s="193"/>
      <c r="C106" s="193" t="s">
        <v>800</v>
      </c>
      <c r="D106" s="193"/>
      <c r="E106" s="193"/>
      <c r="F106" s="193"/>
      <c r="G106" s="193"/>
      <c r="H106" s="193"/>
      <c r="I106" s="193"/>
      <c r="J106" s="193"/>
      <c r="K106" s="193"/>
      <c r="L106" s="193"/>
    </row>
    <row r="107" spans="1:12" s="194" customFormat="1" ht="16">
      <c r="A107" s="193" t="s">
        <v>279</v>
      </c>
      <c r="B107" s="193"/>
      <c r="C107" s="193" t="s">
        <v>534</v>
      </c>
      <c r="D107" s="193"/>
      <c r="E107" s="193"/>
      <c r="F107" s="193"/>
      <c r="G107" s="193"/>
      <c r="H107" s="193"/>
      <c r="I107" s="193"/>
      <c r="J107" s="193"/>
      <c r="K107" s="193"/>
      <c r="L107" s="193"/>
    </row>
    <row r="108" spans="1:12" s="194" customFormat="1" ht="16">
      <c r="A108" s="193" t="s">
        <v>279</v>
      </c>
      <c r="B108" s="193"/>
      <c r="C108" s="193" t="s">
        <v>801</v>
      </c>
      <c r="D108" s="193"/>
      <c r="E108" s="193"/>
      <c r="F108" s="193"/>
      <c r="G108" s="193"/>
      <c r="H108" s="193"/>
      <c r="I108" s="193"/>
      <c r="J108" s="193"/>
      <c r="K108" s="193"/>
      <c r="L108" s="19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3A405-7057-514C-A63B-CDC783611013}">
  <sheetPr>
    <tabColor theme="7"/>
  </sheetPr>
  <dimension ref="A1:F37"/>
  <sheetViews>
    <sheetView workbookViewId="0">
      <selection activeCell="J25" sqref="J25"/>
    </sheetView>
  </sheetViews>
  <sheetFormatPr defaultColWidth="8.81640625" defaultRowHeight="15"/>
  <cols>
    <col min="1" max="1" width="8.81640625" style="90"/>
    <col min="2" max="2" width="34.453125" style="62" customWidth="1"/>
    <col min="3" max="3" width="16.453125" style="68" customWidth="1"/>
    <col min="4" max="4" width="19.453125" style="68" bestFit="1" customWidth="1"/>
    <col min="5" max="5" width="23.6328125" style="68" bestFit="1" customWidth="1"/>
    <col min="6" max="6" width="15.81640625" style="62" bestFit="1" customWidth="1"/>
    <col min="7" max="257" width="8.81640625" style="62"/>
    <col min="258" max="258" width="34.453125" style="62" customWidth="1"/>
    <col min="259" max="259" width="16.453125" style="62" customWidth="1"/>
    <col min="260" max="260" width="15" style="62" customWidth="1"/>
    <col min="261" max="261" width="27.81640625" style="62" customWidth="1"/>
    <col min="262" max="262" width="15.81640625" style="62" bestFit="1" customWidth="1"/>
    <col min="263" max="513" width="8.81640625" style="62"/>
    <col min="514" max="514" width="34.453125" style="62" customWidth="1"/>
    <col min="515" max="515" width="16.453125" style="62" customWidth="1"/>
    <col min="516" max="516" width="15" style="62" customWidth="1"/>
    <col min="517" max="517" width="27.81640625" style="62" customWidth="1"/>
    <col min="518" max="518" width="15.81640625" style="62" bestFit="1" customWidth="1"/>
    <col min="519" max="769" width="8.81640625" style="62"/>
    <col min="770" max="770" width="34.453125" style="62" customWidth="1"/>
    <col min="771" max="771" width="16.453125" style="62" customWidth="1"/>
    <col min="772" max="772" width="15" style="62" customWidth="1"/>
    <col min="773" max="773" width="27.81640625" style="62" customWidth="1"/>
    <col min="774" max="774" width="15.81640625" style="62" bestFit="1" customWidth="1"/>
    <col min="775" max="1025" width="8.81640625" style="62"/>
    <col min="1026" max="1026" width="34.453125" style="62" customWidth="1"/>
    <col min="1027" max="1027" width="16.453125" style="62" customWidth="1"/>
    <col min="1028" max="1028" width="15" style="62" customWidth="1"/>
    <col min="1029" max="1029" width="27.81640625" style="62" customWidth="1"/>
    <col min="1030" max="1030" width="15.81640625" style="62" bestFit="1" customWidth="1"/>
    <col min="1031" max="1281" width="8.81640625" style="62"/>
    <col min="1282" max="1282" width="34.453125" style="62" customWidth="1"/>
    <col min="1283" max="1283" width="16.453125" style="62" customWidth="1"/>
    <col min="1284" max="1284" width="15" style="62" customWidth="1"/>
    <col min="1285" max="1285" width="27.81640625" style="62" customWidth="1"/>
    <col min="1286" max="1286" width="15.81640625" style="62" bestFit="1" customWidth="1"/>
    <col min="1287" max="1537" width="8.81640625" style="62"/>
    <col min="1538" max="1538" width="34.453125" style="62" customWidth="1"/>
    <col min="1539" max="1539" width="16.453125" style="62" customWidth="1"/>
    <col min="1540" max="1540" width="15" style="62" customWidth="1"/>
    <col min="1541" max="1541" width="27.81640625" style="62" customWidth="1"/>
    <col min="1542" max="1542" width="15.81640625" style="62" bestFit="1" customWidth="1"/>
    <col min="1543" max="1793" width="8.81640625" style="62"/>
    <col min="1794" max="1794" width="34.453125" style="62" customWidth="1"/>
    <col min="1795" max="1795" width="16.453125" style="62" customWidth="1"/>
    <col min="1796" max="1796" width="15" style="62" customWidth="1"/>
    <col min="1797" max="1797" width="27.81640625" style="62" customWidth="1"/>
    <col min="1798" max="1798" width="15.81640625" style="62" bestFit="1" customWidth="1"/>
    <col min="1799" max="2049" width="8.81640625" style="62"/>
    <col min="2050" max="2050" width="34.453125" style="62" customWidth="1"/>
    <col min="2051" max="2051" width="16.453125" style="62" customWidth="1"/>
    <col min="2052" max="2052" width="15" style="62" customWidth="1"/>
    <col min="2053" max="2053" width="27.81640625" style="62" customWidth="1"/>
    <col min="2054" max="2054" width="15.81640625" style="62" bestFit="1" customWidth="1"/>
    <col min="2055" max="2305" width="8.81640625" style="62"/>
    <col min="2306" max="2306" width="34.453125" style="62" customWidth="1"/>
    <col min="2307" max="2307" width="16.453125" style="62" customWidth="1"/>
    <col min="2308" max="2308" width="15" style="62" customWidth="1"/>
    <col min="2309" max="2309" width="27.81640625" style="62" customWidth="1"/>
    <col min="2310" max="2310" width="15.81640625" style="62" bestFit="1" customWidth="1"/>
    <col min="2311" max="2561" width="8.81640625" style="62"/>
    <col min="2562" max="2562" width="34.453125" style="62" customWidth="1"/>
    <col min="2563" max="2563" width="16.453125" style="62" customWidth="1"/>
    <col min="2564" max="2564" width="15" style="62" customWidth="1"/>
    <col min="2565" max="2565" width="27.81640625" style="62" customWidth="1"/>
    <col min="2566" max="2566" width="15.81640625" style="62" bestFit="1" customWidth="1"/>
    <col min="2567" max="2817" width="8.81640625" style="62"/>
    <col min="2818" max="2818" width="34.453125" style="62" customWidth="1"/>
    <col min="2819" max="2819" width="16.453125" style="62" customWidth="1"/>
    <col min="2820" max="2820" width="15" style="62" customWidth="1"/>
    <col min="2821" max="2821" width="27.81640625" style="62" customWidth="1"/>
    <col min="2822" max="2822" width="15.81640625" style="62" bestFit="1" customWidth="1"/>
    <col min="2823" max="3073" width="8.81640625" style="62"/>
    <col min="3074" max="3074" width="34.453125" style="62" customWidth="1"/>
    <col min="3075" max="3075" width="16.453125" style="62" customWidth="1"/>
    <col min="3076" max="3076" width="15" style="62" customWidth="1"/>
    <col min="3077" max="3077" width="27.81640625" style="62" customWidth="1"/>
    <col min="3078" max="3078" width="15.81640625" style="62" bestFit="1" customWidth="1"/>
    <col min="3079" max="3329" width="8.81640625" style="62"/>
    <col min="3330" max="3330" width="34.453125" style="62" customWidth="1"/>
    <col min="3331" max="3331" width="16.453125" style="62" customWidth="1"/>
    <col min="3332" max="3332" width="15" style="62" customWidth="1"/>
    <col min="3333" max="3333" width="27.81640625" style="62" customWidth="1"/>
    <col min="3334" max="3334" width="15.81640625" style="62" bestFit="1" customWidth="1"/>
    <col min="3335" max="3585" width="8.81640625" style="62"/>
    <col min="3586" max="3586" width="34.453125" style="62" customWidth="1"/>
    <col min="3587" max="3587" width="16.453125" style="62" customWidth="1"/>
    <col min="3588" max="3588" width="15" style="62" customWidth="1"/>
    <col min="3589" max="3589" width="27.81640625" style="62" customWidth="1"/>
    <col min="3590" max="3590" width="15.81640625" style="62" bestFit="1" customWidth="1"/>
    <col min="3591" max="3841" width="8.81640625" style="62"/>
    <col min="3842" max="3842" width="34.453125" style="62" customWidth="1"/>
    <col min="3843" max="3843" width="16.453125" style="62" customWidth="1"/>
    <col min="3844" max="3844" width="15" style="62" customWidth="1"/>
    <col min="3845" max="3845" width="27.81640625" style="62" customWidth="1"/>
    <col min="3846" max="3846" width="15.81640625" style="62" bestFit="1" customWidth="1"/>
    <col min="3847" max="4097" width="8.81640625" style="62"/>
    <col min="4098" max="4098" width="34.453125" style="62" customWidth="1"/>
    <col min="4099" max="4099" width="16.453125" style="62" customWidth="1"/>
    <col min="4100" max="4100" width="15" style="62" customWidth="1"/>
    <col min="4101" max="4101" width="27.81640625" style="62" customWidth="1"/>
    <col min="4102" max="4102" width="15.81640625" style="62" bestFit="1" customWidth="1"/>
    <col min="4103" max="4353" width="8.81640625" style="62"/>
    <col min="4354" max="4354" width="34.453125" style="62" customWidth="1"/>
    <col min="4355" max="4355" width="16.453125" style="62" customWidth="1"/>
    <col min="4356" max="4356" width="15" style="62" customWidth="1"/>
    <col min="4357" max="4357" width="27.81640625" style="62" customWidth="1"/>
    <col min="4358" max="4358" width="15.81640625" style="62" bestFit="1" customWidth="1"/>
    <col min="4359" max="4609" width="8.81640625" style="62"/>
    <col min="4610" max="4610" width="34.453125" style="62" customWidth="1"/>
    <col min="4611" max="4611" width="16.453125" style="62" customWidth="1"/>
    <col min="4612" max="4612" width="15" style="62" customWidth="1"/>
    <col min="4613" max="4613" width="27.81640625" style="62" customWidth="1"/>
    <col min="4614" max="4614" width="15.81640625" style="62" bestFit="1" customWidth="1"/>
    <col min="4615" max="4865" width="8.81640625" style="62"/>
    <col min="4866" max="4866" width="34.453125" style="62" customWidth="1"/>
    <col min="4867" max="4867" width="16.453125" style="62" customWidth="1"/>
    <col min="4868" max="4868" width="15" style="62" customWidth="1"/>
    <col min="4869" max="4869" width="27.81640625" style="62" customWidth="1"/>
    <col min="4870" max="4870" width="15.81640625" style="62" bestFit="1" customWidth="1"/>
    <col min="4871" max="5121" width="8.81640625" style="62"/>
    <col min="5122" max="5122" width="34.453125" style="62" customWidth="1"/>
    <col min="5123" max="5123" width="16.453125" style="62" customWidth="1"/>
    <col min="5124" max="5124" width="15" style="62" customWidth="1"/>
    <col min="5125" max="5125" width="27.81640625" style="62" customWidth="1"/>
    <col min="5126" max="5126" width="15.81640625" style="62" bestFit="1" customWidth="1"/>
    <col min="5127" max="5377" width="8.81640625" style="62"/>
    <col min="5378" max="5378" width="34.453125" style="62" customWidth="1"/>
    <col min="5379" max="5379" width="16.453125" style="62" customWidth="1"/>
    <col min="5380" max="5380" width="15" style="62" customWidth="1"/>
    <col min="5381" max="5381" width="27.81640625" style="62" customWidth="1"/>
    <col min="5382" max="5382" width="15.81640625" style="62" bestFit="1" customWidth="1"/>
    <col min="5383" max="5633" width="8.81640625" style="62"/>
    <col min="5634" max="5634" width="34.453125" style="62" customWidth="1"/>
    <col min="5635" max="5635" width="16.453125" style="62" customWidth="1"/>
    <col min="5636" max="5636" width="15" style="62" customWidth="1"/>
    <col min="5637" max="5637" width="27.81640625" style="62" customWidth="1"/>
    <col min="5638" max="5638" width="15.81640625" style="62" bestFit="1" customWidth="1"/>
    <col min="5639" max="5889" width="8.81640625" style="62"/>
    <col min="5890" max="5890" width="34.453125" style="62" customWidth="1"/>
    <col min="5891" max="5891" width="16.453125" style="62" customWidth="1"/>
    <col min="5892" max="5892" width="15" style="62" customWidth="1"/>
    <col min="5893" max="5893" width="27.81640625" style="62" customWidth="1"/>
    <col min="5894" max="5894" width="15.81640625" style="62" bestFit="1" customWidth="1"/>
    <col min="5895" max="6145" width="8.81640625" style="62"/>
    <col min="6146" max="6146" width="34.453125" style="62" customWidth="1"/>
    <col min="6147" max="6147" width="16.453125" style="62" customWidth="1"/>
    <col min="6148" max="6148" width="15" style="62" customWidth="1"/>
    <col min="6149" max="6149" width="27.81640625" style="62" customWidth="1"/>
    <col min="6150" max="6150" width="15.81640625" style="62" bestFit="1" customWidth="1"/>
    <col min="6151" max="6401" width="8.81640625" style="62"/>
    <col min="6402" max="6402" width="34.453125" style="62" customWidth="1"/>
    <col min="6403" max="6403" width="16.453125" style="62" customWidth="1"/>
    <col min="6404" max="6404" width="15" style="62" customWidth="1"/>
    <col min="6405" max="6405" width="27.81640625" style="62" customWidth="1"/>
    <col min="6406" max="6406" width="15.81640625" style="62" bestFit="1" customWidth="1"/>
    <col min="6407" max="6657" width="8.81640625" style="62"/>
    <col min="6658" max="6658" width="34.453125" style="62" customWidth="1"/>
    <col min="6659" max="6659" width="16.453125" style="62" customWidth="1"/>
    <col min="6660" max="6660" width="15" style="62" customWidth="1"/>
    <col min="6661" max="6661" width="27.81640625" style="62" customWidth="1"/>
    <col min="6662" max="6662" width="15.81640625" style="62" bestFit="1" customWidth="1"/>
    <col min="6663" max="6913" width="8.81640625" style="62"/>
    <col min="6914" max="6914" width="34.453125" style="62" customWidth="1"/>
    <col min="6915" max="6915" width="16.453125" style="62" customWidth="1"/>
    <col min="6916" max="6916" width="15" style="62" customWidth="1"/>
    <col min="6917" max="6917" width="27.81640625" style="62" customWidth="1"/>
    <col min="6918" max="6918" width="15.81640625" style="62" bestFit="1" customWidth="1"/>
    <col min="6919" max="7169" width="8.81640625" style="62"/>
    <col min="7170" max="7170" width="34.453125" style="62" customWidth="1"/>
    <col min="7171" max="7171" width="16.453125" style="62" customWidth="1"/>
    <col min="7172" max="7172" width="15" style="62" customWidth="1"/>
    <col min="7173" max="7173" width="27.81640625" style="62" customWidth="1"/>
    <col min="7174" max="7174" width="15.81640625" style="62" bestFit="1" customWidth="1"/>
    <col min="7175" max="7425" width="8.81640625" style="62"/>
    <col min="7426" max="7426" width="34.453125" style="62" customWidth="1"/>
    <col min="7427" max="7427" width="16.453125" style="62" customWidth="1"/>
    <col min="7428" max="7428" width="15" style="62" customWidth="1"/>
    <col min="7429" max="7429" width="27.81640625" style="62" customWidth="1"/>
    <col min="7430" max="7430" width="15.81640625" style="62" bestFit="1" customWidth="1"/>
    <col min="7431" max="7681" width="8.81640625" style="62"/>
    <col min="7682" max="7682" width="34.453125" style="62" customWidth="1"/>
    <col min="7683" max="7683" width="16.453125" style="62" customWidth="1"/>
    <col min="7684" max="7684" width="15" style="62" customWidth="1"/>
    <col min="7685" max="7685" width="27.81640625" style="62" customWidth="1"/>
    <col min="7686" max="7686" width="15.81640625" style="62" bestFit="1" customWidth="1"/>
    <col min="7687" max="7937" width="8.81640625" style="62"/>
    <col min="7938" max="7938" width="34.453125" style="62" customWidth="1"/>
    <col min="7939" max="7939" width="16.453125" style="62" customWidth="1"/>
    <col min="7940" max="7940" width="15" style="62" customWidth="1"/>
    <col min="7941" max="7941" width="27.81640625" style="62" customWidth="1"/>
    <col min="7942" max="7942" width="15.81640625" style="62" bestFit="1" customWidth="1"/>
    <col min="7943" max="8193" width="8.81640625" style="62"/>
    <col min="8194" max="8194" width="34.453125" style="62" customWidth="1"/>
    <col min="8195" max="8195" width="16.453125" style="62" customWidth="1"/>
    <col min="8196" max="8196" width="15" style="62" customWidth="1"/>
    <col min="8197" max="8197" width="27.81640625" style="62" customWidth="1"/>
    <col min="8198" max="8198" width="15.81640625" style="62" bestFit="1" customWidth="1"/>
    <col min="8199" max="8449" width="8.81640625" style="62"/>
    <col min="8450" max="8450" width="34.453125" style="62" customWidth="1"/>
    <col min="8451" max="8451" width="16.453125" style="62" customWidth="1"/>
    <col min="8452" max="8452" width="15" style="62" customWidth="1"/>
    <col min="8453" max="8453" width="27.81640625" style="62" customWidth="1"/>
    <col min="8454" max="8454" width="15.81640625" style="62" bestFit="1" customWidth="1"/>
    <col min="8455" max="8705" width="8.81640625" style="62"/>
    <col min="8706" max="8706" width="34.453125" style="62" customWidth="1"/>
    <col min="8707" max="8707" width="16.453125" style="62" customWidth="1"/>
    <col min="8708" max="8708" width="15" style="62" customWidth="1"/>
    <col min="8709" max="8709" width="27.81640625" style="62" customWidth="1"/>
    <col min="8710" max="8710" width="15.81640625" style="62" bestFit="1" customWidth="1"/>
    <col min="8711" max="8961" width="8.81640625" style="62"/>
    <col min="8962" max="8962" width="34.453125" style="62" customWidth="1"/>
    <col min="8963" max="8963" width="16.453125" style="62" customWidth="1"/>
    <col min="8964" max="8964" width="15" style="62" customWidth="1"/>
    <col min="8965" max="8965" width="27.81640625" style="62" customWidth="1"/>
    <col min="8966" max="8966" width="15.81640625" style="62" bestFit="1" customWidth="1"/>
    <col min="8967" max="9217" width="8.81640625" style="62"/>
    <col min="9218" max="9218" width="34.453125" style="62" customWidth="1"/>
    <col min="9219" max="9219" width="16.453125" style="62" customWidth="1"/>
    <col min="9220" max="9220" width="15" style="62" customWidth="1"/>
    <col min="9221" max="9221" width="27.81640625" style="62" customWidth="1"/>
    <col min="9222" max="9222" width="15.81640625" style="62" bestFit="1" customWidth="1"/>
    <col min="9223" max="9473" width="8.81640625" style="62"/>
    <col min="9474" max="9474" width="34.453125" style="62" customWidth="1"/>
    <col min="9475" max="9475" width="16.453125" style="62" customWidth="1"/>
    <col min="9476" max="9476" width="15" style="62" customWidth="1"/>
    <col min="9477" max="9477" width="27.81640625" style="62" customWidth="1"/>
    <col min="9478" max="9478" width="15.81640625" style="62" bestFit="1" customWidth="1"/>
    <col min="9479" max="9729" width="8.81640625" style="62"/>
    <col min="9730" max="9730" width="34.453125" style="62" customWidth="1"/>
    <col min="9731" max="9731" width="16.453125" style="62" customWidth="1"/>
    <col min="9732" max="9732" width="15" style="62" customWidth="1"/>
    <col min="9733" max="9733" width="27.81640625" style="62" customWidth="1"/>
    <col min="9734" max="9734" width="15.81640625" style="62" bestFit="1" customWidth="1"/>
    <col min="9735" max="9985" width="8.81640625" style="62"/>
    <col min="9986" max="9986" width="34.453125" style="62" customWidth="1"/>
    <col min="9987" max="9987" width="16.453125" style="62" customWidth="1"/>
    <col min="9988" max="9988" width="15" style="62" customWidth="1"/>
    <col min="9989" max="9989" width="27.81640625" style="62" customWidth="1"/>
    <col min="9990" max="9990" width="15.81640625" style="62" bestFit="1" customWidth="1"/>
    <col min="9991" max="10241" width="8.81640625" style="62"/>
    <col min="10242" max="10242" width="34.453125" style="62" customWidth="1"/>
    <col min="10243" max="10243" width="16.453125" style="62" customWidth="1"/>
    <col min="10244" max="10244" width="15" style="62" customWidth="1"/>
    <col min="10245" max="10245" width="27.81640625" style="62" customWidth="1"/>
    <col min="10246" max="10246" width="15.81640625" style="62" bestFit="1" customWidth="1"/>
    <col min="10247" max="10497" width="8.81640625" style="62"/>
    <col min="10498" max="10498" width="34.453125" style="62" customWidth="1"/>
    <col min="10499" max="10499" width="16.453125" style="62" customWidth="1"/>
    <col min="10500" max="10500" width="15" style="62" customWidth="1"/>
    <col min="10501" max="10501" width="27.81640625" style="62" customWidth="1"/>
    <col min="10502" max="10502" width="15.81640625" style="62" bestFit="1" customWidth="1"/>
    <col min="10503" max="10753" width="8.81640625" style="62"/>
    <col min="10754" max="10754" width="34.453125" style="62" customWidth="1"/>
    <col min="10755" max="10755" width="16.453125" style="62" customWidth="1"/>
    <col min="10756" max="10756" width="15" style="62" customWidth="1"/>
    <col min="10757" max="10757" width="27.81640625" style="62" customWidth="1"/>
    <col min="10758" max="10758" width="15.81640625" style="62" bestFit="1" customWidth="1"/>
    <col min="10759" max="11009" width="8.81640625" style="62"/>
    <col min="11010" max="11010" width="34.453125" style="62" customWidth="1"/>
    <col min="11011" max="11011" width="16.453125" style="62" customWidth="1"/>
    <col min="11012" max="11012" width="15" style="62" customWidth="1"/>
    <col min="11013" max="11013" width="27.81640625" style="62" customWidth="1"/>
    <col min="11014" max="11014" width="15.81640625" style="62" bestFit="1" customWidth="1"/>
    <col min="11015" max="11265" width="8.81640625" style="62"/>
    <col min="11266" max="11266" width="34.453125" style="62" customWidth="1"/>
    <col min="11267" max="11267" width="16.453125" style="62" customWidth="1"/>
    <col min="11268" max="11268" width="15" style="62" customWidth="1"/>
    <col min="11269" max="11269" width="27.81640625" style="62" customWidth="1"/>
    <col min="11270" max="11270" width="15.81640625" style="62" bestFit="1" customWidth="1"/>
    <col min="11271" max="11521" width="8.81640625" style="62"/>
    <col min="11522" max="11522" width="34.453125" style="62" customWidth="1"/>
    <col min="11523" max="11523" width="16.453125" style="62" customWidth="1"/>
    <col min="11524" max="11524" width="15" style="62" customWidth="1"/>
    <col min="11525" max="11525" width="27.81640625" style="62" customWidth="1"/>
    <col min="11526" max="11526" width="15.81640625" style="62" bestFit="1" customWidth="1"/>
    <col min="11527" max="11777" width="8.81640625" style="62"/>
    <col min="11778" max="11778" width="34.453125" style="62" customWidth="1"/>
    <col min="11779" max="11779" width="16.453125" style="62" customWidth="1"/>
    <col min="11780" max="11780" width="15" style="62" customWidth="1"/>
    <col min="11781" max="11781" width="27.81640625" style="62" customWidth="1"/>
    <col min="11782" max="11782" width="15.81640625" style="62" bestFit="1" customWidth="1"/>
    <col min="11783" max="12033" width="8.81640625" style="62"/>
    <col min="12034" max="12034" width="34.453125" style="62" customWidth="1"/>
    <col min="12035" max="12035" width="16.453125" style="62" customWidth="1"/>
    <col min="12036" max="12036" width="15" style="62" customWidth="1"/>
    <col min="12037" max="12037" width="27.81640625" style="62" customWidth="1"/>
    <col min="12038" max="12038" width="15.81640625" style="62" bestFit="1" customWidth="1"/>
    <col min="12039" max="12289" width="8.81640625" style="62"/>
    <col min="12290" max="12290" width="34.453125" style="62" customWidth="1"/>
    <col min="12291" max="12291" width="16.453125" style="62" customWidth="1"/>
    <col min="12292" max="12292" width="15" style="62" customWidth="1"/>
    <col min="12293" max="12293" width="27.81640625" style="62" customWidth="1"/>
    <col min="12294" max="12294" width="15.81640625" style="62" bestFit="1" customWidth="1"/>
    <col min="12295" max="12545" width="8.81640625" style="62"/>
    <col min="12546" max="12546" width="34.453125" style="62" customWidth="1"/>
    <col min="12547" max="12547" width="16.453125" style="62" customWidth="1"/>
    <col min="12548" max="12548" width="15" style="62" customWidth="1"/>
    <col min="12549" max="12549" width="27.81640625" style="62" customWidth="1"/>
    <col min="12550" max="12550" width="15.81640625" style="62" bestFit="1" customWidth="1"/>
    <col min="12551" max="12801" width="8.81640625" style="62"/>
    <col min="12802" max="12802" width="34.453125" style="62" customWidth="1"/>
    <col min="12803" max="12803" width="16.453125" style="62" customWidth="1"/>
    <col min="12804" max="12804" width="15" style="62" customWidth="1"/>
    <col min="12805" max="12805" width="27.81640625" style="62" customWidth="1"/>
    <col min="12806" max="12806" width="15.81640625" style="62" bestFit="1" customWidth="1"/>
    <col min="12807" max="13057" width="8.81640625" style="62"/>
    <col min="13058" max="13058" width="34.453125" style="62" customWidth="1"/>
    <col min="13059" max="13059" width="16.453125" style="62" customWidth="1"/>
    <col min="13060" max="13060" width="15" style="62" customWidth="1"/>
    <col min="13061" max="13061" width="27.81640625" style="62" customWidth="1"/>
    <col min="13062" max="13062" width="15.81640625" style="62" bestFit="1" customWidth="1"/>
    <col min="13063" max="13313" width="8.81640625" style="62"/>
    <col min="13314" max="13314" width="34.453125" style="62" customWidth="1"/>
    <col min="13315" max="13315" width="16.453125" style="62" customWidth="1"/>
    <col min="13316" max="13316" width="15" style="62" customWidth="1"/>
    <col min="13317" max="13317" width="27.81640625" style="62" customWidth="1"/>
    <col min="13318" max="13318" width="15.81640625" style="62" bestFit="1" customWidth="1"/>
    <col min="13319" max="13569" width="8.81640625" style="62"/>
    <col min="13570" max="13570" width="34.453125" style="62" customWidth="1"/>
    <col min="13571" max="13571" width="16.453125" style="62" customWidth="1"/>
    <col min="13572" max="13572" width="15" style="62" customWidth="1"/>
    <col min="13573" max="13573" width="27.81640625" style="62" customWidth="1"/>
    <col min="13574" max="13574" width="15.81640625" style="62" bestFit="1" customWidth="1"/>
    <col min="13575" max="13825" width="8.81640625" style="62"/>
    <col min="13826" max="13826" width="34.453125" style="62" customWidth="1"/>
    <col min="13827" max="13827" width="16.453125" style="62" customWidth="1"/>
    <col min="13828" max="13828" width="15" style="62" customWidth="1"/>
    <col min="13829" max="13829" width="27.81640625" style="62" customWidth="1"/>
    <col min="13830" max="13830" width="15.81640625" style="62" bestFit="1" customWidth="1"/>
    <col min="13831" max="14081" width="8.81640625" style="62"/>
    <col min="14082" max="14082" width="34.453125" style="62" customWidth="1"/>
    <col min="14083" max="14083" width="16.453125" style="62" customWidth="1"/>
    <col min="14084" max="14084" width="15" style="62" customWidth="1"/>
    <col min="14085" max="14085" width="27.81640625" style="62" customWidth="1"/>
    <col min="14086" max="14086" width="15.81640625" style="62" bestFit="1" customWidth="1"/>
    <col min="14087" max="14337" width="8.81640625" style="62"/>
    <col min="14338" max="14338" width="34.453125" style="62" customWidth="1"/>
    <col min="14339" max="14339" width="16.453125" style="62" customWidth="1"/>
    <col min="14340" max="14340" width="15" style="62" customWidth="1"/>
    <col min="14341" max="14341" width="27.81640625" style="62" customWidth="1"/>
    <col min="14342" max="14342" width="15.81640625" style="62" bestFit="1" customWidth="1"/>
    <col min="14343" max="14593" width="8.81640625" style="62"/>
    <col min="14594" max="14594" width="34.453125" style="62" customWidth="1"/>
    <col min="14595" max="14595" width="16.453125" style="62" customWidth="1"/>
    <col min="14596" max="14596" width="15" style="62" customWidth="1"/>
    <col min="14597" max="14597" width="27.81640625" style="62" customWidth="1"/>
    <col min="14598" max="14598" width="15.81640625" style="62" bestFit="1" customWidth="1"/>
    <col min="14599" max="14849" width="8.81640625" style="62"/>
    <col min="14850" max="14850" width="34.453125" style="62" customWidth="1"/>
    <col min="14851" max="14851" width="16.453125" style="62" customWidth="1"/>
    <col min="14852" max="14852" width="15" style="62" customWidth="1"/>
    <col min="14853" max="14853" width="27.81640625" style="62" customWidth="1"/>
    <col min="14854" max="14854" width="15.81640625" style="62" bestFit="1" customWidth="1"/>
    <col min="14855" max="15105" width="8.81640625" style="62"/>
    <col min="15106" max="15106" width="34.453125" style="62" customWidth="1"/>
    <col min="15107" max="15107" width="16.453125" style="62" customWidth="1"/>
    <col min="15108" max="15108" width="15" style="62" customWidth="1"/>
    <col min="15109" max="15109" width="27.81640625" style="62" customWidth="1"/>
    <col min="15110" max="15110" width="15.81640625" style="62" bestFit="1" customWidth="1"/>
    <col min="15111" max="15361" width="8.81640625" style="62"/>
    <col min="15362" max="15362" width="34.453125" style="62" customWidth="1"/>
    <col min="15363" max="15363" width="16.453125" style="62" customWidth="1"/>
    <col min="15364" max="15364" width="15" style="62" customWidth="1"/>
    <col min="15365" max="15365" width="27.81640625" style="62" customWidth="1"/>
    <col min="15366" max="15366" width="15.81640625" style="62" bestFit="1" customWidth="1"/>
    <col min="15367" max="15617" width="8.81640625" style="62"/>
    <col min="15618" max="15618" width="34.453125" style="62" customWidth="1"/>
    <col min="15619" max="15619" width="16.453125" style="62" customWidth="1"/>
    <col min="15620" max="15620" width="15" style="62" customWidth="1"/>
    <col min="15621" max="15621" width="27.81640625" style="62" customWidth="1"/>
    <col min="15622" max="15622" width="15.81640625" style="62" bestFit="1" customWidth="1"/>
    <col min="15623" max="15873" width="8.81640625" style="62"/>
    <col min="15874" max="15874" width="34.453125" style="62" customWidth="1"/>
    <col min="15875" max="15875" width="16.453125" style="62" customWidth="1"/>
    <col min="15876" max="15876" width="15" style="62" customWidth="1"/>
    <col min="15877" max="15877" width="27.81640625" style="62" customWidth="1"/>
    <col min="15878" max="15878" width="15.81640625" style="62" bestFit="1" customWidth="1"/>
    <col min="15879" max="16129" width="8.81640625" style="62"/>
    <col min="16130" max="16130" width="34.453125" style="62" customWidth="1"/>
    <col min="16131" max="16131" width="16.453125" style="62" customWidth="1"/>
    <col min="16132" max="16132" width="15" style="62" customWidth="1"/>
    <col min="16133" max="16133" width="27.81640625" style="62" customWidth="1"/>
    <col min="16134" max="16134" width="15.81640625" style="62" bestFit="1" customWidth="1"/>
    <col min="16135" max="16384" width="8.81640625" style="62"/>
  </cols>
  <sheetData>
    <row r="1" spans="1:6" ht="24" customHeight="1" thickBot="1">
      <c r="A1" s="58"/>
      <c r="B1" s="59" t="s">
        <v>569</v>
      </c>
      <c r="C1" s="60" t="s">
        <v>502</v>
      </c>
      <c r="D1" s="95" t="s">
        <v>568</v>
      </c>
      <c r="E1" s="94" t="s">
        <v>566</v>
      </c>
      <c r="F1" s="95" t="s">
        <v>567</v>
      </c>
    </row>
    <row r="2" spans="1:6" s="68" customFormat="1" ht="18" customHeight="1">
      <c r="A2" s="63" t="s">
        <v>574</v>
      </c>
      <c r="B2" s="64" t="s">
        <v>573</v>
      </c>
      <c r="C2" s="65" t="s">
        <v>504</v>
      </c>
      <c r="D2" s="65" t="s">
        <v>505</v>
      </c>
      <c r="E2" s="66" t="s">
        <v>506</v>
      </c>
      <c r="F2" s="67"/>
    </row>
    <row r="3" spans="1:6" ht="18" customHeight="1">
      <c r="A3" s="69">
        <v>1</v>
      </c>
      <c r="B3" s="70"/>
      <c r="C3" s="71"/>
      <c r="D3" s="71"/>
      <c r="E3" s="72"/>
    </row>
    <row r="37" spans="2:3" ht="18" thickBot="1">
      <c r="B37" s="91" t="s">
        <v>557</v>
      </c>
      <c r="C37" s="92">
        <v>0</v>
      </c>
    </row>
  </sheetData>
  <hyperlinks>
    <hyperlink ref="D1" r:id="rId1" xr:uid="{EC501FE5-CC48-4C4D-A3B8-1C1B1E161AC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57B0E-3D29-2749-9C90-B28439220883}">
  <sheetPr>
    <tabColor theme="5"/>
  </sheetPr>
  <dimension ref="A1:F8"/>
  <sheetViews>
    <sheetView zoomScaleNormal="100" workbookViewId="0">
      <selection activeCell="A7" activeCellId="1" sqref="A2 A7"/>
    </sheetView>
  </sheetViews>
  <sheetFormatPr defaultColWidth="21.1796875" defaultRowHeight="11.5"/>
  <cols>
    <col min="1" max="1" width="18" style="116" customWidth="1"/>
    <col min="2" max="3" width="11.36328125" style="105" customWidth="1"/>
    <col min="4" max="4" width="22.81640625" style="116" customWidth="1"/>
    <col min="5" max="5" width="13" style="105" bestFit="1" customWidth="1"/>
    <col min="6" max="6" width="115.81640625" style="116" customWidth="1"/>
    <col min="7" max="16384" width="21.1796875" style="105"/>
  </cols>
  <sheetData>
    <row r="1" spans="1:6" s="132" customFormat="1" ht="12" thickBot="1">
      <c r="A1" s="143" t="s">
        <v>808</v>
      </c>
      <c r="B1" s="118" t="s">
        <v>279</v>
      </c>
      <c r="C1" s="118" t="s">
        <v>303</v>
      </c>
      <c r="D1" s="118" t="s">
        <v>431</v>
      </c>
      <c r="E1" s="119" t="s">
        <v>375</v>
      </c>
      <c r="F1" s="120" t="s">
        <v>50</v>
      </c>
    </row>
    <row r="2" spans="1:6" ht="12" thickBot="1">
      <c r="A2" s="156"/>
      <c r="B2" s="152"/>
      <c r="C2" s="152" t="s">
        <v>430</v>
      </c>
      <c r="D2" s="157"/>
      <c r="E2" s="153"/>
      <c r="F2" s="158"/>
    </row>
    <row r="3" spans="1:6" ht="25">
      <c r="A3" s="154" t="s">
        <v>373</v>
      </c>
      <c r="B3" s="146" t="s">
        <v>297</v>
      </c>
      <c r="C3" s="146" t="s">
        <v>313</v>
      </c>
      <c r="D3" s="150" t="s">
        <v>429</v>
      </c>
      <c r="E3" s="146" t="s">
        <v>2</v>
      </c>
      <c r="F3" s="203" t="str" cm="1">
        <f t="array" ref="F3">_xlfn.TEXTJOIN(", ", TRUE, _xlfn._xlws.FILTER(Boursa!H:H, Boursa!A:A=A3, ""))</f>
        <v>Ticker mapping, purification per share, purification, Close prices for TA recommendations, AAOIFI compliance, close prices for market index and companies, business screening and financial screening ratios for Boursa service + TA, Fundamental report by fundamental team</v>
      </c>
    </row>
    <row r="4" spans="1:6" ht="25">
      <c r="A4" s="155" t="s">
        <v>28</v>
      </c>
      <c r="B4" s="109" t="s">
        <v>313</v>
      </c>
      <c r="C4" s="109" t="s">
        <v>313</v>
      </c>
      <c r="D4" s="110" t="s">
        <v>429</v>
      </c>
      <c r="E4" s="109" t="s">
        <v>2</v>
      </c>
      <c r="F4" s="203" t="str" cm="1">
        <f t="array" ref="F4">_xlfn.TEXTJOIN(", ", TRUE, _xlfn._xlws.FILTER(Boursa!H:H, Boursa!A:A=A4, ""))</f>
        <v>Ticker mapping, purification per share, Daily and intraday recommendations, close prices for market index and companies,  business screening and financial screening ratios for Boursa service</v>
      </c>
    </row>
    <row r="5" spans="1:6" ht="25">
      <c r="A5" s="155" t="s">
        <v>226</v>
      </c>
      <c r="B5" s="109" t="s">
        <v>297</v>
      </c>
      <c r="C5" s="109" t="s">
        <v>313</v>
      </c>
      <c r="D5" s="110" t="s">
        <v>428</v>
      </c>
      <c r="E5" s="109" t="s">
        <v>2</v>
      </c>
      <c r="F5" s="203" t="str" cm="1">
        <f t="array" ref="F5">_xlfn.TEXTJOIN(", ", TRUE, _xlfn._xlws.FILTER(Boursa!H:H, Boursa!A:A=A5, ""))</f>
        <v>AAOIFI compliance, purification, close prices for market index and companies,  business screening and financial screening ratios for Boursa service + TA</v>
      </c>
    </row>
    <row r="6" spans="1:6" ht="23">
      <c r="A6" s="155" t="s">
        <v>11</v>
      </c>
      <c r="B6" s="109" t="s">
        <v>297</v>
      </c>
      <c r="C6" s="109" t="s">
        <v>313</v>
      </c>
      <c r="D6" s="110" t="s">
        <v>576</v>
      </c>
      <c r="E6" s="109" t="s">
        <v>2</v>
      </c>
      <c r="F6" s="203" t="str" cm="1">
        <f t="array" ref="F6">_xlfn.TEXTJOIN(", ", TRUE, _xlfn._xlws.FILTER(Boursa!H:H, Boursa!A:A=A6, ""))</f>
        <v>Ticker mapping, purification per share, Zakat integration (need to gather more info)</v>
      </c>
    </row>
    <row r="7" spans="1:6" ht="25">
      <c r="A7" s="155" t="s">
        <v>278</v>
      </c>
      <c r="B7" s="109" t="s">
        <v>297</v>
      </c>
      <c r="C7" s="109" t="s">
        <v>313</v>
      </c>
      <c r="D7" s="110" t="s">
        <v>428</v>
      </c>
      <c r="E7" s="109" t="s">
        <v>2</v>
      </c>
      <c r="F7" s="203" t="str" cm="1">
        <f t="array" ref="F7">_xlfn.TEXTJOIN(", ", TRUE, _xlfn._xlws.FILTER(Boursa!H:H, Boursa!A:A=A7, ""))</f>
        <v>AAOIFI compliance, purification, close prices for market index and companies,  business screening and financial screening ratios for Boursa service + TA</v>
      </c>
    </row>
    <row r="8" spans="1:6" ht="35" thickBot="1">
      <c r="A8" s="160" t="s">
        <v>142</v>
      </c>
      <c r="B8" s="114" t="s">
        <v>313</v>
      </c>
      <c r="C8" s="114" t="s">
        <v>313</v>
      </c>
      <c r="D8" s="159" t="s">
        <v>427</v>
      </c>
      <c r="E8" s="114" t="s">
        <v>2</v>
      </c>
      <c r="F8" s="203" t="str" cm="1">
        <f t="array" ref="F8">_xlfn.TEXTJOIN(", ", TRUE, _xlfn._xlws.FILTER(Boursa!H:H, Boursa!A:A=A8, ""))</f>
        <v>Technical recommendations daily report Saudi includes close prices for market index and companies, volume traded and value traded for the market index</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DC4F8-16EF-D14A-A6F6-F8FD381238D6}">
  <sheetPr>
    <tabColor theme="5"/>
  </sheetPr>
  <dimension ref="A1:I23"/>
  <sheetViews>
    <sheetView zoomScaleNormal="100" workbookViewId="0">
      <selection activeCell="B1" sqref="B1:B1048576"/>
    </sheetView>
  </sheetViews>
  <sheetFormatPr defaultColWidth="21.1796875" defaultRowHeight="11.5"/>
  <cols>
    <col min="1" max="1" width="18" style="116" customWidth="1"/>
    <col min="2" max="3" width="11.36328125" style="105" customWidth="1"/>
    <col min="4" max="4" width="30.26953125" style="105" customWidth="1"/>
    <col min="5" max="5" width="19.7265625" style="116" bestFit="1" customWidth="1"/>
    <col min="6" max="6" width="23.6328125" style="116" customWidth="1"/>
    <col min="7" max="7" width="22.81640625" style="116" customWidth="1"/>
    <col min="8" max="8" width="13" style="105" bestFit="1" customWidth="1"/>
    <col min="9" max="9" width="115.81640625" style="116" customWidth="1"/>
    <col min="10" max="16384" width="21.1796875" style="105"/>
  </cols>
  <sheetData>
    <row r="1" spans="1:9" s="128" customFormat="1" ht="12" thickBot="1">
      <c r="A1" s="143" t="s">
        <v>808</v>
      </c>
      <c r="B1" s="118" t="s">
        <v>279</v>
      </c>
      <c r="C1" s="118" t="s">
        <v>303</v>
      </c>
      <c r="D1" s="118" t="s">
        <v>810</v>
      </c>
      <c r="E1" s="318" t="s">
        <v>809</v>
      </c>
      <c r="F1" s="318" t="s">
        <v>804</v>
      </c>
      <c r="G1" s="118" t="s">
        <v>431</v>
      </c>
      <c r="H1" s="119" t="s">
        <v>375</v>
      </c>
      <c r="I1" s="120" t="s">
        <v>50</v>
      </c>
    </row>
    <row r="2" spans="1:9" ht="12" thickBot="1">
      <c r="A2" s="147"/>
      <c r="B2" s="144"/>
      <c r="C2" s="144" t="s">
        <v>430</v>
      </c>
      <c r="D2" s="144"/>
      <c r="E2" s="149"/>
      <c r="F2" s="149"/>
      <c r="G2" s="149"/>
      <c r="H2" s="145"/>
      <c r="I2" s="151"/>
    </row>
    <row r="3" spans="1:9" ht="35" thickBot="1">
      <c r="A3" s="148" t="s">
        <v>53</v>
      </c>
      <c r="B3" s="146" t="s">
        <v>297</v>
      </c>
      <c r="C3" s="146" t="s">
        <v>297</v>
      </c>
      <c r="D3" s="312" t="str" cm="1">
        <f t="array" ref="D3">_xlfn.TEXTJOIN(", ", TRUE, _xlfn._xlws.FILTER('FactSet Index Reporting'!B:B, 'FactSet Index Reporting'!C:C=A3, ""))</f>
        <v>- AIMS-IdealRatings Saudi Islamic Equity Index</v>
      </c>
      <c r="E3" s="150" t="str" cm="1">
        <f t="array" ref="E3">_xlfn.TEXTJOIN(", ", TRUE, _xlfn._xlws.FILTER('FactSet Index Reporting'!D:D, 'FactSet Index Reporting'!C:C=A3, ""))</f>
        <v>GIB, Morgan Stanley, Jadwa, FactSet, RIMES</v>
      </c>
      <c r="F3" s="150" t="str" cm="1">
        <f t="array" ref="F3">_xlfn.TEXTJOIN(", ", TRUE, _xlfn._xlws.FILTER('FactSet Index Reporting'!E:E, 'FactSet Index Reporting'!C:C=A3, ""))</f>
        <v>Fund Manager, Fund Manager, Custodian, Data Admin, Data Admin</v>
      </c>
      <c r="G3" s="150" t="s">
        <v>432</v>
      </c>
      <c r="H3" s="105" t="str" cm="1">
        <f t="array" ref="H3">_xlfn.TEXTJOIN(", ", TRUE, _xlfn._xlws.FILTER(Index!C:C, Index!A:A=A3, ""))</f>
        <v>FactSet</v>
      </c>
      <c r="I3" s="203" t="str" cm="1">
        <f t="array" ref="I3">_xlfn.TEXTJOIN(", ", TRUE, _xlfn._xlws.FILTER(Index!B:B, Index!A:A=A3, ""))</f>
        <v>Name,ISIN,SEDOL,Ticker,Weight</v>
      </c>
    </row>
    <row r="4" spans="1:9" ht="81" thickBot="1">
      <c r="A4" s="123" t="s">
        <v>373</v>
      </c>
      <c r="B4" s="109" t="s">
        <v>297</v>
      </c>
      <c r="C4" s="146" t="s">
        <v>297</v>
      </c>
      <c r="D4" s="312" t="str" cm="1">
        <f t="array" ref="D4">_xlfn.TEXTJOIN(", ", TRUE, _xlfn._xlws.FILTER('FactSet Index Reporting'!B:B, 'FactSet Index Reporting'!C:C=A4, ""))</f>
        <v>- AlKhabeer Saudi REITs Index
- Alkhabeer Global Equity Index</v>
      </c>
      <c r="E4" s="150" t="str" cm="1">
        <f t="array" ref="E4">_xlfn.TEXTJOIN(", ", TRUE, _xlfn._xlws.FILTER('FactSet Index Reporting'!D:D, 'FactSet Index Reporting'!C:C=A4, ""))</f>
        <v>Al-khabeer Capital</v>
      </c>
      <c r="F4" s="150" t="str" cm="1">
        <f t="array" ref="F4">_xlfn.TEXTJOIN(", ", TRUE, _xlfn._xlws.FILTER('FactSet Index Reporting'!E:E, 'FactSet Index Reporting'!C:C=A4, ""))</f>
        <v>Fund Manager</v>
      </c>
      <c r="G4" s="122" t="s">
        <v>439</v>
      </c>
      <c r="H4" s="105" t="str" cm="1">
        <f t="array" ref="H4">_xlfn.TEXTJOIN(", ", TRUE, _xlfn._xlws.FILTER(Index!C:C, Index!A:A=A4, ""))</f>
        <v>FactSet</v>
      </c>
      <c r="I4" s="203" t="str" cm="1">
        <f t="array" ref="I4">_xlfn.TEXTJOIN(", ", TRUE, _xlfn._xlws.FILTER(Index!B:B, Index!A:A=A4, ""))</f>
        <v>Name,ISIN,Ticker,Exchange Country,Exchange,Index Shares,Index Market Cap (USD),Total Shares Outstanding,Total Market Cap (USD),Weight</v>
      </c>
    </row>
    <row r="5" spans="1:9" ht="35" thickBot="1">
      <c r="A5" s="123" t="s">
        <v>58</v>
      </c>
      <c r="B5" s="109" t="s">
        <v>297</v>
      </c>
      <c r="C5" s="146" t="s">
        <v>297</v>
      </c>
      <c r="D5" s="312" t="str" cm="1">
        <f t="array" ref="D5">_xlfn.TEXTJOIN(", ", TRUE, _xlfn._xlws.FILTER('FactSet Index Reporting'!B:B, 'FactSet Index Reporting'!C:C=A5, ""))</f>
        <v>- Idealratings Saudi Index</v>
      </c>
      <c r="E5" s="150" t="str" cm="1">
        <f t="array" ref="E5">_xlfn.TEXTJOIN(", ", TRUE, _xlfn._xlws.FILTER('FactSet Index Reporting'!D:D, 'FactSet Index Reporting'!C:C=A5, ""))</f>
        <v>Alawwal</v>
      </c>
      <c r="F5" s="150" t="str" cm="1">
        <f t="array" ref="F5">_xlfn.TEXTJOIN(", ", TRUE, _xlfn._xlws.FILTER('FactSet Index Reporting'!E:E, 'FactSet Index Reporting'!C:C=A5, ""))</f>
        <v>Fund Manager</v>
      </c>
      <c r="G5" s="110" t="s">
        <v>432</v>
      </c>
      <c r="H5" s="105" t="str" cm="1">
        <f t="array" ref="H5">_xlfn.TEXTJOIN(", ", TRUE, _xlfn._xlws.FILTER(Index!C:C, Index!A:A=A5, ""))</f>
        <v>FactSet</v>
      </c>
      <c r="I5" s="203" t="str" cm="1">
        <f t="array" ref="I5">_xlfn.TEXTJOIN(", ", TRUE, _xlfn._xlws.FILTER(Index!B:B, Index!A:A=A5, ""))</f>
        <v>Name,ISIN,SEDOL,Ticker,Weight</v>
      </c>
    </row>
    <row r="6" spans="1:9" ht="81" thickBot="1">
      <c r="A6" s="123" t="s">
        <v>26</v>
      </c>
      <c r="B6" s="109" t="s">
        <v>313</v>
      </c>
      <c r="C6" s="146" t="s">
        <v>297</v>
      </c>
      <c r="D6" s="312" t="str" cm="1">
        <f t="array" ref="D6">_xlfn.TEXTJOIN(", ", TRUE, _xlfn._xlws.FILTER('FactSet Index Reporting'!B:B, 'FactSet Index Reporting'!C:C=A6, ""))</f>
        <v>- Albilad Capital GCC Dividend
- Albilad Capital 
- Albilad Capital Saudi Dividend	
- Albilad Capital Saudi pure	
- Albilad Capital Saudi Ex-Albilad Bank	
- IR GCC REITs</v>
      </c>
      <c r="E6" s="150" t="str" cm="1">
        <f t="array" ref="E6">_xlfn.TEXTJOIN(", ", TRUE, _xlfn._xlws.FILTER('FactSet Index Reporting'!D:D, 'FactSet Index Reporting'!C:C=A6, ""))</f>
        <v>Bloomberg, Apex Group</v>
      </c>
      <c r="F6" s="150" t="str" cm="1">
        <f t="array" ref="F6">_xlfn.TEXTJOIN(", ", TRUE, _xlfn._xlws.FILTER('FactSet Index Reporting'!E:E, 'FactSet Index Reporting'!C:C=A6, ""))</f>
        <v>Data Admin, Fund Manager</v>
      </c>
      <c r="G6" s="110" t="s">
        <v>438</v>
      </c>
      <c r="H6" s="105" t="str" cm="1">
        <f t="array" ref="H6">_xlfn.TEXTJOIN(", ", TRUE, _xlfn._xlws.FILTER(Index!C:C, Index!A:A=A6, ""))</f>
        <v>FactSet</v>
      </c>
      <c r="I6" s="203" t="str" cm="1">
        <f t="array" ref="I6">_xlfn.TEXTJOIN(", ", TRUE, _xlfn._xlws.FILTER(Index!B:B, Index!A:A=A6, ""))</f>
        <v>Name,ISIN,SEDOL,Ticker,Price,Free Float Single,Capping Factor,Weight,AsOfDate,Benchmark Code</v>
      </c>
    </row>
    <row r="7" spans="1:9" ht="35" thickBot="1">
      <c r="A7" s="123" t="s">
        <v>28</v>
      </c>
      <c r="B7" s="109" t="s">
        <v>313</v>
      </c>
      <c r="C7" s="146" t="s">
        <v>297</v>
      </c>
      <c r="D7" s="312" t="str" cm="1">
        <f t="array" ref="D7">_xlfn.TEXTJOIN(", ", TRUE, _xlfn._xlws.FILTER('FactSet Index Reporting'!B:B, 'FactSet Index Reporting'!C:C=A7, ""))</f>
        <v>- Alinma Saudi IPO Equities Islamic Index
- Alinma- IdealRatings Saudi Index</v>
      </c>
      <c r="E7" s="150" t="str" cm="1">
        <f t="array" ref="E7">_xlfn.TEXTJOIN(", ", TRUE, _xlfn._xlws.FILTER('FactSet Index Reporting'!D:D, 'FactSet Index Reporting'!C:C=A7, ""))</f>
        <v>Alinma</v>
      </c>
      <c r="F7" s="150" t="str" cm="1">
        <f t="array" ref="F7">_xlfn.TEXTJOIN(", ", TRUE, _xlfn._xlws.FILTER('FactSet Index Reporting'!E:E, 'FactSet Index Reporting'!C:C=A7, ""))</f>
        <v>Fund Manager</v>
      </c>
      <c r="G7" s="110" t="s">
        <v>432</v>
      </c>
      <c r="H7" s="105" t="str" cm="1">
        <f t="array" ref="H7">_xlfn.TEXTJOIN(", ", TRUE, _xlfn._xlws.FILTER(Index!C:C, Index!A:A=A7, ""))</f>
        <v>FactSet</v>
      </c>
      <c r="I7" s="203" t="str" cm="1">
        <f t="array" ref="I7">_xlfn.TEXTJOIN(", ", TRUE, _xlfn._xlws.FILTER(Index!B:B, Index!A:A=A7, ""))</f>
        <v>Name,ISIN,SEDOL,Ticker,Weight</v>
      </c>
    </row>
    <row r="8" spans="1:9" ht="23.5" thickBot="1">
      <c r="A8" s="123" t="s">
        <v>67</v>
      </c>
      <c r="B8" s="109" t="s">
        <v>297</v>
      </c>
      <c r="C8" s="146" t="s">
        <v>297</v>
      </c>
      <c r="D8" s="312" t="str" cm="1">
        <f t="array" ref="D8">_xlfn.TEXTJOIN(", ", TRUE, _xlfn._xlws.FILTER('FactSet Index Reporting'!B:B, 'FactSet Index Reporting'!C:C=A8, ""))</f>
        <v xml:space="preserve">- Alkhair Capital MENA IPO Shariah Index	</v>
      </c>
      <c r="E8" s="150" t="str" cm="1">
        <f t="array" ref="E8">_xlfn.TEXTJOIN(", ", TRUE, _xlfn._xlws.FILTER('FactSet Index Reporting'!D:D, 'FactSet Index Reporting'!C:C=A8, ""))</f>
        <v>Alkhair Capital, Thomson reuters</v>
      </c>
      <c r="F8" s="150" t="str" cm="1">
        <f t="array" ref="F8">_xlfn.TEXTJOIN(", ", TRUE, _xlfn._xlws.FILTER('FactSet Index Reporting'!E:E, 'FactSet Index Reporting'!C:C=A8, ""))</f>
        <v>Fund Manager, Data Admin</v>
      </c>
      <c r="G8" s="110" t="s">
        <v>437</v>
      </c>
      <c r="H8" s="105" t="str" cm="1">
        <f t="array" ref="H8">_xlfn.TEXTJOIN(", ", TRUE, _xlfn._xlws.FILTER(Index!C:C, Index!A:A=A8, ""))</f>
        <v>FactSet</v>
      </c>
      <c r="I8" s="203" t="str" cm="1">
        <f t="array" ref="I8">_xlfn.TEXTJOIN(", ", TRUE, _xlfn._xlws.FILTER(Index!B:B, Index!A:A=A8, ""))</f>
        <v>Name,ISIN,Ticker,Weight</v>
      </c>
    </row>
    <row r="9" spans="1:9" ht="46.5" thickBot="1">
      <c r="A9" s="123" t="s">
        <v>72</v>
      </c>
      <c r="B9" s="109" t="s">
        <v>313</v>
      </c>
      <c r="C9" s="146" t="s">
        <v>297</v>
      </c>
      <c r="D9" s="312" t="str" cm="1">
        <f t="array" ref="D9">_xlfn.TEXTJOIN(", ", TRUE, _xlfn._xlws.FILTER('FactSet Index Reporting'!B:B, 'FactSet Index Reporting'!C:C=A9, ""))</f>
        <v xml:space="preserve">- IdealRatings Digital &amp; IT Shariah Index	
- IdealRatings GCC Dividends Islamic Custom Index	</v>
      </c>
      <c r="E9" s="150" t="str" cm="1">
        <f t="array" ref="E9">_xlfn.TEXTJOIN(", ", TRUE, _xlfn._xlws.FILTER('FactSet Index Reporting'!D:D, 'FactSet Index Reporting'!C:C=A9, ""))</f>
        <v>ANB</v>
      </c>
      <c r="F9" s="150" t="str" cm="1">
        <f t="array" ref="F9">_xlfn.TEXTJOIN(", ", TRUE, _xlfn._xlws.FILTER('FactSet Index Reporting'!E:E, 'FactSet Index Reporting'!C:C=A9, ""))</f>
        <v>Fund Manager</v>
      </c>
      <c r="G9" s="110" t="s">
        <v>432</v>
      </c>
      <c r="H9" s="105" t="str" cm="1">
        <f t="array" ref="H9">_xlfn.TEXTJOIN(", ", TRUE, _xlfn._xlws.FILTER(Index!C:C, Index!A:A=A9, ""))</f>
        <v>FactSet</v>
      </c>
      <c r="I9" s="203" t="str" cm="1">
        <f t="array" ref="I9">_xlfn.TEXTJOIN(", ", TRUE, _xlfn._xlws.FILTER(Index!B:B, Index!A:A=A9, ""))</f>
        <v>Name,ISIN,SEDOL,Ticker,Weight</v>
      </c>
    </row>
    <row r="10" spans="1:9" ht="69.5" thickBot="1">
      <c r="A10" s="123" t="s">
        <v>51</v>
      </c>
      <c r="B10" s="109" t="s">
        <v>313</v>
      </c>
      <c r="C10" s="146" t="s">
        <v>297</v>
      </c>
      <c r="D10" s="312" t="str" cm="1">
        <f t="array" ref="D10">_xlfn.TEXTJOIN(", ", TRUE, _xlfn._xlws.FILTER('FactSet Index Reporting'!B:B, 'FactSet Index Reporting'!C:C=A10, ""))</f>
        <v>- ASRHC Saudi Index, - ASRHC MENA Ex-Saudi Index</v>
      </c>
      <c r="E10" s="150" t="str" cm="1">
        <f t="array" ref="E10">_xlfn.TEXTJOIN(", ", TRUE, _xlfn._xlws.FILTER('FactSet Index Reporting'!D:D, 'FactSet Index Reporting'!C:C=A10, ""))</f>
        <v>FactSet, Arqaam Capital, Bloomberg, Derayah, AlJazira Capital, Jadwa, RIMES, Alpha Centrix, FactSet, ASRHC</v>
      </c>
      <c r="F10" s="150" t="str" cm="1">
        <f t="array" ref="F10">_xlfn.TEXTJOIN(", ", TRUE, _xlfn._xlws.FILTER('FactSet Index Reporting'!E:E, 'FactSet Index Reporting'!C:C=A10, ""))</f>
        <v>Data Admin, Fund Manager, Data Admin, Fund Manager, Fund Manager, Fund Manager, Data Admin, Data Admin, Data Admin, Asset Owner</v>
      </c>
      <c r="G10" s="110" t="s">
        <v>436</v>
      </c>
      <c r="H10" s="105" t="str" cm="1">
        <f t="array" ref="H10">_xlfn.TEXTJOIN(", ", TRUE, _xlfn._xlws.FILTER(Index!C:C, Index!A:A=A10, ""))</f>
        <v>FactSet</v>
      </c>
      <c r="I10" s="203" t="str" cm="1">
        <f t="array" ref="I10">_xlfn.TEXTJOIN(", ", TRUE, _xlfn._xlws.FILTER(Index!B:B, Index!A:A=A10, ""))</f>
        <v>Name,ISIN,SEDOL,Ticker,Weight,Underlying Shares,Market Values USD</v>
      </c>
    </row>
    <row r="11" spans="1:9" ht="35" thickBot="1">
      <c r="A11" s="123" t="s">
        <v>73</v>
      </c>
      <c r="B11" s="109" t="s">
        <v>297</v>
      </c>
      <c r="C11" s="146" t="s">
        <v>297</v>
      </c>
      <c r="D11" s="312" t="str" cm="1">
        <f t="array" ref="D11">_xlfn.TEXTJOIN(", ", TRUE, _xlfn._xlws.FILTER('FactSet Index Reporting'!B:B, 'FactSet Index Reporting'!C:C=A11, ""))</f>
        <v xml:space="preserve">- IR Saudi REIT Index	</v>
      </c>
      <c r="E11" s="150" t="str" cm="1">
        <f t="array" ref="E11">_xlfn.TEXTJOIN(", ", TRUE, _xlfn._xlws.FILTER('FactSet Index Reporting'!D:D, 'FactSet Index Reporting'!C:C=A11, ""))</f>
        <v>BlomInvest</v>
      </c>
      <c r="F11" s="150" t="str" cm="1">
        <f t="array" ref="F11">_xlfn.TEXTJOIN(", ", TRUE, _xlfn._xlws.FILTER('FactSet Index Reporting'!E:E, 'FactSet Index Reporting'!C:C=A11, ""))</f>
        <v>Fund Manager</v>
      </c>
      <c r="G11" s="110" t="s">
        <v>432</v>
      </c>
      <c r="H11" s="105" t="str" cm="1">
        <f t="array" ref="H11">_xlfn.TEXTJOIN(", ", TRUE, _xlfn._xlws.FILTER(Index!C:C, Index!A:A=A11, ""))</f>
        <v>FactSet</v>
      </c>
      <c r="I11" s="203" t="str" cm="1">
        <f t="array" ref="I11">_xlfn.TEXTJOIN(", ", TRUE, _xlfn._xlws.FILTER(Index!B:B, Index!A:A=A11, ""))</f>
        <v>Name,ISIN,SEDOL,Ticker,Weight</v>
      </c>
    </row>
    <row r="12" spans="1:9" ht="35" thickBot="1">
      <c r="A12" s="123" t="s">
        <v>23</v>
      </c>
      <c r="B12" s="109" t="s">
        <v>297</v>
      </c>
      <c r="C12" s="146" t="s">
        <v>297</v>
      </c>
      <c r="D12" s="312" t="str" cm="1">
        <f t="array" ref="D12">_xlfn.TEXTJOIN(", ", TRUE, _xlfn._xlws.FILTER('FactSet Index Reporting'!B:B, 'FactSet Index Reporting'!C:C=A12, ""))</f>
        <v>- IdealRatings Saudi Islamic Index</v>
      </c>
      <c r="E12" s="150" t="str" cm="1">
        <f t="array" ref="E12">_xlfn.TEXTJOIN(", ", TRUE, _xlfn._xlws.FILTER('FactSet Index Reporting'!D:D, 'FactSet Index Reporting'!C:C=A12, ""))</f>
        <v>BMK</v>
      </c>
      <c r="F12" s="150" t="str" cm="1">
        <f t="array" ref="F12">_xlfn.TEXTJOIN(", ", TRUE, _xlfn._xlws.FILTER('FactSet Index Reporting'!E:E, 'FactSet Index Reporting'!C:C=A12, ""))</f>
        <v>Fund Manager</v>
      </c>
      <c r="G12" s="110" t="s">
        <v>432</v>
      </c>
      <c r="H12" s="105" t="str" cm="1">
        <f t="array" ref="H12">_xlfn.TEXTJOIN(", ", TRUE, _xlfn._xlws.FILTER(Index!C:C, Index!A:A=A12, ""))</f>
        <v>FactSet</v>
      </c>
      <c r="I12" s="203" t="str" cm="1">
        <f t="array" ref="I12">_xlfn.TEXTJOIN(", ", TRUE, _xlfn._xlws.FILTER(Index!B:B, Index!A:A=A12, ""))</f>
        <v>Name,ISIN,SEDOL,Ticker,Weight</v>
      </c>
    </row>
    <row r="13" spans="1:9" ht="35" thickBot="1">
      <c r="A13" s="123" t="s">
        <v>60</v>
      </c>
      <c r="B13" s="109" t="s">
        <v>297</v>
      </c>
      <c r="C13" s="146" t="s">
        <v>297</v>
      </c>
      <c r="D13" s="312" t="str" cm="1">
        <f t="array" ref="D13">_xlfn.TEXTJOIN(", ", TRUE, _xlfn._xlws.FILTER('FactSet Index Reporting'!B:B, 'FactSet Index Reporting'!C:C=A13, ""))</f>
        <v>- Saudi Fransi Capital IPO GCC 5Yrs Index</v>
      </c>
      <c r="E13" s="150" t="str" cm="1">
        <f t="array" ref="E13">_xlfn.TEXTJOIN(", ", TRUE, _xlfn._xlws.FILTER('FactSet Index Reporting'!D:D, 'FactSet Index Reporting'!C:C=A13, ""))</f>
        <v>Bloomberg</v>
      </c>
      <c r="F13" s="150" t="str" cm="1">
        <f t="array" ref="F13">_xlfn.TEXTJOIN(", ", TRUE, _xlfn._xlws.FILTER('FactSet Index Reporting'!E:E, 'FactSet Index Reporting'!C:C=A13, ""))</f>
        <v>Data Admin</v>
      </c>
      <c r="G13" s="110" t="s">
        <v>435</v>
      </c>
      <c r="H13" s="105" t="str" cm="1">
        <f t="array" ref="H13">_xlfn.TEXTJOIN(", ", TRUE, _xlfn._xlws.FILTER(Index!C:C, Index!A:A=A13, ""))</f>
        <v>FactSet</v>
      </c>
      <c r="I13" s="203" t="str" cm="1">
        <f t="array" ref="I13">_xlfn.TEXTJOIN(", ", TRUE, _xlfn._xlws.FILTER(Index!B:B, Index!A:A=A13, ""))</f>
        <v>Name,ISIN,SEDOL,RIC,Weight,AsOfDate,Bench_Code</v>
      </c>
    </row>
    <row r="14" spans="1:9" ht="35" thickBot="1">
      <c r="A14" s="123" t="s">
        <v>49</v>
      </c>
      <c r="B14" s="109" t="s">
        <v>313</v>
      </c>
      <c r="C14" s="146" t="s">
        <v>297</v>
      </c>
      <c r="D14" s="312" t="str" cm="1">
        <f t="array" ref="D14">_xlfn.TEXTJOIN(", ", TRUE, _xlfn._xlws.FILTER('FactSet Index Reporting'!B:B, 'FactSet Index Reporting'!C:C=A14, ""))</f>
        <v>- Jadwa Saudi Shariah Custom Index 1
- Jadwa Saudi Shariah Custom Index 2</v>
      </c>
      <c r="E14" s="150" t="str" cm="1">
        <f t="array" ref="E14">_xlfn.TEXTJOIN(", ", TRUE, _xlfn._xlws.FILTER('FactSet Index Reporting'!D:D, 'FactSet Index Reporting'!C:C=A14, ""))</f>
        <v>Jadwa, FactSet</v>
      </c>
      <c r="F14" s="150" t="str" cm="1">
        <f t="array" ref="F14">_xlfn.TEXTJOIN(", ", TRUE, _xlfn._xlws.FILTER('FactSet Index Reporting'!E:E, 'FactSet Index Reporting'!C:C=A14, ""))</f>
        <v>Fund Manager, Data Admin</v>
      </c>
      <c r="G14" s="110" t="s">
        <v>432</v>
      </c>
      <c r="H14" s="105" t="str" cm="1">
        <f t="array" ref="H14">_xlfn.TEXTJOIN(", ", TRUE, _xlfn._xlws.FILTER(Index!C:C, Index!A:A=A14, ""))</f>
        <v>FactSet</v>
      </c>
      <c r="I14" s="203" t="str" cm="1">
        <f t="array" ref="I14">_xlfn.TEXTJOIN(", ", TRUE, _xlfn._xlws.FILTER(Index!B:B, Index!A:A=A14, ""))</f>
        <v>Name,ISIN,SEDOL,Ticker,Weight</v>
      </c>
    </row>
    <row r="15" spans="1:9" ht="35" thickBot="1">
      <c r="A15" s="123" t="s">
        <v>62</v>
      </c>
      <c r="B15" s="109" t="s">
        <v>297</v>
      </c>
      <c r="C15" s="146" t="s">
        <v>297</v>
      </c>
      <c r="D15" s="312" t="str" cm="1">
        <f t="array" ref="D15">_xlfn.TEXTJOIN(", ", TRUE, _xlfn._xlws.FILTER('FactSet Index Reporting'!B:B, 'FactSet Index Reporting'!C:C=A15, ""))</f>
        <v xml:space="preserve">- KSB Saudi
- KSB Dividends	
- KSB GCC IPO	</v>
      </c>
      <c r="E15" s="150" t="str" cm="1">
        <f t="array" ref="E15">_xlfn.TEXTJOIN(", ", TRUE, _xlfn._xlws.FILTER('FactSet Index Reporting'!D:D, 'FactSet Index Reporting'!C:C=A15, ""))</f>
        <v>KSB</v>
      </c>
      <c r="F15" s="150" t="str" cm="1">
        <f t="array" ref="F15">_xlfn.TEXTJOIN(", ", TRUE, _xlfn._xlws.FILTER('FactSet Index Reporting'!E:E, 'FactSet Index Reporting'!C:C=A15, ""))</f>
        <v>Fund Manager</v>
      </c>
      <c r="G15" s="110" t="s">
        <v>432</v>
      </c>
      <c r="H15" s="105" t="str" cm="1">
        <f t="array" ref="H15">_xlfn.TEXTJOIN(", ", TRUE, _xlfn._xlws.FILTER(Index!C:C, Index!A:A=A15, ""))</f>
        <v>FactSet</v>
      </c>
      <c r="I15" s="203" t="str" cm="1">
        <f t="array" ref="I15">_xlfn.TEXTJOIN(", ", TRUE, _xlfn._xlws.FILTER(Index!B:B, Index!A:A=A15, ""))</f>
        <v>Name,ISIN,SEDOL,Ticker,Weight</v>
      </c>
    </row>
    <row r="16" spans="1:9" ht="69.5" thickBot="1">
      <c r="A16" s="123" t="s">
        <v>30</v>
      </c>
      <c r="B16" s="109" t="s">
        <v>313</v>
      </c>
      <c r="C16" s="146" t="s">
        <v>297</v>
      </c>
      <c r="D16" s="312" t="str" cm="1">
        <f t="array" ref="D16">_xlfn.TEXTJOIN(", ", TRUE, _xlfn._xlws.FILTER('FactSet Index Reporting'!B:B, 'FactSet Index Reporting'!C:C=A16, ""))</f>
        <v>- IdealRatings Global REITs Select Malaysia</v>
      </c>
      <c r="E16" s="150" t="str" cm="1">
        <f t="array" ref="E16">_xlfn.TEXTJOIN(", ", TRUE, _xlfn._xlws.FILTER('FactSet Index Reporting'!D:D, 'FactSet Index Reporting'!C:C=A16, ""))</f>
        <v>Manulife, RIMES, FactSet</v>
      </c>
      <c r="F16" s="150" t="str" cm="1">
        <f t="array" ref="F16">_xlfn.TEXTJOIN(", ", TRUE, _xlfn._xlws.FILTER('FactSet Index Reporting'!E:E, 'FactSet Index Reporting'!C:C=A16, ""))</f>
        <v>Asset Owner, Data Admin, Data Admin</v>
      </c>
      <c r="G16" s="122" t="s">
        <v>434</v>
      </c>
      <c r="H16" s="105" t="str" cm="1">
        <f t="array" ref="H16">_xlfn.TEXTJOIN(", ", TRUE, _xlfn._xlws.FILTER(Index!C:C, Index!A:A=A16, ""))</f>
        <v>FactSet</v>
      </c>
      <c r="I16" s="203" t="str" cm="1">
        <f t="array" ref="I16">_xlfn.TEXTJOIN(", ", TRUE, _xlfn._xlws.FILTER(Index!B:B, Index!A:A=A16, ""))</f>
        <v>WID, SEDOL, Name, RIC, ISIN, Country, Country Code, Corporate Action Status, Open Market Cap USD, Close Market Cap USD, Currency Code, Gross Dividend Per Share USD, Net Dividends Per Share USD, Float Market Cap %, Adjusted Open Float Market Cap USD, Close Float Market Cap USD, Ex-Div Date, Capping Factor, Weight</v>
      </c>
    </row>
    <row r="17" spans="1:9" ht="35" thickBot="1">
      <c r="A17" s="123" t="s">
        <v>63</v>
      </c>
      <c r="B17" s="109" t="s">
        <v>297</v>
      </c>
      <c r="C17" s="146" t="s">
        <v>297</v>
      </c>
      <c r="D17" s="312" t="str" cm="1">
        <f t="array" ref="D17">_xlfn.TEXTJOIN(", ", TRUE, _xlfn._xlws.FILTER('FactSet Index Reporting'!B:B, 'FactSet Index Reporting'!C:C=A17, ""))</f>
        <v xml:space="preserve">- Idealratings Saudi Index	</v>
      </c>
      <c r="E17" s="150" t="str" cm="1">
        <f t="array" ref="E17">_xlfn.TEXTJOIN(", ", TRUE, _xlfn._xlws.FILTER('FactSet Index Reporting'!D:D, 'FactSet Index Reporting'!C:C=A17, ""))</f>
        <v>Miyar Capital</v>
      </c>
      <c r="F17" s="150" t="str" cm="1">
        <f t="array" ref="F17">_xlfn.TEXTJOIN(", ", TRUE, _xlfn._xlws.FILTER('FactSet Index Reporting'!E:E, 'FactSet Index Reporting'!C:C=A17, ""))</f>
        <v>Fund Manager</v>
      </c>
      <c r="G17" s="110" t="s">
        <v>432</v>
      </c>
      <c r="H17" s="105" t="str" cm="1">
        <f t="array" ref="H17">_xlfn.TEXTJOIN(", ", TRUE, _xlfn._xlws.FILTER(Index!C:C, Index!A:A=A17, ""))</f>
        <v>FactSet</v>
      </c>
      <c r="I17" s="203" t="str" cm="1">
        <f t="array" ref="I17">_xlfn.TEXTJOIN(", ", TRUE, _xlfn._xlws.FILTER(Index!B:B, Index!A:A=A17, ""))</f>
        <v>Name,ISIN,SEDOL,Ticker,Weight</v>
      </c>
    </row>
    <row r="18" spans="1:9" ht="104" thickBot="1">
      <c r="A18" s="123" t="s">
        <v>142</v>
      </c>
      <c r="B18" s="109" t="s">
        <v>297</v>
      </c>
      <c r="C18" s="146" t="s">
        <v>297</v>
      </c>
      <c r="D18" s="312" t="str" cm="1">
        <f t="array" ref="D18">_xlfn.TEXTJOIN(", ", TRUE, _xlfn._xlws.FILTER('FactSet Index Reporting'!B:B, 'FactSet Index Reporting'!C:C=A18, ""))</f>
        <v>- IdealRatings Global REITs Select EV Index</v>
      </c>
      <c r="E18" s="150" t="str" cm="1">
        <f t="array" ref="E18">_xlfn.TEXTJOIN(", ", TRUE, _xlfn._xlws.FILTER('FactSet Index Reporting'!D:D, 'FactSet Index Reporting'!C:C=A18, ""))</f>
        <v>CACEIS, LaSalle, JLL Asset Management, Cohen &amp; Steers, RIMES</v>
      </c>
      <c r="F18" s="150" t="str" cm="1">
        <f t="array" ref="F18">_xlfn.TEXTJOIN(", ", TRUE, _xlfn._xlws.FILTER('FactSet Index Reporting'!E:E, 'FactSet Index Reporting'!C:C=A18, ""))</f>
        <v>Fund Manager, Fund Manager, Fund Manager, Fund Manager, Data Admin</v>
      </c>
      <c r="G18" s="122" t="s">
        <v>433</v>
      </c>
      <c r="H18" s="105" t="str" cm="1">
        <f t="array" ref="H18">_xlfn.TEXTJOIN(", ", TRUE, _xlfn._xlws.FILTER(Index!C:C, Index!A:A=A18, ""))</f>
        <v>FactSet</v>
      </c>
      <c r="I18" s="203" t="str" cm="1">
        <f t="array" ref="I18">_xlfn.TEXTJOIN(", ", TRUE, _xlfn._xlws.FILTER(Index!B:B, Index!A:A=A18, ""))</f>
        <v>WID, SEDOL, Name, ISIN, Country, Country Code, Corporate Action Status, Adjusted Open Price Local, Open Exchange Rate, Open Price Local, Open Market Cap USD, Close Price Local, Close Market Cap USD, Close shares outstanding, Close float shares outstanding, Currency Code, Close Exchange Rate, Gross Dividend Per Share USD, Net Dividends Per Share USD, Float Market Cap %, Adjusted Open Float Market Cap USD, Close Float Market Cap USD, Ex-Div Date, Capping Factor, Weight, Gross Yield, Net Yield, Index Gross Yield, Index Net Yield</v>
      </c>
    </row>
    <row r="19" spans="1:9" ht="35" thickBot="1">
      <c r="A19" s="123" t="s">
        <v>64</v>
      </c>
      <c r="B19" s="109" t="s">
        <v>297</v>
      </c>
      <c r="C19" s="146" t="s">
        <v>297</v>
      </c>
      <c r="D19" s="312" t="str" cm="1">
        <f t="array" ref="D19">_xlfn.TEXTJOIN(", ", TRUE, _xlfn._xlws.FILTER('FactSet Index Reporting'!B:B, 'FactSet Index Reporting'!C:C=A19, ""))</f>
        <v xml:space="preserve">- IdealRatings Saudi Islamic 10% Index	</v>
      </c>
      <c r="E19" s="150" t="str" cm="1">
        <f t="array" ref="E19">_xlfn.TEXTJOIN(", ", TRUE, _xlfn._xlws.FILTER('FactSet Index Reporting'!D:D, 'FactSet Index Reporting'!C:C=A19, ""))</f>
        <v>Nefaie</v>
      </c>
      <c r="F19" s="150" t="str" cm="1">
        <f t="array" ref="F19">_xlfn.TEXTJOIN(", ", TRUE, _xlfn._xlws.FILTER('FactSet Index Reporting'!E:E, 'FactSet Index Reporting'!C:C=A19, ""))</f>
        <v>Fund Manager</v>
      </c>
      <c r="G19" s="110" t="s">
        <v>432</v>
      </c>
      <c r="H19" s="105" t="str" cm="1">
        <f t="array" ref="H19">_xlfn.TEXTJOIN(", ", TRUE, _xlfn._xlws.FILTER(Index!C:C, Index!A:A=A19, ""))</f>
        <v>FactSet</v>
      </c>
      <c r="I19" s="203" t="str" cm="1">
        <f t="array" ref="I19">_xlfn.TEXTJOIN(", ", TRUE, _xlfn._xlws.FILTER(Index!B:B, Index!A:A=A19, ""))</f>
        <v>Name,ISIN,SEDOL,Ticker,Weight</v>
      </c>
    </row>
    <row r="20" spans="1:9" ht="58" thickBot="1">
      <c r="A20" s="123" t="s">
        <v>65</v>
      </c>
      <c r="B20" s="109" t="s">
        <v>297</v>
      </c>
      <c r="C20" s="146" t="s">
        <v>297</v>
      </c>
      <c r="D20" s="312" t="str" cm="1">
        <f t="array" ref="D20">_xlfn.TEXTJOIN(", ", TRUE, _xlfn._xlws.FILTER('FactSet Index Reporting'!B:B, 'FactSet Index Reporting'!C:C=A20, ""))</f>
        <v xml:space="preserve">- Osool &amp; Bakheet Saudi IPO Shariah Index
- Osool &amp; Bakheet Saudi IPO Conventional Index	
- IdealRatings Nomu Islamic Index	</v>
      </c>
      <c r="E20" s="150" t="str" cm="1">
        <f t="array" ref="E20">_xlfn.TEXTJOIN(", ", TRUE, _xlfn._xlws.FILTER('FactSet Index Reporting'!D:D, 'FactSet Index Reporting'!C:C=A20, ""))</f>
        <v>Osool &amp; Bakheet</v>
      </c>
      <c r="F20" s="150" t="str" cm="1">
        <f t="array" ref="F20">_xlfn.TEXTJOIN(", ", TRUE, _xlfn._xlws.FILTER('FactSet Index Reporting'!E:E, 'FactSet Index Reporting'!C:C=A20, ""))</f>
        <v>Fund Manager</v>
      </c>
      <c r="G20" s="110" t="s">
        <v>432</v>
      </c>
      <c r="H20" s="105" t="str" cm="1">
        <f t="array" ref="H20">_xlfn.TEXTJOIN(", ", TRUE, _xlfn._xlws.FILTER(Index!C:C, Index!A:A=A20, ""))</f>
        <v>FactSet</v>
      </c>
      <c r="I20" s="203" t="str" cm="1">
        <f t="array" ref="I20">_xlfn.TEXTJOIN(", ", TRUE, _xlfn._xlws.FILTER(Index!B:B, Index!A:A=A20, ""))</f>
        <v>Name,ISIN,SEDOL,Ticker,Weight</v>
      </c>
    </row>
    <row r="21" spans="1:9" ht="35" thickBot="1">
      <c r="A21" s="123" t="s">
        <v>66</v>
      </c>
      <c r="B21" s="109" t="s">
        <v>297</v>
      </c>
      <c r="C21" s="146" t="s">
        <v>297</v>
      </c>
      <c r="D21" s="312" t="str" cm="1">
        <f t="array" ref="D21">_xlfn.TEXTJOIN(", ", TRUE, _xlfn._xlws.FILTER('FactSet Index Reporting'!B:B, 'FactSet Index Reporting'!C:C=A21, ""))</f>
        <v xml:space="preserve">- Idealratings Saudi Index </v>
      </c>
      <c r="E21" s="150" t="str" cm="1">
        <f t="array" ref="E21">_xlfn.TEXTJOIN(", ", TRUE, _xlfn._xlws.FILTER('FactSet Index Reporting'!D:D, 'FactSet Index Reporting'!C:C=A21, ""))</f>
        <v>Rassanah Capital</v>
      </c>
      <c r="F21" s="150" t="str" cm="1">
        <f t="array" ref="F21">_xlfn.TEXTJOIN(", ", TRUE, _xlfn._xlws.FILTER('FactSet Index Reporting'!E:E, 'FactSet Index Reporting'!C:C=A21, ""))</f>
        <v>Fund Manager</v>
      </c>
      <c r="G21" s="110" t="s">
        <v>432</v>
      </c>
      <c r="H21" s="105" t="str" cm="1">
        <f t="array" ref="H21">_xlfn.TEXTJOIN(", ", TRUE, _xlfn._xlws.FILTER(Index!C:C, Index!A:A=A21, ""))</f>
        <v>FactSet</v>
      </c>
      <c r="I21" s="203" t="str" cm="1">
        <f t="array" ref="I21">_xlfn.TEXTJOIN(", ", TRUE, _xlfn._xlws.FILTER(Index!B:B, Index!A:A=A21, ""))</f>
        <v>Name,ISIN,SEDOL,Ticker,Weight</v>
      </c>
    </row>
    <row r="22" spans="1:9" ht="104" thickBot="1">
      <c r="A22" s="123" t="s">
        <v>44</v>
      </c>
      <c r="B22" s="109" t="s">
        <v>313</v>
      </c>
      <c r="C22" s="146" t="s">
        <v>297</v>
      </c>
      <c r="D22" s="312" t="str" cm="1">
        <f t="array" ref="D22">_xlfn.TEXTJOIN(", ", TRUE, _xlfn._xlws.FILTER('FactSet Index Reporting'!B:B, 'FactSet Index Reporting'!C:C=A22, ""))</f>
        <v>- Riyad Income Shariah Index	
- Riyad Income Shariah Balanced Index	
- Emmar Saudi Shariah Index
- IR Saudi L Cap Conventional Index SIF	
- IR Saudi MSM Cap shariah Index SIF	
- IR GCC shariah Index SIF Ex Saudi</v>
      </c>
      <c r="E22" s="150" t="str" cm="1">
        <f t="array" ref="E22">_xlfn.TEXTJOIN(", ", TRUE, _xlfn._xlws.FILTER('FactSet Index Reporting'!D:D, 'FactSet Index Reporting'!C:C=A22, ""))</f>
        <v>Riyad Capital</v>
      </c>
      <c r="F22" s="150" t="str" cm="1">
        <f t="array" ref="F22">_xlfn.TEXTJOIN(", ", TRUE, _xlfn._xlws.FILTER('FactSet Index Reporting'!E:E, 'FactSet Index Reporting'!C:C=A22, ""))</f>
        <v>Fund Manager</v>
      </c>
      <c r="G22" s="110" t="s">
        <v>432</v>
      </c>
      <c r="H22" s="105" t="str" cm="1">
        <f t="array" ref="H22">_xlfn.TEXTJOIN(", ", TRUE, _xlfn._xlws.FILTER(Index!C:C, Index!A:A=A22, ""))</f>
        <v>FactSet</v>
      </c>
      <c r="I22" s="203" t="str" cm="1">
        <f t="array" ref="I22">_xlfn.TEXTJOIN(", ", TRUE, _xlfn._xlws.FILTER(Index!B:B, Index!A:A=A22, ""))</f>
        <v>Name,ISIN,SEDOL,Ticker,Weight</v>
      </c>
    </row>
    <row r="23" spans="1:9" ht="57.5">
      <c r="A23" s="123" t="s">
        <v>57</v>
      </c>
      <c r="B23" s="109" t="s">
        <v>297</v>
      </c>
      <c r="C23" s="146" t="s">
        <v>297</v>
      </c>
      <c r="D23" s="312" t="str" cm="1">
        <f t="array" ref="D23">_xlfn.TEXTJOIN(", ", TRUE, _xlfn._xlws.FILTER('FactSet Index Reporting'!B:B, 'FactSet Index Reporting'!C:C=A23, ""))</f>
        <v>- Sattam Alrajhi Top 15 US Islamic Index	
- Sattam AlRajhi Saudi Pure Positive TR	
- IRGR Balanced Top 30 Index
- Sattan Alrajhi US Growth Index</v>
      </c>
      <c r="E23" s="150" t="str" cm="1">
        <f t="array" ref="E23">_xlfn.TEXTJOIN(", ", TRUE, _xlfn._xlws.FILTER('FactSet Index Reporting'!D:D, 'FactSet Index Reporting'!C:C=A23, ""))</f>
        <v>Sattam AlRajhi</v>
      </c>
      <c r="F23" s="150" t="str" cm="1">
        <f t="array" ref="F23">_xlfn.TEXTJOIN(", ", TRUE, _xlfn._xlws.FILTER('FactSet Index Reporting'!E:E, 'FactSet Index Reporting'!C:C=A23, ""))</f>
        <v>Asset Owner</v>
      </c>
      <c r="G23" s="110" t="s">
        <v>432</v>
      </c>
      <c r="H23" s="105" t="str" cm="1">
        <f t="array" ref="H23">_xlfn.TEXTJOIN(", ", TRUE, _xlfn._xlws.FILTER(Index!C:C, Index!A:A=A23, ""))</f>
        <v>FactSet</v>
      </c>
      <c r="I23" s="203" t="str" cm="1">
        <f t="array" ref="I23">_xlfn.TEXTJOIN(", ", TRUE, _xlfn._xlws.FILTER(Index!B:B, Index!A:A=A23, ""))</f>
        <v>Name,ISIN,SEDOL,Ticker,Weight</v>
      </c>
    </row>
  </sheetData>
  <autoFilter ref="A1:I23" xr:uid="{89ADC4F8-16EF-D14A-A6F6-F8FD381238D6}"/>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4AF2F-F24E-0D43-8E4D-EE65145D0A2B}">
  <sheetPr>
    <tabColor theme="5"/>
  </sheetPr>
  <dimension ref="A1:J78"/>
  <sheetViews>
    <sheetView zoomScaleNormal="100" workbookViewId="0">
      <selection activeCell="C1" sqref="C1"/>
    </sheetView>
  </sheetViews>
  <sheetFormatPr defaultColWidth="8.81640625" defaultRowHeight="14.5"/>
  <cols>
    <col min="1" max="1" width="3.90625" style="197" customWidth="1"/>
    <col min="2" max="2" width="35" style="197" bestFit="1" customWidth="1"/>
    <col min="3" max="3" width="22.36328125" style="197" customWidth="1"/>
    <col min="4" max="6" width="14.6328125" style="197" customWidth="1"/>
    <col min="7" max="7" width="20.1796875" style="197" customWidth="1"/>
    <col min="8" max="8" width="15.6328125" style="56" bestFit="1" customWidth="1"/>
    <col min="9" max="9" width="8.90625" style="56" bestFit="1" customWidth="1"/>
    <col min="10" max="16384" width="8.81640625" style="56"/>
  </cols>
  <sheetData>
    <row r="1" spans="1:10">
      <c r="A1" s="205" t="s">
        <v>574</v>
      </c>
      <c r="B1" s="251" t="s">
        <v>74</v>
      </c>
      <c r="C1" s="251" t="s">
        <v>808</v>
      </c>
      <c r="D1" s="251" t="s">
        <v>809</v>
      </c>
      <c r="E1" s="251" t="s">
        <v>804</v>
      </c>
      <c r="F1" s="251" t="s">
        <v>812</v>
      </c>
      <c r="G1" s="251" t="s">
        <v>493</v>
      </c>
      <c r="H1" s="251" t="s">
        <v>815</v>
      </c>
      <c r="I1" s="251" t="s">
        <v>3</v>
      </c>
      <c r="J1" s="251" t="s">
        <v>895</v>
      </c>
    </row>
    <row r="2" spans="1:10">
      <c r="A2" s="198">
        <v>1</v>
      </c>
      <c r="B2" s="57" t="s">
        <v>75</v>
      </c>
      <c r="C2" s="411" t="s">
        <v>25</v>
      </c>
      <c r="D2" s="411" t="s">
        <v>25</v>
      </c>
      <c r="E2" s="206" t="s">
        <v>850</v>
      </c>
      <c r="F2" s="198" t="s">
        <v>813</v>
      </c>
      <c r="G2" s="282" t="s">
        <v>498</v>
      </c>
      <c r="H2" s="57" t="s">
        <v>214</v>
      </c>
      <c r="I2" s="57" t="s">
        <v>2</v>
      </c>
      <c r="J2" s="56" t="str">
        <f>VLOOKUP(B2,'Shariah DataFeed'!C:F,4,0)</f>
        <v>~23,000</v>
      </c>
    </row>
    <row r="3" spans="1:10">
      <c r="A3" s="198">
        <v>2</v>
      </c>
      <c r="B3" s="57" t="s">
        <v>77</v>
      </c>
      <c r="C3" s="411"/>
      <c r="D3" s="411"/>
      <c r="E3" s="253" t="s">
        <v>851</v>
      </c>
      <c r="F3" s="198" t="s">
        <v>813</v>
      </c>
      <c r="G3" s="206" t="s">
        <v>498</v>
      </c>
      <c r="H3" s="57" t="s">
        <v>214</v>
      </c>
      <c r="I3" s="57" t="s">
        <v>2</v>
      </c>
      <c r="J3" s="56" t="str">
        <f>VLOOKUP(B3,'Shariah DataFeed'!C:F,4,0)</f>
        <v>~23,000</v>
      </c>
    </row>
    <row r="4" spans="1:10">
      <c r="A4" s="198">
        <v>3</v>
      </c>
      <c r="B4" s="198" t="s">
        <v>79</v>
      </c>
      <c r="C4" s="411"/>
      <c r="D4" s="411"/>
      <c r="E4" s="253" t="s">
        <v>851</v>
      </c>
      <c r="F4" s="198" t="s">
        <v>813</v>
      </c>
      <c r="G4" s="206" t="s">
        <v>498</v>
      </c>
      <c r="H4" s="57" t="s">
        <v>214</v>
      </c>
      <c r="I4" s="57" t="s">
        <v>2</v>
      </c>
      <c r="J4" s="56" t="str">
        <f>VLOOKUP(B4,'Shariah DataFeed'!C:F,4,0)</f>
        <v>~23,000</v>
      </c>
    </row>
    <row r="5" spans="1:10">
      <c r="A5" s="198">
        <v>4</v>
      </c>
      <c r="B5" s="8" t="s">
        <v>81</v>
      </c>
      <c r="C5" s="411" t="s">
        <v>27</v>
      </c>
      <c r="D5" s="411" t="s">
        <v>27</v>
      </c>
      <c r="E5" s="206" t="s">
        <v>850</v>
      </c>
      <c r="F5" s="198" t="s">
        <v>813</v>
      </c>
      <c r="G5" s="206" t="s">
        <v>852</v>
      </c>
      <c r="H5" s="57" t="s">
        <v>214</v>
      </c>
      <c r="I5" s="57" t="s">
        <v>2</v>
      </c>
      <c r="J5" s="56" t="str">
        <f>VLOOKUP(B5,'Shariah DataFeed'!C:F,4,0)</f>
        <v>~1,700</v>
      </c>
    </row>
    <row r="6" spans="1:10">
      <c r="A6" s="198">
        <v>5</v>
      </c>
      <c r="B6" s="8" t="s">
        <v>83</v>
      </c>
      <c r="C6" s="411"/>
      <c r="D6" s="411"/>
      <c r="E6" s="206" t="s">
        <v>850</v>
      </c>
      <c r="F6" s="198" t="s">
        <v>813</v>
      </c>
      <c r="G6" s="206" t="s">
        <v>495</v>
      </c>
      <c r="H6" s="57" t="s">
        <v>214</v>
      </c>
      <c r="I6" s="57" t="s">
        <v>2</v>
      </c>
      <c r="J6" s="56" t="str">
        <f>VLOOKUP(B6,'Shariah DataFeed'!C:F,4,0)</f>
        <v>~1,700</v>
      </c>
    </row>
    <row r="7" spans="1:10">
      <c r="A7" s="198">
        <v>6</v>
      </c>
      <c r="B7" s="57" t="s">
        <v>169</v>
      </c>
      <c r="C7" s="207" t="s">
        <v>19</v>
      </c>
      <c r="D7" s="57" t="s">
        <v>494</v>
      </c>
      <c r="E7" s="206" t="s">
        <v>850</v>
      </c>
      <c r="F7" s="198" t="s">
        <v>813</v>
      </c>
      <c r="G7" s="206" t="s">
        <v>495</v>
      </c>
      <c r="H7" s="57" t="s">
        <v>214</v>
      </c>
      <c r="I7" s="57" t="s">
        <v>151</v>
      </c>
      <c r="J7" s="56" t="e">
        <f>VLOOKUP(B7,'Shariah DataFeed'!C:F,4,0)</f>
        <v>#N/A</v>
      </c>
    </row>
    <row r="8" spans="1:10">
      <c r="A8" s="198">
        <v>7</v>
      </c>
      <c r="B8" s="24" t="s">
        <v>86</v>
      </c>
      <c r="C8" s="411" t="s">
        <v>770</v>
      </c>
      <c r="D8" s="411" t="s">
        <v>770</v>
      </c>
      <c r="E8" s="253" t="s">
        <v>851</v>
      </c>
      <c r="F8" s="198" t="s">
        <v>813</v>
      </c>
      <c r="G8" s="206" t="s">
        <v>496</v>
      </c>
      <c r="H8" s="57" t="s">
        <v>214</v>
      </c>
      <c r="I8" s="57" t="s">
        <v>2</v>
      </c>
      <c r="J8" s="56" t="str">
        <f>VLOOKUP(B8,'Shariah DataFeed'!C:F,4,0)</f>
        <v>~9,950</v>
      </c>
    </row>
    <row r="9" spans="1:10">
      <c r="A9" s="198">
        <v>8</v>
      </c>
      <c r="B9" s="24" t="s">
        <v>84</v>
      </c>
      <c r="C9" s="411"/>
      <c r="D9" s="411"/>
      <c r="E9" s="206" t="s">
        <v>850</v>
      </c>
      <c r="F9" s="198" t="s">
        <v>813</v>
      </c>
      <c r="G9" s="206" t="s">
        <v>852</v>
      </c>
      <c r="H9" s="57" t="s">
        <v>214</v>
      </c>
      <c r="I9" s="57" t="s">
        <v>2</v>
      </c>
      <c r="J9" s="56" t="str">
        <f>VLOOKUP(B9,'Shariah DataFeed'!C:F,4,0)</f>
        <v>~9,950</v>
      </c>
    </row>
    <row r="10" spans="1:10">
      <c r="A10" s="198">
        <v>9</v>
      </c>
      <c r="B10" s="8" t="s">
        <v>88</v>
      </c>
      <c r="C10" s="411"/>
      <c r="D10" s="411"/>
      <c r="E10" s="206" t="s">
        <v>850</v>
      </c>
      <c r="F10" s="198" t="s">
        <v>813</v>
      </c>
      <c r="G10" s="206" t="s">
        <v>853</v>
      </c>
      <c r="H10" s="57" t="s">
        <v>900</v>
      </c>
      <c r="I10" s="57" t="s">
        <v>2</v>
      </c>
      <c r="J10" s="56" t="str">
        <f>VLOOKUP(B10,'Shariah DataFeed'!C:F,4,0)</f>
        <v>~9,950</v>
      </c>
    </row>
    <row r="11" spans="1:10">
      <c r="A11" s="198">
        <v>10</v>
      </c>
      <c r="B11" s="8" t="s">
        <v>90</v>
      </c>
      <c r="C11" s="411" t="s">
        <v>28</v>
      </c>
      <c r="D11" s="411" t="s">
        <v>28</v>
      </c>
      <c r="E11" s="206" t="s">
        <v>850</v>
      </c>
      <c r="F11" s="198" t="s">
        <v>813</v>
      </c>
      <c r="G11" s="206" t="s">
        <v>498</v>
      </c>
      <c r="H11" s="57" t="s">
        <v>900</v>
      </c>
      <c r="I11" s="57" t="s">
        <v>2</v>
      </c>
      <c r="J11" s="56" t="str">
        <f>VLOOKUP(B11,'Shariah DataFeed'!C:F,4,0)</f>
        <v>~19,000</v>
      </c>
    </row>
    <row r="12" spans="1:10">
      <c r="A12" s="198">
        <v>11</v>
      </c>
      <c r="B12" s="8" t="s">
        <v>92</v>
      </c>
      <c r="C12" s="411"/>
      <c r="D12" s="411"/>
      <c r="E12" s="253" t="s">
        <v>851</v>
      </c>
      <c r="F12" s="198" t="s">
        <v>813</v>
      </c>
      <c r="G12" s="206" t="s">
        <v>852</v>
      </c>
      <c r="H12" s="57" t="s">
        <v>900</v>
      </c>
      <c r="I12" s="57" t="s">
        <v>2</v>
      </c>
      <c r="J12" s="56" t="str">
        <f>VLOOKUP(B12,'Shariah DataFeed'!C:F,4,0)</f>
        <v>~19,000</v>
      </c>
    </row>
    <row r="13" spans="1:10">
      <c r="A13" s="198">
        <v>12</v>
      </c>
      <c r="B13" s="8" t="s">
        <v>94</v>
      </c>
      <c r="C13" s="207" t="s">
        <v>854</v>
      </c>
      <c r="D13" s="206" t="s">
        <v>854</v>
      </c>
      <c r="E13" s="253" t="s">
        <v>851</v>
      </c>
      <c r="F13" s="198" t="s">
        <v>813</v>
      </c>
      <c r="G13" s="206" t="s">
        <v>855</v>
      </c>
      <c r="H13" s="57" t="s">
        <v>900</v>
      </c>
      <c r="I13" s="57" t="s">
        <v>2</v>
      </c>
      <c r="J13" s="56" t="str">
        <f>VLOOKUP(B13,'Shariah DataFeed'!C:F,4,0)</f>
        <v>~5300</v>
      </c>
    </row>
    <row r="14" spans="1:10">
      <c r="A14" s="198">
        <v>13</v>
      </c>
      <c r="B14" s="8" t="s">
        <v>170</v>
      </c>
      <c r="C14" s="207" t="s">
        <v>856</v>
      </c>
      <c r="D14" s="206" t="s">
        <v>856</v>
      </c>
      <c r="E14" s="206" t="s">
        <v>850</v>
      </c>
      <c r="F14" s="198" t="s">
        <v>813</v>
      </c>
      <c r="G14" s="282" t="s">
        <v>941</v>
      </c>
      <c r="H14" s="57" t="s">
        <v>214</v>
      </c>
      <c r="I14" s="57" t="s">
        <v>151</v>
      </c>
      <c r="J14" s="56" t="str">
        <f>VLOOKUP(B14,'Shariah DataFeed'!C:F,4,0)</f>
        <v>~570</v>
      </c>
    </row>
    <row r="15" spans="1:10">
      <c r="A15" s="198">
        <v>14</v>
      </c>
      <c r="B15" s="8" t="s">
        <v>96</v>
      </c>
      <c r="C15" s="411" t="s">
        <v>368</v>
      </c>
      <c r="D15" s="411" t="s">
        <v>487</v>
      </c>
      <c r="E15" s="253" t="s">
        <v>851</v>
      </c>
      <c r="F15" s="198" t="s">
        <v>813</v>
      </c>
      <c r="G15" s="206" t="s">
        <v>857</v>
      </c>
      <c r="H15" s="57" t="s">
        <v>214</v>
      </c>
      <c r="I15" s="57" t="s">
        <v>2</v>
      </c>
      <c r="J15" s="56" t="str">
        <f>VLOOKUP(B15,'Shariah DataFeed'!C:F,4,0)</f>
        <v>~28,000</v>
      </c>
    </row>
    <row r="16" spans="1:10">
      <c r="A16" s="198">
        <v>15</v>
      </c>
      <c r="B16" s="8" t="s">
        <v>98</v>
      </c>
      <c r="C16" s="411"/>
      <c r="D16" s="411"/>
      <c r="E16" s="253" t="s">
        <v>851</v>
      </c>
      <c r="F16" s="198" t="s">
        <v>813</v>
      </c>
      <c r="G16" s="206" t="s">
        <v>496</v>
      </c>
      <c r="H16" s="57" t="s">
        <v>214</v>
      </c>
      <c r="I16" s="57" t="s">
        <v>2</v>
      </c>
      <c r="J16" s="56" t="str">
        <f>VLOOKUP(B16,'Shariah DataFeed'!C:F,4,0)</f>
        <v>~28,000</v>
      </c>
    </row>
    <row r="17" spans="1:10">
      <c r="A17" s="198">
        <v>16</v>
      </c>
      <c r="B17" s="8" t="s">
        <v>100</v>
      </c>
      <c r="C17" s="411"/>
      <c r="D17" s="411"/>
      <c r="E17" s="253" t="s">
        <v>851</v>
      </c>
      <c r="F17" s="198" t="s">
        <v>813</v>
      </c>
      <c r="G17" s="206" t="s">
        <v>498</v>
      </c>
      <c r="H17" s="57" t="s">
        <v>214</v>
      </c>
      <c r="I17" s="57" t="s">
        <v>2</v>
      </c>
      <c r="J17" s="56" t="str">
        <f>VLOOKUP(B17,'Shariah DataFeed'!C:F,4,0)</f>
        <v>~28,000</v>
      </c>
    </row>
    <row r="18" spans="1:10">
      <c r="A18" s="198">
        <v>17</v>
      </c>
      <c r="B18" s="8" t="s">
        <v>101</v>
      </c>
      <c r="C18" s="411"/>
      <c r="D18" s="411"/>
      <c r="E18" s="253" t="s">
        <v>851</v>
      </c>
      <c r="F18" s="198" t="s">
        <v>813</v>
      </c>
      <c r="G18" s="206" t="s">
        <v>852</v>
      </c>
      <c r="H18" s="57" t="s">
        <v>214</v>
      </c>
      <c r="I18" s="57" t="s">
        <v>2</v>
      </c>
      <c r="J18" s="56" t="str">
        <f>VLOOKUP(B18,'Shariah DataFeed'!C:F,4,0)</f>
        <v>~28,000</v>
      </c>
    </row>
    <row r="19" spans="1:10">
      <c r="A19" s="198">
        <v>18</v>
      </c>
      <c r="B19" s="8" t="s">
        <v>171</v>
      </c>
      <c r="C19" s="207" t="s">
        <v>858</v>
      </c>
      <c r="D19" s="206" t="s">
        <v>858</v>
      </c>
      <c r="E19" s="253" t="s">
        <v>851</v>
      </c>
      <c r="F19" s="198" t="s">
        <v>813</v>
      </c>
      <c r="G19" s="206" t="s">
        <v>496</v>
      </c>
      <c r="H19" s="57" t="s">
        <v>214</v>
      </c>
      <c r="I19" s="57" t="s">
        <v>151</v>
      </c>
      <c r="J19" s="56" t="str">
        <f>VLOOKUP(B19,'Shariah DataFeed'!C:F,4,0)</f>
        <v>~740</v>
      </c>
    </row>
    <row r="20" spans="1:10">
      <c r="A20" s="198">
        <v>19</v>
      </c>
      <c r="B20" s="8" t="s">
        <v>859</v>
      </c>
      <c r="C20" s="275" t="s">
        <v>17</v>
      </c>
      <c r="D20" s="8" t="s">
        <v>859</v>
      </c>
      <c r="E20" s="253" t="s">
        <v>851</v>
      </c>
      <c r="F20" s="198" t="s">
        <v>813</v>
      </c>
      <c r="G20" s="8" t="s">
        <v>860</v>
      </c>
      <c r="H20" s="57" t="s">
        <v>214</v>
      </c>
      <c r="I20" s="57" t="s">
        <v>151</v>
      </c>
      <c r="J20" s="56" t="str">
        <f>VLOOKUP(B20,'Shariah DataFeed'!C:F,4,0)</f>
        <v>~12,900</v>
      </c>
    </row>
    <row r="21" spans="1:10">
      <c r="A21" s="198">
        <v>20</v>
      </c>
      <c r="B21" s="8" t="s">
        <v>102</v>
      </c>
      <c r="C21" s="275" t="s">
        <v>890</v>
      </c>
      <c r="D21" s="8" t="s">
        <v>102</v>
      </c>
      <c r="E21" s="253" t="s">
        <v>851</v>
      </c>
      <c r="F21" s="198" t="s">
        <v>813</v>
      </c>
      <c r="G21" s="8" t="s">
        <v>498</v>
      </c>
      <c r="H21" s="57" t="s">
        <v>900</v>
      </c>
      <c r="I21" s="57" t="s">
        <v>2</v>
      </c>
      <c r="J21" s="56" t="str">
        <f>VLOOKUP(B21,'Shariah DataFeed'!C:F,4,0)</f>
        <v>~37,000</v>
      </c>
    </row>
    <row r="22" spans="1:10">
      <c r="A22" s="198">
        <v>21</v>
      </c>
      <c r="B22" s="8" t="s">
        <v>35</v>
      </c>
      <c r="C22" s="6" t="s">
        <v>35</v>
      </c>
      <c r="D22" s="8" t="s">
        <v>35</v>
      </c>
      <c r="E22" s="253" t="s">
        <v>851</v>
      </c>
      <c r="F22" s="198" t="s">
        <v>813</v>
      </c>
      <c r="G22" s="8" t="s">
        <v>498</v>
      </c>
      <c r="H22" s="57" t="s">
        <v>909</v>
      </c>
      <c r="I22" s="57" t="s">
        <v>2</v>
      </c>
      <c r="J22" s="56" t="str">
        <f>VLOOKUP(B22,'Shariah DataFeed'!C:F,4,0)</f>
        <v>~36,000</v>
      </c>
    </row>
    <row r="23" spans="1:10">
      <c r="A23" s="198">
        <v>22</v>
      </c>
      <c r="B23" s="8" t="s">
        <v>105</v>
      </c>
      <c r="C23" s="207" t="s">
        <v>105</v>
      </c>
      <c r="D23" s="206" t="s">
        <v>105</v>
      </c>
      <c r="E23" s="206" t="s">
        <v>850</v>
      </c>
      <c r="F23" s="198" t="s">
        <v>813</v>
      </c>
      <c r="G23" s="8" t="s">
        <v>498</v>
      </c>
      <c r="H23" s="57" t="s">
        <v>909</v>
      </c>
      <c r="I23" s="57" t="s">
        <v>2</v>
      </c>
      <c r="J23" s="56" t="str">
        <f>VLOOKUP(B23,'Shariah DataFeed'!C:F,4,0)</f>
        <v>~18,000</v>
      </c>
    </row>
    <row r="24" spans="1:10">
      <c r="A24" s="198">
        <v>23</v>
      </c>
      <c r="B24" s="8" t="s">
        <v>173</v>
      </c>
      <c r="C24" s="207" t="s">
        <v>891</v>
      </c>
      <c r="D24" s="206" t="s">
        <v>51</v>
      </c>
      <c r="E24" s="206" t="s">
        <v>850</v>
      </c>
      <c r="F24" s="198" t="s">
        <v>813</v>
      </c>
      <c r="G24" s="8" t="s">
        <v>861</v>
      </c>
      <c r="H24" s="57" t="s">
        <v>214</v>
      </c>
      <c r="I24" s="57" t="s">
        <v>151</v>
      </c>
      <c r="J24" s="56" t="str">
        <f>VLOOKUP(B24,'Shariah DataFeed'!C:F,4,0)</f>
        <v>~8000</v>
      </c>
    </row>
    <row r="25" spans="1:10">
      <c r="A25" s="198">
        <v>24</v>
      </c>
      <c r="B25" s="8" t="s">
        <v>107</v>
      </c>
      <c r="C25" s="207" t="s">
        <v>37</v>
      </c>
      <c r="D25" s="206" t="s">
        <v>37</v>
      </c>
      <c r="E25" s="206" t="s">
        <v>850</v>
      </c>
      <c r="F25" s="198" t="s">
        <v>813</v>
      </c>
      <c r="G25" s="8" t="s">
        <v>862</v>
      </c>
      <c r="H25" s="57" t="s">
        <v>900</v>
      </c>
      <c r="I25" s="57" t="s">
        <v>2</v>
      </c>
      <c r="J25" s="56" t="str">
        <f>VLOOKUP(B25,'Shariah DataFeed'!C:F,4,0)</f>
        <v>~600</v>
      </c>
    </row>
    <row r="26" spans="1:10">
      <c r="A26" s="198">
        <v>25</v>
      </c>
      <c r="B26" s="283" t="s">
        <v>185</v>
      </c>
      <c r="C26" s="275" t="s">
        <v>185</v>
      </c>
      <c r="D26" s="254" t="s">
        <v>864</v>
      </c>
      <c r="E26" s="253" t="s">
        <v>851</v>
      </c>
      <c r="F26" s="198" t="s">
        <v>813</v>
      </c>
      <c r="G26" s="254" t="s">
        <v>863</v>
      </c>
      <c r="H26" s="57" t="s">
        <v>214</v>
      </c>
      <c r="I26" s="57" t="s">
        <v>151</v>
      </c>
      <c r="J26" s="56" t="str">
        <f>VLOOKUP(B26,'Shariah DataFeed'!C:F,4,0)</f>
        <v>~20,000</v>
      </c>
    </row>
    <row r="27" spans="1:10">
      <c r="A27" s="198">
        <v>26</v>
      </c>
      <c r="B27" s="8" t="s">
        <v>153</v>
      </c>
      <c r="C27" s="411" t="s">
        <v>4</v>
      </c>
      <c r="D27" s="411" t="s">
        <v>4</v>
      </c>
      <c r="E27" s="206" t="s">
        <v>850</v>
      </c>
      <c r="F27" s="198" t="s">
        <v>813</v>
      </c>
      <c r="G27" s="8" t="s">
        <v>861</v>
      </c>
      <c r="H27" s="57" t="s">
        <v>214</v>
      </c>
      <c r="I27" s="57" t="s">
        <v>151</v>
      </c>
      <c r="J27" s="56" t="str">
        <f>VLOOKUP(B27,'Shariah DataFeed'!C:F,4,0)</f>
        <v>~20,000</v>
      </c>
    </row>
    <row r="28" spans="1:10">
      <c r="A28" s="198">
        <v>27</v>
      </c>
      <c r="B28" s="8" t="s">
        <v>174</v>
      </c>
      <c r="C28" s="411"/>
      <c r="D28" s="411"/>
      <c r="E28" s="206" t="s">
        <v>850</v>
      </c>
      <c r="F28" s="198" t="s">
        <v>813</v>
      </c>
      <c r="G28" s="8" t="s">
        <v>499</v>
      </c>
      <c r="H28" s="57" t="s">
        <v>214</v>
      </c>
      <c r="I28" s="57" t="s">
        <v>151</v>
      </c>
      <c r="J28" s="56" t="str">
        <f>VLOOKUP(B28,'Shariah DataFeed'!C:F,4,0)</f>
        <v>~20,000</v>
      </c>
    </row>
    <row r="29" spans="1:10">
      <c r="A29" s="198">
        <v>28</v>
      </c>
      <c r="B29" s="8" t="s">
        <v>8</v>
      </c>
      <c r="C29" s="6" t="s">
        <v>8</v>
      </c>
      <c r="D29" s="8" t="s">
        <v>8</v>
      </c>
      <c r="E29" s="253" t="s">
        <v>851</v>
      </c>
      <c r="F29" s="198" t="s">
        <v>813</v>
      </c>
      <c r="G29" s="8" t="s">
        <v>865</v>
      </c>
      <c r="H29" s="57" t="s">
        <v>214</v>
      </c>
      <c r="I29" s="57" t="s">
        <v>151</v>
      </c>
      <c r="J29" s="56" t="str">
        <f>VLOOKUP(B29,'Shariah DataFeed'!C:F,4,0)</f>
        <v>~28,000</v>
      </c>
    </row>
    <row r="30" spans="1:10">
      <c r="A30" s="198">
        <v>29</v>
      </c>
      <c r="B30" s="8" t="s">
        <v>129</v>
      </c>
      <c r="C30" s="207" t="s">
        <v>866</v>
      </c>
      <c r="D30" s="206" t="s">
        <v>866</v>
      </c>
      <c r="E30" s="253" t="s">
        <v>851</v>
      </c>
      <c r="F30" s="198" t="s">
        <v>813</v>
      </c>
      <c r="G30" s="8" t="s">
        <v>498</v>
      </c>
      <c r="H30" s="57" t="s">
        <v>214</v>
      </c>
      <c r="I30" s="57" t="s">
        <v>2</v>
      </c>
      <c r="J30" s="56" t="str">
        <f>VLOOKUP(B30,'Shariah DataFeed'!C:F,4,0)</f>
        <v>~10,000</v>
      </c>
    </row>
    <row r="31" spans="1:10">
      <c r="A31" s="198">
        <v>30</v>
      </c>
      <c r="B31" s="8" t="s">
        <v>176</v>
      </c>
      <c r="C31" s="207" t="s">
        <v>23</v>
      </c>
      <c r="D31" s="206" t="s">
        <v>23</v>
      </c>
      <c r="E31" s="206" t="s">
        <v>850</v>
      </c>
      <c r="F31" s="198" t="s">
        <v>813</v>
      </c>
      <c r="G31" s="8" t="s">
        <v>499</v>
      </c>
      <c r="H31" s="57" t="s">
        <v>214</v>
      </c>
      <c r="I31" s="57" t="s">
        <v>151</v>
      </c>
      <c r="J31" s="56" t="str">
        <f>VLOOKUP(B31,'Shariah DataFeed'!C:F,4,0)</f>
        <v>~340</v>
      </c>
    </row>
    <row r="32" spans="1:10">
      <c r="A32" s="198">
        <v>31</v>
      </c>
      <c r="B32" s="8" t="s">
        <v>38</v>
      </c>
      <c r="C32" s="207" t="s">
        <v>38</v>
      </c>
      <c r="D32" s="206" t="s">
        <v>38</v>
      </c>
      <c r="E32" s="253" t="s">
        <v>851</v>
      </c>
      <c r="F32" s="198" t="s">
        <v>813</v>
      </c>
      <c r="G32" s="254" t="s">
        <v>867</v>
      </c>
      <c r="H32" s="57" t="s">
        <v>214</v>
      </c>
      <c r="I32" s="57" t="s">
        <v>2</v>
      </c>
      <c r="J32" s="56" t="str">
        <f>VLOOKUP(B32,'Shariah DataFeed'!C:F,4,0)</f>
        <v>~10,000</v>
      </c>
    </row>
    <row r="33" spans="1:10">
      <c r="A33" s="198">
        <v>32</v>
      </c>
      <c r="B33" s="24" t="s">
        <v>947</v>
      </c>
      <c r="C33" s="275" t="s">
        <v>892</v>
      </c>
      <c r="D33" s="8" t="s">
        <v>868</v>
      </c>
      <c r="E33" s="206" t="s">
        <v>850</v>
      </c>
      <c r="F33" s="198" t="s">
        <v>813</v>
      </c>
      <c r="G33" s="8" t="s">
        <v>869</v>
      </c>
      <c r="H33" s="291" t="s">
        <v>214</v>
      </c>
      <c r="I33" s="291" t="s">
        <v>151</v>
      </c>
      <c r="J33" s="56" t="str">
        <f>VLOOKUP(B33,'Shariah DataFeed'!C:F,4,0)</f>
        <v>~800</v>
      </c>
    </row>
    <row r="34" spans="1:10">
      <c r="A34" s="198">
        <v>33</v>
      </c>
      <c r="B34" s="8" t="s">
        <v>9</v>
      </c>
      <c r="C34" s="207" t="s">
        <v>9</v>
      </c>
      <c r="D34" s="206" t="s">
        <v>9</v>
      </c>
      <c r="E34" s="253" t="s">
        <v>851</v>
      </c>
      <c r="F34" s="198" t="s">
        <v>813</v>
      </c>
      <c r="G34" s="254" t="s">
        <v>498</v>
      </c>
      <c r="H34" s="57" t="s">
        <v>214</v>
      </c>
      <c r="I34" s="57" t="s">
        <v>151</v>
      </c>
      <c r="J34" s="56" t="str">
        <f>VLOOKUP(B34,'Shariah DataFeed'!C:F,4,0)</f>
        <v>~300</v>
      </c>
    </row>
    <row r="35" spans="1:10">
      <c r="A35" s="198">
        <v>34</v>
      </c>
      <c r="B35" s="8" t="s">
        <v>131</v>
      </c>
      <c r="C35" s="207" t="s">
        <v>48</v>
      </c>
      <c r="D35" s="206" t="s">
        <v>48</v>
      </c>
      <c r="E35" s="253" t="s">
        <v>851</v>
      </c>
      <c r="F35" s="198" t="s">
        <v>813</v>
      </c>
      <c r="G35" s="254" t="s">
        <v>498</v>
      </c>
      <c r="H35" s="57" t="s">
        <v>214</v>
      </c>
      <c r="I35" s="57" t="s">
        <v>2</v>
      </c>
      <c r="J35" s="56" t="str">
        <f>VLOOKUP(B35,'Shariah DataFeed'!C:F,4,0)</f>
        <v>~36,000</v>
      </c>
    </row>
    <row r="36" spans="1:10">
      <c r="A36" s="198">
        <v>35</v>
      </c>
      <c r="B36" s="24" t="s">
        <v>936</v>
      </c>
      <c r="C36" s="411" t="s">
        <v>226</v>
      </c>
      <c r="D36" s="411" t="s">
        <v>226</v>
      </c>
      <c r="E36" s="253" t="s">
        <v>851</v>
      </c>
      <c r="F36" s="198" t="s">
        <v>813</v>
      </c>
      <c r="G36" s="254" t="s">
        <v>498</v>
      </c>
      <c r="H36" s="57" t="s">
        <v>214</v>
      </c>
      <c r="I36" s="57" t="s">
        <v>151</v>
      </c>
      <c r="J36" s="56" t="str">
        <f>VLOOKUP(B36,'Shariah DataFeed'!C:F,4,0)</f>
        <v>~148</v>
      </c>
    </row>
    <row r="37" spans="1:10">
      <c r="A37" s="198">
        <v>36</v>
      </c>
      <c r="B37" s="24" t="s">
        <v>179</v>
      </c>
      <c r="C37" s="411"/>
      <c r="D37" s="411"/>
      <c r="E37" s="206" t="s">
        <v>850</v>
      </c>
      <c r="F37" s="198" t="s">
        <v>813</v>
      </c>
      <c r="G37" s="8" t="s">
        <v>499</v>
      </c>
      <c r="H37" s="57" t="s">
        <v>214</v>
      </c>
      <c r="I37" s="57" t="s">
        <v>151</v>
      </c>
      <c r="J37" s="56" t="str">
        <f>VLOOKUP(B37,'Shariah DataFeed'!C:F,4,0)</f>
        <v>~300</v>
      </c>
    </row>
    <row r="38" spans="1:10">
      <c r="A38" s="198">
        <v>37</v>
      </c>
      <c r="B38" s="24" t="s">
        <v>110</v>
      </c>
      <c r="C38" s="207" t="s">
        <v>39</v>
      </c>
      <c r="D38" s="206" t="s">
        <v>39</v>
      </c>
      <c r="E38" s="253" t="s">
        <v>851</v>
      </c>
      <c r="F38" s="198" t="s">
        <v>813</v>
      </c>
      <c r="G38" s="8" t="s">
        <v>870</v>
      </c>
      <c r="H38" s="57" t="s">
        <v>214</v>
      </c>
      <c r="I38" s="57" t="s">
        <v>2</v>
      </c>
      <c r="J38" s="56" t="str">
        <f>VLOOKUP(B38,'Shariah DataFeed'!C:F,4,0)</f>
        <v>~50</v>
      </c>
    </row>
    <row r="39" spans="1:10">
      <c r="A39" s="198">
        <v>38</v>
      </c>
      <c r="B39" s="8" t="s">
        <v>10</v>
      </c>
      <c r="C39" s="207" t="s">
        <v>10</v>
      </c>
      <c r="D39" s="206" t="s">
        <v>10</v>
      </c>
      <c r="E39" s="253" t="s">
        <v>851</v>
      </c>
      <c r="F39" s="198" t="s">
        <v>813</v>
      </c>
      <c r="G39" s="8" t="s">
        <v>498</v>
      </c>
      <c r="H39" s="57" t="s">
        <v>214</v>
      </c>
      <c r="I39" s="57" t="s">
        <v>151</v>
      </c>
      <c r="J39" s="56" t="str">
        <f>VLOOKUP(B39,'Shariah DataFeed'!C:F,4,0)</f>
        <v>~35,000</v>
      </c>
    </row>
    <row r="40" spans="1:10">
      <c r="A40" s="198">
        <v>39</v>
      </c>
      <c r="B40" s="8" t="s">
        <v>112</v>
      </c>
      <c r="C40" s="411" t="s">
        <v>29</v>
      </c>
      <c r="D40" s="411" t="s">
        <v>29</v>
      </c>
      <c r="E40" s="253" t="s">
        <v>851</v>
      </c>
      <c r="F40" s="198" t="s">
        <v>813</v>
      </c>
      <c r="G40" s="8" t="s">
        <v>862</v>
      </c>
      <c r="H40" s="57" t="s">
        <v>214</v>
      </c>
      <c r="I40" s="57" t="s">
        <v>2</v>
      </c>
      <c r="J40" s="56" t="str">
        <f>VLOOKUP(B40,'Shariah DataFeed'!C:F,4,0)</f>
        <v>~990</v>
      </c>
    </row>
    <row r="41" spans="1:10">
      <c r="A41" s="198">
        <v>40</v>
      </c>
      <c r="B41" s="8" t="s">
        <v>114</v>
      </c>
      <c r="C41" s="411"/>
      <c r="D41" s="411"/>
      <c r="E41" s="253" t="s">
        <v>851</v>
      </c>
      <c r="F41" s="198" t="s">
        <v>813</v>
      </c>
      <c r="G41" s="8" t="s">
        <v>499</v>
      </c>
      <c r="H41" s="57" t="s">
        <v>214</v>
      </c>
      <c r="I41" s="57" t="s">
        <v>2</v>
      </c>
      <c r="J41" s="56" t="str">
        <f>VLOOKUP(B41,'Shariah DataFeed'!C:F,4,0)</f>
        <v>~990</v>
      </c>
    </row>
    <row r="42" spans="1:10">
      <c r="A42" s="198">
        <v>41</v>
      </c>
      <c r="B42" s="24" t="s">
        <v>133</v>
      </c>
      <c r="C42" s="207" t="s">
        <v>49</v>
      </c>
      <c r="D42" s="206" t="s">
        <v>49</v>
      </c>
      <c r="E42" s="206" t="s">
        <v>850</v>
      </c>
      <c r="F42" s="198" t="s">
        <v>813</v>
      </c>
      <c r="G42" s="8" t="s">
        <v>499</v>
      </c>
      <c r="H42" s="57" t="s">
        <v>214</v>
      </c>
      <c r="I42" s="57" t="s">
        <v>2</v>
      </c>
      <c r="J42" s="56" t="str">
        <f>VLOOKUP(B42,'Shariah DataFeed'!C:F,4,0)</f>
        <v>~250</v>
      </c>
    </row>
    <row r="43" spans="1:10">
      <c r="A43" s="198">
        <v>42</v>
      </c>
      <c r="B43" s="8" t="s">
        <v>13</v>
      </c>
      <c r="C43" s="207" t="s">
        <v>13</v>
      </c>
      <c r="D43" s="206" t="s">
        <v>13</v>
      </c>
      <c r="E43" s="206" t="s">
        <v>850</v>
      </c>
      <c r="F43" s="198" t="s">
        <v>813</v>
      </c>
      <c r="G43" s="8" t="s">
        <v>498</v>
      </c>
      <c r="H43" s="57" t="s">
        <v>214</v>
      </c>
      <c r="I43" s="57" t="s">
        <v>151</v>
      </c>
      <c r="J43" s="56" t="str">
        <f>VLOOKUP(B43,'Shariah DataFeed'!C:F,4,0)</f>
        <v>~21,000</v>
      </c>
    </row>
    <row r="44" spans="1:10">
      <c r="A44" s="198">
        <v>43</v>
      </c>
      <c r="B44" s="8" t="s">
        <v>11</v>
      </c>
      <c r="C44" s="207" t="s">
        <v>11</v>
      </c>
      <c r="D44" s="206" t="s">
        <v>11</v>
      </c>
      <c r="E44" s="253" t="s">
        <v>851</v>
      </c>
      <c r="F44" s="198" t="s">
        <v>813</v>
      </c>
      <c r="G44" s="8" t="s">
        <v>498</v>
      </c>
      <c r="H44" s="57" t="s">
        <v>214</v>
      </c>
      <c r="I44" s="57" t="s">
        <v>151</v>
      </c>
      <c r="J44" s="56" t="str">
        <f>VLOOKUP(B44,'Shariah DataFeed'!C:F,4,0)</f>
        <v>~34,000</v>
      </c>
    </row>
    <row r="45" spans="1:10">
      <c r="A45" s="198">
        <v>44</v>
      </c>
      <c r="B45" s="8" t="s">
        <v>14</v>
      </c>
      <c r="C45" s="207" t="s">
        <v>14</v>
      </c>
      <c r="D45" s="206" t="s">
        <v>14</v>
      </c>
      <c r="E45" s="253" t="s">
        <v>851</v>
      </c>
      <c r="F45" s="198" t="s">
        <v>813</v>
      </c>
      <c r="G45" s="8" t="s">
        <v>871</v>
      </c>
      <c r="H45" s="57" t="s">
        <v>214</v>
      </c>
      <c r="I45" s="57" t="s">
        <v>151</v>
      </c>
      <c r="J45" s="56" t="str">
        <f>VLOOKUP(B45,'Shariah DataFeed'!C:F,4,0)</f>
        <v>~6450</v>
      </c>
    </row>
    <row r="46" spans="1:10">
      <c r="A46" s="198">
        <v>45</v>
      </c>
      <c r="B46" s="8" t="s">
        <v>938</v>
      </c>
      <c r="C46" s="412" t="s">
        <v>30</v>
      </c>
      <c r="D46" s="411" t="s">
        <v>30</v>
      </c>
      <c r="E46" s="206" t="s">
        <v>850</v>
      </c>
      <c r="F46" s="198" t="s">
        <v>813</v>
      </c>
      <c r="G46" s="8" t="s">
        <v>872</v>
      </c>
      <c r="H46" s="291" t="s">
        <v>214</v>
      </c>
      <c r="I46" s="291" t="s">
        <v>2</v>
      </c>
      <c r="J46" s="56" t="str">
        <f>VLOOKUP(B46,'Shariah DataFeed'!C:F,4,0)</f>
        <v>~26,000</v>
      </c>
    </row>
    <row r="47" spans="1:10">
      <c r="A47" s="198">
        <v>46</v>
      </c>
      <c r="B47" s="8" t="s">
        <v>937</v>
      </c>
      <c r="C47" s="411"/>
      <c r="D47" s="411"/>
      <c r="E47" s="206" t="s">
        <v>850</v>
      </c>
      <c r="F47" s="198" t="s">
        <v>813</v>
      </c>
      <c r="G47" s="8" t="s">
        <v>872</v>
      </c>
      <c r="H47" s="291" t="s">
        <v>214</v>
      </c>
      <c r="I47" s="291" t="s">
        <v>2</v>
      </c>
      <c r="J47" s="56" t="str">
        <f>VLOOKUP(B47,'Shariah DataFeed'!C:F,4,0)</f>
        <v>~26,000</v>
      </c>
    </row>
    <row r="48" spans="1:10">
      <c r="A48" s="198">
        <v>47</v>
      </c>
      <c r="B48" s="24" t="s">
        <v>31</v>
      </c>
      <c r="C48" s="206" t="s">
        <v>31</v>
      </c>
      <c r="D48" s="206" t="s">
        <v>31</v>
      </c>
      <c r="E48" s="253" t="s">
        <v>851</v>
      </c>
      <c r="F48" s="198" t="s">
        <v>813</v>
      </c>
      <c r="G48" s="8" t="s">
        <v>873</v>
      </c>
      <c r="H48" s="291" t="s">
        <v>214</v>
      </c>
      <c r="I48" s="291" t="s">
        <v>2</v>
      </c>
      <c r="J48" s="56" t="str">
        <f>VLOOKUP(B48,'Shariah DataFeed'!C:F,4,0)</f>
        <v>~4,000</v>
      </c>
    </row>
    <row r="49" spans="1:10">
      <c r="A49" s="198">
        <v>48</v>
      </c>
      <c r="B49" s="8" t="s">
        <v>117</v>
      </c>
      <c r="C49" s="206" t="s">
        <v>31</v>
      </c>
      <c r="D49" s="206" t="s">
        <v>31</v>
      </c>
      <c r="E49" s="206" t="s">
        <v>850</v>
      </c>
      <c r="F49" s="198" t="s">
        <v>813</v>
      </c>
      <c r="G49" s="8" t="s">
        <v>874</v>
      </c>
      <c r="H49" s="291" t="s">
        <v>942</v>
      </c>
      <c r="I49" s="57" t="s">
        <v>2</v>
      </c>
      <c r="J49" s="56" t="str">
        <f>VLOOKUP(B49,'Shariah DataFeed'!C:F,4,0)</f>
        <v>~4,000</v>
      </c>
    </row>
    <row r="50" spans="1:10">
      <c r="A50" s="198">
        <v>49</v>
      </c>
      <c r="B50" s="303" t="s">
        <v>957</v>
      </c>
      <c r="C50" s="322" t="s">
        <v>490</v>
      </c>
      <c r="D50" s="322" t="s">
        <v>490</v>
      </c>
      <c r="E50" s="253" t="s">
        <v>851</v>
      </c>
      <c r="F50" s="198" t="s">
        <v>813</v>
      </c>
      <c r="G50" s="254" t="s">
        <v>861</v>
      </c>
      <c r="H50" s="57" t="s">
        <v>214</v>
      </c>
      <c r="I50" s="57" t="s">
        <v>151</v>
      </c>
      <c r="J50" s="56" t="e">
        <f>VLOOKUP(B50,'Shariah DataFeed'!C:F,4,0)</f>
        <v>#N/A</v>
      </c>
    </row>
    <row r="51" spans="1:10">
      <c r="A51" s="198">
        <v>50</v>
      </c>
      <c r="B51" s="8" t="s">
        <v>160</v>
      </c>
      <c r="C51" s="322" t="s">
        <v>490</v>
      </c>
      <c r="D51" s="322" t="s">
        <v>490</v>
      </c>
      <c r="E51" s="206" t="s">
        <v>850</v>
      </c>
      <c r="F51" s="198" t="s">
        <v>813</v>
      </c>
      <c r="G51" s="8" t="s">
        <v>499</v>
      </c>
      <c r="H51" s="57" t="s">
        <v>214</v>
      </c>
      <c r="I51" s="57" t="s">
        <v>151</v>
      </c>
      <c r="J51" s="56" t="str">
        <f>VLOOKUP(B51,'Shariah DataFeed'!C:F,4,0)</f>
        <v>~314</v>
      </c>
    </row>
    <row r="52" spans="1:10">
      <c r="A52" s="198">
        <v>51</v>
      </c>
      <c r="B52" s="8" t="s">
        <v>40</v>
      </c>
      <c r="C52" s="207" t="s">
        <v>40</v>
      </c>
      <c r="D52" s="206" t="s">
        <v>40</v>
      </c>
      <c r="E52" s="206" t="s">
        <v>850</v>
      </c>
      <c r="F52" s="198" t="s">
        <v>813</v>
      </c>
      <c r="G52" s="254" t="s">
        <v>876</v>
      </c>
      <c r="H52" s="57" t="s">
        <v>214</v>
      </c>
      <c r="I52" s="57" t="s">
        <v>2</v>
      </c>
      <c r="J52" s="56" t="str">
        <f>VLOOKUP(B52,'Shariah DataFeed'!C:F,4,0)</f>
        <v>~100</v>
      </c>
    </row>
    <row r="53" spans="1:10">
      <c r="A53" s="198">
        <v>52</v>
      </c>
      <c r="B53" s="24" t="s">
        <v>162</v>
      </c>
      <c r="C53" s="207" t="s">
        <v>18</v>
      </c>
      <c r="D53" s="206" t="s">
        <v>18</v>
      </c>
      <c r="E53" s="253" t="s">
        <v>851</v>
      </c>
      <c r="F53" s="198" t="s">
        <v>813</v>
      </c>
      <c r="G53" s="8" t="s">
        <v>498</v>
      </c>
      <c r="H53" s="57" t="s">
        <v>214</v>
      </c>
      <c r="I53" s="57" t="s">
        <v>151</v>
      </c>
      <c r="J53" s="56" t="str">
        <f>VLOOKUP(B53,'Shariah DataFeed'!C:F,4,0)</f>
        <v>~35,000</v>
      </c>
    </row>
    <row r="54" spans="1:10">
      <c r="A54" s="198">
        <v>53</v>
      </c>
      <c r="B54" s="8" t="s">
        <v>877</v>
      </c>
      <c r="C54" s="411" t="s">
        <v>7</v>
      </c>
      <c r="D54" s="411" t="s">
        <v>7</v>
      </c>
      <c r="E54" s="206" t="s">
        <v>850</v>
      </c>
      <c r="F54" s="198" t="s">
        <v>813</v>
      </c>
      <c r="G54" s="8" t="s">
        <v>862</v>
      </c>
      <c r="H54" s="57" t="s">
        <v>214</v>
      </c>
      <c r="I54" s="57" t="s">
        <v>151</v>
      </c>
      <c r="J54" s="56" t="e">
        <f>VLOOKUP(B54,'Shariah DataFeed'!C:F,4,0)</f>
        <v>#N/A</v>
      </c>
    </row>
    <row r="55" spans="1:10">
      <c r="A55" s="198">
        <v>54</v>
      </c>
      <c r="B55" s="8" t="s">
        <v>182</v>
      </c>
      <c r="C55" s="411"/>
      <c r="D55" s="411"/>
      <c r="E55" s="253" t="s">
        <v>851</v>
      </c>
      <c r="F55" s="198" t="s">
        <v>813</v>
      </c>
      <c r="G55" s="8" t="s">
        <v>499</v>
      </c>
      <c r="H55" s="57" t="s">
        <v>214</v>
      </c>
      <c r="I55" s="57" t="s">
        <v>151</v>
      </c>
      <c r="J55" s="56" t="str">
        <f>VLOOKUP(B55,'Shariah DataFeed'!C:F,4,0)</f>
        <v>~660</v>
      </c>
    </row>
    <row r="56" spans="1:10">
      <c r="A56" s="198">
        <v>55</v>
      </c>
      <c r="B56" s="8" t="s">
        <v>41</v>
      </c>
      <c r="C56" s="207" t="s">
        <v>41</v>
      </c>
      <c r="D56" s="206" t="s">
        <v>41</v>
      </c>
      <c r="E56" s="253" t="s">
        <v>851</v>
      </c>
      <c r="F56" s="198" t="s">
        <v>813</v>
      </c>
      <c r="G56" s="8" t="s">
        <v>878</v>
      </c>
      <c r="H56" s="57" t="s">
        <v>214</v>
      </c>
      <c r="I56" s="57" t="s">
        <v>2</v>
      </c>
      <c r="J56" s="56" t="str">
        <f>VLOOKUP(B56,'Shariah DataFeed'!C:F,4,0)</f>
        <v>~600</v>
      </c>
    </row>
    <row r="57" spans="1:10">
      <c r="A57" s="198">
        <v>56</v>
      </c>
      <c r="B57" s="24" t="s">
        <v>12</v>
      </c>
      <c r="C57" s="207" t="s">
        <v>893</v>
      </c>
      <c r="D57" s="206" t="s">
        <v>879</v>
      </c>
      <c r="E57" s="253" t="s">
        <v>851</v>
      </c>
      <c r="F57" s="198" t="s">
        <v>813</v>
      </c>
      <c r="G57" s="8" t="s">
        <v>498</v>
      </c>
      <c r="H57" s="57" t="s">
        <v>214</v>
      </c>
      <c r="I57" s="57" t="s">
        <v>151</v>
      </c>
      <c r="J57" s="56" t="str">
        <f>VLOOKUP(B57,'Shariah DataFeed'!C:F,4,0)</f>
        <v>~16,000</v>
      </c>
    </row>
    <row r="58" spans="1:10">
      <c r="A58" s="198">
        <v>57</v>
      </c>
      <c r="B58" s="8" t="s">
        <v>42</v>
      </c>
      <c r="C58" s="207" t="s">
        <v>42</v>
      </c>
      <c r="D58" s="206" t="s">
        <v>42</v>
      </c>
      <c r="E58" s="253" t="s">
        <v>851</v>
      </c>
      <c r="F58" s="198" t="s">
        <v>813</v>
      </c>
      <c r="G58" s="8" t="s">
        <v>880</v>
      </c>
      <c r="H58" s="57" t="s">
        <v>214</v>
      </c>
      <c r="I58" s="57" t="s">
        <v>2</v>
      </c>
      <c r="J58" s="56" t="str">
        <f>VLOOKUP(B58,'Shariah DataFeed'!C:F,4,0)</f>
        <v>~950</v>
      </c>
    </row>
    <row r="59" spans="1:10">
      <c r="A59" s="198">
        <v>58</v>
      </c>
      <c r="B59" s="8" t="s">
        <v>122</v>
      </c>
      <c r="C59" s="207" t="s">
        <v>43</v>
      </c>
      <c r="D59" s="206" t="s">
        <v>43</v>
      </c>
      <c r="E59" s="206" t="s">
        <v>850</v>
      </c>
      <c r="F59" s="198" t="s">
        <v>813</v>
      </c>
      <c r="G59" s="8" t="s">
        <v>881</v>
      </c>
      <c r="H59" s="57" t="s">
        <v>214</v>
      </c>
      <c r="I59" s="57" t="s">
        <v>2</v>
      </c>
      <c r="J59" s="56" t="str">
        <f>VLOOKUP(B59,'Shariah DataFeed'!C:F,4,0)</f>
        <v>~1000</v>
      </c>
    </row>
    <row r="60" spans="1:10">
      <c r="A60" s="198">
        <v>59</v>
      </c>
      <c r="B60" s="8" t="s">
        <v>15</v>
      </c>
      <c r="C60" s="207" t="s">
        <v>15</v>
      </c>
      <c r="D60" s="206" t="s">
        <v>15</v>
      </c>
      <c r="E60" s="206" t="s">
        <v>850</v>
      </c>
      <c r="F60" s="198" t="s">
        <v>813</v>
      </c>
      <c r="G60" s="8" t="s">
        <v>882</v>
      </c>
      <c r="H60" s="57" t="s">
        <v>214</v>
      </c>
      <c r="I60" s="57" t="s">
        <v>2</v>
      </c>
      <c r="J60" s="56" t="str">
        <f>VLOOKUP(B60,'Shariah DataFeed'!C:F,4,0)</f>
        <v>~50</v>
      </c>
    </row>
    <row r="61" spans="1:10">
      <c r="A61" s="198">
        <v>60</v>
      </c>
      <c r="B61" s="255" t="s">
        <v>16</v>
      </c>
      <c r="C61" s="274" t="s">
        <v>16</v>
      </c>
      <c r="D61" s="252" t="s">
        <v>16</v>
      </c>
      <c r="E61" s="284" t="s">
        <v>851</v>
      </c>
      <c r="F61" s="209" t="s">
        <v>813</v>
      </c>
      <c r="G61" s="256" t="s">
        <v>894</v>
      </c>
      <c r="H61" s="290" t="s">
        <v>214</v>
      </c>
      <c r="I61" s="290" t="s">
        <v>151</v>
      </c>
    </row>
    <row r="62" spans="1:10">
      <c r="A62" s="198">
        <v>61</v>
      </c>
      <c r="B62" s="8" t="s">
        <v>883</v>
      </c>
      <c r="C62" s="411" t="s">
        <v>32</v>
      </c>
      <c r="D62" s="411" t="s">
        <v>32</v>
      </c>
      <c r="E62" s="206" t="s">
        <v>850</v>
      </c>
      <c r="F62" s="198" t="s">
        <v>813</v>
      </c>
      <c r="G62" s="283" t="s">
        <v>884</v>
      </c>
      <c r="H62" s="57" t="s">
        <v>214</v>
      </c>
      <c r="I62" s="57" t="s">
        <v>2</v>
      </c>
      <c r="J62" s="56" t="str">
        <f>VLOOKUP(B62,'Shariah DataFeed'!C:F,4,0)</f>
        <v>~15,000</v>
      </c>
    </row>
    <row r="63" spans="1:10">
      <c r="A63" s="198">
        <v>62</v>
      </c>
      <c r="B63" s="8" t="s">
        <v>885</v>
      </c>
      <c r="C63" s="411"/>
      <c r="D63" s="411"/>
      <c r="E63" s="206" t="s">
        <v>850</v>
      </c>
      <c r="F63" s="198" t="s">
        <v>813</v>
      </c>
      <c r="G63" s="8" t="s">
        <v>886</v>
      </c>
      <c r="H63" s="57" t="s">
        <v>214</v>
      </c>
      <c r="I63" s="57" t="s">
        <v>2</v>
      </c>
      <c r="J63" s="56" t="str">
        <f>VLOOKUP(B63,'Shariah DataFeed'!C:F,4,0)</f>
        <v>~15,000</v>
      </c>
    </row>
    <row r="64" spans="1:10">
      <c r="A64" s="198">
        <v>63</v>
      </c>
      <c r="B64" s="24" t="s">
        <v>66</v>
      </c>
      <c r="C64" s="24" t="s">
        <v>66</v>
      </c>
      <c r="D64" s="206" t="s">
        <v>66</v>
      </c>
      <c r="E64" s="253" t="s">
        <v>851</v>
      </c>
      <c r="F64" s="198" t="s">
        <v>813</v>
      </c>
      <c r="G64" s="254" t="s">
        <v>499</v>
      </c>
      <c r="H64" s="57" t="s">
        <v>214</v>
      </c>
      <c r="I64" s="57" t="s">
        <v>151</v>
      </c>
      <c r="J64" s="56" t="str">
        <f>VLOOKUP(B64,'Shariah DataFeed'!C:F,4,0)</f>
        <v>~330</v>
      </c>
    </row>
    <row r="65" spans="1:10">
      <c r="A65" s="198">
        <v>64</v>
      </c>
      <c r="B65" s="8" t="s">
        <v>44</v>
      </c>
      <c r="C65" s="207" t="s">
        <v>44</v>
      </c>
      <c r="D65" s="206" t="s">
        <v>44</v>
      </c>
      <c r="E65" s="206" t="s">
        <v>850</v>
      </c>
      <c r="F65" s="198" t="s">
        <v>813</v>
      </c>
      <c r="G65" s="8" t="s">
        <v>499</v>
      </c>
      <c r="H65" s="57" t="s">
        <v>214</v>
      </c>
      <c r="I65" s="57" t="s">
        <v>2</v>
      </c>
      <c r="J65" s="56" t="str">
        <f>VLOOKUP(B65,'Shariah DataFeed'!C:F,4,0)</f>
        <v>~300</v>
      </c>
    </row>
    <row r="66" spans="1:10">
      <c r="A66" s="198">
        <v>65</v>
      </c>
      <c r="B66" s="24" t="s">
        <v>165</v>
      </c>
      <c r="C66" s="411" t="s">
        <v>887</v>
      </c>
      <c r="D66" s="206" t="s">
        <v>887</v>
      </c>
      <c r="E66" s="253" t="s">
        <v>851</v>
      </c>
      <c r="F66" s="198" t="s">
        <v>813</v>
      </c>
      <c r="G66" s="8" t="s">
        <v>498</v>
      </c>
      <c r="H66" s="57" t="s">
        <v>214</v>
      </c>
      <c r="I66" s="57" t="s">
        <v>151</v>
      </c>
      <c r="J66" s="56" t="str">
        <f>VLOOKUP(B66,'Shariah DataFeed'!C:F,4,0)</f>
        <v>~27,600</v>
      </c>
    </row>
    <row r="67" spans="1:10">
      <c r="A67" s="198">
        <v>66</v>
      </c>
      <c r="B67" s="24" t="s">
        <v>167</v>
      </c>
      <c r="C67" s="411"/>
      <c r="D67" s="206" t="s">
        <v>887</v>
      </c>
      <c r="E67" s="253" t="s">
        <v>851</v>
      </c>
      <c r="F67" s="198" t="s">
        <v>813</v>
      </c>
      <c r="G67" s="8" t="s">
        <v>498</v>
      </c>
      <c r="H67" s="57" t="s">
        <v>214</v>
      </c>
      <c r="I67" s="57" t="s">
        <v>151</v>
      </c>
      <c r="J67" s="56" t="str">
        <f>VLOOKUP(B67,'Shariah DataFeed'!C:F,4,0)</f>
        <v>~27,600</v>
      </c>
    </row>
    <row r="68" spans="1:10">
      <c r="A68" s="198">
        <v>67</v>
      </c>
      <c r="B68" s="8" t="s">
        <v>184</v>
      </c>
      <c r="C68" s="207" t="s">
        <v>24</v>
      </c>
      <c r="D68" s="206" t="s">
        <v>24</v>
      </c>
      <c r="E68" s="206" t="s">
        <v>850</v>
      </c>
      <c r="F68" s="198" t="s">
        <v>813</v>
      </c>
      <c r="G68" s="254" t="s">
        <v>886</v>
      </c>
      <c r="H68" s="291" t="s">
        <v>942</v>
      </c>
      <c r="I68" s="57" t="s">
        <v>151</v>
      </c>
      <c r="J68" s="56" t="str">
        <f>VLOOKUP(B68,'Shariah DataFeed'!C:F,4,0)</f>
        <v>~150</v>
      </c>
    </row>
    <row r="69" spans="1:10">
      <c r="A69" s="198">
        <v>68</v>
      </c>
      <c r="B69" s="24" t="s">
        <v>125</v>
      </c>
      <c r="C69" s="6" t="s">
        <v>60</v>
      </c>
      <c r="D69" s="8" t="s">
        <v>60</v>
      </c>
      <c r="E69" s="253" t="s">
        <v>851</v>
      </c>
      <c r="F69" s="198" t="s">
        <v>813</v>
      </c>
      <c r="G69" s="8" t="s">
        <v>888</v>
      </c>
      <c r="H69" s="57" t="s">
        <v>214</v>
      </c>
      <c r="I69" s="57" t="s">
        <v>2</v>
      </c>
      <c r="J69" s="56" t="str">
        <f>VLOOKUP(B69,'Shariah DataFeed'!C:F,4,0)</f>
        <v>~700</v>
      </c>
    </row>
    <row r="70" spans="1:10">
      <c r="A70" s="198">
        <v>69</v>
      </c>
      <c r="B70" s="8" t="s">
        <v>127</v>
      </c>
      <c r="C70" s="207" t="s">
        <v>46</v>
      </c>
      <c r="D70" s="206" t="s">
        <v>46</v>
      </c>
      <c r="E70" s="206" t="s">
        <v>850</v>
      </c>
      <c r="F70" s="198" t="s">
        <v>813</v>
      </c>
      <c r="G70" s="8" t="s">
        <v>498</v>
      </c>
      <c r="H70" s="57" t="s">
        <v>214</v>
      </c>
      <c r="I70" s="57" t="s">
        <v>2</v>
      </c>
      <c r="J70" s="56" t="str">
        <f>VLOOKUP(B70,'Shariah DataFeed'!C:F,4,0)</f>
        <v>~5,000</v>
      </c>
    </row>
    <row r="71" spans="1:10">
      <c r="A71" s="198">
        <v>70</v>
      </c>
      <c r="B71" s="8" t="s">
        <v>889</v>
      </c>
      <c r="C71" s="207" t="s">
        <v>500</v>
      </c>
      <c r="D71" s="206" t="s">
        <v>500</v>
      </c>
      <c r="E71" s="253" t="s">
        <v>851</v>
      </c>
      <c r="F71" s="198" t="s">
        <v>813</v>
      </c>
      <c r="G71" s="254" t="s">
        <v>496</v>
      </c>
      <c r="H71" s="57" t="s">
        <v>214</v>
      </c>
      <c r="I71" s="57" t="s">
        <v>2</v>
      </c>
      <c r="J71" s="56">
        <f>VLOOKUP(B71,'Shariah DataFeed'!C:F,4,0)</f>
        <v>20</v>
      </c>
    </row>
    <row r="72" spans="1:10">
      <c r="A72" s="209">
        <v>71</v>
      </c>
      <c r="B72" s="255" t="s">
        <v>135</v>
      </c>
      <c r="C72" s="255" t="s">
        <v>135</v>
      </c>
      <c r="D72" s="209"/>
      <c r="E72" s="209"/>
      <c r="F72" s="209" t="s">
        <v>813</v>
      </c>
      <c r="G72" s="209"/>
      <c r="H72" s="290"/>
      <c r="I72" s="290" t="s">
        <v>2</v>
      </c>
      <c r="J72" s="285"/>
    </row>
    <row r="73" spans="1:10">
      <c r="A73" s="209">
        <v>72</v>
      </c>
      <c r="B73" s="255" t="s">
        <v>137</v>
      </c>
      <c r="C73" s="255" t="s">
        <v>137</v>
      </c>
      <c r="D73" s="209"/>
      <c r="E73" s="209"/>
      <c r="F73" s="209" t="s">
        <v>813</v>
      </c>
      <c r="G73" s="209"/>
      <c r="H73" s="290"/>
      <c r="I73" s="290" t="s">
        <v>2</v>
      </c>
      <c r="J73" s="285"/>
    </row>
    <row r="74" spans="1:10">
      <c r="A74" s="209">
        <v>73</v>
      </c>
      <c r="B74" s="273" t="s">
        <v>144</v>
      </c>
      <c r="C74" s="255" t="s">
        <v>137</v>
      </c>
      <c r="D74" s="209"/>
      <c r="E74" s="209"/>
      <c r="F74" s="209" t="s">
        <v>813</v>
      </c>
      <c r="G74" s="209"/>
      <c r="H74" s="290"/>
      <c r="I74" s="290" t="s">
        <v>2</v>
      </c>
      <c r="J74" s="285"/>
    </row>
    <row r="75" spans="1:10">
      <c r="A75" s="209">
        <v>74</v>
      </c>
      <c r="B75" s="292" t="s">
        <v>139</v>
      </c>
      <c r="C75" s="255" t="s">
        <v>140</v>
      </c>
      <c r="D75" s="209"/>
      <c r="E75" s="284" t="s">
        <v>851</v>
      </c>
      <c r="F75" s="209" t="s">
        <v>813</v>
      </c>
      <c r="G75" s="279" t="s">
        <v>498</v>
      </c>
      <c r="H75" s="293" t="s">
        <v>214</v>
      </c>
      <c r="I75" s="290"/>
      <c r="J75" s="56" t="str">
        <f>VLOOKUP(B75,'Shariah DataFeed'!C:F,4,0)</f>
        <v>~37,000</v>
      </c>
    </row>
    <row r="76" spans="1:10">
      <c r="A76" s="209">
        <v>75</v>
      </c>
      <c r="B76" s="292" t="s">
        <v>55</v>
      </c>
      <c r="C76" s="255" t="s">
        <v>142</v>
      </c>
      <c r="D76" s="209"/>
      <c r="E76" s="209"/>
      <c r="F76" s="209" t="s">
        <v>813</v>
      </c>
      <c r="G76" s="209"/>
      <c r="H76" s="290"/>
      <c r="I76" s="290"/>
      <c r="J76" s="285"/>
    </row>
    <row r="77" spans="1:10">
      <c r="A77" s="209">
        <v>76</v>
      </c>
      <c r="B77" s="292" t="s">
        <v>146</v>
      </c>
      <c r="C77" s="255" t="s">
        <v>228</v>
      </c>
      <c r="D77" s="209"/>
      <c r="E77" s="209"/>
      <c r="F77" s="209" t="s">
        <v>813</v>
      </c>
      <c r="G77" s="209"/>
      <c r="H77" s="290"/>
      <c r="I77" s="290"/>
      <c r="J77" s="285"/>
    </row>
    <row r="78" spans="1:10">
      <c r="A78" s="209">
        <v>77</v>
      </c>
      <c r="B78" s="255" t="s">
        <v>148</v>
      </c>
      <c r="C78" s="255" t="s">
        <v>148</v>
      </c>
      <c r="D78" s="209"/>
      <c r="E78" s="209"/>
      <c r="F78" s="209" t="s">
        <v>813</v>
      </c>
      <c r="G78" s="209"/>
      <c r="H78" s="290"/>
      <c r="I78" s="290" t="s">
        <v>2</v>
      </c>
      <c r="J78" s="285"/>
    </row>
  </sheetData>
  <autoFilter ref="A1:J78" xr:uid="{6A04AF2F-F24E-0D43-8E4D-EE65145D0A2B}"/>
  <mergeCells count="23">
    <mergeCell ref="C66:C67"/>
    <mergeCell ref="D2:D4"/>
    <mergeCell ref="D5:D6"/>
    <mergeCell ref="D8:D10"/>
    <mergeCell ref="D11:D12"/>
    <mergeCell ref="D15:D18"/>
    <mergeCell ref="D27:D28"/>
    <mergeCell ref="D36:D37"/>
    <mergeCell ref="C27:C28"/>
    <mergeCell ref="C36:C37"/>
    <mergeCell ref="C40:C41"/>
    <mergeCell ref="C46:C47"/>
    <mergeCell ref="C2:C4"/>
    <mergeCell ref="C5:C6"/>
    <mergeCell ref="C8:C10"/>
    <mergeCell ref="C11:C12"/>
    <mergeCell ref="D40:D41"/>
    <mergeCell ref="D46:D47"/>
    <mergeCell ref="D54:D55"/>
    <mergeCell ref="D62:D63"/>
    <mergeCell ref="C54:C55"/>
    <mergeCell ref="C62:C63"/>
    <mergeCell ref="C15:C18"/>
  </mergeCells>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13B0A-4D4A-AF45-8721-862787575077}">
  <sheetPr>
    <tabColor theme="5"/>
  </sheetPr>
  <dimension ref="A1:I60"/>
  <sheetViews>
    <sheetView zoomScaleNormal="100" workbookViewId="0">
      <selection activeCell="A3" sqref="A3"/>
    </sheetView>
  </sheetViews>
  <sheetFormatPr defaultColWidth="21.1796875" defaultRowHeight="11.5"/>
  <cols>
    <col min="1" max="1" width="18" style="116" customWidth="1"/>
    <col min="2" max="3" width="11.36328125" style="105" customWidth="1"/>
    <col min="4" max="4" width="22.81640625" style="116" customWidth="1"/>
    <col min="5" max="5" width="41.08984375" style="116" customWidth="1"/>
    <col min="6" max="7" width="22.81640625" style="116" customWidth="1"/>
    <col min="8" max="8" width="13" style="105" bestFit="1" customWidth="1"/>
    <col min="9" max="9" width="48.08984375" style="116" customWidth="1"/>
    <col min="10" max="16384" width="21.1796875" style="105"/>
  </cols>
  <sheetData>
    <row r="1" spans="1:9" s="132" customFormat="1" ht="12" thickBot="1">
      <c r="A1" s="117" t="s">
        <v>808</v>
      </c>
      <c r="B1" s="118" t="s">
        <v>279</v>
      </c>
      <c r="C1" s="118" t="s">
        <v>303</v>
      </c>
      <c r="D1" s="118" t="s">
        <v>431</v>
      </c>
      <c r="E1" s="118" t="s">
        <v>493</v>
      </c>
      <c r="F1" s="118" t="s">
        <v>811</v>
      </c>
      <c r="G1" s="118" t="s">
        <v>815</v>
      </c>
      <c r="H1" s="119" t="s">
        <v>375</v>
      </c>
      <c r="I1" s="120" t="s">
        <v>50</v>
      </c>
    </row>
    <row r="2" spans="1:9" s="134" customFormat="1" ht="12" thickBot="1">
      <c r="A2" s="129"/>
      <c r="B2" s="133"/>
      <c r="C2" s="101" t="s">
        <v>430</v>
      </c>
      <c r="D2" s="133"/>
      <c r="E2" s="133"/>
      <c r="F2" s="133"/>
      <c r="G2" s="133"/>
      <c r="H2" s="130"/>
      <c r="I2" s="131"/>
    </row>
    <row r="3" spans="1:9" ht="23">
      <c r="A3" s="124" t="s">
        <v>25</v>
      </c>
      <c r="B3" s="106" t="str">
        <f>IF(ISNA(VLOOKUP(A3,Service!B:B,1,0)),"No","Yes")</f>
        <v>No</v>
      </c>
      <c r="C3" s="106" t="s">
        <v>313</v>
      </c>
      <c r="D3" s="107" t="s">
        <v>437</v>
      </c>
      <c r="E3" s="294" t="str" cm="1">
        <f t="array" ref="E3">_xlfn.TEXTJOIN(", ", TRUE, _xlfn.UNIQUE(_xlfn._xlws.FILTER('Shariah DataFeed'!E:E, 'Shariah DataFeed'!A:A=A3)))</f>
        <v>Global</v>
      </c>
      <c r="F3" s="296" t="str" cm="1">
        <f t="array" ref="F3">_xlfn.TEXTJOIN(", ", TRUE, _xlfn.UNIQUE(_xlfn._xlws.FILTER('Shariah DataFeed'!F:F, 'Shariah DataFeed'!A:A=A3)))</f>
        <v>~23,000</v>
      </c>
      <c r="G3" s="107" t="str" cm="1">
        <f t="array" ref="G3">_xlfn.TEXTJOIN(", ", TRUE, _xlfn.UNIQUE(_xlfn._xlws.FILTER('Shariah DataFeed'!G:G, 'Shariah DataFeed'!A:A=A3)))</f>
        <v>Quarterly</v>
      </c>
      <c r="H3" s="106" t="str" cm="1">
        <f t="array" ref="H3">_xlfn.TEXTJOIN(", ", TRUE, _xlfn.UNIQUE(_xlfn._xlws.FILTER('Shariah DataFeed'!B:B, 'Shariah DataFeed'!A:A=A3)))</f>
        <v>Reuters</v>
      </c>
      <c r="I3" s="294" t="str" cm="1">
        <f t="array" ref="I3">_xlfn.TEXTJOIN(", ", TRUE, _xlfn.UNIQUE(_xlfn._xlws.FILTER('Shariah DataFeed'!D:D, 'Shariah DataFeed'!A:A=A3)))</f>
        <v>ISIN, Ticker, Name, Name, ISIN, CUSIP, SEDOL, AAOIFI, Foreign, NVDR, ISIN, SEDOL, CUSIP, Ticker, Name, NCB Global</v>
      </c>
    </row>
    <row r="4" spans="1:9" ht="34.5">
      <c r="A4" s="108" t="s">
        <v>27</v>
      </c>
      <c r="B4" s="106" t="str">
        <f>IF(ISNA(VLOOKUP(A4,Service!B:B,1,0)),"No","Yes")</f>
        <v>Yes</v>
      </c>
      <c r="C4" s="106" t="s">
        <v>313</v>
      </c>
      <c r="D4" s="141" t="s">
        <v>470</v>
      </c>
      <c r="E4" s="294" t="str" cm="1">
        <f t="array" ref="E4">_xlfn.TEXTJOIN(", ", TRUE, _xlfn.UNIQUE(_xlfn._xlws.FILTER('Shariah DataFeed'!E:E, 'Shariah DataFeed'!A:A=A4)))</f>
        <v>SAUDI, US</v>
      </c>
      <c r="F4" s="296" t="str" cm="1">
        <f t="array" ref="F4">_xlfn.TEXTJOIN(", ", TRUE, _xlfn.UNIQUE(_xlfn._xlws.FILTER('Shariah DataFeed'!F:F, 'Shariah DataFeed'!A:A=A4)))</f>
        <v>~1,700</v>
      </c>
      <c r="G4" s="107" t="str" cm="1">
        <f t="array" ref="G4">_xlfn.TEXTJOIN(", ", TRUE, _xlfn.UNIQUE(_xlfn._xlws.FILTER('Shariah DataFeed'!G:G, 'Shariah DataFeed'!A:A=A4)))</f>
        <v>Quarterly</v>
      </c>
      <c r="H4" s="106" t="str" cm="1">
        <f t="array" ref="H4">_xlfn.TEXTJOIN(", ", TRUE, _xlfn.UNIQUE(_xlfn._xlws.FILTER('Shariah DataFeed'!B:B, 'Shariah DataFeed'!A:A=A4)))</f>
        <v>Reuters</v>
      </c>
      <c r="I4" s="294" t="str" cm="1">
        <f t="array" ref="I4">_xlfn.TEXTJOIN(", ", TRUE, _xlfn.UNIQUE(_xlfn._xlws.FILTER('Shariah DataFeed'!D:D, 'Shariah DataFeed'!A:A=A4)))</f>
        <v>Name, ISIN, Ticker, Sector, Market Cap</v>
      </c>
    </row>
    <row r="5" spans="1:9" ht="23">
      <c r="A5" s="108" t="s">
        <v>19</v>
      </c>
      <c r="B5" s="106" t="str">
        <f>IF(ISNA(VLOOKUP(A5,Service!B:B,1,0)),"No","Yes")</f>
        <v>No</v>
      </c>
      <c r="C5" s="106" t="s">
        <v>313</v>
      </c>
      <c r="D5" s="107" t="s">
        <v>437</v>
      </c>
      <c r="E5" s="294" t="e" cm="1" vm="1">
        <f t="array" ref="E5">_xlfn.TEXTJOIN(", ", TRUE, _xlfn.UNIQUE(_xlfn._xlws.FILTER('Shariah DataFeed'!E:E, 'Shariah DataFeed'!A:A=A5)))</f>
        <v>#VALUE!</v>
      </c>
      <c r="F5" s="296" t="e" cm="1" vm="1">
        <f t="array" ref="F5">_xlfn.TEXTJOIN(", ", TRUE, _xlfn.UNIQUE(_xlfn._xlws.FILTER('Shariah DataFeed'!F:F, 'Shariah DataFeed'!A:A=A5)))</f>
        <v>#VALUE!</v>
      </c>
      <c r="G5" s="107" t="e" cm="1" vm="1">
        <f t="array" ref="G5">_xlfn.TEXTJOIN(", ", TRUE, _xlfn.UNIQUE(_xlfn._xlws.FILTER('Shariah DataFeed'!G:G, 'Shariah DataFeed'!A:A=A5)))</f>
        <v>#VALUE!</v>
      </c>
      <c r="H5" s="106" t="e" cm="1" vm="1">
        <f t="array" ref="H5">_xlfn.TEXTJOIN(", ", TRUE, _xlfn.UNIQUE(_xlfn._xlws.FILTER('Shariah DataFeed'!B:B, 'Shariah DataFeed'!A:A=A5)))</f>
        <v>#VALUE!</v>
      </c>
      <c r="I5" s="294" t="e" cm="1" vm="1">
        <f t="array" ref="I5">_xlfn.TEXTJOIN(", ", TRUE, _xlfn.UNIQUE(_xlfn._xlws.FILTER('Shariah DataFeed'!D:D, 'Shariah DataFeed'!A:A=A5)))</f>
        <v>#VALUE!</v>
      </c>
    </row>
    <row r="6" spans="1:9" ht="150">
      <c r="A6" s="108" t="s">
        <v>368</v>
      </c>
      <c r="B6" s="106" t="str">
        <f>IF(ISNA(VLOOKUP(A6,Service!B:B,1,0)),"No","Yes")</f>
        <v>Yes</v>
      </c>
      <c r="C6" s="106" t="s">
        <v>313</v>
      </c>
      <c r="D6" s="141" t="s">
        <v>469</v>
      </c>
      <c r="E6" s="294" t="str" cm="1">
        <f t="array" ref="E6">_xlfn.TEXTJOIN(", ", TRUE, _xlfn.UNIQUE(_xlfn._xlws.FILTER('Shariah DataFeed'!E:E, 'Shariah DataFeed'!A:A=A6)))</f>
        <v>EGYPT, GCC, Global, SAUDI</v>
      </c>
      <c r="F6" s="296" t="str" cm="1">
        <f t="array" ref="F6">_xlfn.TEXTJOIN(", ", TRUE, _xlfn.UNIQUE(_xlfn._xlws.FILTER('Shariah DataFeed'!F:F, 'Shariah DataFeed'!A:A=A6)))</f>
        <v>~28,000</v>
      </c>
      <c r="G6" s="107" t="str" cm="1">
        <f t="array" ref="G6">_xlfn.TEXTJOIN(", ", TRUE, _xlfn.UNIQUE(_xlfn._xlws.FILTER('Shariah DataFeed'!G:G, 'Shariah DataFeed'!A:A=A6)))</f>
        <v>Quarterly</v>
      </c>
      <c r="H6" s="106" t="str" cm="1">
        <f t="array" ref="H6">_xlfn.TEXTJOIN(", ", TRUE, _xlfn.UNIQUE(_xlfn._xlws.FILTER('Shariah DataFeed'!B:B, 'Shariah DataFeed'!A:A=A6)))</f>
        <v>Reuters</v>
      </c>
      <c r="I6" s="295" t="str" cm="1">
        <f t="array" ref="I6">_xlfn.TEXTJOIN(", ", TRUE, _xlfn.UNIQUE(_xlfn._xlws.FILTER('Shariah DataFeed'!D:D, 'Shariah DataFeed'!A:A=A6)))</f>
        <v>Ticker, ISIN, Name, Nation, Sector, Fiscal Period, Al-Rajhi, [Al-Rajhi] Debt Ratio, [Al-Rajhi] Financial Status, [Al-Rajhi] Non Permissible Income Ratio, [Al-Rajhi] NPIN Status, [Al-Rajhi]  Preference Share, [Al-Rajhi]  Country of Incorporation, Al Rajhi Business Activity , Al Rajhi Brokerage Alternative, Ticker, Nation Code, ISIN, Name, Nation, Sector, Currency, Year, Period, Al-Rajhi, [Al-Rajhi] Debt Ratio, [Al-Rajhi] Financial Status, [Al-Rajhi] Non Permissible Income Ratio, [Al-Rajhi] NPIN Status, [Al-Rajhi]  Preference Share, [Al-Rajhi] Country of Incorporation, Al Rajhi Business Activity, Al Rajhi Brokerage Alternative, [Al-Rajhi] Purification (Hyb.)</v>
      </c>
    </row>
    <row r="7" spans="1:9" ht="23">
      <c r="A7" s="108" t="s">
        <v>17</v>
      </c>
      <c r="B7" s="106" t="str">
        <f>IF(ISNA(VLOOKUP(A7,Service!B:B,1,0)),"No","Yes")</f>
        <v>No</v>
      </c>
      <c r="C7" s="106" t="s">
        <v>313</v>
      </c>
      <c r="D7" s="139" t="s">
        <v>468</v>
      </c>
      <c r="E7" s="294" t="str" cm="1">
        <f t="array" ref="E7">_xlfn.TEXTJOIN(", ", TRUE, _xlfn.UNIQUE(_xlfn._xlws.FILTER('Shariah DataFeed'!E:E, 'Shariah DataFeed'!A:A=A7)))</f>
        <v>USA, France, Germany, United Kingdom, Switzerland, GCC, Japan, and Hong Kong</v>
      </c>
      <c r="F7" s="296" t="str" cm="1">
        <f t="array" ref="F7">_xlfn.TEXTJOIN(", ", TRUE, _xlfn.UNIQUE(_xlfn._xlws.FILTER('Shariah DataFeed'!F:F, 'Shariah DataFeed'!A:A=A7)))</f>
        <v>~12,900</v>
      </c>
      <c r="G7" s="107" t="str" cm="1">
        <f t="array" ref="G7">_xlfn.TEXTJOIN(", ", TRUE, _xlfn.UNIQUE(_xlfn._xlws.FILTER('Shariah DataFeed'!G:G, 'Shariah DataFeed'!A:A=A7)))</f>
        <v>Quarterly</v>
      </c>
      <c r="H7" s="106" t="str" cm="1">
        <f t="array" ref="H7">_xlfn.TEXTJOIN(", ", TRUE, _xlfn.UNIQUE(_xlfn._xlws.FILTER('Shariah DataFeed'!B:B, 'Shariah DataFeed'!A:A=A7)))</f>
        <v>Factset</v>
      </c>
      <c r="I7" s="295" t="str" cm="1">
        <f t="array" ref="I7">_xlfn.TEXTJOIN(", ", TRUE, _xlfn.UNIQUE(_xlfn._xlws.FILTER('Shariah DataFeed'!D:D, 'Shariah DataFeed'!A:A=A7)))</f>
        <v>Name, Ticker, Exchanges Code, AAOIFI</v>
      </c>
    </row>
    <row r="8" spans="1:9" ht="125">
      <c r="A8" s="108" t="s">
        <v>26</v>
      </c>
      <c r="B8" s="106" t="str">
        <f>IF(ISNA(VLOOKUP(A8,Service!B:B,1,0)),"No","Yes")</f>
        <v>Yes</v>
      </c>
      <c r="C8" s="106" t="s">
        <v>313</v>
      </c>
      <c r="D8" s="110" t="s">
        <v>467</v>
      </c>
      <c r="E8" s="294" t="str" cm="1">
        <f t="array" ref="E8">_xlfn.TEXTJOIN(", ", TRUE, _xlfn.UNIQUE(_xlfn._xlws.FILTER('Shariah DataFeed'!E:E, 'Shariah DataFeed'!A:A=A8)))</f>
        <v>Saudi, GCC, U S OTC+HK EXCHANGES</v>
      </c>
      <c r="F8" s="296" t="str" cm="1">
        <f t="array" ref="F8">_xlfn.TEXTJOIN(", ", TRUE, _xlfn.UNIQUE(_xlfn._xlws.FILTER('Shariah DataFeed'!F:F, 'Shariah DataFeed'!A:A=A8)))</f>
        <v>~9,950</v>
      </c>
      <c r="G8" s="107" t="str" cm="1">
        <f t="array" ref="G8">_xlfn.TEXTJOIN(", ", TRUE, _xlfn.UNIQUE(_xlfn._xlws.FILTER('Shariah DataFeed'!G:G, 'Shariah DataFeed'!A:A=A8)))</f>
        <v>Quarterly, Monthly</v>
      </c>
      <c r="H8" s="106" t="str" cm="1">
        <f t="array" ref="H8">_xlfn.TEXTJOIN(", ", TRUE, _xlfn.UNIQUE(_xlfn._xlws.FILTER('Shariah DataFeed'!B:B, 'Shariah DataFeed'!A:A=A8)))</f>
        <v>Reuters</v>
      </c>
      <c r="I8" s="295" t="str" cm="1">
        <f t="array" ref="I8">_xlfn.TEXTJOIN(", ", TRUE, _xlfn.UNIQUE(_xlfn._xlws.FILTER('Shariah DataFeed'!D:D, 'Shariah DataFeed'!A:A=A8)))</f>
        <v>Name, Nation, Ticker, Name, Nation, ISIN, Ticker, Puridication status, Fiscal Period, Albilad, Albilad Old Methodology, [Albilad] Non-permissible Income, [Albilad] Interest-bearing Debts, [Albilad] Interest-bearing Investments, [Albilad] Purification (Hyb.), [Albilad Old Methodology] Non-permissible Income, [Albilad Old Methodology] Interest-bearing Debts, [Albilad Old Methodology] Interest-bearing Investments, [Albilad Old Methodology] Purification (Hyb.), Currency Code, IR WID, Name, ISIN, Ticker, Albilad BA, Albilad (A/MC) Global</v>
      </c>
    </row>
    <row r="9" spans="1:9" ht="50">
      <c r="A9" s="108" t="s">
        <v>28</v>
      </c>
      <c r="B9" s="106" t="str">
        <f>IF(ISNA(VLOOKUP(A9,Service!B:B,1,0)),"No","Yes")</f>
        <v>Yes</v>
      </c>
      <c r="C9" s="106" t="s">
        <v>313</v>
      </c>
      <c r="D9" s="110" t="s">
        <v>466</v>
      </c>
      <c r="E9" s="294" t="str" cm="1">
        <f t="array" ref="E9">_xlfn.TEXTJOIN(", ", TRUE, _xlfn.UNIQUE(_xlfn._xlws.FILTER('Shariah DataFeed'!E:E, 'Shariah DataFeed'!A:A=A9)))</f>
        <v>Global, SAUDI</v>
      </c>
      <c r="F9" s="296" t="str" cm="1">
        <f t="array" ref="F9">_xlfn.TEXTJOIN(", ", TRUE, _xlfn.UNIQUE(_xlfn._xlws.FILTER('Shariah DataFeed'!F:F, 'Shariah DataFeed'!A:A=A9)))</f>
        <v>~19,000</v>
      </c>
      <c r="G9" s="107" t="str" cm="1">
        <f t="array" ref="G9">_xlfn.TEXTJOIN(", ", TRUE, _xlfn.UNIQUE(_xlfn._xlws.FILTER('Shariah DataFeed'!G:G, 'Shariah DataFeed'!A:A=A9)))</f>
        <v>Monthly</v>
      </c>
      <c r="H9" s="106" t="str" cm="1">
        <f t="array" ref="H9">_xlfn.TEXTJOIN(", ", TRUE, _xlfn.UNIQUE(_xlfn._xlws.FILTER('Shariah DataFeed'!B:B, 'Shariah DataFeed'!A:A=A9)))</f>
        <v>Reuters</v>
      </c>
      <c r="I9" s="295" t="str" cm="1">
        <f t="array" ref="I9">_xlfn.TEXTJOIN(", ", TRUE, _xlfn.UNIQUE(_xlfn._xlws.FILTER('Shariah DataFeed'!D:D, 'Shariah DataFeed'!A:A=A9)))</f>
        <v>Name, Nation, ISIN, Ticker, Ticker, Name, Nation, AAOIFI, [AAOIFI] Interest bearing Debts, [AAOIFI] Interest bearing Investments, [AAOIFI] Non permissible Income</v>
      </c>
    </row>
    <row r="10" spans="1:9" ht="34.5">
      <c r="A10" s="108" t="s">
        <v>33</v>
      </c>
      <c r="B10" s="106" t="str">
        <f>IF(ISNA(VLOOKUP(A10,Service!B:B,1,0)),"No","Yes")</f>
        <v>Yes</v>
      </c>
      <c r="C10" s="106" t="s">
        <v>313</v>
      </c>
      <c r="D10" s="110" t="s">
        <v>460</v>
      </c>
      <c r="E10" s="294" t="str" cm="1">
        <f t="array" ref="E10">_xlfn.TEXTJOIN(", ", TRUE, _xlfn.UNIQUE(_xlfn._xlws.FILTER('Shariah DataFeed'!E:E, 'Shariah DataFeed'!A:A=A10)))</f>
        <v>MENA &amp; US</v>
      </c>
      <c r="F10" s="296" t="str" cm="1">
        <f t="array" ref="F10">_xlfn.TEXTJOIN(", ", TRUE, _xlfn.UNIQUE(_xlfn._xlws.FILTER('Shariah DataFeed'!F:F, 'Shariah DataFeed'!A:A=A10)))</f>
        <v>~5300</v>
      </c>
      <c r="G10" s="107" t="str" cm="1">
        <f t="array" ref="G10">_xlfn.TEXTJOIN(", ", TRUE, _xlfn.UNIQUE(_xlfn._xlws.FILTER('Shariah DataFeed'!G:G, 'Shariah DataFeed'!A:A=A10)))</f>
        <v>Monthly</v>
      </c>
      <c r="H10" s="106" t="str" cm="1">
        <f t="array" ref="H10">_xlfn.TEXTJOIN(", ", TRUE, _xlfn.UNIQUE(_xlfn._xlws.FILTER('Shariah DataFeed'!B:B, 'Shariah DataFeed'!A:A=A10)))</f>
        <v>Reuters</v>
      </c>
      <c r="I10" s="295" t="str" cm="1">
        <f t="array" ref="I10">_xlfn.TEXTJOIN(", ", TRUE, _xlfn.UNIQUE(_xlfn._xlws.FILTER('Shariah DataFeed'!D:D, 'Shariah DataFeed'!A:A=A10)))</f>
        <v>ISIN, Ticker, Name, Exchanges, AlJazeera RB1, AlJazeera RB2</v>
      </c>
    </row>
    <row r="11" spans="1:9" ht="23">
      <c r="A11" s="111" t="s">
        <v>20</v>
      </c>
      <c r="B11" s="106" t="str">
        <f>IF(ISNA(VLOOKUP(A11,Service!B:B,1,0)),"No","Yes")</f>
        <v>No</v>
      </c>
      <c r="C11" s="106" t="s">
        <v>313</v>
      </c>
      <c r="D11" s="107" t="s">
        <v>437</v>
      </c>
      <c r="E11" s="294" t="str" cm="1">
        <f t="array" ref="E11">_xlfn.TEXTJOIN(", ", TRUE, _xlfn.UNIQUE(_xlfn._xlws.FILTER('Shariah DataFeed'!E:E, 'Shariah DataFeed'!A:A=A11)))</f>
        <v>SAUDI,GCC</v>
      </c>
      <c r="F11" s="296" t="str" cm="1">
        <f t="array" ref="F11">_xlfn.TEXTJOIN(", ", TRUE, _xlfn.UNIQUE(_xlfn._xlws.FILTER('Shariah DataFeed'!F:F, 'Shariah DataFeed'!A:A=A11)))</f>
        <v>~570</v>
      </c>
      <c r="G11" s="107" t="str" cm="1">
        <f t="array" ref="G11">_xlfn.TEXTJOIN(", ", TRUE, _xlfn.UNIQUE(_xlfn._xlws.FILTER('Shariah DataFeed'!G:G, 'Shariah DataFeed'!A:A=A11)))</f>
        <v>Quarterly</v>
      </c>
      <c r="H11" s="106" t="str" cm="1">
        <f t="array" ref="H11">_xlfn.TEXTJOIN(", ", TRUE, _xlfn.UNIQUE(_xlfn._xlws.FILTER('Shariah DataFeed'!B:B, 'Shariah DataFeed'!A:A=A11)))</f>
        <v>Factset</v>
      </c>
      <c r="I11" s="295" t="str" cm="1">
        <f t="array" ref="I11">_xlfn.TEXTJOIN(", ", TRUE, _xlfn.UNIQUE(_xlfn._xlws.FILTER('Shariah DataFeed'!D:D, 'Shariah DataFeed'!A:A=A11)))</f>
        <v>Name, ISIN, Ticker</v>
      </c>
    </row>
    <row r="12" spans="1:9" ht="50">
      <c r="A12" s="108" t="s">
        <v>21</v>
      </c>
      <c r="B12" s="106" t="str">
        <f>IF(ISNA(VLOOKUP(A12,Service!B:B,1,0)),"No","Yes")</f>
        <v>No</v>
      </c>
      <c r="C12" s="106" t="s">
        <v>313</v>
      </c>
      <c r="D12" s="110" t="s">
        <v>466</v>
      </c>
      <c r="E12" s="294" t="str" cm="1">
        <f t="array" ref="E12">_xlfn.TEXTJOIN(", ", TRUE, _xlfn.UNIQUE(_xlfn._xlws.FILTER('Shariah DataFeed'!E:E, 'Shariah DataFeed'!A:A=A12)))</f>
        <v>GCC</v>
      </c>
      <c r="F12" s="296" t="str" cm="1">
        <f t="array" ref="F12">_xlfn.TEXTJOIN(", ", TRUE, _xlfn.UNIQUE(_xlfn._xlws.FILTER('Shariah DataFeed'!F:F, 'Shariah DataFeed'!A:A=A12)))</f>
        <v>~740</v>
      </c>
      <c r="G12" s="107" t="str" cm="1">
        <f t="array" ref="G12">_xlfn.TEXTJOIN(", ", TRUE, _xlfn.UNIQUE(_xlfn._xlws.FILTER('Shariah DataFeed'!G:G, 'Shariah DataFeed'!A:A=A12)))</f>
        <v>Quarterly</v>
      </c>
      <c r="H12" s="106" t="str" cm="1">
        <f t="array" ref="H12">_xlfn.TEXTJOIN(", ", TRUE, _xlfn.UNIQUE(_xlfn._xlws.FILTER('Shariah DataFeed'!B:B, 'Shariah DataFeed'!A:A=A12)))</f>
        <v>Factset</v>
      </c>
      <c r="I12" s="295" t="str" cm="1">
        <f t="array" ref="I12">_xlfn.TEXTJOIN(", ", TRUE, _xlfn.UNIQUE(_xlfn._xlws.FILTER('Shariah DataFeed'!D:D, 'Shariah DataFeed'!A:A=A12)))</f>
        <v>Ticker, Nation, Overall Compliance, Name, Sector, ISIN, [Al Rayan] Debt Ratio, [Al Rayan] Interest-bearing Investments Ratio, [Al Rayan] Purification Factor, [Al Rayan] Sector Status, [Al Rayan] Financials Status</v>
      </c>
    </row>
    <row r="13" spans="1:9" ht="409.5">
      <c r="A13" s="108" t="s">
        <v>35</v>
      </c>
      <c r="B13" s="106" t="str">
        <f>IF(ISNA(VLOOKUP(A13,Service!B:B,1,0)),"No","Yes")</f>
        <v>Yes</v>
      </c>
      <c r="C13" s="106" t="s">
        <v>313</v>
      </c>
      <c r="D13" s="122" t="s">
        <v>465</v>
      </c>
      <c r="E13" s="294" t="str" cm="1">
        <f t="array" ref="E13">_xlfn.TEXTJOIN(", ", TRUE, _xlfn.UNIQUE(_xlfn._xlws.FILTER('Shariah DataFeed'!E:E, 'Shariah DataFeed'!A:A=A13)))</f>
        <v>Global</v>
      </c>
      <c r="F13" s="296" t="str" cm="1">
        <f t="array" ref="F13">_xlfn.TEXTJOIN(", ", TRUE, _xlfn.UNIQUE(_xlfn._xlws.FILTER('Shariah DataFeed'!F:F, 'Shariah DataFeed'!A:A=A13)))</f>
        <v>~36,000</v>
      </c>
      <c r="G13" s="107" t="str" cm="1">
        <f t="array" ref="G13">_xlfn.TEXTJOIN(", ", TRUE, _xlfn.UNIQUE(_xlfn._xlws.FILTER('Shariah DataFeed'!G:G, 'Shariah DataFeed'!A:A=A13)))</f>
        <v>Montlhy</v>
      </c>
      <c r="H13" s="106" t="str" cm="1">
        <f t="array" ref="H13">_xlfn.TEXTJOIN(", ", TRUE, _xlfn.UNIQUE(_xlfn._xlws.FILTER('Shariah DataFeed'!B:B, 'Shariah DataFeed'!A:A=A13)))</f>
        <v>Reuters</v>
      </c>
      <c r="I13" s="295" t="str" cm="1">
        <f t="array" ref="I13">_xlfn.TEXTJOIN(", ", TRUE, _xlfn.UNIQUE(_xlfn._xlws.FILTER('Shariah DataFeed'!D:D, 'Shariah DataFeed'!A:A=A13)))</f>
        <v>ISIN, SEDOL, Ticker, FIGI, Nation, Name, AAOIFI, Cash and Cash Equivalents - Total (in USD), Assets - Total (in USD), Receivables - Total (in USD), [AAOIFI] Interest bearing Investments, Cash and Short Term Inv. - Conv. (in USD), Cash and Short Term Inv. - Total (in USD)
, Long Term Inv. - Conv. (in USD)
, Long Term Inv. - Total (in USD)
, Note Receivable - Long Term (in USD)
, Notes Receivable - Short Term (in USD)
, Trailing 12 Months Market Cap (Daily) (in USD)
, [AAOIFI] Interest bearing Debts, Debt - Conv. (in USD)
, Debt - Total (in USD)
, [AAOIFI] Non permissible Income, [AAOIFI] Preference Share, Dow Jones Islamic based, [Dow Jones Islamic-based] Non permissible Income, [Dow Jones Islamic-based] Interest bearing Investments, [Dow Jones Islamic-based] Interest bearing Debts, [Dow Jones Islamic-based] Liquidity, FTSE Shariah based, [FTSE Shariah-based] Non permissible Income, [FTSE Shariah-based] Interest bearing Investments, [FTSE Shariah-based] Interest bearing Debts, [FTSE Shariah-based] Liquidity, Ideal Ratings, [IdealRatings] NPIN Ratio, [IdealRatings] Interest Bearing Investments Ratio, [IdealRatings] Debt Ratio, [IdealRatings] Screening 3 , MSCI Islamic based, [MSCI Islamic-based] Non permissible Income, [MSCI Islamic-based] Interest bearing Investments, [MSCI Islamic-based] Interest bearing Debts, [MSCI Islamic-based] Liquidity, FTSE Russell Ideal Ratings, [FTSE Russell Ideal Ratings]  Non permissible Income, [FTSE Russell Ideal Ratings]  Interest bearing Ratio, [FTSE Russell Ideal Ratings]  Debt Ratio, [FTSE Russell Ideal Ratings]  Israel, [FTSE Russell Ideal Ratings]  Issue Type, [FTSE Russell Ideal Ratings]  Preference Share, S P Shariah based, [S&amp;P Shariah-based] NPIN Global, [S&amp;P Shariah-based] NPIN GCC, [S&amp;P Shariah-based] Media GCC, [S&amp;P Shariah-based] Interest bearing Investments, [S&amp;P Shariah-based] Interest bearing Debts, [S&amp;P Shariah-based] Liquidity, Malaysia SC, [Malaysia SC] Interest bearing and Non compliant Operations, [Malaysia SC] Investment Financial Services and Real Estate Operations, [Malaysia SC] Interest bearing and Non compliant Operations PBT, [Malaysia SC] Investment Financial services and Real Estate Operations PBT, [Malaysia SC] Interest bearing Debts, [Malaysia SC] Interest bearing Investments, [Malaysia SC]   Preference/Trust Share, Nation Code, Market Cap (in USD), Free Float Shares, Total Common Shares, Sector</v>
      </c>
    </row>
    <row r="14" spans="1:9" ht="46">
      <c r="A14" s="108" t="s">
        <v>36</v>
      </c>
      <c r="B14" s="106" t="str">
        <f>IF(ISNA(VLOOKUP(A14,Service!B:B,1,0)),"No","Yes")</f>
        <v>Yes</v>
      </c>
      <c r="C14" s="106" t="s">
        <v>313</v>
      </c>
      <c r="D14" s="110" t="s">
        <v>464</v>
      </c>
      <c r="E14" s="294" t="str" cm="1">
        <f t="array" ref="E14">_xlfn.TEXTJOIN(", ", TRUE, _xlfn.UNIQUE(_xlfn._xlws.FILTER('Shariah DataFeed'!E:E, 'Shariah DataFeed'!A:A=A14)))</f>
        <v>Global</v>
      </c>
      <c r="F14" s="296" t="str" cm="1">
        <f t="array" ref="F14">_xlfn.TEXTJOIN(", ", TRUE, _xlfn.UNIQUE(_xlfn._xlws.FILTER('Shariah DataFeed'!F:F, 'Shariah DataFeed'!A:A=A14)))</f>
        <v>~18,000</v>
      </c>
      <c r="G14" s="107" t="str" cm="1">
        <f t="array" ref="G14">_xlfn.TEXTJOIN(", ", TRUE, _xlfn.UNIQUE(_xlfn._xlws.FILTER('Shariah DataFeed'!G:G, 'Shariah DataFeed'!A:A=A14)))</f>
        <v>Montlhy</v>
      </c>
      <c r="H14" s="106" t="str" cm="1">
        <f t="array" ref="H14">_xlfn.TEXTJOIN(", ", TRUE, _xlfn.UNIQUE(_xlfn._xlws.FILTER('Shariah DataFeed'!B:B, 'Shariah DataFeed'!A:A=A14)))</f>
        <v>Reuters</v>
      </c>
      <c r="I14" s="295" t="str" cm="1">
        <f t="array" ref="I14">_xlfn.TEXTJOIN(", ", TRUE, _xlfn.UNIQUE(_xlfn._xlws.FILTER('Shariah DataFeed'!D:D, 'Shariah DataFeed'!A:A=A14)))</f>
        <v>Name, ISIN, Ticker, SEDOL, Nation</v>
      </c>
    </row>
    <row r="15" spans="1:9" ht="23">
      <c r="A15" s="108" t="s">
        <v>22</v>
      </c>
      <c r="B15" s="106" t="str">
        <f>IF(ISNA(VLOOKUP(A15,Service!B:B,1,0)),"No","Yes")</f>
        <v>No</v>
      </c>
      <c r="C15" s="106" t="s">
        <v>313</v>
      </c>
      <c r="D15" s="110" t="s">
        <v>437</v>
      </c>
      <c r="E15" s="294" t="str" cm="1">
        <f t="array" ref="E15">_xlfn.TEXTJOIN(", ", TRUE, _xlfn.UNIQUE(_xlfn._xlws.FILTER('Shariah DataFeed'!E:E, 'Shariah DataFeed'!A:A=A15)))</f>
        <v>Emerging markets</v>
      </c>
      <c r="F15" s="296" t="str" cm="1">
        <f t="array" ref="F15">_xlfn.TEXTJOIN(", ", TRUE, _xlfn.UNIQUE(_xlfn._xlws.FILTER('Shariah DataFeed'!F:F, 'Shariah DataFeed'!A:A=A15)))</f>
        <v>~8000</v>
      </c>
      <c r="G15" s="107" t="str" cm="1">
        <f t="array" ref="G15">_xlfn.TEXTJOIN(", ", TRUE, _xlfn.UNIQUE(_xlfn._xlws.FILTER('Shariah DataFeed'!G:G, 'Shariah DataFeed'!A:A=A15)))</f>
        <v>Quarterly</v>
      </c>
      <c r="H15" s="106" t="str" cm="1">
        <f t="array" ref="H15">_xlfn.TEXTJOIN(", ", TRUE, _xlfn.UNIQUE(_xlfn._xlws.FILTER('Shariah DataFeed'!B:B, 'Shariah DataFeed'!A:A=A15)))</f>
        <v>Factset</v>
      </c>
      <c r="I15" s="295" t="str" cm="1">
        <f t="array" ref="I15">_xlfn.TEXTJOIN(", ", TRUE, _xlfn.UNIQUE(_xlfn._xlws.FILTER('Shariah DataFeed'!D:D, 'Shariah DataFeed'!A:A=A15)))</f>
        <v>Name, ISIN, Ticker</v>
      </c>
    </row>
    <row r="16" spans="1:9" ht="23">
      <c r="A16" s="108" t="s">
        <v>37</v>
      </c>
      <c r="B16" s="106" t="str">
        <f>IF(ISNA(VLOOKUP(A16,Service!B:B,1,0)),"No","Yes")</f>
        <v>Yes</v>
      </c>
      <c r="C16" s="106" t="s">
        <v>313</v>
      </c>
      <c r="D16" s="110" t="s">
        <v>437</v>
      </c>
      <c r="E16" s="294" t="str" cm="1">
        <f t="array" ref="E16">_xlfn.TEXTJOIN(", ", TRUE, _xlfn.UNIQUE(_xlfn._xlws.FILTER('Shariah DataFeed'!E:E, 'Shariah DataFeed'!A:A=A16)))</f>
        <v>Mena</v>
      </c>
      <c r="F16" s="296" t="str" cm="1">
        <f t="array" ref="F16">_xlfn.TEXTJOIN(", ", TRUE, _xlfn.UNIQUE(_xlfn._xlws.FILTER('Shariah DataFeed'!F:F, 'Shariah DataFeed'!A:A=A16)))</f>
        <v>~600</v>
      </c>
      <c r="G16" s="107" t="str" cm="1">
        <f t="array" ref="G16">_xlfn.TEXTJOIN(", ", TRUE, _xlfn.UNIQUE(_xlfn._xlws.FILTER('Shariah DataFeed'!G:G, 'Shariah DataFeed'!A:A=A16)))</f>
        <v>Monthly</v>
      </c>
      <c r="H16" s="106" t="str" cm="1">
        <f t="array" ref="H16">_xlfn.TEXTJOIN(", ", TRUE, _xlfn.UNIQUE(_xlfn._xlws.FILTER('Shariah DataFeed'!B:B, 'Shariah DataFeed'!A:A=A16)))</f>
        <v>Reuters</v>
      </c>
      <c r="I16" s="295" t="str" cm="1">
        <f t="array" ref="I16">_xlfn.TEXTJOIN(", ", TRUE, _xlfn.UNIQUE(_xlfn._xlws.FILTER('Shariah DataFeed'!D:D, 'Shariah DataFeed'!A:A=A16)))</f>
        <v>Name, ISIN, Ticker</v>
      </c>
    </row>
    <row r="17" spans="1:9" ht="46">
      <c r="A17" s="108" t="s">
        <v>185</v>
      </c>
      <c r="B17" s="106" t="str">
        <f>IF(ISNA(VLOOKUP(A17,Service!B:B,1,0)),"No","Yes")</f>
        <v>No</v>
      </c>
      <c r="C17" s="106" t="s">
        <v>313</v>
      </c>
      <c r="D17" s="110" t="s">
        <v>454</v>
      </c>
      <c r="E17" s="294" t="str" cm="1">
        <f t="array" ref="E17">_xlfn.TEXTJOIN(", ", TRUE, _xlfn.UNIQUE(_xlfn._xlws.FILTER('Shariah DataFeed'!E:E, 'Shariah DataFeed'!A:A=A17)))</f>
        <v>Developed Markets</v>
      </c>
      <c r="F17" s="296" t="str" cm="1">
        <f t="array" ref="F17">_xlfn.TEXTJOIN(", ", TRUE, _xlfn.UNIQUE(_xlfn._xlws.FILTER('Shariah DataFeed'!F:F, 'Shariah DataFeed'!A:A=A17)))</f>
        <v>~20,000</v>
      </c>
      <c r="G17" s="107" t="str" cm="1">
        <f t="array" ref="G17">_xlfn.TEXTJOIN(", ", TRUE, _xlfn.UNIQUE(_xlfn._xlws.FILTER('Shariah DataFeed'!G:G, 'Shariah DataFeed'!A:A=A17)))</f>
        <v>Quarterly</v>
      </c>
      <c r="H17" s="106" t="str" cm="1">
        <f t="array" ref="H17">_xlfn.TEXTJOIN(", ", TRUE, _xlfn.UNIQUE(_xlfn._xlws.FILTER('Shariah DataFeed'!B:B, 'Shariah DataFeed'!A:A=A17)))</f>
        <v>Factset</v>
      </c>
      <c r="I17" s="295" t="str" cm="1">
        <f t="array" ref="I17">_xlfn.TEXTJOIN(", ", TRUE, _xlfn.UNIQUE(_xlfn._xlws.FILTER('Shariah DataFeed'!D:D, 'Shariah DataFeed'!A:A=A17)))</f>
        <v>IR WID, Name, ISIN, Ticker, SEDOL, Country, Compliance, Pork, Alcohol, Tobacco, Gambling, Adult Entertainment</v>
      </c>
    </row>
    <row r="18" spans="1:9" ht="25">
      <c r="A18" s="108" t="s">
        <v>4</v>
      </c>
      <c r="B18" s="106" t="str">
        <f>IF(ISNA(VLOOKUP(A18,Service!B:B,1,0)),"No","Yes")</f>
        <v>No</v>
      </c>
      <c r="C18" s="106" t="s">
        <v>313</v>
      </c>
      <c r="D18" s="110" t="s">
        <v>443</v>
      </c>
      <c r="E18" s="294" t="str" cm="1">
        <f t="array" ref="E18">_xlfn.TEXTJOIN(", ", TRUE, _xlfn.UNIQUE(_xlfn._xlws.FILTER('Shariah DataFeed'!E:E, 'Shariah DataFeed'!A:A=A18)))</f>
        <v>Emerging markets, Saudi</v>
      </c>
      <c r="F18" s="296" t="str" cm="1">
        <f t="array" ref="F18">_xlfn.TEXTJOIN(", ", TRUE, _xlfn.UNIQUE(_xlfn._xlws.FILTER('Shariah DataFeed'!F:F, 'Shariah DataFeed'!A:A=A18)))</f>
        <v>~20,000</v>
      </c>
      <c r="G18" s="107" t="str" cm="1">
        <f t="array" ref="G18">_xlfn.TEXTJOIN(", ", TRUE, _xlfn.UNIQUE(_xlfn._xlws.FILTER('Shariah DataFeed'!G:G, 'Shariah DataFeed'!A:A=A18)))</f>
        <v>Quarterly</v>
      </c>
      <c r="H18" s="106" t="str" cm="1">
        <f t="array" ref="H18">_xlfn.TEXTJOIN(", ", TRUE, _xlfn.UNIQUE(_xlfn._xlws.FILTER('Shariah DataFeed'!B:B, 'Shariah DataFeed'!A:A=A18)))</f>
        <v>Factset</v>
      </c>
      <c r="I18" s="295" t="str" cm="1">
        <f t="array" ref="I18">_xlfn.TEXTJOIN(", ", TRUE, _xlfn.UNIQUE(_xlfn._xlws.FILTER('Shariah DataFeed'!D:D, 'Shariah DataFeed'!A:A=A18)))</f>
        <v>Name, ISIN, SEDOL, Jadwa (Ashmore), Name, ISIN, SEDOL, Ticker</v>
      </c>
    </row>
    <row r="19" spans="1:9" ht="23">
      <c r="A19" s="108" t="s">
        <v>8</v>
      </c>
      <c r="B19" s="106" t="str">
        <f>IF(ISNA(VLOOKUP(A19,Service!B:B,1,0)),"No","Yes")</f>
        <v>No</v>
      </c>
      <c r="C19" s="106" t="s">
        <v>313</v>
      </c>
      <c r="D19" s="110" t="s">
        <v>443</v>
      </c>
      <c r="E19" s="294" t="str" cm="1">
        <f t="array" ref="E19">_xlfn.TEXTJOIN(", ", TRUE, _xlfn.UNIQUE(_xlfn._xlws.FILTER('Shariah DataFeed'!E:E, 'Shariah DataFeed'!A:A=A19)))</f>
        <v>Global-ex reits</v>
      </c>
      <c r="F19" s="296" t="str" cm="1">
        <f t="array" ref="F19">_xlfn.TEXTJOIN(", ", TRUE, _xlfn.UNIQUE(_xlfn._xlws.FILTER('Shariah DataFeed'!F:F, 'Shariah DataFeed'!A:A=A19)))</f>
        <v>~28,000</v>
      </c>
      <c r="G19" s="107" t="str" cm="1">
        <f t="array" ref="G19">_xlfn.TEXTJOIN(", ", TRUE, _xlfn.UNIQUE(_xlfn._xlws.FILTER('Shariah DataFeed'!G:G, 'Shariah DataFeed'!A:A=A19)))</f>
        <v>Quarterly</v>
      </c>
      <c r="H19" s="106" t="str" cm="1">
        <f t="array" ref="H19">_xlfn.TEXTJOIN(", ", TRUE, _xlfn.UNIQUE(_xlfn._xlws.FILTER('Shariah DataFeed'!B:B, 'Shariah DataFeed'!A:A=A19)))</f>
        <v>Factset</v>
      </c>
      <c r="I19" s="295" t="str" cm="1">
        <f t="array" ref="I19">_xlfn.TEXTJOIN(", ", TRUE, _xlfn.UNIQUE(_xlfn._xlws.FILTER('Shariah DataFeed'!D:D, 'Shariah DataFeed'!A:A=A19)))</f>
        <v>Name, ISIN, SEDOL, AAOIFI</v>
      </c>
    </row>
    <row r="20" spans="1:9" ht="57.5">
      <c r="A20" s="108" t="s">
        <v>47</v>
      </c>
      <c r="B20" s="106" t="str">
        <f>IF(ISNA(VLOOKUP(A20,Service!B:B,1,0)),"No","Yes")</f>
        <v>Yes</v>
      </c>
      <c r="C20" s="106" t="s">
        <v>313</v>
      </c>
      <c r="D20" s="110" t="s">
        <v>463</v>
      </c>
      <c r="E20" s="294" t="str" cm="1">
        <f t="array" ref="E20">_xlfn.TEXTJOIN(", ", TRUE, _xlfn.UNIQUE(_xlfn._xlws.FILTER('Shariah DataFeed'!E:E, 'Shariah DataFeed'!A:A=A20)))</f>
        <v>Global</v>
      </c>
      <c r="F20" s="296" t="str" cm="1">
        <f t="array" ref="F20">_xlfn.TEXTJOIN(", ", TRUE, _xlfn.UNIQUE(_xlfn._xlws.FILTER('Shariah DataFeed'!F:F, 'Shariah DataFeed'!A:A=A20)))</f>
        <v>~10,000</v>
      </c>
      <c r="G20" s="107" t="str" cm="1">
        <f t="array" ref="G20">_xlfn.TEXTJOIN(", ", TRUE, _xlfn.UNIQUE(_xlfn._xlws.FILTER('Shariah DataFeed'!G:G, 'Shariah DataFeed'!A:A=A20)))</f>
        <v>Quarterly</v>
      </c>
      <c r="H20" s="106" t="str" cm="1">
        <f t="array" ref="H20">_xlfn.TEXTJOIN(", ", TRUE, _xlfn.UNIQUE(_xlfn._xlws.FILTER('Shariah DataFeed'!B:B, 'Shariah DataFeed'!A:A=A20)))</f>
        <v>Reuters</v>
      </c>
      <c r="I20" s="295" t="str" cm="1">
        <f t="array" ref="I20">_xlfn.TEXTJOIN(", ", TRUE, _xlfn.UNIQUE(_xlfn._xlws.FILTER('Shariah DataFeed'!D:D, 'Shariah DataFeed'!A:A=A20)))</f>
        <v>IR WID, ISIN, SEDOL, CUSIP, Ticker, Nation, Name, AAOIFI, Dow Jones Islamic based, FTSE Shariah based, Ideal Ratings, MSCI Islamic based, FTSE Russell Ideal Ratings, S P Shariah based</v>
      </c>
    </row>
    <row r="21" spans="1:9" ht="23">
      <c r="A21" s="108" t="s">
        <v>34</v>
      </c>
      <c r="B21" s="106" t="str">
        <f>IF(ISNA(VLOOKUP(A21,Service!B:B,1,0)),"No","Yes")</f>
        <v>Yes</v>
      </c>
      <c r="C21" s="106" t="s">
        <v>313</v>
      </c>
      <c r="D21" s="110" t="s">
        <v>443</v>
      </c>
      <c r="E21" s="294" t="str" cm="1">
        <f t="array" ref="E21">_xlfn.TEXTJOIN(", ", TRUE, _xlfn.UNIQUE(_xlfn._xlws.FILTER('Shariah DataFeed'!E:E, 'Shariah DataFeed'!A:A=A21)))</f>
        <v>Global</v>
      </c>
      <c r="F21" s="296" t="str" cm="1">
        <f t="array" ref="F21">_xlfn.TEXTJOIN(", ", TRUE, _xlfn.UNIQUE(_xlfn._xlws.FILTER('Shariah DataFeed'!F:F, 'Shariah DataFeed'!A:A=A21)))</f>
        <v>~37,000</v>
      </c>
      <c r="G21" s="107" t="str" cm="1">
        <f t="array" ref="G21">_xlfn.TEXTJOIN(", ", TRUE, _xlfn.UNIQUE(_xlfn._xlws.FILTER('Shariah DataFeed'!G:G, 'Shariah DataFeed'!A:A=A21)))</f>
        <v>Monthly</v>
      </c>
      <c r="H21" s="106" t="str" cm="1">
        <f t="array" ref="H21">_xlfn.TEXTJOIN(", ", TRUE, _xlfn.UNIQUE(_xlfn._xlws.FILTER('Shariah DataFeed'!B:B, 'Shariah DataFeed'!A:A=A21)))</f>
        <v>Reuters</v>
      </c>
      <c r="I21" s="295" t="str" cm="1">
        <f t="array" ref="I21">_xlfn.TEXTJOIN(", ", TRUE, _xlfn.UNIQUE(_xlfn._xlws.FILTER('Shariah DataFeed'!D:D, 'Shariah DataFeed'!A:A=A21)))</f>
        <v>SEDOL, ISIN, Name, IdealRatings</v>
      </c>
    </row>
    <row r="22" spans="1:9" ht="34.5">
      <c r="A22" s="125" t="s">
        <v>135</v>
      </c>
      <c r="B22" s="106" t="str">
        <f>IF(ISNA(VLOOKUP(A22,Service!B:B,1,0)),"No","Yes")</f>
        <v>No</v>
      </c>
      <c r="C22" s="106" t="s">
        <v>313</v>
      </c>
      <c r="D22" s="110" t="s">
        <v>462</v>
      </c>
      <c r="E22" s="294" t="str" cm="1">
        <f t="array" ref="E22">_xlfn.TEXTJOIN(", ", TRUE, _xlfn.UNIQUE(_xlfn._xlws.FILTER('Shariah DataFeed'!E:E, 'Shariah DataFeed'!A:A=A22)))</f>
        <v/>
      </c>
      <c r="F22" s="296" t="str" cm="1">
        <f t="array" ref="F22">_xlfn.TEXTJOIN(", ", TRUE, _xlfn.UNIQUE(_xlfn._xlws.FILTER('Shariah DataFeed'!F:F, 'Shariah DataFeed'!A:A=A22)))</f>
        <v/>
      </c>
      <c r="G22" s="107" t="str" cm="1">
        <f t="array" ref="G22">_xlfn.TEXTJOIN(", ", TRUE, _xlfn.UNIQUE(_xlfn._xlws.FILTER('Shariah DataFeed'!G:G, 'Shariah DataFeed'!A:A=A22)))</f>
        <v/>
      </c>
      <c r="H22" s="106" t="str" cm="1">
        <f t="array" ref="H22">_xlfn.TEXTJOIN(", ", TRUE, _xlfn.UNIQUE(_xlfn._xlws.FILTER('Shariah DataFeed'!B:B, 'Shariah DataFeed'!A:A=A22)))</f>
        <v>Reuters</v>
      </c>
      <c r="I22" s="295" t="str" cm="1">
        <f t="array" ref="I22">_xlfn.TEXTJOIN(", ", TRUE, _xlfn.UNIQUE(_xlfn._xlws.FILTER('Shariah DataFeed'!D:D, 'Shariah DataFeed'!A:A=A22)))</f>
        <v>Name, ISIN, FIGI, Compliance status</v>
      </c>
    </row>
    <row r="23" spans="1:9" ht="12.5">
      <c r="A23" s="108" t="s">
        <v>23</v>
      </c>
      <c r="B23" s="106" t="str">
        <f>IF(ISNA(VLOOKUP(A23,Service!B:B,1,0)),"No","Yes")</f>
        <v>No</v>
      </c>
      <c r="C23" s="106" t="s">
        <v>313</v>
      </c>
      <c r="D23" s="110" t="s">
        <v>461</v>
      </c>
      <c r="E23" s="294" t="str" cm="1">
        <f t="array" ref="E23">_xlfn.TEXTJOIN(", ", TRUE, _xlfn.UNIQUE(_xlfn._xlws.FILTER('Shariah DataFeed'!E:E, 'Shariah DataFeed'!A:A=A23)))</f>
        <v>Saudi</v>
      </c>
      <c r="F23" s="296" t="str" cm="1">
        <f t="array" ref="F23">_xlfn.TEXTJOIN(", ", TRUE, _xlfn.UNIQUE(_xlfn._xlws.FILTER('Shariah DataFeed'!F:F, 'Shariah DataFeed'!A:A=A23)))</f>
        <v>~340</v>
      </c>
      <c r="G23" s="107" t="str" cm="1">
        <f t="array" ref="G23">_xlfn.TEXTJOIN(", ", TRUE, _xlfn.UNIQUE(_xlfn._xlws.FILTER('Shariah DataFeed'!G:G, 'Shariah DataFeed'!A:A=A23)))</f>
        <v>Quarterly</v>
      </c>
      <c r="H23" s="106" t="str" cm="1">
        <f t="array" ref="H23">_xlfn.TEXTJOIN(", ", TRUE, _xlfn.UNIQUE(_xlfn._xlws.FILTER('Shariah DataFeed'!B:B, 'Shariah DataFeed'!A:A=A23)))</f>
        <v>Factset</v>
      </c>
      <c r="I23" s="295" t="str" cm="1">
        <f t="array" ref="I23">_xlfn.TEXTJOIN(", ", TRUE, _xlfn.UNIQUE(_xlfn._xlws.FILTER('Shariah DataFeed'!D:D, 'Shariah DataFeed'!A:A=A23)))</f>
        <v>Name, Ticker</v>
      </c>
    </row>
    <row r="24" spans="1:9" ht="34.5">
      <c r="A24" s="125" t="s">
        <v>38</v>
      </c>
      <c r="B24" s="106" t="str">
        <f>IF(ISNA(VLOOKUP(A24,Service!B:B,1,0)),"No","Yes")</f>
        <v>No</v>
      </c>
      <c r="C24" s="106" t="s">
        <v>313</v>
      </c>
      <c r="D24" s="110" t="s">
        <v>460</v>
      </c>
      <c r="E24" s="294" t="str" cm="1">
        <f t="array" ref="E24">_xlfn.TEXTJOIN(", ", TRUE, _xlfn.UNIQUE(_xlfn._xlws.FILTER('Shariah DataFeed'!E:E, 'Shariah DataFeed'!A:A=A24)))</f>
        <v>Global list</v>
      </c>
      <c r="F24" s="296" t="str" cm="1">
        <f t="array" ref="F24">_xlfn.TEXTJOIN(", ", TRUE, _xlfn.UNIQUE(_xlfn._xlws.FILTER('Shariah DataFeed'!F:F, 'Shariah DataFeed'!A:A=A24)))</f>
        <v>~10,000</v>
      </c>
      <c r="G24" s="107" t="str" cm="1">
        <f t="array" ref="G24">_xlfn.TEXTJOIN(", ", TRUE, _xlfn.UNIQUE(_xlfn._xlws.FILTER('Shariah DataFeed'!G:G, 'Shariah DataFeed'!A:A=A24)))</f>
        <v>Quarterly</v>
      </c>
      <c r="H24" s="106" t="str" cm="1">
        <f t="array" ref="H24">_xlfn.TEXTJOIN(", ", TRUE, _xlfn.UNIQUE(_xlfn._xlws.FILTER('Shariah DataFeed'!B:B, 'Shariah DataFeed'!A:A=A24)))</f>
        <v>Factset</v>
      </c>
      <c r="I24" s="295" t="str" cm="1">
        <f t="array" ref="I24">_xlfn.TEXTJOIN(", ", TRUE, _xlfn.UNIQUE(_xlfn._xlws.FILTER('Shariah DataFeed'!D:D, 'Shariah DataFeed'!A:A=A24)))</f>
        <v>Name, ISIN, Ticker, Exchanges, Boubyan Capital</v>
      </c>
    </row>
    <row r="25" spans="1:9" ht="34.5">
      <c r="A25" s="108" t="s">
        <v>5</v>
      </c>
      <c r="B25" s="106" t="str">
        <f>IF(ISNA(VLOOKUP(A25,Service!B:B,1,0)),"No","Yes")</f>
        <v>No</v>
      </c>
      <c r="C25" s="106" t="s">
        <v>313</v>
      </c>
      <c r="D25" s="110" t="s">
        <v>459</v>
      </c>
      <c r="E25" s="294" t="str" cm="1">
        <f t="array" ref="E25">_xlfn.TEXTJOIN(", ", TRUE, _xlfn.UNIQUE(_xlfn._xlws.FILTER('Shariah DataFeed'!E:E, 'Shariah DataFeed'!A:A=A25)))</f>
        <v>REOCs + REITs</v>
      </c>
      <c r="F25" s="296" t="str" cm="1">
        <f t="array" ref="F25">_xlfn.TEXTJOIN(", ", TRUE, _xlfn.UNIQUE(_xlfn._xlws.FILTER('Shariah DataFeed'!F:F, 'Shariah DataFeed'!A:A=A25)))</f>
        <v>~800</v>
      </c>
      <c r="G25" s="107" t="str" cm="1">
        <f t="array" ref="G25">_xlfn.TEXTJOIN(", ", TRUE, _xlfn.UNIQUE(_xlfn._xlws.FILTER('Shariah DataFeed'!G:G, 'Shariah DataFeed'!A:A=A25)))</f>
        <v>Quarterly</v>
      </c>
      <c r="H25" s="106" t="str" cm="1">
        <f t="array" ref="H25">_xlfn.TEXTJOIN(", ", TRUE, _xlfn.UNIQUE(_xlfn._xlws.FILTER('Shariah DataFeed'!B:B, 'Shariah DataFeed'!A:A=A25)))</f>
        <v>Factset</v>
      </c>
      <c r="I25" s="295" t="str" cm="1">
        <f t="array" ref="I25">_xlfn.TEXTJOIN(", ", TRUE, _xlfn.UNIQUE(_xlfn._xlws.FILTER('Shariah DataFeed'!D:D, 'Shariah DataFeed'!A:A=A25)))</f>
        <v>Name, ISIN, Ticker, SEDOL, Compliance Status</v>
      </c>
    </row>
    <row r="26" spans="1:9" ht="23">
      <c r="A26" s="108" t="s">
        <v>9</v>
      </c>
      <c r="B26" s="106" t="str">
        <f>IF(ISNA(VLOOKUP(A26,Service!B:B,1,0)),"No","Yes")</f>
        <v>No</v>
      </c>
      <c r="C26" s="106" t="s">
        <v>313</v>
      </c>
      <c r="D26" s="110" t="s">
        <v>458</v>
      </c>
      <c r="E26" s="294" t="str" cm="1">
        <f t="array" ref="E26">_xlfn.TEXTJOIN(", ", TRUE, _xlfn.UNIQUE(_xlfn._xlws.FILTER('Shariah DataFeed'!E:E, 'Shariah DataFeed'!A:A=A26)))</f>
        <v>Global</v>
      </c>
      <c r="F26" s="296" t="str" cm="1">
        <f t="array" ref="F26">_xlfn.TEXTJOIN(", ", TRUE, _xlfn.UNIQUE(_xlfn._xlws.FILTER('Shariah DataFeed'!F:F, 'Shariah DataFeed'!A:A=A26)))</f>
        <v>~300</v>
      </c>
      <c r="G26" s="107" t="str" cm="1">
        <f t="array" ref="G26">_xlfn.TEXTJOIN(", ", TRUE, _xlfn.UNIQUE(_xlfn._xlws.FILTER('Shariah DataFeed'!G:G, 'Shariah DataFeed'!A:A=A26)))</f>
        <v>Quarterly</v>
      </c>
      <c r="H26" s="106" t="str" cm="1">
        <f t="array" ref="H26">_xlfn.TEXTJOIN(", ", TRUE, _xlfn.UNIQUE(_xlfn._xlws.FILTER('Shariah DataFeed'!B:B, 'Shariah DataFeed'!A:A=A26)))</f>
        <v>Factset</v>
      </c>
      <c r="I26" s="295" t="str" cm="1">
        <f t="array" ref="I26">_xlfn.TEXTJOIN(", ", TRUE, _xlfn.UNIQUE(_xlfn._xlws.FILTER('Shariah DataFeed'!D:D, 'Shariah DataFeed'!A:A=A26)))</f>
        <v>Symbol, Name, GICS Sector Name, ISIN, Compliance</v>
      </c>
    </row>
    <row r="27" spans="1:9" ht="27.5" customHeight="1">
      <c r="A27" s="108" t="s">
        <v>48</v>
      </c>
      <c r="B27" s="106" t="str">
        <f>IF(ISNA(VLOOKUP(A27,Service!B:B,1,0)),"No","Yes")</f>
        <v>No</v>
      </c>
      <c r="C27" s="106" t="s">
        <v>313</v>
      </c>
      <c r="D27" s="122" t="s">
        <v>437</v>
      </c>
      <c r="E27" s="294" t="str" cm="1">
        <f t="array" ref="E27">_xlfn.TEXTJOIN(", ", TRUE, _xlfn.UNIQUE(_xlfn._xlws.FILTER('Shariah DataFeed'!E:E, 'Shariah DataFeed'!A:A=A27)))</f>
        <v>Global</v>
      </c>
      <c r="F27" s="296" t="str" cm="1">
        <f t="array" ref="F27">_xlfn.TEXTJOIN(", ", TRUE, _xlfn.UNIQUE(_xlfn._xlws.FILTER('Shariah DataFeed'!F:F, 'Shariah DataFeed'!A:A=A27)))</f>
        <v>~36,000</v>
      </c>
      <c r="G27" s="107" t="str" cm="1">
        <f t="array" ref="G27">_xlfn.TEXTJOIN(", ", TRUE, _xlfn.UNIQUE(_xlfn._xlws.FILTER('Shariah DataFeed'!G:G, 'Shariah DataFeed'!A:A=A27)))</f>
        <v>Quarterly</v>
      </c>
      <c r="H27" s="106" t="str" cm="1">
        <f t="array" ref="H27">_xlfn.TEXTJOIN(", ", TRUE, _xlfn.UNIQUE(_xlfn._xlws.FILTER('Shariah DataFeed'!B:B, 'Shariah DataFeed'!A:A=A27)))</f>
        <v>Reuters</v>
      </c>
      <c r="I27" s="294" t="str" cm="1">
        <f t="array" ref="I27">_xlfn.TEXTJOIN(", ", TRUE, _xlfn.UNIQUE(_xlfn._xlws.FILTER('Shariah DataFeed'!D:D, 'Shariah DataFeed'!A:A=A27)))</f>
        <v>Name, Business Activities, ISIN, Region, Sector, Ticker, IdealRatings ESG - Rating, IdealRatings ESG - Total Score, IdealRatings SRI - Rating, IdealRatings SRI - Total Score, Abides by ISO14001 or EMAS guidelines, Commits to stakeholder involvement, Company's output is recycled, Compare current achievement to its announced targets, Discloses the greenhouse gas emissions., Has a committee to ensure environmental protection, Has a statement of comprehensive environmental policy, Has environmental grievance mechanisms, Has Environmental Management System (EMS) certification, Has not been involved in environmental legal proceedings, Has policy that addresses product/service impact, Has programs and targets to protect biodiversity, Has programs to reduce air emissions, Has programs to reduce hazardous waste generation, Has renewable energy usage targets, Has waste management programs, Integrate sustainability plans in their business activity, Oversees a water strategy or plan, Participates in Carbon Disclosure Project, Plans to reduce emissions from company buildings, Plans to reduce emissions from company transportation vehicles, Products come from responsibly managed forests, Published numerical waste related data, Publishes expense of environmental improvement, Publishes numerical air related data, Publishes numerical hazardous waste related data, Publishes numerical water related data, Reports environmental committee results, Reports oil spills, Reports water recycling/reuse, Uses recycled or recyclable raw material, Addresses issue of political contributions, All members of audit committee have financial background expertise, Chairman is an independent director, Communicates corruption policy to employees, Complies with IFRS or GAAP in financial statements, Conducts anti-corruption audits, Directors have stock ownership, Discloses Accounting policies and financial transparency, Disseminates information regarding details of directorsâ€™ remuneration, Has a formal Corporate Governance policy, Has a policy for insider trading, Has a senior executives' code of ethics, Has a statement of responsible marketing, Has and Audit and Risk Committee to monitor internal/external auditors., Has anti-competitive/antitrust policy, Has anti-corruption policy, Has committee to recommend the nomination/ compensation of BoD, Has external verification of CSR reporting, Has in-house team for responsible investment, Has not been involved in anti competitive legal proceedings, Has not been involved in corruption legal proceedings, Has not been involved in patent infringement legal proceedings, Has procedures for bribery related investigations, Has whistle-blowing procedures, Provides anti-corruption training to employees, Publishes sustainability reports, Roles of Chairman and CEO are separate, The majority of directors are independent, Ties executive compensation to ESG performance, Non Involvement in Burma / Myanmar, Non Involvement in Cuba, Non Involvement in DR Congo, Non Involvement in Iran, Non Involvement in North Korea, Non Involvement in Russia, Non Involvement in South Sudan, Non Involvement in Sudan, Non Involvement in Syria, Non Involvement in Zimbabwe, Abides my country's regulations when testing animals, Allows its workers to join trade unions, Communicates chemical constituents in products, Conducts in-house/third-party inspections of suppliers, Does not allow third party access to personal information, Does not undertake testing of products on animals., Does not use animals in product manufacturing, Employs disabled individuals, Ensures individualâ€™s consent before processing personal data, Features organic foods, Has a fair trade certification, Has a policy not to use child labor, Has a policy not to use forced labor, Has a policy statement on customer data privacy, Has a policy statement on supplier/partner data privacy, Has a senior manager responsible for community programs, Has a statement of compensation policy for employees, Has a supplier Code of Conduct, Has Health and Safety Certifications, Has local community development programs, Has not been involved in customer related legal proceedings, Has not been involved in employee safety &amp; health legal proceedings, Has not been involved in human rights legal proceedings, Has not been involved in supply chain legal proceedings, Has policy/program on the elimination of discrimination, Has product safety and quality assurance initiatives, Has programs and targets to Reduce Health and Safety Incidents, Has programs for affordable housing access, Has programs for education access, Has programs for food access, Has programs for health care access, Has programs to develop medicines for neglected diseases, Has programs to manage access to medicines, Has programs to support increase supplier diversity, Has Quality Management System(QMS) certification, Has social grievance mechanisms, Has women and/or minorities representation (20%) in BOD, Has women and/or minorities representation (20%) in employees, Have a policy for work-life balance, Integrate social sustainability plans in their business activity, Makes charitable donations in excess of Â£50,000, Measures customer satisfaction, Measures employees satisfaction, Monitors implementation of policies on human rights, Performs safety training, Promotes financial services access for disadvantaged people, Provides employee human rights training, Provides medical insurance, Provides number of training hours or employees trained, Provides relevant training to employees, Provides training on supplier code of conduct, Publishes accidents rates, Publishes data about employees volunteering hours, Publishes employees' turnover rates, Reports Inspection on suppliers &amp; violation of Code of Conduct, Reports on human rights policy and performance, Respects current/previous employees privacy, Signatory of UN Global Compact/SA8000/OECD Guidelines, Signatory to the Voluntary Principles on Security and Human Rights, Uses biological-based fertilizers and insecticides, Businesses should support a precautionary approach to environmental challenges, Businesses should support and respect the protection of internationally proclaimed human rights, Businesses should uphold the freedom of association and the effective recognition of the right to collective bargaining, Businesses should work against corruption in all its forms, including extortion and bribery, Encourage the development and diffusion of environmentally friendly technologies, Make sure that they are not complicit in human rights abuses., The effective abolition of child labour, The elimination of all forms of forced and compulsory labour, The elimination of discrimination in respect of employment and occupation, Undertake initiatives to promote greater environmental responsibility, ILO, SDGs, UDHR, UNGC Signatory, Abortion/Contraceptives Medication (MRC), Adult Entertainment (MRC), Alcohol (MRC), Alcohol-Producer (MRC), Alcohol-Retailer (MRC), Alcohol-Supplier (MRC), Defense (MRC), Donation-based Fertility (MRC), Firearms Manufacturing (MRC), Firearms Retail (MRC), Gambling (MRC), Pork (MRC), Stem Cell Research (MRC), Stem Cells Research (Embryonic) (MRC), Tobacco (MRC), Tobacco-Producer (MRC), Tobacco-Retailer (MRC), Tobacco-Supplier (MRC), Abortion/Contraceptives Medication, Adult Entertainment, Alcohol, Alcohol-Producer, Alcohol-Retailer, Alcohol-Supplier, Defense, Donation-based Fertility, Firearms Manufacturing, Firearms Retail, Gambling, Pork, Stem Cell Research, Stem Cells Research (Embryonic), Tobacco, Tobacco-Producer, Tobacco-Retailer, Tobacco-Supplier, Alcohol Distributor, Alcohol Licensor, Animal Cruelty, Animal Testing, Anthracite Coal, Bituminous Coal, Black Coal, Brown Coal, Cannabis, Chemical and Biological Weapons, Cluster Bombs, Coking Coal, For Profit Hospital, Fossil Fuel, GM Drugs, GMO Products, GMO Research, GMO Retail, Hydraulic Fracking, Land-mines , Nuclear Power Generation, Nuclear Weapons, Oil Sands, Renewable Energy, Sub-Bituminous Coal, Thermal Coal, Tobacco Distributor, Tobacco Licensor, Uranium mining, [Fossil Fuel] Financials Status, [Fossil Fuel] NPIN Status, [Fossil Fuel] Purification (Div.), [Fossil Fuel] Purification (Hyb.), [Fossil Fuel] Purification (Inv.), [Fossil Fuel] Ratio NPIN (1), [Fossil Fuel] Total NPIN (1), [IdealRatings ESG] Environment, [IdealRatings ESG] Financials Status, [IdealRatings ESG] Governance, [IdealRatings ESG] NPIN Status, [IdealRatings ESG] Purification (Div.), [IdealRatings ESG] Purification (Hyb.), [IdealRatings ESG] Purification (Inv.), [IdealRatings ESG] Social, [IdealRatings ESG] Total NPIN (1), [IdealRatings ESG] Total NPIN (2), [IdealRatings ESG] Total NPIN (3), [IdealRatings SRI] Business Involvement, [IdealRatings SRI] Environment, [IdealRatings SRI] Financials Status, [IdealRatings SRI] Governance, [IdealRatings SRI] Management Effectiveness (Debt/MC), [IdealRatings SRI] NPIN Status, [IdealRatings SRI] Purification (Div.), [IdealRatings SRI] Purification (Hyb.), [IdealRatings SRI] Purification (Inv.), [IdealRatings SRI] Sin Stock, [IdealRatings SRI] Social, [IdealRatings SRI] Total NPIN (1), [IdealRatings SRI] Total NPIN (2), [IdealRatings SRI] Total NPIN (3), [IdealRatings SRI] Total NPIN (4), [IdealRatings SRI] Total NPIN (5), [UN Global Compact Principles] Financials Status, [UN Global Compact Principles] NPIN Status, [UN Global Compact Principles] Purification (Div.), [UN Global Compact Principles] Purification (Hyb.), [UN Global Compact Principles] Purification (Inv.), [UN Global Compact Principles] Total NPIN (1), [UN Global Compact Principles] UN Principles, Conventional, Fossil Fuel, IdealRatings ESG, IdealRatings SRI, UN Global Compact Principles</v>
      </c>
    </row>
    <row r="28" spans="1:9" ht="50">
      <c r="A28" s="108" t="s">
        <v>226</v>
      </c>
      <c r="B28" s="106" t="str">
        <f>IF(ISNA(VLOOKUP(A28,Service!B:B,1,0)),"No","Yes")</f>
        <v>No</v>
      </c>
      <c r="C28" s="106" t="s">
        <v>313</v>
      </c>
      <c r="D28" s="110" t="s">
        <v>457</v>
      </c>
      <c r="E28" s="294" t="str" cm="1">
        <f t="array" ref="E28">_xlfn.TEXTJOIN(", ", TRUE, _xlfn.UNIQUE(_xlfn._xlws.FILTER('Shariah DataFeed'!E:E, 'Shariah DataFeed'!A:A=A28)))</f>
        <v>Global, Saudi, US</v>
      </c>
      <c r="F28" s="296" t="str" cm="1">
        <f t="array" ref="F28">_xlfn.TEXTJOIN(", ", TRUE, _xlfn.UNIQUE(_xlfn._xlws.FILTER('Shariah DataFeed'!F:F, 'Shariah DataFeed'!A:A=A28)))</f>
        <v>~148, ~300, ~5,300</v>
      </c>
      <c r="G28" s="107" t="str" cm="1">
        <f t="array" ref="G28">_xlfn.TEXTJOIN(", ", TRUE, _xlfn.UNIQUE(_xlfn._xlws.FILTER('Shariah DataFeed'!G:G, 'Shariah DataFeed'!A:A=A28)))</f>
        <v>Quarterly</v>
      </c>
      <c r="H28" s="106" t="str" cm="1">
        <f t="array" ref="H28">_xlfn.TEXTJOIN(", ", TRUE, _xlfn.UNIQUE(_xlfn._xlws.FILTER('Shariah DataFeed'!B:B, 'Shariah DataFeed'!A:A=A28)))</f>
        <v>Factset</v>
      </c>
      <c r="I28" s="295" t="str" cm="1">
        <f t="array" ref="I28">_xlfn.TEXTJOIN(", ", TRUE, _xlfn.UNIQUE(_xlfn._xlws.FILTER('Shariah DataFeed'!D:D, 'Shariah DataFeed'!A:A=A28)))</f>
        <v>Name, ISIN, Compliance Status, Ticker, Sector, Business Activities, Nation, Reporting Period, [Derraya Proposed] Non Permissible Income Ratio, [Derraya Proposed] Debt Ratio, Comments, Name, ISIN, Ticker, Name,ISIN,Compliance Status,Purification</v>
      </c>
    </row>
    <row r="29" spans="1:9" ht="23">
      <c r="A29" s="125" t="s">
        <v>39</v>
      </c>
      <c r="B29" s="106" t="str">
        <f>IF(ISNA(VLOOKUP(A29,Service!B:B,1,0)),"No","Yes")</f>
        <v>No</v>
      </c>
      <c r="C29" s="106" t="s">
        <v>313</v>
      </c>
      <c r="D29" s="110" t="s">
        <v>437</v>
      </c>
      <c r="E29" s="294" t="str" cm="1">
        <f t="array" ref="E29">_xlfn.TEXTJOIN(", ", TRUE, _xlfn.UNIQUE(_xlfn._xlws.FILTER('Shariah DataFeed'!E:E, 'Shariah DataFeed'!A:A=A29)))</f>
        <v>Qatar equities</v>
      </c>
      <c r="F29" s="296" t="str" cm="1">
        <f t="array" ref="F29">_xlfn.TEXTJOIN(", ", TRUE, _xlfn.UNIQUE(_xlfn._xlws.FILTER('Shariah DataFeed'!F:F, 'Shariah DataFeed'!A:A=A29)))</f>
        <v>~50</v>
      </c>
      <c r="G29" s="107" t="str" cm="1">
        <f t="array" ref="G29">_xlfn.TEXTJOIN(", ", TRUE, _xlfn.UNIQUE(_xlfn._xlws.FILTER('Shariah DataFeed'!G:G, 'Shariah DataFeed'!A:A=A29)))</f>
        <v>Quarterly</v>
      </c>
      <c r="H29" s="106" t="str" cm="1">
        <f t="array" ref="H29">_xlfn.TEXTJOIN(", ", TRUE, _xlfn.UNIQUE(_xlfn._xlws.FILTER('Shariah DataFeed'!B:B, 'Shariah DataFeed'!A:A=A29)))</f>
        <v>Factset</v>
      </c>
      <c r="I29" s="295" t="str" cm="1">
        <f t="array" ref="I29">_xlfn.TEXTJOIN(", ", TRUE, _xlfn.UNIQUE(_xlfn._xlws.FILTER('Shariah DataFeed'!D:D, 'Shariah DataFeed'!A:A=A29)))</f>
        <v>Name, ISIN, Ticker, AAOIFI</v>
      </c>
    </row>
    <row r="30" spans="1:9" ht="87.5">
      <c r="A30" s="125" t="s">
        <v>140</v>
      </c>
      <c r="B30" s="106" t="str">
        <f>IF(ISNA(VLOOKUP(A30,Service!B:B,1,0)),"No","Yes")</f>
        <v>No</v>
      </c>
      <c r="C30" s="106" t="s">
        <v>313</v>
      </c>
      <c r="D30" s="122" t="s">
        <v>456</v>
      </c>
      <c r="E30" s="294" t="str" cm="1">
        <f t="array" ref="E30">_xlfn.TEXTJOIN(", ", TRUE, _xlfn.UNIQUE(_xlfn._xlws.FILTER('Shariah DataFeed'!E:E, 'Shariah DataFeed'!A:A=A30)))</f>
        <v>Global</v>
      </c>
      <c r="F30" s="296" t="str" cm="1">
        <f t="array" ref="F30">_xlfn.TEXTJOIN(", ", TRUE, _xlfn.UNIQUE(_xlfn._xlws.FILTER('Shariah DataFeed'!F:F, 'Shariah DataFeed'!A:A=A30)))</f>
        <v>~37,000</v>
      </c>
      <c r="G30" s="107" t="str" cm="1">
        <f t="array" ref="G30">_xlfn.TEXTJOIN(", ", TRUE, _xlfn.UNIQUE(_xlfn._xlws.FILTER('Shariah DataFeed'!G:G, 'Shariah DataFeed'!A:A=A30)))</f>
        <v>Quarterly</v>
      </c>
      <c r="H30" s="106" t="str" cm="1">
        <f t="array" ref="H30">_xlfn.TEXTJOIN(", ", TRUE, _xlfn.UNIQUE(_xlfn._xlws.FILTER('Shariah DataFeed'!B:B, 'Shariah DataFeed'!A:A=A30)))</f>
        <v>Reuters</v>
      </c>
      <c r="I30" s="295" t="str" cm="1">
        <f t="array" ref="I30">_xlfn.TEXTJOIN(", ", TRUE, _xlfn.UNIQUE(_xlfn._xlws.FILTER('Shariah DataFeed'!D:D, 'Shariah DataFeed'!A:A=A30)))</f>
        <v>Date,WID,Ticker,Name,Description,Sector, Business Activities,Country, Economy,FT MSCI Interest bearing Debt, FT MSCI interest bearing investments,FT MSCI Liquidity, FT MSCI NPIN Status, FT MSCI Financial Status, Degree, Has shariah board, Preferrence Share
FTSE Russell IR
IdealRatings REITs</v>
      </c>
    </row>
    <row r="31" spans="1:9" ht="62.5">
      <c r="A31" s="108" t="s">
        <v>228</v>
      </c>
      <c r="B31" s="106" t="str">
        <f>IF(ISNA(VLOOKUP(A31,Service!B:B,1,0)),"No","Yes")</f>
        <v>No</v>
      </c>
      <c r="C31" s="106" t="s">
        <v>313</v>
      </c>
      <c r="D31" s="110" t="s">
        <v>455</v>
      </c>
      <c r="E31" s="294" t="str" cm="1">
        <f t="array" ref="E31">_xlfn.TEXTJOIN(", ", TRUE, _xlfn.UNIQUE(_xlfn._xlws.FILTER('Shariah DataFeed'!E:E, 'Shariah DataFeed'!A:A=A31)))</f>
        <v/>
      </c>
      <c r="F31" s="296" t="str" cm="1">
        <f t="array" ref="F31">_xlfn.TEXTJOIN(", ", TRUE, _xlfn.UNIQUE(_xlfn._xlws.FILTER('Shariah DataFeed'!F:F, 'Shariah DataFeed'!A:A=A31)))</f>
        <v/>
      </c>
      <c r="G31" s="107" t="str" cm="1">
        <f t="array" ref="G31">_xlfn.TEXTJOIN(", ", TRUE, _xlfn.UNIQUE(_xlfn._xlws.FILTER('Shariah DataFeed'!G:G, 'Shariah DataFeed'!A:A=A31)))</f>
        <v/>
      </c>
      <c r="H31" s="106" t="str" cm="1">
        <f t="array" ref="H31">_xlfn.TEXTJOIN(", ", TRUE, _xlfn.UNIQUE(_xlfn._xlws.FILTER('Shariah DataFeed'!B:B, 'Shariah DataFeed'!A:A=A31)))</f>
        <v>Reuters</v>
      </c>
      <c r="I31" s="295" t="str" cm="1">
        <f t="array" ref="I31">_xlfn.TEXTJOIN(", ", TRUE, _xlfn.UNIQUE(_xlfn._xlws.FILTER('Shariah DataFeed'!D:D, 'Shariah DataFeed'!A:A=A31)))</f>
        <v>WID,Cons Code,Name,ISIN,SEDOL, Nation code, FTSE Yasaar Compliance,NPIN status,Financial Status, Debt Ration, Cash Ration, Receivables Ratio
Complinace Status , Pirification Ratio  based on FTSE Russell IR and IR REITS</v>
      </c>
    </row>
    <row r="32" spans="1:9" ht="46">
      <c r="A32" s="108" t="s">
        <v>10</v>
      </c>
      <c r="B32" s="106" t="str">
        <f>IF(ISNA(VLOOKUP(A32,Service!B:B,1,0)),"No","Yes")</f>
        <v>No</v>
      </c>
      <c r="C32" s="106" t="s">
        <v>313</v>
      </c>
      <c r="D32" s="110" t="s">
        <v>454</v>
      </c>
      <c r="E32" s="294" t="str" cm="1">
        <f t="array" ref="E32">_xlfn.TEXTJOIN(", ", TRUE, _xlfn.UNIQUE(_xlfn._xlws.FILTER('Shariah DataFeed'!E:E, 'Shariah DataFeed'!A:A=A32)))</f>
        <v>Global</v>
      </c>
      <c r="F32" s="296" t="str" cm="1">
        <f t="array" ref="F32">_xlfn.TEXTJOIN(", ", TRUE, _xlfn.UNIQUE(_xlfn._xlws.FILTER('Shariah DataFeed'!F:F, 'Shariah DataFeed'!A:A=A32)))</f>
        <v>~35,000</v>
      </c>
      <c r="G32" s="107" t="str" cm="1">
        <f t="array" ref="G32">_xlfn.TEXTJOIN(", ", TRUE, _xlfn.UNIQUE(_xlfn._xlws.FILTER('Shariah DataFeed'!G:G, 'Shariah DataFeed'!A:A=A32)))</f>
        <v>Quarterly</v>
      </c>
      <c r="H32" s="106" t="str" cm="1">
        <f t="array" ref="H32">_xlfn.TEXTJOIN(", ", TRUE, _xlfn.UNIQUE(_xlfn._xlws.FILTER('Shariah DataFeed'!B:B, 'Shariah DataFeed'!A:A=A32)))</f>
        <v>Factset</v>
      </c>
      <c r="I32" s="295" t="str" cm="1">
        <f t="array" ref="I32">_xlfn.TEXTJOIN(", ", TRUE, _xlfn.UNIQUE(_xlfn._xlws.FILTER('Shariah DataFeed'!D:D, 'Shariah DataFeed'!A:A=A32)))</f>
        <v>IR WID, Name, ISIN, Ticker, SEDOL, Country, Compliance, Pork, Alcohol, Tobacco, Gambling, Adult Entertainment</v>
      </c>
    </row>
    <row r="33" spans="1:9" ht="87.5">
      <c r="A33" s="202" t="s">
        <v>29</v>
      </c>
      <c r="B33" s="106" t="str">
        <f>IF(ISNA(VLOOKUP(A33,Service!B:B,1,0)),"No","Yes")</f>
        <v>No</v>
      </c>
      <c r="C33" s="106" t="s">
        <v>313</v>
      </c>
      <c r="D33" s="122" t="s">
        <v>453</v>
      </c>
      <c r="E33" s="294" t="str" cm="1">
        <f t="array" ref="E33">_xlfn.TEXTJOIN(", ", TRUE, _xlfn.UNIQUE(_xlfn._xlws.FILTER('Shariah DataFeed'!E:E, 'Shariah DataFeed'!A:A=A33)))</f>
        <v>Mena, Saudi</v>
      </c>
      <c r="F33" s="296" t="str" cm="1">
        <f t="array" ref="F33">_xlfn.TEXTJOIN(", ", TRUE, _xlfn.UNIQUE(_xlfn._xlws.FILTER('Shariah DataFeed'!F:F, 'Shariah DataFeed'!A:A=A33)))</f>
        <v>~990</v>
      </c>
      <c r="G33" s="107" t="str" cm="1">
        <f t="array" ref="G33">_xlfn.TEXTJOIN(", ", TRUE, _xlfn.UNIQUE(_xlfn._xlws.FILTER('Shariah DataFeed'!G:G, 'Shariah DataFeed'!A:A=A33)))</f>
        <v>Quarterly</v>
      </c>
      <c r="H33" s="106" t="str" cm="1">
        <f t="array" ref="H33">_xlfn.TEXTJOIN(", ", TRUE, _xlfn.UNIQUE(_xlfn._xlws.FILTER('Shariah DataFeed'!B:B, 'Shariah DataFeed'!A:A=A33)))</f>
        <v>Factset</v>
      </c>
      <c r="I33" s="295" t="str" cm="1">
        <f t="array" ref="I33">_xlfn.TEXTJOIN(", ", TRUE, _xlfn.UNIQUE(_xlfn._xlws.FILTER('Shariah DataFeed'!D:D, 'Shariah DataFeed'!A:A=A33)))</f>
        <v xml:space="preserve">Date, Name, ISIN, Ticker, RIC Code, Nation, Business Activities, [Introspect] NPIN Status, [Introspect] Interest-bearing Investments, [Introspect] Interest-bearing Debts, Introspect,  , Date, Name, ISIN, Ticker, RIC Code, Nation, Business Activities, [Introspect] NPIN Status, [Introspect] Interest-bearing Investments, [Introspect] Interest-bearing Debts, [Introspect] Non-permissible Income, Introspect,  </v>
      </c>
    </row>
    <row r="34" spans="1:9" ht="23">
      <c r="A34" s="108" t="s">
        <v>49</v>
      </c>
      <c r="B34" s="106" t="str">
        <f>IF(ISNA(VLOOKUP(A34,Service!B:B,1,0)),"No","Yes")</f>
        <v>Yes</v>
      </c>
      <c r="C34" s="106" t="s">
        <v>313</v>
      </c>
      <c r="D34" s="110" t="s">
        <v>452</v>
      </c>
      <c r="E34" s="294" t="str" cm="1">
        <f t="array" ref="E34">_xlfn.TEXTJOIN(", ", TRUE, _xlfn.UNIQUE(_xlfn._xlws.FILTER('Shariah DataFeed'!E:E, 'Shariah DataFeed'!A:A=A34)))</f>
        <v>Saudi</v>
      </c>
      <c r="F34" s="296" t="str" cm="1">
        <f t="array" ref="F34">_xlfn.TEXTJOIN(", ", TRUE, _xlfn.UNIQUE(_xlfn._xlws.FILTER('Shariah DataFeed'!F:F, 'Shariah DataFeed'!A:A=A34)))</f>
        <v>~250</v>
      </c>
      <c r="G34" s="107" t="str" cm="1">
        <f t="array" ref="G34">_xlfn.TEXTJOIN(", ", TRUE, _xlfn.UNIQUE(_xlfn._xlws.FILTER('Shariah DataFeed'!G:G, 'Shariah DataFeed'!A:A=A34)))</f>
        <v>Quarterly</v>
      </c>
      <c r="H34" s="106" t="str" cm="1">
        <f t="array" ref="H34">_xlfn.TEXTJOIN(", ", TRUE, _xlfn.UNIQUE(_xlfn._xlws.FILTER('Shariah DataFeed'!B:B, 'Shariah DataFeed'!A:A=A34)))</f>
        <v>Reuters</v>
      </c>
      <c r="I34" s="295" t="str" cm="1">
        <f t="array" ref="I34">_xlfn.TEXTJOIN(", ", TRUE, _xlfn.UNIQUE(_xlfn._xlws.FILTER('Shariah DataFeed'!D:D, 'Shariah DataFeed'!A:A=A34)))</f>
        <v>Name, Nation, Ticker</v>
      </c>
    </row>
    <row r="35" spans="1:9" ht="34.5">
      <c r="A35" s="108" t="s">
        <v>13</v>
      </c>
      <c r="B35" s="106" t="str">
        <f>IF(ISNA(VLOOKUP(A35,Service!B:B,1,0)),"No","Yes")</f>
        <v>No</v>
      </c>
      <c r="C35" s="106" t="s">
        <v>313</v>
      </c>
      <c r="D35" s="110" t="s">
        <v>451</v>
      </c>
      <c r="E35" s="294" t="str" cm="1">
        <f t="array" ref="E35">_xlfn.TEXTJOIN(", ", TRUE, _xlfn.UNIQUE(_xlfn._xlws.FILTER('Shariah DataFeed'!E:E, 'Shariah DataFeed'!A:A=A35)))</f>
        <v>Global</v>
      </c>
      <c r="F35" s="296" t="str" cm="1">
        <f t="array" ref="F35">_xlfn.TEXTJOIN(", ", TRUE, _xlfn.UNIQUE(_xlfn._xlws.FILTER('Shariah DataFeed'!F:F, 'Shariah DataFeed'!A:A=A35)))</f>
        <v>~21,000</v>
      </c>
      <c r="G35" s="107" t="str" cm="1">
        <f t="array" ref="G35">_xlfn.TEXTJOIN(", ", TRUE, _xlfn.UNIQUE(_xlfn._xlws.FILTER('Shariah DataFeed'!G:G, 'Shariah DataFeed'!A:A=A35)))</f>
        <v>Quarterly</v>
      </c>
      <c r="H35" s="106" t="str" cm="1">
        <f t="array" ref="H35">_xlfn.TEXTJOIN(", ", TRUE, _xlfn.UNIQUE(_xlfn._xlws.FILTER('Shariah DataFeed'!B:B, 'Shariah DataFeed'!A:A=A35)))</f>
        <v>Factset</v>
      </c>
      <c r="I35" s="295" t="str" cm="1">
        <f t="array" ref="I35">_xlfn.TEXTJOIN(", ", TRUE, _xlfn.UNIQUE(_xlfn._xlws.FILTER('Shariah DataFeed'!D:D, 'Shariah DataFeed'!A:A=A35)))</f>
        <v>IR WID, ISIN, CUSIP, Ticker, Name, IdealRatings</v>
      </c>
    </row>
    <row r="36" spans="1:9" ht="46">
      <c r="A36" s="108" t="s">
        <v>11</v>
      </c>
      <c r="B36" s="106" t="str">
        <f>IF(ISNA(VLOOKUP(A36,Service!B:B,1,0)),"No","Yes")</f>
        <v>No</v>
      </c>
      <c r="C36" s="106" t="s">
        <v>313</v>
      </c>
      <c r="D36" s="110" t="s">
        <v>450</v>
      </c>
      <c r="E36" s="294" t="str" cm="1">
        <f t="array" ref="E36">_xlfn.TEXTJOIN(", ", TRUE, _xlfn.UNIQUE(_xlfn._xlws.FILTER('Shariah DataFeed'!E:E, 'Shariah DataFeed'!A:A=A36)))</f>
        <v>Global</v>
      </c>
      <c r="F36" s="296" t="str" cm="1">
        <f t="array" ref="F36">_xlfn.TEXTJOIN(", ", TRUE, _xlfn.UNIQUE(_xlfn._xlws.FILTER('Shariah DataFeed'!F:F, 'Shariah DataFeed'!A:A=A36)))</f>
        <v>~34,000</v>
      </c>
      <c r="G36" s="107" t="str" cm="1">
        <f t="array" ref="G36">_xlfn.TEXTJOIN(", ", TRUE, _xlfn.UNIQUE(_xlfn._xlws.FILTER('Shariah DataFeed'!G:G, 'Shariah DataFeed'!A:A=A36)))</f>
        <v>Quarterly</v>
      </c>
      <c r="H36" s="106" t="str" cm="1">
        <f t="array" ref="H36">_xlfn.TEXTJOIN(", ", TRUE, _xlfn.UNIQUE(_xlfn._xlws.FILTER('Shariah DataFeed'!B:B, 'Shariah DataFeed'!A:A=A36)))</f>
        <v>Factset</v>
      </c>
      <c r="I36" s="295" t="str" cm="1">
        <f t="array" ref="I36">_xlfn.TEXTJOIN(", ", TRUE, _xlfn.UNIQUE(_xlfn._xlws.FILTER('Shariah DataFeed'!D:D, 'Shariah DataFeed'!A:A=A36)))</f>
        <v>Name, ISIN, Ticker, Nation, Country Code, AAOIFI, [AAOIFI] Interest-bearing Investments, [AAOIFI] Interest-bearing Debts, [AAOIFI] Non-permissible Income</v>
      </c>
    </row>
    <row r="37" spans="1:9" ht="23">
      <c r="A37" s="108" t="s">
        <v>14</v>
      </c>
      <c r="B37" s="106" t="str">
        <f>IF(ISNA(VLOOKUP(A37,Service!B:B,1,0)),"No","Yes")</f>
        <v>No</v>
      </c>
      <c r="C37" s="106" t="s">
        <v>313</v>
      </c>
      <c r="D37" s="110" t="s">
        <v>437</v>
      </c>
      <c r="E37" s="294" t="str" cm="1">
        <f t="array" ref="E37">_xlfn.TEXTJOIN(", ", TRUE, _xlfn.UNIQUE(_xlfn._xlws.FILTER('Shariah DataFeed'!E:E, 'Shariah DataFeed'!A:A=A37)))</f>
        <v>US &amp; Hongkong</v>
      </c>
      <c r="F37" s="296" t="str" cm="1">
        <f t="array" ref="F37">_xlfn.TEXTJOIN(", ", TRUE, _xlfn.UNIQUE(_xlfn._xlws.FILTER('Shariah DataFeed'!F:F, 'Shariah DataFeed'!A:A=A37)))</f>
        <v>~6450</v>
      </c>
      <c r="G37" s="107" t="str" cm="1">
        <f t="array" ref="G37">_xlfn.TEXTJOIN(", ", TRUE, _xlfn.UNIQUE(_xlfn._xlws.FILTER('Shariah DataFeed'!G:G, 'Shariah DataFeed'!A:A=A37)))</f>
        <v>Quarterly</v>
      </c>
      <c r="H37" s="106" t="str" cm="1">
        <f t="array" ref="H37">_xlfn.TEXTJOIN(", ", TRUE, _xlfn.UNIQUE(_xlfn._xlws.FILTER('Shariah DataFeed'!B:B, 'Shariah DataFeed'!A:A=A37)))</f>
        <v>Factset</v>
      </c>
      <c r="I37" s="295" t="str" cm="1">
        <f t="array" ref="I37">_xlfn.TEXTJOIN(", ", TRUE, _xlfn.UNIQUE(_xlfn._xlws.FILTER('Shariah DataFeed'!D:D, 'Shariah DataFeed'!A:A=A37)))</f>
        <v>Name, ISIN, Ticker, IdealRatings AM</v>
      </c>
    </row>
    <row r="38" spans="1:9" ht="37.5">
      <c r="A38" s="108" t="s">
        <v>30</v>
      </c>
      <c r="B38" s="106" t="str">
        <f>IF(ISNA(VLOOKUP(A38,Service!B:B,1,0)),"No","Yes")</f>
        <v>Yes</v>
      </c>
      <c r="C38" s="106" t="s">
        <v>313</v>
      </c>
      <c r="D38" s="110" t="s">
        <v>437</v>
      </c>
      <c r="E38" s="294" t="str" cm="1">
        <f t="array" ref="E38">_xlfn.TEXTJOIN(", ", TRUE, _xlfn.UNIQUE(_xlfn._xlws.FILTER('Shariah DataFeed'!E:E, 'Shariah DataFeed'!A:A=A38)))</f>
        <v>Global- ex indonesia</v>
      </c>
      <c r="F38" s="296" t="str" cm="1">
        <f t="array" ref="F38">_xlfn.TEXTJOIN(", ", TRUE, _xlfn.UNIQUE(_xlfn._xlws.FILTER('Shariah DataFeed'!F:F, 'Shariah DataFeed'!A:A=A38)))</f>
        <v>~26,000</v>
      </c>
      <c r="G38" s="107" t="str" cm="1">
        <f t="array" ref="G38">_xlfn.TEXTJOIN(", ", TRUE, _xlfn.UNIQUE(_xlfn._xlws.FILTER('Shariah DataFeed'!G:G, 'Shariah DataFeed'!A:A=A38)))</f>
        <v>Quarterly</v>
      </c>
      <c r="H38" s="106" t="str" cm="1">
        <f t="array" ref="H38">_xlfn.TEXTJOIN(", ", TRUE, _xlfn.UNIQUE(_xlfn._xlws.FILTER('Shariah DataFeed'!B:B, 'Shariah DataFeed'!A:A=A38)))</f>
        <v>Reuters</v>
      </c>
      <c r="I38" s="295" t="str" cm="1">
        <f t="array" ref="I38">_xlfn.TEXTJOIN(", ", TRUE, _xlfn.UNIQUE(_xlfn._xlws.FILTER('Shariah DataFeed'!D:D, 'Shariah DataFeed'!A:A=A38)))</f>
        <v>Name, ISIN, Ticker, AAOIFI, IdealRatings AM, Indonesia OJK Shariah-based, Name,Isin,Ticker,Indonesia OJK Shariah-based</v>
      </c>
    </row>
    <row r="39" spans="1:9" ht="62.5">
      <c r="A39" s="108" t="s">
        <v>31</v>
      </c>
      <c r="B39" s="106" t="str">
        <f>IF(ISNA(VLOOKUP(A39,Service!B:B,1,0)),"No","Yes")</f>
        <v>Yes</v>
      </c>
      <c r="C39" s="106" t="s">
        <v>313</v>
      </c>
      <c r="D39" s="110" t="s">
        <v>437</v>
      </c>
      <c r="E39" s="295" t="str" cm="1">
        <f t="array" ref="E39">_xlfn.TEXTJOIN(", ", TRUE, _xlfn.UNIQUE(_xlfn._xlws.FILTER('Shariah DataFeed'!E:E, 'Shariah DataFeed'!A:A=A39)))</f>
        <v>US traded companies, United States of America, Canada, United Kingdom, Australia, New Zealand, Hong Kong, Taiwan, Japan, South Korea, India, Malaysia, Thailand, Singapore, Indonesia</v>
      </c>
      <c r="F39" s="296" t="str" cm="1">
        <f t="array" ref="F39">_xlfn.TEXTJOIN(", ", TRUE, _xlfn.UNIQUE(_xlfn._xlws.FILTER('Shariah DataFeed'!F:F, 'Shariah DataFeed'!A:A=A39)))</f>
        <v>~4,000</v>
      </c>
      <c r="G39" s="107" t="str" cm="1">
        <f t="array" ref="G39">_xlfn.TEXTJOIN(", ", TRUE, _xlfn.UNIQUE(_xlfn._xlws.FILTER('Shariah DataFeed'!G:G, 'Shariah DataFeed'!A:A=A39)))</f>
        <v>Quarterly, Semi Annually</v>
      </c>
      <c r="H39" s="106" t="str" cm="1">
        <f t="array" ref="H39">_xlfn.TEXTJOIN(", ", TRUE, _xlfn.UNIQUE(_xlfn._xlws.FILTER('Shariah DataFeed'!B:B, 'Shariah DataFeed'!A:A=A39)))</f>
        <v>Reuters</v>
      </c>
      <c r="I39" s="295" t="str" cm="1">
        <f t="array" ref="I39">_xlfn.TEXTJOIN(", ", TRUE, _xlfn.UNIQUE(_xlfn._xlws.FILTER('Shariah DataFeed'!D:D, 'Shariah DataFeed'!A:A=A39)))</f>
        <v>Name, ISIN, Ticker, AAOIFI, Name, ISIN, [IdealRatings ESG/SRI]IdealRatings ESG/SRI - Rating, IdealRatings ESG/SRI - Total Score, IdealRatings ESG/SRI - Environmental Score, IdealRatings ESG/SRI - Social Score, IdealRatings ESG/SRI - Governance Score</v>
      </c>
    </row>
    <row r="40" spans="1:9" ht="23">
      <c r="A40" s="322" t="s">
        <v>490</v>
      </c>
      <c r="B40" s="106" t="str">
        <f>IF(ISNA(VLOOKUP(A40,Service!B:B,1,0)),"No","Yes")</f>
        <v>No</v>
      </c>
      <c r="C40" s="106" t="s">
        <v>313</v>
      </c>
      <c r="D40" s="110" t="s">
        <v>443</v>
      </c>
      <c r="E40" s="295" t="str" cm="1">
        <f t="array" ref="E40">_xlfn.TEXTJOIN(", ", TRUE, _xlfn.UNIQUE(_xlfn._xlws.FILTER('Shariah DataFeed'!E:E, 'Shariah DataFeed'!A:A=A40)))</f>
        <v>Saudi, Emerging markets</v>
      </c>
      <c r="F40" s="296" t="str" cm="1">
        <f t="array" ref="F40">_xlfn.TEXTJOIN(", ", TRUE, _xlfn.UNIQUE(_xlfn._xlws.FILTER('Shariah DataFeed'!F:F, 'Shariah DataFeed'!A:A=A40)))</f>
        <v>~314, ~18,000</v>
      </c>
      <c r="G40" s="107" t="str" cm="1">
        <f t="array" ref="G40">_xlfn.TEXTJOIN(", ", TRUE, _xlfn.UNIQUE(_xlfn._xlws.FILTER('Shariah DataFeed'!G:G, 'Shariah DataFeed'!A:A=A40)))</f>
        <v>Quarterly</v>
      </c>
      <c r="H40" s="106" t="str" cm="1">
        <f t="array" ref="H40">_xlfn.TEXTJOIN(", ", TRUE, _xlfn.UNIQUE(_xlfn._xlws.FILTER('Shariah DataFeed'!B:B, 'Shariah DataFeed'!A:A=A40)))</f>
        <v>Factset</v>
      </c>
      <c r="I40" s="295" t="str" cm="1">
        <f t="array" ref="I40">_xlfn.TEXTJOIN(", ", TRUE, _xlfn.UNIQUE(_xlfn._xlws.FILTER('Shariah DataFeed'!D:D, 'Shariah DataFeed'!A:A=A40)))</f>
        <v>Name,Isin,Ticker, Name, ISIN, SEDOL, IdealRatings</v>
      </c>
    </row>
    <row r="41" spans="1:9" ht="92">
      <c r="A41" s="125" t="s">
        <v>148</v>
      </c>
      <c r="B41" s="106" t="str">
        <f>IF(ISNA(VLOOKUP(A41,Service!B:B,1,0)),"No","Yes")</f>
        <v>No</v>
      </c>
      <c r="C41" s="106" t="s">
        <v>313</v>
      </c>
      <c r="D41" s="110" t="s">
        <v>449</v>
      </c>
      <c r="E41" s="295" t="str" cm="1">
        <f t="array" ref="E41">_xlfn.TEXTJOIN(", ", TRUE, _xlfn.UNIQUE(_xlfn._xlws.FILTER('Shariah DataFeed'!E:E, 'Shariah DataFeed'!A:A=A41)))</f>
        <v/>
      </c>
      <c r="F41" s="296" t="str" cm="1">
        <f t="array" ref="F41">_xlfn.TEXTJOIN(", ", TRUE, _xlfn.UNIQUE(_xlfn._xlws.FILTER('Shariah DataFeed'!F:F, 'Shariah DataFeed'!A:A=A41)))</f>
        <v/>
      </c>
      <c r="G41" s="107" t="str" cm="1">
        <f t="array" ref="G41">_xlfn.TEXTJOIN(", ", TRUE, _xlfn.UNIQUE(_xlfn._xlws.FILTER('Shariah DataFeed'!G:G, 'Shariah DataFeed'!A:A=A41)))</f>
        <v/>
      </c>
      <c r="H41" s="106" t="str" cm="1">
        <f t="array" ref="H41">_xlfn.TEXTJOIN(", ", TRUE, _xlfn.UNIQUE(_xlfn._xlws.FILTER('Shariah DataFeed'!B:B, 'Shariah DataFeed'!A:A=A41)))</f>
        <v>IdealRatings</v>
      </c>
      <c r="I41" s="295" t="str" cm="1">
        <f t="array" ref="I41">_xlfn.TEXTJOIN(", ", TRUE, _xlfn.UNIQUE(_xlfn._xlws.FILTER('Shariah DataFeed'!D:D, 'Shariah DataFeed'!A:A=A41)))</f>
        <v>Name , ISIN, SEDOL, Fiscal Period, MSCI Compliance, NPIN Ratio, Fiscal Period, Total Debt, Interest bearing Debt, Lease Capital, Total Cash and Short term Investments, Interest bearing Cash and Short term investmnets, Notes long Receivables, Cash Total, Accout Receivables , Total Assets</v>
      </c>
    </row>
    <row r="42" spans="1:9" ht="62.5">
      <c r="A42" s="125" t="s">
        <v>40</v>
      </c>
      <c r="B42" s="106" t="str">
        <f>IF(ISNA(VLOOKUP(A42,Service!B:B,1,0)),"No","Yes")</f>
        <v>No</v>
      </c>
      <c r="C42" s="106" t="s">
        <v>313</v>
      </c>
      <c r="D42" s="122" t="s">
        <v>448</v>
      </c>
      <c r="E42" s="295" t="str" cm="1">
        <f t="array" ref="E42">_xlfn.TEXTJOIN(", ", TRUE, _xlfn.UNIQUE(_xlfn._xlws.FILTER('Shariah DataFeed'!E:E, 'Shariah DataFeed'!A:A=A42)))</f>
        <v>Oman securities</v>
      </c>
      <c r="F42" s="296" t="str" cm="1">
        <f t="array" ref="F42">_xlfn.TEXTJOIN(", ", TRUE, _xlfn.UNIQUE(_xlfn._xlws.FILTER('Shariah DataFeed'!F:F, 'Shariah DataFeed'!A:A=A42)))</f>
        <v>~100</v>
      </c>
      <c r="G42" s="107" t="str" cm="1">
        <f t="array" ref="G42">_xlfn.TEXTJOIN(", ", TRUE, _xlfn.UNIQUE(_xlfn._xlws.FILTER('Shariah DataFeed'!G:G, 'Shariah DataFeed'!A:A=A42)))</f>
        <v>Quarterly</v>
      </c>
      <c r="H42" s="106" t="str" cm="1">
        <f t="array" ref="H42">_xlfn.TEXTJOIN(", ", TRUE, _xlfn.UNIQUE(_xlfn._xlws.FILTER('Shariah DataFeed'!B:B, 'Shariah DataFeed'!A:A=A42)))</f>
        <v>IdealRatings</v>
      </c>
      <c r="I42" s="295" t="str" cm="1">
        <f t="array" ref="I42">_xlfn.TEXTJOIN(", ", TRUE, _xlfn.UNIQUE(_xlfn._xlws.FILTER('Shariah DataFeed'!D:D, 'Shariah DataFeed'!A:A=A42)))</f>
        <v>Ticker, ISIN, Name, AAOIFI, [AAOIFI] Non-permissible Income, [AAOIFI] Interest-bearing Debts, [AAOIFI] Interest-bearing Investments, [AAOIFI] Purification (Inv.), Fiscal Period, Period End Date, Last Trading Date, Comment</v>
      </c>
    </row>
    <row r="43" spans="1:9" ht="23">
      <c r="A43" s="108" t="s">
        <v>7</v>
      </c>
      <c r="B43" s="106" t="str">
        <f>IF(ISNA(VLOOKUP(A43,Service!B:B,1,0)),"No","Yes")</f>
        <v>No</v>
      </c>
      <c r="C43" s="106" t="s">
        <v>313</v>
      </c>
      <c r="D43" s="110" t="s">
        <v>437</v>
      </c>
      <c r="E43" s="295" t="str" cm="1">
        <f t="array" ref="E43">_xlfn.TEXTJOIN(", ", TRUE, _xlfn.UNIQUE(_xlfn._xlws.FILTER('Shariah DataFeed'!E:E, 'Shariah DataFeed'!A:A=A43)))</f>
        <v>Saudi</v>
      </c>
      <c r="F43" s="296" t="str" cm="1">
        <f t="array" ref="F43">_xlfn.TEXTJOIN(", ", TRUE, _xlfn.UNIQUE(_xlfn._xlws.FILTER('Shariah DataFeed'!F:F, 'Shariah DataFeed'!A:A=A43)))</f>
        <v>~660</v>
      </c>
      <c r="G43" s="107" t="str" cm="1">
        <f t="array" ref="G43">_xlfn.TEXTJOIN(", ", TRUE, _xlfn.UNIQUE(_xlfn._xlws.FILTER('Shariah DataFeed'!G:G, 'Shariah DataFeed'!A:A=A43)))</f>
        <v>Quarterly</v>
      </c>
      <c r="H43" s="106" t="str" cm="1">
        <f t="array" ref="H43">_xlfn.TEXTJOIN(", ", TRUE, _xlfn.UNIQUE(_xlfn._xlws.FILTER('Shariah DataFeed'!B:B, 'Shariah DataFeed'!A:A=A43)))</f>
        <v>Factset</v>
      </c>
      <c r="I43" s="295" t="str" cm="1">
        <f t="array" ref="I43">_xlfn.TEXTJOIN(", ", TRUE, _xlfn.UNIQUE(_xlfn._xlws.FILTER('Shariah DataFeed'!D:D, 'Shariah DataFeed'!A:A=A43)))</f>
        <v>Name, ISIN, Ticker</v>
      </c>
    </row>
    <row r="44" spans="1:9" ht="46">
      <c r="A44" s="108" t="s">
        <v>41</v>
      </c>
      <c r="B44" s="106" t="str">
        <f>IF(ISNA(VLOOKUP(A44,Service!B:B,1,0)),"No","Yes")</f>
        <v>Yes</v>
      </c>
      <c r="C44" s="106" t="s">
        <v>313</v>
      </c>
      <c r="D44" s="110" t="s">
        <v>447</v>
      </c>
      <c r="E44" s="295" t="str" cm="1">
        <f t="array" ref="E44">_xlfn.TEXTJOIN(", ", TRUE, _xlfn.UNIQUE(_xlfn._xlws.FILTER('Shariah DataFeed'!E:E, 'Shariah DataFeed'!A:A=A44)))</f>
        <v> Foreign and NVDR shares of Thai stocks</v>
      </c>
      <c r="F44" s="296" t="str" cm="1">
        <f t="array" ref="F44">_xlfn.TEXTJOIN(", ", TRUE, _xlfn.UNIQUE(_xlfn._xlws.FILTER('Shariah DataFeed'!F:F, 'Shariah DataFeed'!A:A=A44)))</f>
        <v>~600</v>
      </c>
      <c r="G44" s="107" t="str" cm="1">
        <f t="array" ref="G44">_xlfn.TEXTJOIN(", ", TRUE, _xlfn.UNIQUE(_xlfn._xlws.FILTER('Shariah DataFeed'!G:G, 'Shariah DataFeed'!A:A=A44)))</f>
        <v>Quarterly</v>
      </c>
      <c r="H44" s="106" t="str" cm="1">
        <f t="array" ref="H44">_xlfn.TEXTJOIN(", ", TRUE, _xlfn.UNIQUE(_xlfn._xlws.FILTER('Shariah DataFeed'!B:B, 'Shariah DataFeed'!A:A=A44)))</f>
        <v>Reuters</v>
      </c>
      <c r="I44" s="295" t="str" cm="1">
        <f t="array" ref="I44">_xlfn.TEXTJOIN(", ", TRUE, _xlfn.UNIQUE(_xlfn._xlws.FILTER('Shariah DataFeed'!D:D, 'Shariah DataFeed'!A:A=A44)))</f>
        <v>Name, SEDOL, ISIN, Ticker, Exchanges, AAOIFI, FTSE Shariah-based, MSCI Islamic-based, Dow Jones Islamic-based, Malaysia SC Shariah-based, Nomura NPIN</v>
      </c>
    </row>
    <row r="45" spans="1:9" ht="23">
      <c r="A45" s="108" t="s">
        <v>18</v>
      </c>
      <c r="B45" s="106" t="str">
        <f>IF(ISNA(VLOOKUP(A45,Service!B:B,1,0)),"No","Yes")</f>
        <v>No</v>
      </c>
      <c r="C45" s="106" t="s">
        <v>313</v>
      </c>
      <c r="D45" s="110" t="s">
        <v>437</v>
      </c>
      <c r="E45" s="295" t="str" cm="1">
        <f t="array" ref="E45">_xlfn.TEXTJOIN(", ", TRUE, _xlfn.UNIQUE(_xlfn._xlws.FILTER('Shariah DataFeed'!E:E, 'Shariah DataFeed'!A:A=A45)))</f>
        <v>Global</v>
      </c>
      <c r="F45" s="296" t="str" cm="1">
        <f t="array" ref="F45">_xlfn.TEXTJOIN(", ", TRUE, _xlfn.UNIQUE(_xlfn._xlws.FILTER('Shariah DataFeed'!F:F, 'Shariah DataFeed'!A:A=A45)))</f>
        <v>~35,000</v>
      </c>
      <c r="G45" s="107" t="str" cm="1">
        <f t="array" ref="G45">_xlfn.TEXTJOIN(", ", TRUE, _xlfn.UNIQUE(_xlfn._xlws.FILTER('Shariah DataFeed'!G:G, 'Shariah DataFeed'!A:A=A45)))</f>
        <v>Quarterly</v>
      </c>
      <c r="H45" s="106" t="str" cm="1">
        <f t="array" ref="H45">_xlfn.TEXTJOIN(", ", TRUE, _xlfn.UNIQUE(_xlfn._xlws.FILTER('Shariah DataFeed'!B:B, 'Shariah DataFeed'!A:A=A45)))</f>
        <v>Factset</v>
      </c>
      <c r="I45" s="295" t="str" cm="1">
        <f t="array" ref="I45">_xlfn.TEXTJOIN(", ", TRUE, _xlfn.UNIQUE(_xlfn._xlws.FILTER('Shariah DataFeed'!D:D, 'Shariah DataFeed'!A:A=A45)))</f>
        <v>Name, ISIN, Ticker, IdealRatings AM</v>
      </c>
    </row>
    <row r="46" spans="1:9" ht="23">
      <c r="A46" s="108" t="s">
        <v>42</v>
      </c>
      <c r="B46" s="106" t="str">
        <f>IF(ISNA(VLOOKUP(A46,Service!B:B,1,0)),"No","Yes")</f>
        <v>Yes</v>
      </c>
      <c r="C46" s="106" t="s">
        <v>313</v>
      </c>
      <c r="D46" s="110" t="s">
        <v>437</v>
      </c>
      <c r="E46" s="295" t="str" cm="1">
        <f t="array" ref="E46">_xlfn.TEXTJOIN(", ", TRUE, _xlfn.UNIQUE(_xlfn._xlws.FILTER('Shariah DataFeed'!E:E, 'Shariah DataFeed'!A:A=A46)))</f>
        <v>South Africa (Johannesburg Stock Exchange)</v>
      </c>
      <c r="F46" s="296" t="str" cm="1">
        <f t="array" ref="F46">_xlfn.TEXTJOIN(", ", TRUE, _xlfn.UNIQUE(_xlfn._xlws.FILTER('Shariah DataFeed'!F:F, 'Shariah DataFeed'!A:A=A46)))</f>
        <v>~950</v>
      </c>
      <c r="G46" s="107" t="str" cm="1">
        <f t="array" ref="G46">_xlfn.TEXTJOIN(", ", TRUE, _xlfn.UNIQUE(_xlfn._xlws.FILTER('Shariah DataFeed'!G:G, 'Shariah DataFeed'!A:A=A46)))</f>
        <v>Quarterly</v>
      </c>
      <c r="H46" s="106" t="str" cm="1">
        <f t="array" ref="H46">_xlfn.TEXTJOIN(", ", TRUE, _xlfn.UNIQUE(_xlfn._xlws.FILTER('Shariah DataFeed'!B:B, 'Shariah DataFeed'!A:A=A46)))</f>
        <v>Reuters</v>
      </c>
      <c r="I46" s="295" t="str" cm="1">
        <f t="array" ref="I46">_xlfn.TEXTJOIN(", ", TRUE, _xlfn.UNIQUE(_xlfn._xlws.FILTER('Shariah DataFeed'!D:D, 'Shariah DataFeed'!A:A=A46)))</f>
        <v>Name, ISIN, Ticker, Compliance status</v>
      </c>
    </row>
    <row r="47" spans="1:9" ht="12.5">
      <c r="A47" s="108" t="s">
        <v>43</v>
      </c>
      <c r="B47" s="106" t="str">
        <f>IF(ISNA(VLOOKUP(A47,Service!B:B,1,0)),"No","Yes")</f>
        <v>Yes</v>
      </c>
      <c r="C47" s="106" t="s">
        <v>313</v>
      </c>
      <c r="D47" s="110" t="s">
        <v>446</v>
      </c>
      <c r="E47" s="295" t="str" cm="1">
        <f t="array" ref="E47">_xlfn.TEXTJOIN(", ", TRUE, _xlfn.UNIQUE(_xlfn._xlws.FILTER('Shariah DataFeed'!E:E, 'Shariah DataFeed'!A:A=A47)))</f>
        <v>PMB Shariah &amp; ESG Universe</v>
      </c>
      <c r="F47" s="296" t="str" cm="1">
        <f t="array" ref="F47">_xlfn.TEXTJOIN(", ", TRUE, _xlfn.UNIQUE(_xlfn._xlws.FILTER('Shariah DataFeed'!F:F, 'Shariah DataFeed'!A:A=A47)))</f>
        <v>~1000</v>
      </c>
      <c r="G47" s="107" t="str" cm="1">
        <f t="array" ref="G47">_xlfn.TEXTJOIN(", ", TRUE, _xlfn.UNIQUE(_xlfn._xlws.FILTER('Shariah DataFeed'!G:G, 'Shariah DataFeed'!A:A=A47)))</f>
        <v>Quarterly</v>
      </c>
      <c r="H47" s="106" t="str" cm="1">
        <f t="array" ref="H47">_xlfn.TEXTJOIN(", ", TRUE, _xlfn.UNIQUE(_xlfn._xlws.FILTER('Shariah DataFeed'!B:B, 'Shariah DataFeed'!A:A=A47)))</f>
        <v>Reuters</v>
      </c>
      <c r="I47" s="295" t="str" cm="1">
        <f t="array" ref="I47">_xlfn.TEXTJOIN(", ", TRUE, _xlfn.UNIQUE(_xlfn._xlws.FILTER('Shariah DataFeed'!D:D, 'Shariah DataFeed'!A:A=A47)))</f>
        <v>IR WID, Name, ISIN, IdealRatings ESG - Rating</v>
      </c>
    </row>
    <row r="48" spans="1:9" ht="126.5">
      <c r="A48" s="125" t="s">
        <v>15</v>
      </c>
      <c r="B48" s="106" t="str">
        <f>IF(ISNA(VLOOKUP(A48,Service!B:B,1,0)),"No","Yes")</f>
        <v>No</v>
      </c>
      <c r="C48" s="106" t="s">
        <v>313</v>
      </c>
      <c r="D48" s="142" t="s">
        <v>445</v>
      </c>
      <c r="E48" s="295" t="str" cm="1">
        <f t="array" ref="E48">_xlfn.TEXTJOIN(", ", TRUE, _xlfn.UNIQUE(_xlfn._xlws.FILTER('Shariah DataFeed'!E:E, 'Shariah DataFeed'!A:A=A48)))</f>
        <v>philippine stock exchange</v>
      </c>
      <c r="F48" s="296" t="str" cm="1">
        <f t="array" ref="F48">_xlfn.TEXTJOIN(", ", TRUE, _xlfn.UNIQUE(_xlfn._xlws.FILTER('Shariah DataFeed'!F:F, 'Shariah DataFeed'!A:A=A48)))</f>
        <v>~50</v>
      </c>
      <c r="G48" s="107" t="str" cm="1">
        <f t="array" ref="G48">_xlfn.TEXTJOIN(", ", TRUE, _xlfn.UNIQUE(_xlfn._xlws.FILTER('Shariah DataFeed'!G:G, 'Shariah DataFeed'!A:A=A48)))</f>
        <v>Quarterly</v>
      </c>
      <c r="H48" s="106" t="str" cm="1">
        <f t="array" ref="H48">_xlfn.TEXTJOIN(", ", TRUE, _xlfn.UNIQUE(_xlfn._xlws.FILTER('Shariah DataFeed'!B:B, 'Shariah DataFeed'!A:A=A48)))</f>
        <v>Reuters</v>
      </c>
      <c r="I48" s="295" t="str" cm="1">
        <f t="array" ref="I48">_xlfn.TEXTJOIN(", ", TRUE, _xlfn.UNIQUE(_xlfn._xlws.FILTER('Shariah DataFeed'!D:D, 'Shariah DataFeed'!A:A=A48)))</f>
        <v>Exchanges, Fiscal Period, Period End Date, Ticker, ISIN, Name, Nation, Total Common Shares, Market Price, Date Of Current Price, Market Cap, Trailing 12 Months Market Cap (Daily), Assets - Total</v>
      </c>
    </row>
    <row r="49" spans="1:9" ht="50">
      <c r="A49" s="108" t="s">
        <v>336</v>
      </c>
      <c r="B49" s="106" t="str">
        <f>IF(ISNA(VLOOKUP(A49,Service!B:B,1,0)),"No","Yes")</f>
        <v>No</v>
      </c>
      <c r="C49" s="106" t="s">
        <v>313</v>
      </c>
      <c r="D49" s="110" t="s">
        <v>575</v>
      </c>
      <c r="E49" s="295" t="str" cm="1">
        <f t="array" ref="E49">_xlfn.TEXTJOIN(", ", TRUE, _xlfn.UNIQUE(_xlfn._xlws.FILTER('Shariah DataFeed'!E:E, 'Shariah DataFeed'!A:A=A49)))</f>
        <v>Equities/REITs/ETF</v>
      </c>
      <c r="F49" s="296" t="str" cm="1">
        <f t="array" ref="F49">_xlfn.TEXTJOIN(", ", TRUE, _xlfn.UNIQUE(_xlfn._xlws.FILTER('Shariah DataFeed'!F:F, 'Shariah DataFeed'!A:A=A49)))</f>
        <v>45</v>
      </c>
      <c r="G49" s="107" t="str" cm="1">
        <f t="array" ref="G49">_xlfn.TEXTJOIN(", ", TRUE, _xlfn.UNIQUE(_xlfn._xlws.FILTER('Shariah DataFeed'!G:G, 'Shariah DataFeed'!A:A=A49)))</f>
        <v>Quarterly</v>
      </c>
      <c r="H49" s="106" t="str" cm="1">
        <f t="array" ref="H49">_xlfn.TEXTJOIN(", ", TRUE, _xlfn.UNIQUE(_xlfn._xlws.FILTER('Shariah DataFeed'!B:B, 'Shariah DataFeed'!A:A=A49)))</f>
        <v>Factset</v>
      </c>
      <c r="I49" s="295" t="str" cm="1">
        <f t="array" ref="I49">_xlfn.TEXTJOIN(", ", TRUE, _xlfn.UNIQUE(_xlfn._xlws.FILTER('Shariah DataFeed'!D:D, 'Shariah DataFeed'!A:A=A49)))</f>
        <v>Name of company, Ticker, ISIN, Sector, Industry, RIC Code, AAOIFI, NPIN, IdealRatings REITs, Name of Fund, IdealRatings ETFs, Compliant Holdings, Non-compliant Holdings, Comments</v>
      </c>
    </row>
    <row r="50" spans="1:9" ht="25">
      <c r="A50" s="125" t="s">
        <v>32</v>
      </c>
      <c r="B50" s="106" t="str">
        <f>IF(ISNA(VLOOKUP(A50,Service!B:B,1,0)),"No","Yes")</f>
        <v>No</v>
      </c>
      <c r="C50" s="106" t="s">
        <v>313</v>
      </c>
      <c r="D50" s="110" t="s">
        <v>437</v>
      </c>
      <c r="E50" s="295" t="str" cm="1">
        <f t="array" ref="E50">_xlfn.TEXTJOIN(", ", TRUE, _xlfn.UNIQUE(_xlfn._xlws.FILTER('Shariah DataFeed'!E:E, 'Shariah DataFeed'!A:A=A50)))</f>
        <v>Developed markets+GCC+South Korea+China+India, Global reits</v>
      </c>
      <c r="F50" s="296" t="str" cm="1">
        <f t="array" ref="F50">_xlfn.TEXTJOIN(", ", TRUE, _xlfn.UNIQUE(_xlfn._xlws.FILTER('Shariah DataFeed'!F:F, 'Shariah DataFeed'!A:A=A50)))</f>
        <v>~15,000</v>
      </c>
      <c r="G50" s="107" t="str" cm="1">
        <f t="array" ref="G50">_xlfn.TEXTJOIN(", ", TRUE, _xlfn.UNIQUE(_xlfn._xlws.FILTER('Shariah DataFeed'!G:G, 'Shariah DataFeed'!A:A=A50)))</f>
        <v>Quarterly</v>
      </c>
      <c r="H50" s="106" t="str" cm="1">
        <f t="array" ref="H50">_xlfn.TEXTJOIN(", ", TRUE, _xlfn.UNIQUE(_xlfn._xlws.FILTER('Shariah DataFeed'!B:B, 'Shariah DataFeed'!A:A=A50)))</f>
        <v>Factset</v>
      </c>
      <c r="I50" s="295" t="str" cm="1">
        <f t="array" ref="I50">_xlfn.TEXTJOIN(", ", TRUE, _xlfn.UNIQUE(_xlfn._xlws.FILTER('Shariah DataFeed'!D:D, 'Shariah DataFeed'!A:A=A50)))</f>
        <v>Name, ISIN, Ticker</v>
      </c>
    </row>
    <row r="51" spans="1:9" ht="23">
      <c r="A51" s="108" t="s">
        <v>66</v>
      </c>
      <c r="B51" s="106" t="str">
        <f>IF(ISNA(VLOOKUP(A51,Service!B:B,1,0)),"No","Yes")</f>
        <v>No</v>
      </c>
      <c r="C51" s="106" t="s">
        <v>313</v>
      </c>
      <c r="D51" s="110" t="s">
        <v>437</v>
      </c>
      <c r="E51" s="295" t="str" cm="1">
        <f t="array" ref="E51">_xlfn.TEXTJOIN(", ", TRUE, _xlfn.UNIQUE(_xlfn._xlws.FILTER('Shariah DataFeed'!E:E, 'Shariah DataFeed'!A:A=A51)))</f>
        <v>Saudi</v>
      </c>
      <c r="F51" s="296" t="str" cm="1">
        <f t="array" ref="F51">_xlfn.TEXTJOIN(", ", TRUE, _xlfn.UNIQUE(_xlfn._xlws.FILTER('Shariah DataFeed'!F:F, 'Shariah DataFeed'!A:A=A51)))</f>
        <v>~330</v>
      </c>
      <c r="G51" s="107" t="str" cm="1">
        <f t="array" ref="G51">_xlfn.TEXTJOIN(", ", TRUE, _xlfn.UNIQUE(_xlfn._xlws.FILTER('Shariah DataFeed'!G:G, 'Shariah DataFeed'!A:A=A51)))</f>
        <v>Quarterly</v>
      </c>
      <c r="H51" s="106" t="str" cm="1">
        <f t="array" ref="H51">_xlfn.TEXTJOIN(", ", TRUE, _xlfn.UNIQUE(_xlfn._xlws.FILTER('Shariah DataFeed'!B:B, 'Shariah DataFeed'!A:A=A51)))</f>
        <v>Factset</v>
      </c>
      <c r="I51" s="295" t="str" cm="1">
        <f t="array" ref="I51">_xlfn.TEXTJOIN(", ", TRUE, _xlfn.UNIQUE(_xlfn._xlws.FILTER('Shariah DataFeed'!D:D, 'Shariah DataFeed'!A:A=A51)))</f>
        <v>Name, ISIN, Ticker, AAOIFI</v>
      </c>
    </row>
    <row r="52" spans="1:9" ht="37.5">
      <c r="A52" s="108" t="s">
        <v>137</v>
      </c>
      <c r="B52" s="106" t="str">
        <f>IF(ISNA(VLOOKUP(A52,Service!B:B,1,0)),"No","Yes")</f>
        <v>No</v>
      </c>
      <c r="C52" s="106" t="s">
        <v>313</v>
      </c>
      <c r="D52" s="110" t="s">
        <v>444</v>
      </c>
      <c r="E52" s="295" t="str" cm="1">
        <f t="array" ref="E52">_xlfn.TEXTJOIN(", ", TRUE, _xlfn.UNIQUE(_xlfn._xlws.FILTER('Shariah DataFeed'!E:E, 'Shariah DataFeed'!A:A=A52)))</f>
        <v/>
      </c>
      <c r="F52" s="296" t="str" cm="1">
        <f t="array" ref="F52">_xlfn.TEXTJOIN(", ", TRUE, _xlfn.UNIQUE(_xlfn._xlws.FILTER('Shariah DataFeed'!F:F, 'Shariah DataFeed'!A:A=A52)))</f>
        <v/>
      </c>
      <c r="G52" s="107" t="str" cm="1">
        <f t="array" ref="G52">_xlfn.TEXTJOIN(", ", TRUE, _xlfn.UNIQUE(_xlfn._xlws.FILTER('Shariah DataFeed'!G:G, 'Shariah DataFeed'!A:A=A52)))</f>
        <v/>
      </c>
      <c r="H52" s="106" t="str" cm="1">
        <f t="array" ref="H52">_xlfn.TEXTJOIN(", ", TRUE, _xlfn.UNIQUE(_xlfn._xlws.FILTER('Shariah DataFeed'!B:B, 'Shariah DataFeed'!A:A=A52)))</f>
        <v>Reuters</v>
      </c>
      <c r="I52" s="295" t="str" cm="1">
        <f t="array" ref="I52">_xlfn.TEXTJOIN(", ", TRUE, _xlfn.UNIQUE(_xlfn._xlws.FILTER('Shariah DataFeed'!D:D, 'Shariah DataFeed'!A:A=A52)))</f>
        <v>Name, ISIN, Display RIC, RepNo, Compliance status, Date,Name,RIC,ISIN,SEDOL,Ticker,Compliance Thomson Reuters</v>
      </c>
    </row>
    <row r="53" spans="1:9" ht="23">
      <c r="A53" s="108" t="s">
        <v>44</v>
      </c>
      <c r="B53" s="106" t="str">
        <f>IF(ISNA(VLOOKUP(A53,Service!B:B,1,0)),"No","Yes")</f>
        <v>Yes</v>
      </c>
      <c r="C53" s="106" t="s">
        <v>313</v>
      </c>
      <c r="D53" s="110" t="s">
        <v>443</v>
      </c>
      <c r="E53" s="295" t="str" cm="1">
        <f t="array" ref="E53">_xlfn.TEXTJOIN(", ", TRUE, _xlfn.UNIQUE(_xlfn._xlws.FILTER('Shariah DataFeed'!E:E, 'Shariah DataFeed'!A:A=A53)))</f>
        <v>Saudi, US</v>
      </c>
      <c r="F53" s="296" t="str" cm="1">
        <f t="array" ref="F53">_xlfn.TEXTJOIN(", ", TRUE, _xlfn.UNIQUE(_xlfn._xlws.FILTER('Shariah DataFeed'!F:F, 'Shariah DataFeed'!A:A=A53)))</f>
        <v>~300, ~3,800</v>
      </c>
      <c r="G53" s="107" t="str" cm="1">
        <f t="array" ref="G53">_xlfn.TEXTJOIN(", ", TRUE, _xlfn.UNIQUE(_xlfn._xlws.FILTER('Shariah DataFeed'!G:G, 'Shariah DataFeed'!A:A=A53)))</f>
        <v>Quarterly</v>
      </c>
      <c r="H53" s="106" t="str" cm="1">
        <f t="array" ref="H53">_xlfn.TEXTJOIN(", ", TRUE, _xlfn.UNIQUE(_xlfn._xlws.FILTER('Shariah DataFeed'!B:B, 'Shariah DataFeed'!A:A=A53)))</f>
        <v>Reuters</v>
      </c>
      <c r="I53" s="295" t="str" cm="1">
        <f t="array" ref="I53">_xlfn.TEXTJOIN(", ", TRUE, _xlfn.UNIQUE(_xlfn._xlws.FILTER('Shariah DataFeed'!D:D, 'Shariah DataFeed'!A:A=A53)))</f>
        <v>ISIN, SEDOL, Weight, Date, Code, Name,ISIN,Compliance Status,Purification</v>
      </c>
    </row>
    <row r="54" spans="1:9" ht="46">
      <c r="A54" s="108" t="s">
        <v>6</v>
      </c>
      <c r="B54" s="106" t="str">
        <f>IF(ISNA(VLOOKUP(A54,Service!B:B,1,0)),"No","Yes")</f>
        <v>No</v>
      </c>
      <c r="C54" s="106" t="s">
        <v>313</v>
      </c>
      <c r="D54" s="110" t="s">
        <v>442</v>
      </c>
      <c r="E54" s="295" t="str" cm="1">
        <f t="array" ref="E54">_xlfn.TEXTJOIN(", ", TRUE, _xlfn.UNIQUE(_xlfn._xlws.FILTER('Shariah DataFeed'!E:E, 'Shariah DataFeed'!A:A=A54)))</f>
        <v>Global</v>
      </c>
      <c r="F54" s="296" t="str" cm="1">
        <f t="array" ref="F54">_xlfn.TEXTJOIN(", ", TRUE, _xlfn.UNIQUE(_xlfn._xlws.FILTER('Shariah DataFeed'!F:F, 'Shariah DataFeed'!A:A=A54)))</f>
        <v>~27,600</v>
      </c>
      <c r="G54" s="107" t="str" cm="1">
        <f t="array" ref="G54">_xlfn.TEXTJOIN(", ", TRUE, _xlfn.UNIQUE(_xlfn._xlws.FILTER('Shariah DataFeed'!G:G, 'Shariah DataFeed'!A:A=A54)))</f>
        <v>Quarterly</v>
      </c>
      <c r="H54" s="106" t="str" cm="1">
        <f t="array" ref="H54">_xlfn.TEXTJOIN(", ", TRUE, _xlfn.UNIQUE(_xlfn._xlws.FILTER('Shariah DataFeed'!B:B, 'Shariah DataFeed'!A:A=A54)))</f>
        <v>Factset</v>
      </c>
      <c r="I54" s="295" t="str" cm="1">
        <f t="array" ref="I54">_xlfn.TEXTJOIN(", ", TRUE, _xlfn.UNIQUE(_xlfn._xlws.FILTER('Shariah DataFeed'!D:D, 'Shariah DataFeed'!A:A=A54)))</f>
        <v>IR WID, Name, ISIN, Ticker, SEDOL, FIGI, IdealRatings AM, IR WID, Name, ISIN, Ticker, SEDOL, FIGI, IdealRatings AM, IdealRatings REITs</v>
      </c>
    </row>
    <row r="55" spans="1:9" ht="23">
      <c r="A55" s="108" t="s">
        <v>24</v>
      </c>
      <c r="B55" s="106" t="str">
        <f>IF(ISNA(VLOOKUP(A55,Service!B:B,1,0)),"No","Yes")</f>
        <v>No</v>
      </c>
      <c r="C55" s="106" t="s">
        <v>313</v>
      </c>
      <c r="D55" s="110" t="s">
        <v>437</v>
      </c>
      <c r="E55" s="295" t="str" cm="1">
        <f t="array" ref="E55">_xlfn.TEXTJOIN(", ", TRUE, _xlfn.UNIQUE(_xlfn._xlws.FILTER('Shariah DataFeed'!E:E, 'Shariah DataFeed'!A:A=A55)))</f>
        <v>Global reits</v>
      </c>
      <c r="F55" s="296" t="str" cm="1">
        <f t="array" ref="F55">_xlfn.TEXTJOIN(", ", TRUE, _xlfn.UNIQUE(_xlfn._xlws.FILTER('Shariah DataFeed'!F:F, 'Shariah DataFeed'!A:A=A55)))</f>
        <v>~150</v>
      </c>
      <c r="G55" s="107" t="str" cm="1">
        <f t="array" ref="G55">_xlfn.TEXTJOIN(", ", TRUE, _xlfn.UNIQUE(_xlfn._xlws.FILTER('Shariah DataFeed'!G:G, 'Shariah DataFeed'!A:A=A55)))</f>
        <v>Semi Annually</v>
      </c>
      <c r="H55" s="106" t="str" cm="1">
        <f t="array" ref="H55">_xlfn.TEXTJOIN(", ", TRUE, _xlfn.UNIQUE(_xlfn._xlws.FILTER('Shariah DataFeed'!B:B, 'Shariah DataFeed'!A:A=A55)))</f>
        <v>Factset</v>
      </c>
      <c r="I55" s="295" t="str" cm="1">
        <f t="array" ref="I55">_xlfn.TEXTJOIN(", ", TRUE, _xlfn.UNIQUE(_xlfn._xlws.FILTER('Shariah DataFeed'!D:D, 'Shariah DataFeed'!A:A=A55)))</f>
        <v>Name, Nation, ISIN, Ticker</v>
      </c>
    </row>
    <row r="56" spans="1:9" ht="103.5">
      <c r="A56" s="125" t="s">
        <v>45</v>
      </c>
      <c r="B56" s="106" t="str">
        <f>IF(ISNA(VLOOKUP(A56,Service!B:B,1,0)),"No","Yes")</f>
        <v>No</v>
      </c>
      <c r="C56" s="106" t="s">
        <v>313</v>
      </c>
      <c r="D56" s="122" t="s">
        <v>441</v>
      </c>
      <c r="E56" s="295" t="str" cm="1">
        <f t="array" ref="E56">_xlfn.TEXTJOIN(", ", TRUE, _xlfn.UNIQUE(_xlfn._xlws.FILTER('Shariah DataFeed'!E:E, 'Shariah DataFeed'!A:A=A56)))</f>
        <v>Saudi-GCC</v>
      </c>
      <c r="F56" s="296" t="str" cm="1">
        <f t="array" ref="F56">_xlfn.TEXTJOIN(", ", TRUE, _xlfn.UNIQUE(_xlfn._xlws.FILTER('Shariah DataFeed'!F:F, 'Shariah DataFeed'!A:A=A56)))</f>
        <v>~700</v>
      </c>
      <c r="G56" s="107" t="str" cm="1">
        <f t="array" ref="G56">_xlfn.TEXTJOIN(", ", TRUE, _xlfn.UNIQUE(_xlfn._xlws.FILTER('Shariah DataFeed'!G:G, 'Shariah DataFeed'!A:A=A56)))</f>
        <v>Quarterly</v>
      </c>
      <c r="H56" s="106" t="str" cm="1">
        <f t="array" ref="H56">_xlfn.TEXTJOIN(", ", TRUE, _xlfn.UNIQUE(_xlfn._xlws.FILTER('Shariah DataFeed'!B:B, 'Shariah DataFeed'!A:A=A56)))</f>
        <v>Factset</v>
      </c>
      <c r="I56" s="295" t="str" cm="1">
        <f t="array" ref="I56">_xlfn.TEXTJOIN(", ", TRUE, _xlfn.UNIQUE(_xlfn._xlws.FILTER('Shariah DataFeed'!D:D, 'Shariah DataFeed'!A:A=A56)))</f>
        <v>Name, Nation, ISIN, Business Activities, Debt Conv , Cash and Cash Equivalents Total, Receivables Total, Cash and Short Term Inv Conv , [FransiCapital] Total NPIN (1) , Trailing 12 Months Market Cap Most Recent Statement, Income Total, [FransiCapital] Debt, [FransiCapital] Interest bearing Investments, [FransiCapital] Non permissible Income, FransiCapital, Fransi Capital Purification Div , Fiscal Period</v>
      </c>
    </row>
    <row r="57" spans="1:9" ht="23">
      <c r="A57" s="108" t="s">
        <v>46</v>
      </c>
      <c r="B57" s="106" t="str">
        <f>IF(ISNA(VLOOKUP(A57,Service!B:B,1,0)),"No","Yes")</f>
        <v>Yes</v>
      </c>
      <c r="C57" s="106" t="s">
        <v>313</v>
      </c>
      <c r="D57" s="110" t="s">
        <v>437</v>
      </c>
      <c r="E57" s="295" t="str" cm="1">
        <f t="array" ref="E57">_xlfn.TEXTJOIN(", ", TRUE, _xlfn.UNIQUE(_xlfn._xlws.FILTER('Shariah DataFeed'!E:E, 'Shariah DataFeed'!A:A=A57)))</f>
        <v>Global</v>
      </c>
      <c r="F57" s="296" t="str" cm="1">
        <f t="array" ref="F57">_xlfn.TEXTJOIN(", ", TRUE, _xlfn.UNIQUE(_xlfn._xlws.FILTER('Shariah DataFeed'!F:F, 'Shariah DataFeed'!A:A=A57)))</f>
        <v>~5,000</v>
      </c>
      <c r="G57" s="107" t="str" cm="1">
        <f t="array" ref="G57">_xlfn.TEXTJOIN(", ", TRUE, _xlfn.UNIQUE(_xlfn._xlws.FILTER('Shariah DataFeed'!G:G, 'Shariah DataFeed'!A:A=A57)))</f>
        <v>Quarterly</v>
      </c>
      <c r="H57" s="106" t="str" cm="1">
        <f t="array" ref="H57">_xlfn.TEXTJOIN(", ", TRUE, _xlfn.UNIQUE(_xlfn._xlws.FILTER('Shariah DataFeed'!B:B, 'Shariah DataFeed'!A:A=A57)))</f>
        <v>Reuters</v>
      </c>
      <c r="I57" s="295" t="str" cm="1">
        <f t="array" ref="I57">_xlfn.TEXTJOIN(", ", TRUE, _xlfn.UNIQUE(_xlfn._xlws.FILTER('Shariah DataFeed'!D:D, 'Shariah DataFeed'!A:A=A57)))</f>
        <v>Name, ISIN, Ticker, Compliance Status</v>
      </c>
    </row>
    <row r="58" spans="1:9" ht="75">
      <c r="A58" s="110" t="s">
        <v>142</v>
      </c>
      <c r="B58" s="106" t="str">
        <f>IF(ISNA(VLOOKUP(A58,Service!B:B,1,0)),"No","Yes")</f>
        <v>Yes</v>
      </c>
      <c r="C58" s="109" t="s">
        <v>313</v>
      </c>
      <c r="D58" s="122" t="s">
        <v>440</v>
      </c>
      <c r="E58" s="295" t="str" cm="1">
        <f t="array" ref="E58">_xlfn.TEXTJOIN(", ", TRUE, _xlfn.UNIQUE(_xlfn._xlws.FILTER('Shariah DataFeed'!E:E, 'Shariah DataFeed'!A:A=A58)))</f>
        <v>Global</v>
      </c>
      <c r="F58" s="296" t="str" cm="1">
        <f t="array" ref="F58">_xlfn.TEXTJOIN(", ", TRUE, _xlfn.UNIQUE(_xlfn._xlws.FILTER('Shariah DataFeed'!F:F, 'Shariah DataFeed'!A:A=A58)))</f>
        <v>~36,000</v>
      </c>
      <c r="G58" s="107" t="str" cm="1">
        <f t="array" ref="G58">_xlfn.TEXTJOIN(", ", TRUE, _xlfn.UNIQUE(_xlfn._xlws.FILTER('Shariah DataFeed'!G:G, 'Shariah DataFeed'!A:A=A58)))</f>
        <v>Quarterly</v>
      </c>
      <c r="H58" s="106" t="str" cm="1">
        <f t="array" ref="H58">_xlfn.TEXTJOIN(", ", TRUE, _xlfn.UNIQUE(_xlfn._xlws.FILTER('Shariah DataFeed'!B:B, 'Shariah DataFeed'!A:A=A58)))</f>
        <v>Reuters</v>
      </c>
      <c r="I58" s="295" t="str" cm="1">
        <f t="array" ref="I58">_xlfn.TEXTJOIN(", ", TRUE, _xlfn.UNIQUE(_xlfn._xlws.FILTER('Shariah DataFeed'!D:D, 'Shariah DataFeed'!A:A=A58)))</f>
        <v>Name,ISIN,Ticker,NCB Compliance,Nation,Business Activities, Fiscal Period,Nation,Interest bearing Debt, Interest bearing Investments ,NPIN Ratio, Purification Ratio,Total Common Shares
NCB old mandates
SRB, Name,Nation,ISIN,NCB Global</v>
      </c>
    </row>
    <row r="59" spans="1:9" ht="34.5">
      <c r="A59" s="24" t="s">
        <v>12</v>
      </c>
      <c r="B59" s="106" t="str">
        <f>IF(ISNA(VLOOKUP(A59,Service!B:B,1,0)),"No","Yes")</f>
        <v>No</v>
      </c>
      <c r="C59" s="109" t="s">
        <v>313</v>
      </c>
      <c r="D59" s="110" t="s">
        <v>460</v>
      </c>
      <c r="E59" s="295" t="str" cm="1">
        <f t="array" ref="E59">_xlfn.TEXTJOIN(", ", TRUE, _xlfn.UNIQUE(_xlfn._xlws.FILTER('Shariah DataFeed'!E:E, 'Shariah DataFeed'!A:A=A59)))</f>
        <v>Global</v>
      </c>
      <c r="F59" s="296" t="str" cm="1">
        <f t="array" ref="F59">_xlfn.TEXTJOIN(", ", TRUE, _xlfn.UNIQUE(_xlfn._xlws.FILTER('Shariah DataFeed'!F:F, 'Shariah DataFeed'!A:A=A59)))</f>
        <v>~16,000</v>
      </c>
      <c r="G59" s="107" t="str" cm="1">
        <f t="array" ref="G59">_xlfn.TEXTJOIN(", ", TRUE, _xlfn.UNIQUE(_xlfn._xlws.FILTER('Shariah DataFeed'!G:G, 'Shariah DataFeed'!A:A=A59)))</f>
        <v>Quarterly</v>
      </c>
      <c r="H59" s="106" t="str" cm="1">
        <f t="array" ref="H59">_xlfn.TEXTJOIN(", ", TRUE, _xlfn.UNIQUE(_xlfn._xlws.FILTER('Shariah DataFeed'!B:B, 'Shariah DataFeed'!A:A=A59)))</f>
        <v>Factset</v>
      </c>
      <c r="I59" s="295" t="str" cm="1">
        <f t="array" ref="I59">_xlfn.TEXTJOIN(", ", TRUE, _xlfn.UNIQUE(_xlfn._xlws.FILTER('Shariah DataFeed'!D:D, 'Shariah DataFeed'!A:A=A59)))</f>
        <v>Name, ISIN, Ticker, AAOIFI, Exchanges, Currency Code, Country</v>
      </c>
    </row>
    <row r="60" spans="1:9" ht="25">
      <c r="A60" s="110" t="s">
        <v>500</v>
      </c>
      <c r="B60" s="106" t="str">
        <f>IF(ISNA(VLOOKUP(A60,Service!B:B,1,0)),"No","Yes")</f>
        <v>No</v>
      </c>
      <c r="C60" s="109" t="s">
        <v>313</v>
      </c>
      <c r="D60" s="110" t="s">
        <v>948</v>
      </c>
      <c r="E60" s="295" t="str" cm="1">
        <f t="array" ref="E60">_xlfn.TEXTJOIN(", ", TRUE, _xlfn.UNIQUE(_xlfn._xlws.FILTER('Shariah DataFeed'!E:E, 'Shariah DataFeed'!A:A=A60)))</f>
        <v>GCC</v>
      </c>
      <c r="F60" s="296" t="str" cm="1">
        <f t="array" ref="F60">_xlfn.TEXTJOIN(", ", TRUE, _xlfn.UNIQUE(_xlfn._xlws.FILTER('Shariah DataFeed'!F:F, 'Shariah DataFeed'!A:A=A60)))</f>
        <v>20</v>
      </c>
      <c r="G60" s="107" t="str" cm="1">
        <f t="array" ref="G60">_xlfn.TEXTJOIN(", ", TRUE, _xlfn.UNIQUE(_xlfn._xlws.FILTER('Shariah DataFeed'!G:G, 'Shariah DataFeed'!A:A=A60)))</f>
        <v>Quarterly</v>
      </c>
      <c r="H60" s="106" t="str" cm="1">
        <f t="array" ref="H60">_xlfn.TEXTJOIN(", ", TRUE, _xlfn.UNIQUE(_xlfn._xlws.FILTER('Shariah DataFeed'!B:B, 'Shariah DataFeed'!A:A=A60)))</f>
        <v>Factset</v>
      </c>
      <c r="I60" s="295" t="str" cm="1">
        <f t="array" ref="I60">_xlfn.TEXTJOIN(", ", TRUE, _xlfn.UNIQUE(_xlfn._xlws.FILTER('Shariah DataFeed'!D:D, 'Shariah DataFeed'!A:A=A60)))</f>
        <v>Name,ISIN,S&amp;P shariah-based,[S&amp;P Shariah-based] Interest-bearing Debts</v>
      </c>
    </row>
  </sheetData>
  <autoFilter ref="A2:K60" xr:uid="{F1513B0A-4D4A-AF45-8721-862787575077}"/>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1C44E-BE80-6747-B279-C89F200DBE88}">
  <sheetPr>
    <tabColor theme="5"/>
  </sheetPr>
  <dimension ref="A1:I15"/>
  <sheetViews>
    <sheetView topLeftCell="H1" zoomScaleNormal="100" workbookViewId="0">
      <selection activeCell="J2" sqref="J2"/>
    </sheetView>
  </sheetViews>
  <sheetFormatPr defaultColWidth="21.1796875" defaultRowHeight="11.5"/>
  <cols>
    <col min="1" max="1" width="18" style="116" customWidth="1"/>
    <col min="2" max="3" width="11.36328125" style="105" customWidth="1"/>
    <col min="4" max="7" width="22.81640625" style="116" customWidth="1"/>
    <col min="8" max="8" width="16.81640625" style="105" bestFit="1" customWidth="1"/>
    <col min="9" max="9" width="100.6328125" style="116" customWidth="1"/>
    <col min="10" max="10" width="28" style="105" bestFit="1" customWidth="1"/>
    <col min="11" max="16384" width="21.1796875" style="105"/>
  </cols>
  <sheetData>
    <row r="1" spans="1:9" s="132" customFormat="1" ht="14" customHeight="1" thickBot="1">
      <c r="A1" s="117" t="s">
        <v>808</v>
      </c>
      <c r="B1" s="118" t="s">
        <v>279</v>
      </c>
      <c r="C1" s="118" t="s">
        <v>303</v>
      </c>
      <c r="D1" s="118" t="s">
        <v>431</v>
      </c>
      <c r="E1" s="118" t="s">
        <v>493</v>
      </c>
      <c r="F1" s="118" t="s">
        <v>811</v>
      </c>
      <c r="G1" s="118" t="s">
        <v>815</v>
      </c>
      <c r="H1" s="119" t="s">
        <v>375</v>
      </c>
      <c r="I1" s="120" t="s">
        <v>50</v>
      </c>
    </row>
    <row r="2" spans="1:9" ht="12" thickBot="1">
      <c r="A2" s="135"/>
      <c r="B2" s="101"/>
      <c r="C2" s="101" t="s">
        <v>430</v>
      </c>
      <c r="D2" s="101"/>
      <c r="E2" s="133"/>
      <c r="F2" s="133"/>
      <c r="G2" s="133"/>
      <c r="H2" s="103"/>
      <c r="I2" s="136"/>
    </row>
    <row r="3" spans="1:9" ht="23">
      <c r="A3" s="1" t="s">
        <v>204</v>
      </c>
      <c r="B3" s="106" t="s">
        <v>297</v>
      </c>
      <c r="C3" s="109" t="s">
        <v>297</v>
      </c>
      <c r="D3" s="107" t="s">
        <v>471</v>
      </c>
      <c r="E3" s="107"/>
      <c r="F3" s="107"/>
      <c r="H3" s="204" t="str" cm="1">
        <f t="array" ref="H3">_xlfn.TEXTJOIN(", ", TRUE, _xlfn._xlws.FILTER('ESG Consalidated'!D:D, 'ESG Consalidated'!A:A=A3, ""))</f>
        <v>FactSet: NPIN &amp; Qual
Reuters: Metric</v>
      </c>
      <c r="I3" s="203" t="str" cm="1">
        <f t="array" ref="I3">_xlfn.TEXTJOIN(", ", TRUE, _xlfn._xlws.FILTER(ESG!B:B, ESG!A:A=A3, ""))</f>
        <v>NPIN, Carbonfoot print "Caclculated using Marketcap, debt and minority interest", Metric Intensity "Using Revenue"</v>
      </c>
    </row>
    <row r="4" spans="1:9" ht="12.5">
      <c r="A4" s="108" t="s">
        <v>187</v>
      </c>
      <c r="B4" s="109" t="s">
        <v>297</v>
      </c>
      <c r="C4" s="109" t="s">
        <v>297</v>
      </c>
      <c r="D4" s="110"/>
      <c r="E4" s="107"/>
      <c r="F4" s="107"/>
      <c r="H4" s="204" t="str" cm="1">
        <f t="array" ref="H4">_xlfn.TEXTJOIN(", ", TRUE, _xlfn._xlws.FILTER('ESG Consalidated'!D:D, 'ESG Consalidated'!A:A=A4, ""))</f>
        <v>FactSet: NPIN</v>
      </c>
      <c r="I4" s="203" t="str" cm="1">
        <f t="array" ref="I4">_xlfn.TEXTJOIN(", ", TRUE, _xlfn._xlws.FILTER(ESG!B:B, ESG!A:A=A4, ""))</f>
        <v>NPIN</v>
      </c>
    </row>
    <row r="5" spans="1:9" ht="23">
      <c r="A5" s="137" t="s">
        <v>207</v>
      </c>
      <c r="B5" s="109" t="s">
        <v>297</v>
      </c>
      <c r="C5" s="109" t="s">
        <v>297</v>
      </c>
      <c r="D5" s="107" t="s">
        <v>471</v>
      </c>
      <c r="E5" s="107"/>
      <c r="F5" s="107"/>
      <c r="H5" s="204" t="str" cm="1">
        <f t="array" ref="H5">_xlfn.TEXTJOIN(", ", TRUE, _xlfn._xlws.FILTER('ESG Consalidated'!D:D, 'ESG Consalidated'!A:A=A5, ""))</f>
        <v>FactSet: NPIN &amp; Qual
Reuters: Metric</v>
      </c>
      <c r="I5" s="203" t="str" cm="1">
        <f t="array" ref="I5">_xlfn.TEXTJOIN(", ", TRUE, _xlfn._xlws.FILTER(ESG!B:B, ESG!A:A=A5, ""))</f>
        <v>NPIN, Carbonfoot print "Caclculated using Marketcap, debt and minority interest", Metric Intensity "Using Revenue"</v>
      </c>
    </row>
    <row r="6" spans="1:9" ht="25">
      <c r="A6" s="108" t="s">
        <v>190</v>
      </c>
      <c r="B6" s="109" t="s">
        <v>297</v>
      </c>
      <c r="C6" s="109" t="s">
        <v>297</v>
      </c>
      <c r="D6" s="107" t="s">
        <v>471</v>
      </c>
      <c r="E6" s="110"/>
      <c r="F6" s="110"/>
      <c r="H6" s="204" t="str" cm="1">
        <f t="array" ref="H6">_xlfn.TEXTJOIN(", ", TRUE, _xlfn._xlws.FILTER('ESG Consalidated'!D:D, 'ESG Consalidated'!A:A=A6, ""))</f>
        <v>FactSet: NPIN &amp; Qual
Reuters: Metric</v>
      </c>
      <c r="I6" s="203" t="str" cm="1">
        <f t="array" ref="I6">_xlfn.TEXTJOIN(", ", TRUE, _xlfn._xlws.FILTER(ESG!B:B, ESG!A:A=A6, ""))</f>
        <v>NPIN, Carbonfoot print "Caclculated using Marketcap, debt and minority interest", Metric Intensity "Using Revenue", calculating intensity "Revenue in controversies"</v>
      </c>
    </row>
    <row r="7" spans="1:9" ht="12.5">
      <c r="A7" s="108" t="s">
        <v>203</v>
      </c>
      <c r="B7" s="109" t="s">
        <v>297</v>
      </c>
      <c r="C7" s="109" t="s">
        <v>297</v>
      </c>
      <c r="D7" s="107" t="s">
        <v>471</v>
      </c>
      <c r="E7" s="110"/>
      <c r="F7" s="110"/>
      <c r="H7" s="204" t="str" cm="1">
        <f t="array" ref="H7">_xlfn.TEXTJOIN(", ", TRUE, _xlfn._xlws.FILTER('ESG Consalidated'!D:D, 'ESG Consalidated'!A:A=A7, ""))</f>
        <v/>
      </c>
      <c r="I7" s="203" t="str" cm="1">
        <f t="array" ref="I7">_xlfn.TEXTJOIN(", ", TRUE, _xlfn._xlws.FILTER(ESG!B:B, ESG!A:A=A7, ""))</f>
        <v/>
      </c>
    </row>
    <row r="8" spans="1:9" ht="12.5">
      <c r="A8" s="108" t="s">
        <v>205</v>
      </c>
      <c r="B8" s="109" t="s">
        <v>297</v>
      </c>
      <c r="C8" s="109" t="s">
        <v>297</v>
      </c>
      <c r="D8" s="107" t="s">
        <v>471</v>
      </c>
      <c r="E8" s="110"/>
      <c r="F8" s="110"/>
      <c r="H8" s="204" t="str" cm="1">
        <f t="array" ref="H8">_xlfn.TEXTJOIN(", ", TRUE, _xlfn._xlws.FILTER('ESG Consalidated'!D:D, 'ESG Consalidated'!A:A=A8, ""))</f>
        <v/>
      </c>
      <c r="I8" s="203" t="str" cm="1">
        <f t="array" ref="I8">_xlfn.TEXTJOIN(", ", TRUE, _xlfn._xlws.FILTER(ESG!B:B, ESG!A:A=A8, ""))</f>
        <v/>
      </c>
    </row>
    <row r="9" spans="1:9" ht="23">
      <c r="A9" s="108" t="s">
        <v>197</v>
      </c>
      <c r="B9" s="109" t="s">
        <v>297</v>
      </c>
      <c r="C9" s="109" t="s">
        <v>297</v>
      </c>
      <c r="D9" s="107" t="s">
        <v>471</v>
      </c>
      <c r="E9" s="110"/>
      <c r="F9" s="110"/>
      <c r="H9" s="204" t="str" cm="1">
        <f t="array" ref="H9">_xlfn.TEXTJOIN(", ", TRUE, _xlfn._xlws.FILTER('ESG Consalidated'!D:D, 'ESG Consalidated'!A:A=A9, ""))</f>
        <v>FactSet: NPIN &amp; Qual
Reuters: Metric</v>
      </c>
      <c r="I9" s="203" t="str" cm="1">
        <f t="array" ref="I9">_xlfn.TEXTJOIN(", ", TRUE, _xlfn._xlws.FILTER(ESG!B:B, ESG!A:A=A9, ""))</f>
        <v>NPIN, Carbonfoot print "Caclculated using Marketcap, debt and minority interest", Metric Intensity "Using Revenue"</v>
      </c>
    </row>
    <row r="10" spans="1:9" ht="12.5">
      <c r="A10" s="108" t="s">
        <v>202</v>
      </c>
      <c r="B10" s="109" t="s">
        <v>297</v>
      </c>
      <c r="C10" s="109" t="s">
        <v>297</v>
      </c>
      <c r="D10" s="107" t="s">
        <v>471</v>
      </c>
      <c r="E10" s="110"/>
      <c r="F10" s="110"/>
      <c r="H10" s="204" t="str" cm="1">
        <f t="array" ref="H10">_xlfn.TEXTJOIN(", ", TRUE, _xlfn._xlws.FILTER('ESG Consalidated'!D:D, 'ESG Consalidated'!A:A=A10, ""))</f>
        <v/>
      </c>
      <c r="I10" s="203" t="str" cm="1">
        <f t="array" ref="I10">_xlfn.TEXTJOIN(", ", TRUE, _xlfn._xlws.FILTER(ESG!B:B, ESG!A:A=A10, ""))</f>
        <v/>
      </c>
    </row>
    <row r="11" spans="1:9" ht="23">
      <c r="A11" s="108" t="s">
        <v>199</v>
      </c>
      <c r="B11" s="109" t="s">
        <v>313</v>
      </c>
      <c r="C11" s="109" t="s">
        <v>297</v>
      </c>
      <c r="D11" s="107" t="s">
        <v>471</v>
      </c>
      <c r="E11" s="110"/>
      <c r="F11" s="110"/>
      <c r="H11" s="204" t="str" cm="1">
        <f t="array" ref="H11">_xlfn.TEXTJOIN(", ", TRUE, _xlfn._xlws.FILTER('ESG Consalidated'!D:D, 'ESG Consalidated'!A:A=A11, ""))</f>
        <v>FactSet: NPIN &amp; Qual
Reuters: Metric</v>
      </c>
      <c r="I11" s="203" t="str" cm="1">
        <f t="array" ref="I11">_xlfn.TEXTJOIN(", ", TRUE, _xlfn._xlws.FILTER(ESG!B:B, ESG!A:A=A11, ""))</f>
        <v>NPIN, Metric Intensity "Using Revenue"</v>
      </c>
    </row>
    <row r="12" spans="1:9" ht="23">
      <c r="A12" s="108" t="s">
        <v>200</v>
      </c>
      <c r="B12" s="109" t="s">
        <v>297</v>
      </c>
      <c r="C12" s="109" t="s">
        <v>297</v>
      </c>
      <c r="D12" s="107" t="s">
        <v>471</v>
      </c>
      <c r="E12" s="110"/>
      <c r="F12" s="110"/>
      <c r="H12" s="204" t="str" cm="1">
        <f t="array" ref="H12">_xlfn.TEXTJOIN(", ", TRUE, _xlfn._xlws.FILTER('ESG Consalidated'!D:D, 'ESG Consalidated'!A:A=A12, ""))</f>
        <v>FactSet: NPIN &amp; Qual
Reuters: Metric</v>
      </c>
      <c r="I12" s="203" t="str" cm="1">
        <f t="array" ref="I12">_xlfn.TEXTJOIN(", ", TRUE, _xlfn._xlws.FILTER(ESG!B:B, ESG!A:A=A12, ""))</f>
        <v>NPIN, Carbonfoot print "Caclculated using Marketcap, debt and minority interest", Metric Intensity "Using Revenue"</v>
      </c>
    </row>
    <row r="13" spans="1:9" ht="23">
      <c r="A13" s="108" t="s">
        <v>198</v>
      </c>
      <c r="B13" s="109" t="s">
        <v>297</v>
      </c>
      <c r="C13" s="109" t="s">
        <v>297</v>
      </c>
      <c r="D13" s="107" t="s">
        <v>471</v>
      </c>
      <c r="E13" s="110"/>
      <c r="F13" s="110"/>
      <c r="H13" s="204" t="str" cm="1">
        <f t="array" ref="H13">_xlfn.TEXTJOIN(", ", TRUE, _xlfn._xlws.FILTER('ESG Consalidated'!D:D, 'ESG Consalidated'!A:A=A13, ""))</f>
        <v>FactSet: NPIN &amp; Qual
Reuters: Metric</v>
      </c>
      <c r="I13" s="203" t="str" cm="1">
        <f t="array" ref="I13">_xlfn.TEXTJOIN(", ", TRUE, _xlfn._xlws.FILTER(ESG!B:B, ESG!A:A=A13, ""))</f>
        <v>NPIN, Carbonfoot print "Caclculated using Marketcap, debt and minority interest", Metric Intensity "Using Revenue"</v>
      </c>
    </row>
    <row r="14" spans="1:9" ht="23">
      <c r="A14" s="108" t="s">
        <v>201</v>
      </c>
      <c r="B14" s="109" t="s">
        <v>297</v>
      </c>
      <c r="C14" s="138" t="s">
        <v>313</v>
      </c>
      <c r="D14" s="201"/>
      <c r="E14" s="110"/>
      <c r="F14" s="110"/>
      <c r="H14" s="204" t="str" cm="1">
        <f t="array" ref="H14">_xlfn.TEXTJOIN(", ", TRUE, _xlfn._xlws.FILTER('ESG Consalidated'!D:D, 'ESG Consalidated'!A:A=A14, ""))</f>
        <v>FactSet: NPIN &amp; Qual
Reuters: Metric</v>
      </c>
      <c r="I14" s="203" t="str" cm="1">
        <f t="array" ref="I14">_xlfn.TEXTJOIN(", ", TRUE, _xlfn._xlws.FILTER(ESG!B:B, ESG!A:A=A14, ""))</f>
        <v>NPIN, Carbonfoot print "Caclculated using Marketcap, debt and minority interest", Metric Intensity "Using Revenue"</v>
      </c>
    </row>
    <row r="15" spans="1:9" ht="13" thickBot="1">
      <c r="A15" s="113" t="s">
        <v>206</v>
      </c>
      <c r="B15" s="114" t="s">
        <v>297</v>
      </c>
      <c r="C15" s="109" t="s">
        <v>297</v>
      </c>
      <c r="D15" s="107" t="s">
        <v>471</v>
      </c>
      <c r="E15" s="110"/>
      <c r="F15" s="110"/>
      <c r="H15" s="204" t="str" cm="1">
        <f t="array" ref="H15">_xlfn.TEXTJOIN(", ", TRUE, _xlfn._xlws.FILTER('ESG Consalidated'!D:D, 'ESG Consalidated'!A:A=A15, ""))</f>
        <v/>
      </c>
      <c r="I15" s="203" t="str" cm="1">
        <f t="array" ref="I15">_xlfn.TEXTJOIN(", ", TRUE, _xlfn._xlws.FILTER(ESG!B:B, ESG!A:A=A15, ""))</f>
        <v/>
      </c>
    </row>
  </sheetData>
  <autoFilter ref="A1:I15" xr:uid="{B8C1C44E-BE80-6747-B279-C89F200DBE88}"/>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495DB-E806-2B4C-812B-EE9D8E180A3C}">
  <sheetPr>
    <tabColor theme="5"/>
  </sheetPr>
  <dimension ref="A1:G39"/>
  <sheetViews>
    <sheetView topLeftCell="A21" zoomScaleNormal="100" workbookViewId="0">
      <selection activeCell="A27" sqref="A27"/>
    </sheetView>
  </sheetViews>
  <sheetFormatPr defaultColWidth="21.1796875" defaultRowHeight="18" customHeight="1"/>
  <cols>
    <col min="1" max="1" width="18" style="116" customWidth="1"/>
    <col min="2" max="2" width="11.36328125" style="105" customWidth="1"/>
    <col min="3" max="3" width="13.1796875" style="105" customWidth="1"/>
    <col min="4" max="5" width="22.81640625" style="116" customWidth="1"/>
    <col min="6" max="6" width="14.6328125" style="105" customWidth="1"/>
    <col min="7" max="7" width="48.1796875" style="116" customWidth="1"/>
    <col min="8" max="8" width="52.6328125" style="105" customWidth="1"/>
    <col min="9" max="16384" width="21.1796875" style="105"/>
  </cols>
  <sheetData>
    <row r="1" spans="1:7" s="121" customFormat="1" ht="12" thickBot="1">
      <c r="A1" s="117" t="s">
        <v>808</v>
      </c>
      <c r="B1" s="118" t="s">
        <v>279</v>
      </c>
      <c r="C1" s="118" t="s">
        <v>303</v>
      </c>
      <c r="D1" s="118" t="s">
        <v>431</v>
      </c>
      <c r="E1" s="118" t="s">
        <v>812</v>
      </c>
      <c r="F1" s="119" t="s">
        <v>375</v>
      </c>
      <c r="G1" s="120" t="s">
        <v>50</v>
      </c>
    </row>
    <row r="2" spans="1:7" ht="12" thickBot="1">
      <c r="A2" s="100"/>
      <c r="B2" s="101"/>
      <c r="C2" s="101" t="s">
        <v>430</v>
      </c>
      <c r="D2" s="102"/>
      <c r="E2" s="102"/>
      <c r="F2" s="103"/>
      <c r="G2" s="104"/>
    </row>
    <row r="3" spans="1:7" ht="25">
      <c r="A3" s="124" t="s">
        <v>212</v>
      </c>
      <c r="B3" s="106" t="s">
        <v>297</v>
      </c>
      <c r="C3" s="106" t="s">
        <v>313</v>
      </c>
      <c r="D3" s="107"/>
      <c r="E3" s="107" t="s">
        <v>814</v>
      </c>
      <c r="F3" s="106" t="s">
        <v>2</v>
      </c>
      <c r="G3" s="203" t="str" cm="1">
        <f t="array" ref="G3">_xlfn.TEXTJOIN(", ", TRUE, _xlfn._xlws.FILTER('Purif &amp; Zakat'!E:E, 'Purif &amp; Zakat'!C:C=A3, ""))</f>
        <v>Weighted Sum of Non-permissible Income, Weighted Sum of Total Income, Purification per ETF Share</v>
      </c>
    </row>
    <row r="4" spans="1:7" ht="50">
      <c r="A4" s="125" t="s">
        <v>25</v>
      </c>
      <c r="B4" s="109" t="s">
        <v>297</v>
      </c>
      <c r="C4" s="109" t="s">
        <v>313</v>
      </c>
      <c r="D4" s="110" t="s">
        <v>476</v>
      </c>
      <c r="E4" s="110"/>
      <c r="F4" s="109" t="s">
        <v>2</v>
      </c>
      <c r="G4" s="203" t="str" cm="1">
        <f t="array" ref="G4">_xlfn.TEXTJOIN(", ", TRUE, _xlfn._xlws.FILTER('Purif &amp; Zakat'!E:E, 'Purif &amp; Zakat'!C:C=A4, ""))</f>
        <v>Name, Purification, Name,Compliance Status,Purification,Nation,Ticker,Business Activities,[NCB Global] Debt/ T36 MC,[NCB Global] Cash &amp; Short termInv./ T36 MC,[NCB Global] Purification (Div.)</v>
      </c>
    </row>
    <row r="5" spans="1:7" ht="12.5">
      <c r="A5" s="125" t="s">
        <v>217</v>
      </c>
      <c r="B5" s="109" t="s">
        <v>297</v>
      </c>
      <c r="C5" s="109" t="s">
        <v>313</v>
      </c>
      <c r="D5" s="110"/>
      <c r="E5" s="110"/>
      <c r="F5" s="109" t="s">
        <v>2</v>
      </c>
      <c r="G5" s="203" t="str" cm="1">
        <f t="array" ref="G5">_xlfn.TEXTJOIN(", ", TRUE, _xlfn._xlws.FILTER('Purif &amp; Zakat'!E:E, 'Purif &amp; Zakat'!C:C=A5, ""))</f>
        <v>Name,Compliance,Purification</v>
      </c>
    </row>
    <row r="6" spans="1:7" ht="12.5">
      <c r="A6" s="108" t="s">
        <v>247</v>
      </c>
      <c r="B6" s="109" t="s">
        <v>313</v>
      </c>
      <c r="C6" s="109" t="s">
        <v>313</v>
      </c>
      <c r="D6" s="110"/>
      <c r="E6" s="110"/>
      <c r="F6" s="109" t="s">
        <v>2</v>
      </c>
      <c r="G6" s="203" t="str" cm="1">
        <f t="array" ref="G6">_xlfn.TEXTJOIN(", ", TRUE, _xlfn._xlws.FILTER('Purif &amp; Zakat'!E:E, 'Purif &amp; Zakat'!C:C=A6, ""))</f>
        <v>Compliance</v>
      </c>
    </row>
    <row r="7" spans="1:7" ht="12.5">
      <c r="A7" s="108" t="s">
        <v>368</v>
      </c>
      <c r="B7" s="109" t="s">
        <v>313</v>
      </c>
      <c r="C7" s="109" t="s">
        <v>313</v>
      </c>
      <c r="D7" s="110"/>
      <c r="E7" s="110"/>
      <c r="F7" s="109" t="s">
        <v>2</v>
      </c>
      <c r="G7" s="203" t="str" cm="1">
        <f t="array" ref="G7">_xlfn.TEXTJOIN(", ", TRUE, _xlfn._xlws.FILTER('Purif &amp; Zakat'!E:E, 'Purif &amp; Zakat'!C:C=A7, ""))</f>
        <v>Compliance</v>
      </c>
    </row>
    <row r="8" spans="1:7" ht="12.5">
      <c r="A8" s="125" t="s">
        <v>373</v>
      </c>
      <c r="B8" s="109" t="s">
        <v>297</v>
      </c>
      <c r="C8" s="109" t="s">
        <v>297</v>
      </c>
      <c r="D8" s="110"/>
      <c r="E8" s="110"/>
      <c r="F8" s="109" t="s">
        <v>2</v>
      </c>
      <c r="G8" s="203" t="str" cm="1">
        <f t="array" ref="G8">_xlfn.TEXTJOIN(", ", TRUE, _xlfn._xlws.FILTER('Purif &amp; Zakat'!E:E, 'Purif &amp; Zakat'!C:C=A8, ""))</f>
        <v>Name, Purification</v>
      </c>
    </row>
    <row r="9" spans="1:7" ht="12.5">
      <c r="A9" s="108" t="s">
        <v>28</v>
      </c>
      <c r="B9" s="109" t="s">
        <v>313</v>
      </c>
      <c r="C9" s="109" t="s">
        <v>297</v>
      </c>
      <c r="D9" s="110"/>
      <c r="E9" s="110"/>
      <c r="F9" s="109" t="s">
        <v>2</v>
      </c>
      <c r="G9" s="203" t="str" cm="1">
        <f t="array" ref="G9">_xlfn.TEXTJOIN(", ", TRUE, _xlfn._xlws.FILTER('Purif &amp; Zakat'!E:E, 'Purif &amp; Zakat'!C:C=A9, ""))</f>
        <v>Name/History, Purification</v>
      </c>
    </row>
    <row r="10" spans="1:7" ht="25">
      <c r="A10" s="108" t="s">
        <v>33</v>
      </c>
      <c r="B10" s="109" t="s">
        <v>313</v>
      </c>
      <c r="C10" s="109" t="s">
        <v>313</v>
      </c>
      <c r="D10" s="110"/>
      <c r="E10" s="110"/>
      <c r="F10" s="109" t="s">
        <v>2</v>
      </c>
      <c r="G10" s="203" t="str" cm="1">
        <f t="array" ref="G10">_xlfn.TEXTJOIN(", ", TRUE, _xlfn._xlws.FILTER('Purif &amp; Zakat'!E:E, 'Purif &amp; Zakat'!C:C=A10, ""))</f>
        <v>Name,Compliance Status,Purification, Compliance, [AlJazeera RB1]Purification (Div.)</v>
      </c>
    </row>
    <row r="11" spans="1:7" ht="12.5">
      <c r="A11" s="126" t="s">
        <v>20</v>
      </c>
      <c r="B11" s="112" t="s">
        <v>297</v>
      </c>
      <c r="C11" s="109" t="s">
        <v>297</v>
      </c>
      <c r="D11" s="110"/>
      <c r="E11" s="110"/>
      <c r="F11" s="109" t="s">
        <v>2</v>
      </c>
      <c r="G11" s="203" t="str" cm="1">
        <f t="array" ref="G11">_xlfn.TEXTJOIN(", ", TRUE, _xlfn._xlws.FILTER('Purif &amp; Zakat'!E:E, 'Purif &amp; Zakat'!C:C=A11, ""))</f>
        <v>Name, Purification Per Share, Purification</v>
      </c>
    </row>
    <row r="12" spans="1:7" ht="12.5">
      <c r="A12" s="125" t="s">
        <v>223</v>
      </c>
      <c r="B12" s="109" t="s">
        <v>297</v>
      </c>
      <c r="C12" s="109" t="s">
        <v>297</v>
      </c>
      <c r="D12" s="110" t="s">
        <v>446</v>
      </c>
      <c r="E12" s="110"/>
      <c r="F12" s="109" t="s">
        <v>2</v>
      </c>
      <c r="G12" s="203" t="str" cm="1">
        <f t="array" ref="G12">_xlfn.TEXTJOIN(", ", TRUE, _xlfn._xlws.FILTER('Purif &amp; Zakat'!E:E, 'Purif &amp; Zakat'!C:C=A12, ""))</f>
        <v>Name,ISIN,Purification Per Share</v>
      </c>
    </row>
    <row r="13" spans="1:7" ht="12.5">
      <c r="A13" s="125" t="s">
        <v>4</v>
      </c>
      <c r="B13" s="109" t="s">
        <v>297</v>
      </c>
      <c r="C13" s="109" t="s">
        <v>313</v>
      </c>
      <c r="D13" s="110"/>
      <c r="E13" s="110"/>
      <c r="F13" s="109" t="s">
        <v>2</v>
      </c>
      <c r="G13" s="203" t="str" cm="1">
        <f t="array" ref="G13">_xlfn.TEXTJOIN(", ", TRUE, _xlfn._xlws.FILTER('Purif &amp; Zakat'!E:E, 'Purif &amp; Zakat'!C:C=A13, ""))</f>
        <v>Name,Compliance Status,Purification</v>
      </c>
    </row>
    <row r="14" spans="1:7" ht="12.5">
      <c r="A14" s="125" t="s">
        <v>8</v>
      </c>
      <c r="B14" s="109" t="s">
        <v>297</v>
      </c>
      <c r="C14" s="109" t="s">
        <v>313</v>
      </c>
      <c r="D14" s="110"/>
      <c r="E14" s="110"/>
      <c r="F14" s="109" t="s">
        <v>2</v>
      </c>
      <c r="G14" s="203" t="str" cm="1">
        <f t="array" ref="G14">_xlfn.TEXTJOIN(", ", TRUE, _xlfn._xlws.FILTER('Purif &amp; Zakat'!E:E, 'Purif &amp; Zakat'!C:C=A14, ""))</f>
        <v>Name,Compliance Status,Purification</v>
      </c>
    </row>
    <row r="15" spans="1:7" ht="12.5">
      <c r="A15" s="125" t="s">
        <v>23</v>
      </c>
      <c r="B15" s="109"/>
      <c r="C15" s="109" t="s">
        <v>313</v>
      </c>
      <c r="D15" s="110"/>
      <c r="E15" s="110"/>
      <c r="F15" s="109" t="s">
        <v>2</v>
      </c>
      <c r="G15" s="203" t="str" cm="1">
        <f t="array" ref="G15">_xlfn.TEXTJOIN(", ", TRUE, _xlfn._xlws.FILTER('Purif &amp; Zakat'!E:E, 'Purif &amp; Zakat'!C:C=A15, ""))</f>
        <v>Name,Compliance Status,Purification</v>
      </c>
    </row>
    <row r="16" spans="1:7" ht="12.5">
      <c r="A16" s="125" t="s">
        <v>5</v>
      </c>
      <c r="B16" s="109" t="s">
        <v>297</v>
      </c>
      <c r="C16" s="109" t="s">
        <v>313</v>
      </c>
      <c r="D16" s="110" t="s">
        <v>446</v>
      </c>
      <c r="E16" s="110"/>
      <c r="F16" s="109" t="s">
        <v>2</v>
      </c>
      <c r="G16" s="203" t="str" cm="1">
        <f t="array" ref="G16">_xlfn.TEXTJOIN(", ", TRUE, _xlfn._xlws.FILTER('Purif &amp; Zakat'!E:E, 'Purif &amp; Zakat'!C:C=A16, ""))</f>
        <v>Name, Ticker, ISIN, Compliance Status, Purification</v>
      </c>
    </row>
    <row r="17" spans="1:7" ht="25">
      <c r="A17" s="370" t="s">
        <v>951</v>
      </c>
      <c r="B17" s="109" t="s">
        <v>313</v>
      </c>
      <c r="C17" s="109" t="s">
        <v>313</v>
      </c>
      <c r="D17" s="110" t="s">
        <v>477</v>
      </c>
      <c r="E17" s="110"/>
      <c r="F17" s="109" t="s">
        <v>2</v>
      </c>
      <c r="G17" s="203" t="str" cm="1">
        <f t="array" ref="G17">_xlfn.TEXTJOIN(", ", TRUE, _xlfn._xlws.FILTER('Purif &amp; Zakat'!E:E, 'Purif &amp; Zakat'!C:C=A17, ""))</f>
        <v>Name,Compliance Status,Dividends Per Share,Purification Per Share,Purification</v>
      </c>
    </row>
    <row r="18" spans="1:7" ht="12.5">
      <c r="A18" s="125" t="s">
        <v>226</v>
      </c>
      <c r="B18" s="109" t="s">
        <v>297</v>
      </c>
      <c r="C18" s="109" t="s">
        <v>313</v>
      </c>
      <c r="D18" s="110"/>
      <c r="E18" s="110"/>
      <c r="F18" s="109" t="s">
        <v>2</v>
      </c>
      <c r="G18" s="203" t="str" cm="1">
        <f t="array" ref="G18">_xlfn.TEXTJOIN(", ", TRUE, _xlfn._xlws.FILTER('Purif &amp; Zakat'!E:E, 'Purif &amp; Zakat'!C:C=A18, ""))</f>
        <v>Name,Compliance Status,Purification</v>
      </c>
    </row>
    <row r="19" spans="1:7" ht="25">
      <c r="A19" s="125" t="s">
        <v>228</v>
      </c>
      <c r="B19" s="109" t="s">
        <v>297</v>
      </c>
      <c r="C19" s="109" t="s">
        <v>313</v>
      </c>
      <c r="D19" s="110"/>
      <c r="E19" s="110"/>
      <c r="F19" s="109" t="s">
        <v>2</v>
      </c>
      <c r="G19" s="203" t="str" cm="1">
        <f t="array" ref="G19">_xlfn.TEXTJOIN(", ", TRUE, _xlfn._xlws.FILTER('Purif &amp; Zakat'!E:E, 'Purif &amp; Zakat'!C:C=A19, ""))</f>
        <v>Security Name, Dividend Purification Ratio
Originator, Structure, Purification Ratio (for Sukuk Index)</v>
      </c>
    </row>
    <row r="20" spans="1:7" ht="37.5">
      <c r="A20" s="125" t="s">
        <v>231</v>
      </c>
      <c r="B20" s="109" t="s">
        <v>297</v>
      </c>
      <c r="C20" s="109" t="s">
        <v>297</v>
      </c>
      <c r="D20" s="110" t="s">
        <v>461</v>
      </c>
      <c r="E20" s="110"/>
      <c r="F20" s="109" t="s">
        <v>2</v>
      </c>
      <c r="G20" s="203" t="str" cm="1">
        <f t="array" ref="G20">_xlfn.TEXTJOIN(", ", TRUE, _xlfn._xlws.FILTER('Purif &amp; Zakat'!E:E, 'Purif &amp; Zakat'!C:C=A20, ""))</f>
        <v>Name,Ticker,Purification,Compliance Status, Zakat Amount (Ticker could be replaced by ISIN since they give us ISINs)</v>
      </c>
    </row>
    <row r="21" spans="1:7" ht="12.5">
      <c r="A21" s="108" t="s">
        <v>245</v>
      </c>
      <c r="B21" s="109" t="s">
        <v>313</v>
      </c>
      <c r="C21" s="109" t="s">
        <v>313</v>
      </c>
      <c r="D21" s="110"/>
      <c r="E21" s="110" t="s">
        <v>246</v>
      </c>
      <c r="F21" s="195" t="s">
        <v>1</v>
      </c>
      <c r="G21" s="203" t="str" cm="1">
        <f t="array" ref="G21">_xlfn.TEXTJOIN(", ", TRUE, _xlfn._xlws.FILTER('Purif &amp; Zakat'!E:E, 'Purif &amp; Zakat'!C:C=A21, ""))</f>
        <v>Total Zakat payable</v>
      </c>
    </row>
    <row r="22" spans="1:7" ht="12.5">
      <c r="A22" s="125" t="s">
        <v>29</v>
      </c>
      <c r="B22" s="109" t="s">
        <v>297</v>
      </c>
      <c r="C22" s="109" t="s">
        <v>297</v>
      </c>
      <c r="D22" s="110"/>
      <c r="E22" s="110"/>
      <c r="F22" s="109" t="s">
        <v>2</v>
      </c>
      <c r="G22" s="203" t="str" cm="1">
        <f t="array" ref="G22">_xlfn.TEXTJOIN(", ", TRUE, _xlfn._xlws.FILTER('Purif &amp; Zakat'!E:E, 'Purif &amp; Zakat'!C:C=A22, ""))</f>
        <v>Name,Purification</v>
      </c>
    </row>
    <row r="23" spans="1:7" ht="12.5">
      <c r="A23" s="108" t="s">
        <v>232</v>
      </c>
      <c r="B23" s="109" t="s">
        <v>313</v>
      </c>
      <c r="C23" s="109" t="s">
        <v>475</v>
      </c>
      <c r="D23" s="110"/>
      <c r="E23" s="110"/>
      <c r="F23" s="109" t="s">
        <v>2</v>
      </c>
      <c r="G23" s="203" t="str" cm="1">
        <f t="array" ref="G23">_xlfn.TEXTJOIN(", ", TRUE, _xlfn._xlws.FILTER('Purif &amp; Zakat'!E:E, 'Purif &amp; Zakat'!C:C=A23, ""))</f>
        <v>Name,Compliance Status,Purification</v>
      </c>
    </row>
    <row r="24" spans="1:7" ht="12.5">
      <c r="A24" s="108" t="s">
        <v>49</v>
      </c>
      <c r="B24" s="109" t="s">
        <v>313</v>
      </c>
      <c r="C24" s="109" t="s">
        <v>313</v>
      </c>
      <c r="D24" s="110"/>
      <c r="E24" s="110"/>
      <c r="F24" s="109" t="s">
        <v>2</v>
      </c>
      <c r="G24" s="203" t="str" cm="1">
        <f t="array" ref="G24">_xlfn.TEXTJOIN(", ", TRUE, _xlfn._xlws.FILTER('Purif &amp; Zakat'!E:E, 'Purif &amp; Zakat'!C:C=A24, ""))</f>
        <v>Name,Compliance Status,Purification,Zakat Amount</v>
      </c>
    </row>
    <row r="25" spans="1:7" ht="25">
      <c r="A25" s="125" t="s">
        <v>234</v>
      </c>
      <c r="B25" s="109" t="s">
        <v>297</v>
      </c>
      <c r="C25" s="109" t="s">
        <v>313</v>
      </c>
      <c r="D25" s="110" t="s">
        <v>474</v>
      </c>
      <c r="E25" s="110"/>
      <c r="F25" s="109" t="s">
        <v>2</v>
      </c>
      <c r="G25" s="203" t="str" cm="1">
        <f t="array" ref="G25">_xlfn.TEXTJOIN(", ", TRUE, _xlfn._xlws.FILTER('Purif &amp; Zakat'!E:E, 'Purif &amp; Zakat'!C:C=A25, ""))</f>
        <v>Name,Nation,Fiscal Period,Compliance Status,Non-permissible Income,Debt Ratio, Purification</v>
      </c>
    </row>
    <row r="26" spans="1:7" ht="25">
      <c r="A26" s="125" t="s">
        <v>235</v>
      </c>
      <c r="B26" s="109" t="s">
        <v>297</v>
      </c>
      <c r="C26" s="109" t="s">
        <v>313</v>
      </c>
      <c r="D26" s="110"/>
      <c r="E26" s="110"/>
      <c r="F26" s="109" t="s">
        <v>2</v>
      </c>
      <c r="G26" s="203" t="str" cm="1">
        <f t="array" ref="G26">_xlfn.TEXTJOIN(", ", TRUE, _xlfn._xlws.FILTER('Purif &amp; Zakat'!E:E, 'Purif &amp; Zakat'!C:C=A26, ""))</f>
        <v>Compliance based on business screening (includes public companies)</v>
      </c>
    </row>
    <row r="27" spans="1:7" ht="37.5">
      <c r="A27" s="28" t="s">
        <v>545</v>
      </c>
      <c r="B27" s="109" t="s">
        <v>313</v>
      </c>
      <c r="C27" s="109" t="s">
        <v>313</v>
      </c>
      <c r="D27" s="110" t="s">
        <v>446</v>
      </c>
      <c r="E27" s="110"/>
      <c r="F27" s="109" t="s">
        <v>2</v>
      </c>
      <c r="G27" s="203" t="str" cm="1">
        <f t="array" ref="G27">_xlfn.TEXTJOIN(", ", TRUE, _xlfn._xlws.FILTER('Purif &amp; Zakat'!E:E, 'Purif &amp; Zakat'!C:C=A27, ""))</f>
        <v>Name,ISIN,AAOIFI compliance,Debt Ratio,Interest-bearing Investments Ratio,Non-permissible Income Ratio,NPIN Status,Purification per ETF Share</v>
      </c>
    </row>
    <row r="28" spans="1:7" ht="25">
      <c r="A28" s="108" t="s">
        <v>374</v>
      </c>
      <c r="B28" s="109" t="s">
        <v>313</v>
      </c>
      <c r="C28" s="109" t="s">
        <v>313</v>
      </c>
      <c r="D28" s="110"/>
      <c r="E28" s="110"/>
      <c r="F28" s="109" t="s">
        <v>2</v>
      </c>
      <c r="G28" s="203" t="str" cm="1">
        <f t="array" ref="G28">_xlfn.TEXTJOIN(", ", TRUE, _xlfn._xlws.FILTER('Purif &amp; Zakat'!E:E, 'Purif &amp; Zakat'!C:C=A28, ""))</f>
        <v>Name,Compliance Status,Purification Per Share,Purification , Name,Compliance Status,Purification</v>
      </c>
    </row>
    <row r="29" spans="1:7" ht="25">
      <c r="A29" s="108" t="s">
        <v>42</v>
      </c>
      <c r="B29" s="109" t="s">
        <v>313</v>
      </c>
      <c r="C29" s="109" t="s">
        <v>313</v>
      </c>
      <c r="D29" s="110"/>
      <c r="E29" s="110"/>
      <c r="F29" s="109" t="s">
        <v>2</v>
      </c>
      <c r="G29" s="203" t="str" cm="1">
        <f t="array" ref="G29">_xlfn.TEXTJOIN(", ", TRUE, _xlfn._xlws.FILTER('Purif &amp; Zakat'!E:E, 'Purif &amp; Zakat'!C:C=A29, ""))</f>
        <v>Name, Purification, Fiscal Period, Compliance Status, Market Value, Ratio of Failure</v>
      </c>
    </row>
    <row r="30" spans="1:7" ht="37.5">
      <c r="A30" s="125" t="s">
        <v>336</v>
      </c>
      <c r="B30" s="109" t="s">
        <v>297</v>
      </c>
      <c r="C30" s="109" t="s">
        <v>313</v>
      </c>
      <c r="D30" s="110"/>
      <c r="E30" s="110"/>
      <c r="F30" s="109" t="s">
        <v>2</v>
      </c>
      <c r="G30" s="203" t="str" cm="1">
        <f t="array" ref="G30">_xlfn.TEXTJOIN(", ", TRUE, _xlfn._xlws.FILTER('Purif &amp; Zakat'!E:E, 'Purif &amp; Zakat'!C:C=A30, ""))</f>
        <v>Name of company,AAOIFI compliance, IdealRatings REITs compliance, NPIN %, IdealRatings ETFs compliance</v>
      </c>
    </row>
    <row r="31" spans="1:7" ht="12.5">
      <c r="A31" s="125" t="s">
        <v>32</v>
      </c>
      <c r="B31" s="109" t="s">
        <v>297</v>
      </c>
      <c r="C31" s="109" t="s">
        <v>313</v>
      </c>
      <c r="D31" s="110"/>
      <c r="E31" s="110"/>
      <c r="F31" s="109" t="s">
        <v>2</v>
      </c>
      <c r="G31" s="203" t="str" cm="1">
        <f t="array" ref="G31">_xlfn.TEXTJOIN(", ", TRUE, _xlfn._xlws.FILTER('Purif &amp; Zakat'!E:E, 'Purif &amp; Zakat'!C:C=A31, ""))</f>
        <v>Name,Compliance Status,Quantity,Purification</v>
      </c>
    </row>
    <row r="32" spans="1:7" ht="12.5">
      <c r="A32" s="125" t="s">
        <v>66</v>
      </c>
      <c r="B32" s="109" t="s">
        <v>297</v>
      </c>
      <c r="C32" s="109" t="s">
        <v>313</v>
      </c>
      <c r="D32" s="110"/>
      <c r="E32" s="110"/>
      <c r="F32" s="109" t="s">
        <v>2</v>
      </c>
      <c r="G32" s="203" t="str" cm="1">
        <f t="array" ref="G32">_xlfn.TEXTJOIN(", ", TRUE, _xlfn._xlws.FILTER('Purif &amp; Zakat'!E:E, 'Purif &amp; Zakat'!C:C=A32, ""))</f>
        <v>Name/History,Purification,Compliance Status</v>
      </c>
    </row>
    <row r="33" spans="1:7" ht="12.5">
      <c r="A33" s="108" t="s">
        <v>44</v>
      </c>
      <c r="B33" s="109" t="s">
        <v>313</v>
      </c>
      <c r="C33" s="109" t="s">
        <v>313</v>
      </c>
      <c r="D33" s="110"/>
      <c r="E33" s="110"/>
      <c r="F33" s="109" t="s">
        <v>2</v>
      </c>
      <c r="G33" s="203" t="str" cm="1">
        <f t="array" ref="G33">_xlfn.TEXTJOIN(", ", TRUE, _xlfn._xlws.FILTER('Purif &amp; Zakat'!E:E, 'Purif &amp; Zakat'!C:C=A33, ""))</f>
        <v>Name,Compliance Status,Purification</v>
      </c>
    </row>
    <row r="34" spans="1:7" ht="12.5">
      <c r="A34" s="125" t="s">
        <v>6</v>
      </c>
      <c r="B34" s="109" t="s">
        <v>297</v>
      </c>
      <c r="C34" s="109" t="s">
        <v>313</v>
      </c>
      <c r="D34" s="110"/>
      <c r="E34" s="110"/>
      <c r="F34" s="109" t="s">
        <v>2</v>
      </c>
      <c r="G34" s="203" t="str" cm="1">
        <f t="array" ref="G34">_xlfn.TEXTJOIN(", ", TRUE, _xlfn._xlws.FILTER('Purif &amp; Zakat'!E:E, 'Purif &amp; Zakat'!C:C=A34, ""))</f>
        <v>Name,Compliance Status,Purification</v>
      </c>
    </row>
    <row r="35" spans="1:7" ht="125">
      <c r="A35" s="108" t="s">
        <v>46</v>
      </c>
      <c r="B35" s="109" t="s">
        <v>313</v>
      </c>
      <c r="C35" s="109" t="s">
        <v>313</v>
      </c>
      <c r="D35" s="122" t="s">
        <v>473</v>
      </c>
      <c r="E35" s="122"/>
      <c r="F35" s="109" t="s">
        <v>2</v>
      </c>
      <c r="G35" s="203" t="str" cm="1">
        <f t="array" ref="G35">_xlfn.TEXTJOIN(", ", TRUE, _xlfn._xlws.FILTER('Purif &amp; Zakat'!E:E, 'Purif &amp; Zakat'!C:C=A35, ""))</f>
        <v xml:space="preserve">Name,Purification,Fiscal Period,Period End Date,Assets - Total ,Trailing 24 Months Market Cap (Daily),[SEDCO 24] Non-permissible Income Ratio,[SEDCO 6 Ratios] Debt (MC),[SEDCO 6 Ratios] Interest-bearing Investments (MC),[SEDCO 6 Ratios] Receivables (MC),[SEDCO 6 Ratios] Debt (Assets)	,[SEDCO 6 Ratios] Interest-bearing Investments (Assets),[SEDCO 6 Ratios] Receivables (Assets),Preference / Trust Share,Compliance Status, Name,Compliance Status,Purification </v>
      </c>
    </row>
    <row r="36" spans="1:7" ht="12.5">
      <c r="A36" s="108" t="s">
        <v>241</v>
      </c>
      <c r="B36" s="109" t="s">
        <v>313</v>
      </c>
      <c r="C36" s="109" t="s">
        <v>297</v>
      </c>
      <c r="D36" s="110"/>
      <c r="E36" s="110"/>
      <c r="F36" s="109" t="s">
        <v>2</v>
      </c>
      <c r="G36" s="203" t="str" cm="1">
        <f t="array" ref="G36">_xlfn.TEXTJOIN(", ", TRUE, _xlfn._xlws.FILTER('Purif &amp; Zakat'!E:E, 'Purif &amp; Zakat'!C:C=A36, ""))</f>
        <v>Purification per share, Purification</v>
      </c>
    </row>
    <row r="37" spans="1:7" ht="125">
      <c r="A37" s="108" t="s">
        <v>142</v>
      </c>
      <c r="B37" s="109" t="s">
        <v>313</v>
      </c>
      <c r="C37" s="109" t="s">
        <v>313</v>
      </c>
      <c r="D37" s="122" t="s">
        <v>472</v>
      </c>
      <c r="E37" s="122"/>
      <c r="F37" s="109" t="s">
        <v>2</v>
      </c>
      <c r="G37" s="203" t="str" cm="1">
        <f t="array" ref="G37">_xlfn.TEXTJOIN(", ", TRUE, _xlfn._xlws.FILTER('Purif &amp; Zakat'!E:E, 'Purif &amp; Zakat'!C:C=A37, ""))</f>
        <v>Name,ISIN,CUSIP,Dividends Per Share,[NCB Global]Debt Ratio,Debt - Conv.,[NCB Global]Cash &amp; Short term Investments Ratio,Cash and Short Term Inv. - Conv.,Assets - Total,Trailing 12 Months Market Cap - Most Recent Statement,Trailing 24 Months Market Cap - Most Recent Statement,Trailing 36 Months Market Cap - Most Recent Statement,[NCB Global]NPIN Ratio,[NCB Global]totalNpin1,Income - Total,[NCB Global]Purification (Div.),Compliance Status,Purification,Price, Value, %,Ex-Dividend Date</v>
      </c>
    </row>
    <row r="38" spans="1:7" ht="25">
      <c r="A38" s="108" t="s">
        <v>242</v>
      </c>
      <c r="B38" s="109" t="s">
        <v>297</v>
      </c>
      <c r="C38" s="109" t="s">
        <v>297</v>
      </c>
      <c r="D38" s="110"/>
      <c r="E38" s="110"/>
      <c r="F38" s="109" t="s">
        <v>1</v>
      </c>
      <c r="G38" s="203" t="str" cm="1">
        <f t="array" ref="G38">_xlfn.TEXTJOIN(", ", TRUE, _xlfn._xlws.FILTER('Purif &amp; Zakat'!E:E, 'Purif &amp; Zakat'!C:C=A38, ""))</f>
        <v>Purification ratios using weighted NPIN / weighted income for all constituents, Zakat per unit</v>
      </c>
    </row>
    <row r="39" spans="1:7" ht="25.5" thickBot="1">
      <c r="A39" s="127" t="s">
        <v>244</v>
      </c>
      <c r="B39" s="114" t="s">
        <v>297</v>
      </c>
      <c r="C39" s="114" t="s">
        <v>297</v>
      </c>
      <c r="D39" s="115" t="s">
        <v>461</v>
      </c>
      <c r="E39" s="115"/>
      <c r="F39" s="114" t="s">
        <v>2</v>
      </c>
      <c r="G39" s="203" t="str" cm="1">
        <f t="array" ref="G39">_xlfn.TEXTJOIN(", ", TRUE, _xlfn._xlws.FILTER('Purif &amp; Zakat'!E:E, 'Purif &amp; Zakat'!C:C=A39, ""))</f>
        <v>Name, Ticker, Purification (we can use ISIN instead of Ticker since they send us ISINs)</v>
      </c>
    </row>
  </sheetData>
  <autoFilter ref="A1:G39" xr:uid="{A6C495DB-E806-2B4C-812B-EE9D8E180A3C}"/>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68366-FB4D-41FC-9A39-31CBCCA23B3D}">
  <sheetPr>
    <tabColor theme="7"/>
  </sheetPr>
  <dimension ref="A1:C36"/>
  <sheetViews>
    <sheetView topLeftCell="A23" workbookViewId="0">
      <selection activeCell="A36" sqref="A36"/>
    </sheetView>
  </sheetViews>
  <sheetFormatPr defaultRowHeight="14.5"/>
  <cols>
    <col min="1" max="1" width="31.26953125" bestFit="1" customWidth="1"/>
    <col min="2" max="2" width="16.90625" customWidth="1"/>
  </cols>
  <sheetData>
    <row r="1" spans="1:3" ht="15">
      <c r="A1" s="64" t="s">
        <v>573</v>
      </c>
    </row>
    <row r="2" spans="1:3" ht="15">
      <c r="A2" s="74" t="s">
        <v>27</v>
      </c>
      <c r="B2" s="301" t="s">
        <v>27</v>
      </c>
      <c r="C2" t="str">
        <f>VLOOKUP(B2,Consolidation!A:A,1,0)</f>
        <v>ADIB</v>
      </c>
    </row>
    <row r="3" spans="1:3" ht="15">
      <c r="A3" s="74" t="s">
        <v>515</v>
      </c>
      <c r="B3" s="26" t="s">
        <v>368</v>
      </c>
      <c r="C3" t="str">
        <f>VLOOKUP(B3,Consolidation!A:A,1,0)</f>
        <v>Al Rajhi</v>
      </c>
    </row>
    <row r="4" spans="1:3" ht="15">
      <c r="A4" s="78" t="s">
        <v>522</v>
      </c>
      <c r="B4" s="307" t="s">
        <v>26</v>
      </c>
      <c r="C4" t="str">
        <f>VLOOKUP(B4,Consolidation!A:A,1,0)</f>
        <v>AlBilad</v>
      </c>
    </row>
    <row r="5" spans="1:3" ht="15">
      <c r="A5" s="70" t="s">
        <v>507</v>
      </c>
      <c r="B5" s="297" t="s">
        <v>28</v>
      </c>
      <c r="C5" t="str">
        <f>VLOOKUP(B5,Consolidation!A:A,1,0)</f>
        <v>Alinma</v>
      </c>
    </row>
    <row r="6" spans="1:3" ht="15">
      <c r="A6" s="73" t="s">
        <v>550</v>
      </c>
      <c r="B6" s="24" t="s">
        <v>33</v>
      </c>
      <c r="C6" t="str">
        <f>VLOOKUP(B6,Consolidation!A:A,1,0)</f>
        <v>AlJazira</v>
      </c>
    </row>
    <row r="7" spans="1:3" ht="15">
      <c r="A7" s="74" t="s">
        <v>535</v>
      </c>
      <c r="B7" s="8" t="str">
        <f>A7</f>
        <v>Allied Asset Advisor</v>
      </c>
      <c r="C7" t="str">
        <f>VLOOKUP(B7,Consolidation!A:A,1,0)</f>
        <v>Allied Asset Advisor</v>
      </c>
    </row>
    <row r="8" spans="1:3" ht="15">
      <c r="A8" s="78" t="s">
        <v>519</v>
      </c>
      <c r="B8" t="str">
        <f>A8</f>
        <v>Amanah Ethical</v>
      </c>
      <c r="C8" t="str">
        <f>VLOOKUP(B8,Consolidation!A:A,1,0)</f>
        <v>Amanah Ethical</v>
      </c>
    </row>
    <row r="9" spans="1:3" ht="15">
      <c r="A9" s="73" t="s">
        <v>72</v>
      </c>
      <c r="B9" s="304" t="s">
        <v>72</v>
      </c>
      <c r="C9" t="str">
        <f>VLOOKUP(B9,Consolidation!A:A,1,0)</f>
        <v>ANB</v>
      </c>
    </row>
    <row r="10" spans="1:3" ht="15">
      <c r="A10" s="74" t="s">
        <v>35</v>
      </c>
      <c r="B10" s="74" t="s">
        <v>35</v>
      </c>
      <c r="C10" t="str">
        <f>VLOOKUP(B10,Consolidation!A:A,1,0)</f>
        <v>Arabesque</v>
      </c>
    </row>
    <row r="11" spans="1:3" ht="15">
      <c r="A11" s="74" t="s">
        <v>548</v>
      </c>
      <c r="B11" s="74" t="s">
        <v>36</v>
      </c>
      <c r="C11" t="str">
        <f>VLOOKUP(B11,Consolidation!A:A,1,0)</f>
        <v>ARCA</v>
      </c>
    </row>
    <row r="12" spans="1:3" ht="15">
      <c r="A12" s="74" t="s">
        <v>529</v>
      </c>
      <c r="B12" s="24" t="s">
        <v>37</v>
      </c>
      <c r="C12" t="str">
        <f>VLOOKUP(B12,Consolidation!A:A,1,0)</f>
        <v>Arqaam Capital</v>
      </c>
    </row>
    <row r="13" spans="1:3" ht="15">
      <c r="A13" s="74" t="s">
        <v>532</v>
      </c>
      <c r="B13" s="74" t="s">
        <v>51</v>
      </c>
      <c r="C13" t="str">
        <f>VLOOKUP(B13,Consolidation!A:A,1,0)</f>
        <v>ASRHC</v>
      </c>
    </row>
    <row r="14" spans="1:3" ht="15">
      <c r="A14" s="74" t="s">
        <v>542</v>
      </c>
      <c r="B14" s="24" t="s">
        <v>47</v>
      </c>
      <c r="C14" t="str">
        <f>VLOOKUP(B14,Consolidation!A:A,1,0)</f>
        <v>Baillie Gifford</v>
      </c>
    </row>
    <row r="15" spans="1:3" ht="15">
      <c r="A15" s="84" t="s">
        <v>34</v>
      </c>
      <c r="B15" s="84" t="s">
        <v>34</v>
      </c>
      <c r="C15" t="str">
        <f>VLOOKUP(B15,Consolidation!A:A,1,0)</f>
        <v>BlackRock</v>
      </c>
    </row>
    <row r="16" spans="1:3" ht="15">
      <c r="A16" s="299" t="s">
        <v>561</v>
      </c>
      <c r="B16" s="303" t="s">
        <v>951</v>
      </c>
      <c r="C16" t="str">
        <f>VLOOKUP(B16,Consolidation!A:A,1,0)</f>
        <v>FAB</v>
      </c>
    </row>
    <row r="17" spans="1:3" ht="15">
      <c r="A17" s="84" t="s">
        <v>245</v>
      </c>
      <c r="B17" s="306" t="str">
        <f>A17</f>
        <v>Hayat Invest</v>
      </c>
      <c r="C17" t="str">
        <f>VLOOKUP(B17,Consolidation!A:A,1,0)</f>
        <v>Hayat Invest</v>
      </c>
    </row>
    <row r="18" spans="1:3" ht="15">
      <c r="A18" s="79" t="s">
        <v>538</v>
      </c>
      <c r="B18" s="306" t="str">
        <f>A18</f>
        <v>Hejaz Financial Services</v>
      </c>
      <c r="C18" t="str">
        <f>VLOOKUP(B18,Consolidation!A:A,1,0)</f>
        <v>Hejaz Financial Services</v>
      </c>
    </row>
    <row r="19" spans="1:3" ht="15">
      <c r="A19" s="84" t="s">
        <v>232</v>
      </c>
      <c r="B19" s="304" t="s">
        <v>232</v>
      </c>
      <c r="C19" t="str">
        <f>VLOOKUP(B19,Consolidation!A:A,1,0)</f>
        <v>Invesense</v>
      </c>
    </row>
    <row r="20" spans="1:3" ht="15">
      <c r="A20" s="300" t="s">
        <v>510</v>
      </c>
      <c r="B20" s="4" t="s">
        <v>49</v>
      </c>
      <c r="C20" t="str">
        <f>VLOOKUP(B20,Consolidation!A:A,1,0)</f>
        <v>Jadwa</v>
      </c>
    </row>
    <row r="21" spans="1:3" ht="15">
      <c r="A21" s="84" t="s">
        <v>554</v>
      </c>
      <c r="B21" s="305" t="str">
        <f>A21</f>
        <v>Korea Investment Management</v>
      </c>
      <c r="C21" t="str">
        <f>VLOOKUP(B21,Consolidation!A:A,1,0)</f>
        <v>Korea Investment Management</v>
      </c>
    </row>
    <row r="22" spans="1:3" ht="30">
      <c r="A22" s="79" t="s">
        <v>545</v>
      </c>
      <c r="B22" s="74" t="s">
        <v>545</v>
      </c>
      <c r="C22" t="str">
        <f>VLOOKUP(B22,Consolidation!A:A,1,0)</f>
        <v>Lifespan Financial</v>
      </c>
    </row>
    <row r="23" spans="1:3" ht="15">
      <c r="A23" s="84" t="s">
        <v>552</v>
      </c>
      <c r="B23" s="84" t="s">
        <v>552</v>
      </c>
      <c r="C23" t="str">
        <f>VLOOKUP(B23,Consolidation!A:A,1,0)</f>
        <v>Manulife</v>
      </c>
    </row>
    <row r="24" spans="1:3" ht="15">
      <c r="A24" s="79" t="s">
        <v>528</v>
      </c>
      <c r="B24" s="79" t="s">
        <v>528</v>
      </c>
      <c r="C24" t="str">
        <f>VLOOKUP(B24,Consolidation!A:A,1,0)</f>
        <v>Maybank</v>
      </c>
    </row>
    <row r="25" spans="1:3" ht="15">
      <c r="A25" s="84" t="s">
        <v>31</v>
      </c>
      <c r="B25" s="308" t="s">
        <v>31</v>
      </c>
      <c r="C25" t="str">
        <f>VLOOKUP(B25,Consolidation!A:A,1,0)</f>
        <v>MIDF</v>
      </c>
    </row>
    <row r="26" spans="1:3" ht="15">
      <c r="A26" s="79" t="s">
        <v>41</v>
      </c>
      <c r="B26" s="74" t="s">
        <v>41</v>
      </c>
      <c r="C26" t="str">
        <f>VLOOKUP(B26,Consolidation!A:A,1,0)</f>
        <v>Nomura</v>
      </c>
    </row>
    <row r="27" spans="1:3" ht="15">
      <c r="A27" s="299" t="s">
        <v>516</v>
      </c>
      <c r="B27" s="4" t="s">
        <v>42</v>
      </c>
      <c r="C27" t="str">
        <f>VLOOKUP(B27,Consolidation!A:A,1,0)</f>
        <v>Omigsa</v>
      </c>
    </row>
    <row r="28" spans="1:3" ht="15">
      <c r="A28" s="79" t="s">
        <v>527</v>
      </c>
      <c r="B28" s="302" t="s">
        <v>43</v>
      </c>
      <c r="C28" t="str">
        <f>VLOOKUP(B28,Consolidation!A:A,1,0)</f>
        <v>PMB</v>
      </c>
    </row>
    <row r="29" spans="1:3" ht="15">
      <c r="A29" s="79" t="s">
        <v>534</v>
      </c>
      <c r="B29" s="302" t="s">
        <v>534</v>
      </c>
      <c r="C29" t="str">
        <f>VLOOKUP(B29,Consolidation!A:A,1,0)</f>
        <v>PNB</v>
      </c>
    </row>
    <row r="30" spans="1:3" ht="30">
      <c r="A30" s="79" t="s">
        <v>541</v>
      </c>
      <c r="B30" s="79" t="s">
        <v>541</v>
      </c>
      <c r="C30" t="str">
        <f>VLOOKUP(B30,Consolidation!A:A,1,0)</f>
        <v>Principle Asset Management</v>
      </c>
    </row>
    <row r="31" spans="1:3" ht="15">
      <c r="A31" s="84" t="s">
        <v>512</v>
      </c>
      <c r="B31" s="305" t="str">
        <f>A31</f>
        <v>RHB</v>
      </c>
      <c r="C31" t="str">
        <f>VLOOKUP(B31,Consolidation!A:A,1,0)</f>
        <v>RHB</v>
      </c>
    </row>
    <row r="32" spans="1:3" ht="15">
      <c r="A32" s="84" t="s">
        <v>511</v>
      </c>
      <c r="B32" s="199" t="s">
        <v>44</v>
      </c>
      <c r="C32" t="str">
        <f>VLOOKUP(B32,Consolidation!A:A,1,0)</f>
        <v>Riyad Capital</v>
      </c>
    </row>
    <row r="33" spans="1:3" ht="15">
      <c r="A33" s="79" t="s">
        <v>526</v>
      </c>
      <c r="B33" s="302" t="s">
        <v>46</v>
      </c>
      <c r="C33" t="str">
        <f>VLOOKUP(B33,Consolidation!A:A,1,0)</f>
        <v>SEDCO</v>
      </c>
    </row>
    <row r="34" spans="1:3" ht="15">
      <c r="A34" s="84" t="s">
        <v>558</v>
      </c>
      <c r="B34" s="304" t="s">
        <v>558</v>
      </c>
      <c r="C34" t="str">
        <f>VLOOKUP(B34,Consolidation!A:A,1,0)</f>
        <v>Shukr</v>
      </c>
    </row>
    <row r="35" spans="1:3">
      <c r="A35" s="110" t="s">
        <v>142</v>
      </c>
      <c r="B35" s="110" t="s">
        <v>142</v>
      </c>
      <c r="C35" t="str">
        <f>VLOOKUP(B35,Consolidation!A:A,1,0)</f>
        <v>SNB</v>
      </c>
    </row>
    <row r="36" spans="1:3">
      <c r="A36" s="108"/>
      <c r="B36" s="108"/>
    </row>
  </sheetData>
  <autoFilter ref="A1:B34" xr:uid="{3E868366-FB4D-41FC-9A39-31CBCCA23B3D}">
    <sortState xmlns:xlrd2="http://schemas.microsoft.com/office/spreadsheetml/2017/richdata2" ref="A2:B34">
      <sortCondition ref="B1:B34"/>
    </sortState>
  </autoFilter>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21C88-BDA6-5743-A922-350971F39487}">
  <dimension ref="A1:H7"/>
  <sheetViews>
    <sheetView topLeftCell="A4" workbookViewId="0">
      <selection activeCell="A7" sqref="A7"/>
    </sheetView>
  </sheetViews>
  <sheetFormatPr defaultColWidth="10.81640625" defaultRowHeight="14.5"/>
  <cols>
    <col min="1" max="1" width="14.453125" bestFit="1" customWidth="1"/>
    <col min="2" max="2" width="15.6328125" bestFit="1" customWidth="1"/>
    <col min="4" max="4" width="15" bestFit="1" customWidth="1"/>
    <col min="5" max="5" width="32.453125" bestFit="1" customWidth="1"/>
    <col min="7" max="7" width="24.81640625" bestFit="1" customWidth="1"/>
    <col min="8" max="8" width="54.36328125" customWidth="1"/>
  </cols>
  <sheetData>
    <row r="1" spans="1:8" ht="29">
      <c r="A1" s="20" t="s">
        <v>0</v>
      </c>
      <c r="B1" s="20" t="s">
        <v>208</v>
      </c>
      <c r="C1" s="20" t="s">
        <v>276</v>
      </c>
      <c r="D1" s="20" t="s">
        <v>339</v>
      </c>
      <c r="E1" s="20" t="s">
        <v>277</v>
      </c>
      <c r="F1" s="20" t="s">
        <v>375</v>
      </c>
      <c r="G1" s="20" t="s">
        <v>249</v>
      </c>
      <c r="H1" s="20" t="s">
        <v>250</v>
      </c>
    </row>
    <row r="2" spans="1:8" ht="79" customHeight="1">
      <c r="A2" s="25" t="s">
        <v>373</v>
      </c>
      <c r="B2" s="8" t="s">
        <v>275</v>
      </c>
      <c r="C2" s="8" t="s">
        <v>313</v>
      </c>
      <c r="D2" s="8" t="s">
        <v>297</v>
      </c>
      <c r="E2" s="8" t="s">
        <v>340</v>
      </c>
      <c r="F2" s="8" t="s">
        <v>2</v>
      </c>
      <c r="G2" s="13" t="s">
        <v>423</v>
      </c>
      <c r="H2" s="13" t="s">
        <v>420</v>
      </c>
    </row>
    <row r="3" spans="1:8" ht="81" customHeight="1">
      <c r="A3" s="8" t="s">
        <v>28</v>
      </c>
      <c r="B3" s="8" t="s">
        <v>419</v>
      </c>
      <c r="C3" s="8" t="s">
        <v>297</v>
      </c>
      <c r="D3" s="8" t="s">
        <v>297</v>
      </c>
      <c r="E3" s="8" t="s">
        <v>340</v>
      </c>
      <c r="F3" s="8" t="s">
        <v>2</v>
      </c>
      <c r="G3" s="13" t="s">
        <v>423</v>
      </c>
      <c r="H3" s="13" t="s">
        <v>421</v>
      </c>
    </row>
    <row r="4" spans="1:8" ht="81" customHeight="1">
      <c r="A4" s="8" t="s">
        <v>226</v>
      </c>
      <c r="B4" s="8" t="s">
        <v>342</v>
      </c>
      <c r="C4" s="8" t="s">
        <v>313</v>
      </c>
      <c r="D4" s="8" t="s">
        <v>297</v>
      </c>
      <c r="E4" s="8" t="s">
        <v>341</v>
      </c>
      <c r="F4" s="8" t="s">
        <v>2</v>
      </c>
      <c r="G4" s="13" t="s">
        <v>423</v>
      </c>
      <c r="H4" s="13" t="s">
        <v>422</v>
      </c>
    </row>
    <row r="5" spans="1:8" ht="43.5">
      <c r="A5" s="8" t="s">
        <v>11</v>
      </c>
      <c r="B5" s="8" t="s">
        <v>275</v>
      </c>
      <c r="C5" s="8" t="s">
        <v>297</v>
      </c>
      <c r="D5" s="8" t="s">
        <v>297</v>
      </c>
      <c r="E5" s="8" t="s">
        <v>340</v>
      </c>
      <c r="F5" s="8" t="s">
        <v>2</v>
      </c>
      <c r="G5" s="13" t="s">
        <v>424</v>
      </c>
      <c r="H5" s="13" t="s">
        <v>392</v>
      </c>
    </row>
    <row r="6" spans="1:8" ht="66" customHeight="1">
      <c r="A6" s="8" t="s">
        <v>142</v>
      </c>
      <c r="B6" s="8" t="s">
        <v>273</v>
      </c>
      <c r="C6" s="8" t="s">
        <v>297</v>
      </c>
      <c r="D6" s="8" t="s">
        <v>297</v>
      </c>
      <c r="E6" s="8" t="s">
        <v>340</v>
      </c>
      <c r="F6" s="8" t="s">
        <v>2</v>
      </c>
      <c r="G6" s="13" t="s">
        <v>426</v>
      </c>
      <c r="H6" s="13" t="s">
        <v>425</v>
      </c>
    </row>
    <row r="7" spans="1:8" ht="82" customHeight="1">
      <c r="A7" s="8" t="s">
        <v>278</v>
      </c>
      <c r="B7" s="8" t="s">
        <v>342</v>
      </c>
      <c r="C7" s="8" t="s">
        <v>297</v>
      </c>
      <c r="D7" s="8" t="s">
        <v>297</v>
      </c>
      <c r="E7" s="8" t="s">
        <v>343</v>
      </c>
      <c r="F7" s="8" t="s">
        <v>2</v>
      </c>
      <c r="G7" s="13" t="s">
        <v>423</v>
      </c>
      <c r="H7" s="13" t="s">
        <v>422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1D808-D17F-414C-A8D9-6954F28B7667}">
  <dimension ref="A1:K83"/>
  <sheetViews>
    <sheetView topLeftCell="A25" workbookViewId="0">
      <selection activeCell="C29" sqref="C29"/>
    </sheetView>
  </sheetViews>
  <sheetFormatPr defaultColWidth="10.81640625" defaultRowHeight="14.5"/>
  <cols>
    <col min="1" max="1" width="29.453125" bestFit="1" customWidth="1"/>
    <col min="2" max="2" width="17.81640625" customWidth="1"/>
    <col min="3" max="3" width="44.81640625" bestFit="1" customWidth="1"/>
    <col min="4" max="4" width="46.36328125" bestFit="1" customWidth="1"/>
    <col min="5" max="5" width="76.6328125" bestFit="1" customWidth="1"/>
    <col min="6" max="6" width="27.1796875" hidden="1" customWidth="1"/>
    <col min="7" max="7" width="16.36328125" bestFit="1" customWidth="1"/>
    <col min="8" max="8" width="34.36328125" style="23" bestFit="1" customWidth="1"/>
    <col min="9" max="9" width="17.453125" bestFit="1" customWidth="1"/>
    <col min="10" max="10" width="42.1796875" bestFit="1" customWidth="1"/>
  </cols>
  <sheetData>
    <row r="1" spans="1:11">
      <c r="A1" s="5" t="s">
        <v>344</v>
      </c>
      <c r="B1" s="5" t="s">
        <v>3</v>
      </c>
      <c r="C1" s="5" t="s">
        <v>0</v>
      </c>
      <c r="D1" s="5" t="s">
        <v>249</v>
      </c>
      <c r="E1" s="5" t="s">
        <v>250</v>
      </c>
      <c r="F1" s="5" t="s">
        <v>210</v>
      </c>
      <c r="G1" s="5" t="s">
        <v>211</v>
      </c>
      <c r="H1" s="15" t="s">
        <v>252</v>
      </c>
      <c r="I1" s="5" t="s">
        <v>296</v>
      </c>
      <c r="J1" s="5" t="s">
        <v>209</v>
      </c>
      <c r="K1" s="33" t="s">
        <v>375</v>
      </c>
    </row>
    <row r="2" spans="1:11">
      <c r="A2" s="7" t="s">
        <v>213</v>
      </c>
      <c r="B2" s="8" t="s">
        <v>279</v>
      </c>
      <c r="C2" s="7" t="s">
        <v>212</v>
      </c>
      <c r="D2" s="8" t="s">
        <v>298</v>
      </c>
      <c r="E2" s="50" t="s">
        <v>274</v>
      </c>
      <c r="F2" s="6">
        <v>1</v>
      </c>
      <c r="G2" s="7" t="s">
        <v>214</v>
      </c>
      <c r="H2" s="16" t="s">
        <v>253</v>
      </c>
      <c r="I2" s="8" t="s">
        <v>297</v>
      </c>
      <c r="J2" s="8"/>
      <c r="K2" s="27" t="s">
        <v>2</v>
      </c>
    </row>
    <row r="3" spans="1:11">
      <c r="A3" s="8" t="s">
        <v>215</v>
      </c>
      <c r="B3" s="8" t="s">
        <v>279</v>
      </c>
      <c r="C3" s="24" t="s">
        <v>25</v>
      </c>
      <c r="D3" s="8" t="s">
        <v>295</v>
      </c>
      <c r="E3" s="50" t="s">
        <v>394</v>
      </c>
      <c r="F3" s="6">
        <v>2</v>
      </c>
      <c r="G3" s="8" t="s">
        <v>214</v>
      </c>
      <c r="H3" s="16" t="s">
        <v>253</v>
      </c>
      <c r="I3" s="8" t="s">
        <v>297</v>
      </c>
      <c r="J3" s="8"/>
      <c r="K3" s="27" t="s">
        <v>2</v>
      </c>
    </row>
    <row r="4" spans="1:11" ht="29">
      <c r="A4" s="8" t="s">
        <v>216</v>
      </c>
      <c r="B4" s="8" t="s">
        <v>279</v>
      </c>
      <c r="C4" s="24" t="s">
        <v>25</v>
      </c>
      <c r="D4" s="13" t="s">
        <v>299</v>
      </c>
      <c r="E4" s="49" t="s">
        <v>395</v>
      </c>
      <c r="F4" s="6">
        <v>1</v>
      </c>
      <c r="G4" s="8" t="s">
        <v>214</v>
      </c>
      <c r="H4" s="16" t="s">
        <v>254</v>
      </c>
      <c r="I4" s="8" t="s">
        <v>297</v>
      </c>
      <c r="J4" s="8"/>
      <c r="K4" s="27" t="s">
        <v>2</v>
      </c>
    </row>
    <row r="5" spans="1:11" ht="29">
      <c r="A5" s="9" t="s">
        <v>216</v>
      </c>
      <c r="B5" s="8" t="s">
        <v>279</v>
      </c>
      <c r="C5" s="8" t="s">
        <v>217</v>
      </c>
      <c r="D5" s="8" t="s">
        <v>298</v>
      </c>
      <c r="E5" s="49" t="s">
        <v>396</v>
      </c>
      <c r="F5" s="6">
        <v>1</v>
      </c>
      <c r="G5" s="8" t="s">
        <v>214</v>
      </c>
      <c r="H5" s="16" t="s">
        <v>255</v>
      </c>
      <c r="I5" s="8" t="s">
        <v>297</v>
      </c>
      <c r="J5" s="19" t="s">
        <v>300</v>
      </c>
      <c r="K5" s="27" t="s">
        <v>2</v>
      </c>
    </row>
    <row r="6" spans="1:11" ht="29">
      <c r="A6" s="13" t="s">
        <v>248</v>
      </c>
      <c r="B6" s="8" t="s">
        <v>279</v>
      </c>
      <c r="C6" s="13" t="s">
        <v>247</v>
      </c>
      <c r="D6" s="8" t="s">
        <v>298</v>
      </c>
      <c r="E6" s="49" t="s">
        <v>303</v>
      </c>
      <c r="F6" s="13"/>
      <c r="G6" s="13"/>
      <c r="H6" s="16" t="s">
        <v>301</v>
      </c>
      <c r="I6" s="8" t="s">
        <v>297</v>
      </c>
      <c r="J6" s="8"/>
      <c r="K6" s="27" t="s">
        <v>2</v>
      </c>
    </row>
    <row r="7" spans="1:11">
      <c r="A7" s="8" t="s">
        <v>216</v>
      </c>
      <c r="B7" s="8" t="s">
        <v>279</v>
      </c>
      <c r="C7" s="25" t="s">
        <v>33</v>
      </c>
      <c r="D7" s="8" t="s">
        <v>302</v>
      </c>
      <c r="E7" s="49" t="s">
        <v>397</v>
      </c>
      <c r="F7" s="6">
        <v>4</v>
      </c>
      <c r="G7" s="8" t="s">
        <v>214</v>
      </c>
      <c r="H7" s="16" t="s">
        <v>256</v>
      </c>
      <c r="I7" s="8" t="s">
        <v>297</v>
      </c>
      <c r="J7" s="8"/>
      <c r="K7" s="27" t="s">
        <v>2</v>
      </c>
    </row>
    <row r="8" spans="1:11">
      <c r="A8" s="8" t="s">
        <v>233</v>
      </c>
      <c r="B8" s="8" t="s">
        <v>279</v>
      </c>
      <c r="C8" s="25" t="s">
        <v>33</v>
      </c>
      <c r="D8" s="8" t="s">
        <v>302</v>
      </c>
      <c r="E8" s="49" t="s">
        <v>398</v>
      </c>
      <c r="F8" s="6">
        <v>2</v>
      </c>
      <c r="G8" s="8" t="s">
        <v>214</v>
      </c>
      <c r="H8" s="16" t="s">
        <v>257</v>
      </c>
      <c r="I8" s="8" t="s">
        <v>297</v>
      </c>
      <c r="J8" s="8"/>
      <c r="K8" s="27" t="s">
        <v>2</v>
      </c>
    </row>
    <row r="9" spans="1:11">
      <c r="A9" s="13" t="s">
        <v>248</v>
      </c>
      <c r="B9" s="8" t="s">
        <v>279</v>
      </c>
      <c r="C9" s="26" t="s">
        <v>368</v>
      </c>
      <c r="D9" s="8" t="s">
        <v>302</v>
      </c>
      <c r="E9" s="8" t="s">
        <v>303</v>
      </c>
      <c r="F9" s="14" t="s">
        <v>335</v>
      </c>
      <c r="G9" s="8" t="s">
        <v>214</v>
      </c>
      <c r="H9" s="16" t="s">
        <v>304</v>
      </c>
      <c r="I9" s="8" t="s">
        <v>297</v>
      </c>
      <c r="J9" s="8"/>
      <c r="K9" s="27" t="s">
        <v>2</v>
      </c>
    </row>
    <row r="10" spans="1:11" ht="29">
      <c r="A10" s="8" t="s">
        <v>215</v>
      </c>
      <c r="B10" s="8" t="s">
        <v>279</v>
      </c>
      <c r="C10" s="24" t="s">
        <v>42</v>
      </c>
      <c r="D10" s="13" t="s">
        <v>305</v>
      </c>
      <c r="E10" s="49" t="s">
        <v>404</v>
      </c>
      <c r="F10" s="6">
        <v>4</v>
      </c>
      <c r="G10" s="8" t="s">
        <v>219</v>
      </c>
      <c r="H10" s="16" t="s">
        <v>258</v>
      </c>
      <c r="I10" s="8" t="s">
        <v>297</v>
      </c>
      <c r="J10" s="8"/>
      <c r="K10" s="27" t="s">
        <v>2</v>
      </c>
    </row>
    <row r="11" spans="1:11">
      <c r="A11" s="8" t="s">
        <v>215</v>
      </c>
      <c r="B11" s="8" t="s">
        <v>279</v>
      </c>
      <c r="C11" s="8" t="s">
        <v>28</v>
      </c>
      <c r="D11" s="8" t="s">
        <v>298</v>
      </c>
      <c r="E11" s="50" t="s">
        <v>399</v>
      </c>
      <c r="F11" s="14" t="s">
        <v>220</v>
      </c>
      <c r="G11" s="8" t="s">
        <v>221</v>
      </c>
      <c r="H11" s="16" t="s">
        <v>28</v>
      </c>
      <c r="I11" s="8" t="s">
        <v>297</v>
      </c>
      <c r="J11" s="8"/>
      <c r="K11" s="27" t="s">
        <v>2</v>
      </c>
    </row>
    <row r="12" spans="1:11">
      <c r="A12" s="8" t="s">
        <v>216</v>
      </c>
      <c r="B12" s="8" t="s">
        <v>279</v>
      </c>
      <c r="C12" s="25" t="s">
        <v>373</v>
      </c>
      <c r="D12" s="8" t="s">
        <v>302</v>
      </c>
      <c r="E12" s="50" t="s">
        <v>394</v>
      </c>
      <c r="F12" s="14">
        <v>1</v>
      </c>
      <c r="G12" s="8" t="s">
        <v>219</v>
      </c>
      <c r="H12" s="16" t="s">
        <v>259</v>
      </c>
      <c r="I12" s="8" t="s">
        <v>297</v>
      </c>
      <c r="J12" s="8"/>
      <c r="K12" s="27" t="s">
        <v>2</v>
      </c>
    </row>
    <row r="13" spans="1:11">
      <c r="A13" s="8" t="s">
        <v>215</v>
      </c>
      <c r="B13" s="8" t="s">
        <v>279</v>
      </c>
      <c r="C13" s="10" t="s">
        <v>20</v>
      </c>
      <c r="D13" s="8" t="s">
        <v>295</v>
      </c>
      <c r="E13" s="50" t="s">
        <v>400</v>
      </c>
      <c r="F13" s="14" t="s">
        <v>222</v>
      </c>
      <c r="G13" s="8" t="s">
        <v>214</v>
      </c>
      <c r="H13" s="16" t="s">
        <v>306</v>
      </c>
      <c r="I13" s="8" t="s">
        <v>297</v>
      </c>
      <c r="J13" s="8"/>
      <c r="K13" s="27" t="s">
        <v>2</v>
      </c>
    </row>
    <row r="14" spans="1:11">
      <c r="A14" s="8" t="s">
        <v>215</v>
      </c>
      <c r="B14" s="8" t="s">
        <v>279</v>
      </c>
      <c r="C14" s="8" t="s">
        <v>223</v>
      </c>
      <c r="D14" s="8" t="s">
        <v>295</v>
      </c>
      <c r="E14" s="50" t="s">
        <v>401</v>
      </c>
      <c r="F14" s="6">
        <v>1</v>
      </c>
      <c r="G14" s="8" t="s">
        <v>219</v>
      </c>
      <c r="H14" s="16" t="s">
        <v>253</v>
      </c>
      <c r="I14" s="8" t="s">
        <v>297</v>
      </c>
      <c r="J14" s="8"/>
      <c r="K14" s="27" t="s">
        <v>2</v>
      </c>
    </row>
    <row r="15" spans="1:11">
      <c r="A15" s="8" t="s">
        <v>216</v>
      </c>
      <c r="B15" s="8" t="s">
        <v>279</v>
      </c>
      <c r="C15" s="8" t="s">
        <v>4</v>
      </c>
      <c r="D15" s="8" t="s">
        <v>302</v>
      </c>
      <c r="E15" s="50" t="s">
        <v>397</v>
      </c>
      <c r="F15" s="6">
        <v>1</v>
      </c>
      <c r="G15" s="8" t="s">
        <v>214</v>
      </c>
      <c r="H15" s="16" t="s">
        <v>260</v>
      </c>
      <c r="I15" s="8" t="s">
        <v>297</v>
      </c>
      <c r="J15" s="8"/>
      <c r="K15" s="27" t="s">
        <v>2</v>
      </c>
    </row>
    <row r="16" spans="1:11" ht="29">
      <c r="A16" s="8" t="s">
        <v>224</v>
      </c>
      <c r="B16" s="8" t="s">
        <v>279</v>
      </c>
      <c r="C16" s="25" t="s">
        <v>8</v>
      </c>
      <c r="D16" s="13" t="s">
        <v>308</v>
      </c>
      <c r="E16" s="50" t="s">
        <v>397</v>
      </c>
      <c r="F16" s="6">
        <v>2</v>
      </c>
      <c r="G16" s="8" t="s">
        <v>214</v>
      </c>
      <c r="H16" s="16" t="s">
        <v>307</v>
      </c>
      <c r="I16" s="8" t="s">
        <v>297</v>
      </c>
      <c r="J16" s="8"/>
      <c r="K16" s="27" t="s">
        <v>2</v>
      </c>
    </row>
    <row r="17" spans="1:11">
      <c r="A17" s="12" t="s">
        <v>216</v>
      </c>
      <c r="B17" s="12" t="s">
        <v>279</v>
      </c>
      <c r="C17" s="12" t="s">
        <v>23</v>
      </c>
      <c r="D17" s="12" t="s">
        <v>302</v>
      </c>
      <c r="E17" s="53" t="s">
        <v>397</v>
      </c>
      <c r="F17" s="11">
        <v>1</v>
      </c>
      <c r="G17" s="12" t="s">
        <v>219</v>
      </c>
      <c r="H17" s="17" t="s">
        <v>23</v>
      </c>
      <c r="I17" s="12" t="s">
        <v>297</v>
      </c>
      <c r="J17" s="12" t="s">
        <v>225</v>
      </c>
      <c r="K17" s="27" t="s">
        <v>2</v>
      </c>
    </row>
    <row r="18" spans="1:11">
      <c r="A18" s="12" t="s">
        <v>233</v>
      </c>
      <c r="B18" s="12" t="s">
        <v>279</v>
      </c>
      <c r="C18" s="12" t="s">
        <v>5</v>
      </c>
      <c r="D18" s="12" t="s">
        <v>302</v>
      </c>
      <c r="E18" s="51" t="s">
        <v>402</v>
      </c>
      <c r="F18" s="11">
        <v>1</v>
      </c>
      <c r="G18" s="12" t="s">
        <v>214</v>
      </c>
      <c r="H18" s="17" t="s">
        <v>265</v>
      </c>
      <c r="I18" s="12" t="s">
        <v>297</v>
      </c>
      <c r="J18" s="12" t="s">
        <v>309</v>
      </c>
      <c r="K18" s="27" t="s">
        <v>2</v>
      </c>
    </row>
    <row r="19" spans="1:11">
      <c r="A19" s="8" t="s">
        <v>216</v>
      </c>
      <c r="B19" s="8" t="s">
        <v>279</v>
      </c>
      <c r="C19" s="8" t="s">
        <v>226</v>
      </c>
      <c r="D19" s="8" t="s">
        <v>302</v>
      </c>
      <c r="E19" s="50" t="s">
        <v>397</v>
      </c>
      <c r="F19" s="6">
        <v>1</v>
      </c>
      <c r="G19" s="8" t="s">
        <v>219</v>
      </c>
      <c r="H19" s="16" t="s">
        <v>261</v>
      </c>
      <c r="I19" s="8" t="s">
        <v>297</v>
      </c>
      <c r="J19" s="8"/>
      <c r="K19" s="27" t="s">
        <v>2</v>
      </c>
    </row>
    <row r="20" spans="1:11">
      <c r="A20" s="8" t="s">
        <v>216</v>
      </c>
      <c r="B20" s="8" t="s">
        <v>279</v>
      </c>
      <c r="C20" s="369" t="s">
        <v>951</v>
      </c>
      <c r="D20" s="8" t="s">
        <v>312</v>
      </c>
      <c r="E20" s="50" t="s">
        <v>403</v>
      </c>
      <c r="F20" s="6">
        <v>1</v>
      </c>
      <c r="G20" s="8" t="s">
        <v>214</v>
      </c>
      <c r="H20" s="16" t="s">
        <v>311</v>
      </c>
      <c r="I20" s="8" t="s">
        <v>313</v>
      </c>
      <c r="J20" s="8"/>
      <c r="K20" s="27" t="s">
        <v>2</v>
      </c>
    </row>
    <row r="21" spans="1:11" ht="29">
      <c r="A21" s="8" t="s">
        <v>229</v>
      </c>
      <c r="B21" s="8" t="s">
        <v>279</v>
      </c>
      <c r="C21" s="8" t="s">
        <v>228</v>
      </c>
      <c r="D21" s="8" t="s">
        <v>302</v>
      </c>
      <c r="E21" s="49" t="s">
        <v>405</v>
      </c>
      <c r="F21" s="14" t="s">
        <v>230</v>
      </c>
      <c r="G21" s="8" t="s">
        <v>214</v>
      </c>
      <c r="H21" s="16" t="s">
        <v>255</v>
      </c>
      <c r="I21" s="8" t="s">
        <v>297</v>
      </c>
      <c r="J21" s="13" t="s">
        <v>218</v>
      </c>
      <c r="K21" s="27" t="s">
        <v>2</v>
      </c>
    </row>
    <row r="22" spans="1:11" ht="29">
      <c r="A22" s="8" t="s">
        <v>314</v>
      </c>
      <c r="B22" s="8" t="s">
        <v>279</v>
      </c>
      <c r="C22" s="8" t="s">
        <v>231</v>
      </c>
      <c r="D22" s="13" t="s">
        <v>305</v>
      </c>
      <c r="E22" s="49" t="s">
        <v>406</v>
      </c>
      <c r="F22" s="6">
        <v>8</v>
      </c>
      <c r="G22" s="8" t="s">
        <v>219</v>
      </c>
      <c r="H22" s="16" t="s">
        <v>253</v>
      </c>
      <c r="I22" s="8" t="s">
        <v>297</v>
      </c>
      <c r="J22" s="8"/>
      <c r="K22" s="27" t="s">
        <v>2</v>
      </c>
    </row>
    <row r="23" spans="1:11" ht="116">
      <c r="A23" s="13" t="s">
        <v>246</v>
      </c>
      <c r="B23" s="13" t="s">
        <v>315</v>
      </c>
      <c r="C23" s="13" t="s">
        <v>245</v>
      </c>
      <c r="D23" s="13" t="s">
        <v>317</v>
      </c>
      <c r="E23" s="8" t="s">
        <v>318</v>
      </c>
      <c r="F23" s="14">
        <v>3</v>
      </c>
      <c r="G23" s="13" t="s">
        <v>219</v>
      </c>
      <c r="H23" s="16" t="s">
        <v>262</v>
      </c>
      <c r="I23" s="8" t="s">
        <v>297</v>
      </c>
      <c r="J23" s="13" t="s">
        <v>316</v>
      </c>
      <c r="K23" s="48" t="s">
        <v>1</v>
      </c>
    </row>
    <row r="24" spans="1:11">
      <c r="A24" s="8" t="s">
        <v>215</v>
      </c>
      <c r="B24" s="8" t="s">
        <v>279</v>
      </c>
      <c r="C24" s="8" t="s">
        <v>29</v>
      </c>
      <c r="D24" s="8" t="s">
        <v>295</v>
      </c>
      <c r="E24" s="50" t="s">
        <v>407</v>
      </c>
      <c r="F24" s="6">
        <v>1</v>
      </c>
      <c r="G24" s="8" t="s">
        <v>219</v>
      </c>
      <c r="H24" s="16" t="s">
        <v>29</v>
      </c>
      <c r="I24" s="8" t="s">
        <v>297</v>
      </c>
      <c r="J24" s="8"/>
      <c r="K24" s="27" t="s">
        <v>2</v>
      </c>
    </row>
    <row r="25" spans="1:11" ht="29">
      <c r="A25" s="8" t="s">
        <v>216</v>
      </c>
      <c r="B25" s="8" t="s">
        <v>279</v>
      </c>
      <c r="C25" s="8" t="s">
        <v>232</v>
      </c>
      <c r="D25" s="8" t="s">
        <v>302</v>
      </c>
      <c r="E25" s="8" t="s">
        <v>397</v>
      </c>
      <c r="F25" s="6">
        <v>3</v>
      </c>
      <c r="G25" s="8" t="s">
        <v>219</v>
      </c>
      <c r="H25" s="16" t="s">
        <v>263</v>
      </c>
      <c r="I25" s="8" t="s">
        <v>297</v>
      </c>
      <c r="J25" s="8"/>
      <c r="K25" s="27" t="s">
        <v>2</v>
      </c>
    </row>
    <row r="26" spans="1:11" ht="29">
      <c r="A26" s="8" t="s">
        <v>319</v>
      </c>
      <c r="B26" s="8" t="s">
        <v>279</v>
      </c>
      <c r="C26" s="8" t="s">
        <v>49</v>
      </c>
      <c r="D26" s="13" t="s">
        <v>320</v>
      </c>
      <c r="E26" s="49" t="s">
        <v>408</v>
      </c>
      <c r="F26" s="6">
        <v>8</v>
      </c>
      <c r="G26" s="8" t="s">
        <v>219</v>
      </c>
      <c r="H26" s="16" t="s">
        <v>264</v>
      </c>
      <c r="I26" s="8" t="s">
        <v>297</v>
      </c>
      <c r="J26" s="8"/>
      <c r="K26" s="27" t="s">
        <v>2</v>
      </c>
    </row>
    <row r="27" spans="1:11" ht="29">
      <c r="A27" s="8" t="s">
        <v>233</v>
      </c>
      <c r="B27" s="8" t="s">
        <v>279</v>
      </c>
      <c r="C27" s="8" t="s">
        <v>234</v>
      </c>
      <c r="D27" s="8" t="s">
        <v>302</v>
      </c>
      <c r="E27" s="49" t="s">
        <v>409</v>
      </c>
      <c r="F27" s="6">
        <v>1</v>
      </c>
      <c r="G27" s="8" t="s">
        <v>214</v>
      </c>
      <c r="H27" s="16" t="s">
        <v>266</v>
      </c>
      <c r="I27" s="8" t="s">
        <v>297</v>
      </c>
      <c r="J27" s="8"/>
      <c r="K27" s="27" t="s">
        <v>2</v>
      </c>
    </row>
    <row r="28" spans="1:11" ht="29">
      <c r="A28" s="13" t="s">
        <v>236</v>
      </c>
      <c r="B28" s="8" t="s">
        <v>279</v>
      </c>
      <c r="C28" s="8" t="s">
        <v>235</v>
      </c>
      <c r="D28" s="8" t="s">
        <v>321</v>
      </c>
      <c r="E28" s="8" t="s">
        <v>345</v>
      </c>
      <c r="F28" s="6" t="s">
        <v>237</v>
      </c>
      <c r="G28" s="8" t="s">
        <v>219</v>
      </c>
      <c r="H28" s="16" t="s">
        <v>272</v>
      </c>
      <c r="I28" s="8" t="s">
        <v>297</v>
      </c>
      <c r="J28" s="13"/>
      <c r="K28" s="27" t="s">
        <v>2</v>
      </c>
    </row>
    <row r="29" spans="1:11" ht="29">
      <c r="A29" s="8" t="s">
        <v>239</v>
      </c>
      <c r="B29" s="8" t="s">
        <v>279</v>
      </c>
      <c r="C29" s="28" t="s">
        <v>545</v>
      </c>
      <c r="D29" s="8" t="s">
        <v>251</v>
      </c>
      <c r="E29" s="49" t="s">
        <v>410</v>
      </c>
      <c r="F29" s="6" t="s">
        <v>240</v>
      </c>
      <c r="G29" s="8" t="s">
        <v>219</v>
      </c>
      <c r="H29" s="16" t="s">
        <v>267</v>
      </c>
      <c r="I29" s="8" t="s">
        <v>297</v>
      </c>
      <c r="J29" s="8"/>
      <c r="K29" s="27" t="s">
        <v>2</v>
      </c>
    </row>
    <row r="30" spans="1:11" ht="29">
      <c r="A30" s="8" t="s">
        <v>216</v>
      </c>
      <c r="B30" s="8" t="s">
        <v>279</v>
      </c>
      <c r="C30" s="25" t="s">
        <v>374</v>
      </c>
      <c r="D30" s="8" t="s">
        <v>302</v>
      </c>
      <c r="E30" s="50" t="s">
        <v>411</v>
      </c>
      <c r="F30" s="6">
        <v>2</v>
      </c>
      <c r="G30" s="8" t="s">
        <v>214</v>
      </c>
      <c r="H30" s="16" t="s">
        <v>322</v>
      </c>
      <c r="I30" s="8" t="s">
        <v>297</v>
      </c>
      <c r="J30" s="8"/>
      <c r="K30" s="27" t="s">
        <v>2</v>
      </c>
    </row>
    <row r="31" spans="1:11" ht="29">
      <c r="A31" s="8" t="s">
        <v>216</v>
      </c>
      <c r="B31" s="8" t="s">
        <v>279</v>
      </c>
      <c r="C31" s="25" t="s">
        <v>374</v>
      </c>
      <c r="D31" s="8" t="s">
        <v>302</v>
      </c>
      <c r="E31" s="50" t="s">
        <v>397</v>
      </c>
      <c r="F31" s="6">
        <v>1</v>
      </c>
      <c r="G31" s="8" t="s">
        <v>214</v>
      </c>
      <c r="H31" s="16" t="s">
        <v>323</v>
      </c>
      <c r="I31" s="8" t="s">
        <v>297</v>
      </c>
      <c r="J31" s="8"/>
      <c r="K31" s="27" t="s">
        <v>2</v>
      </c>
    </row>
    <row r="32" spans="1:11" ht="29">
      <c r="A32" s="13" t="s">
        <v>337</v>
      </c>
      <c r="B32" s="8" t="s">
        <v>279</v>
      </c>
      <c r="C32" s="13" t="s">
        <v>336</v>
      </c>
      <c r="D32" s="8" t="s">
        <v>302</v>
      </c>
      <c r="E32" s="49" t="s">
        <v>412</v>
      </c>
      <c r="F32" s="13" t="s">
        <v>338</v>
      </c>
      <c r="G32" s="13" t="s">
        <v>214</v>
      </c>
      <c r="H32" s="16" t="s">
        <v>324</v>
      </c>
      <c r="I32" s="8" t="s">
        <v>297</v>
      </c>
      <c r="J32" s="8"/>
      <c r="K32" s="27" t="s">
        <v>2</v>
      </c>
    </row>
    <row r="33" spans="1:11">
      <c r="A33" s="8" t="s">
        <v>216</v>
      </c>
      <c r="B33" s="8" t="s">
        <v>279</v>
      </c>
      <c r="C33" s="8" t="s">
        <v>32</v>
      </c>
      <c r="D33" s="8" t="s">
        <v>302</v>
      </c>
      <c r="E33" s="50" t="s">
        <v>413</v>
      </c>
      <c r="F33" s="6">
        <v>3</v>
      </c>
      <c r="G33" s="8" t="s">
        <v>219</v>
      </c>
      <c r="H33" s="16" t="s">
        <v>268</v>
      </c>
      <c r="I33" s="8" t="s">
        <v>297</v>
      </c>
      <c r="J33" s="8"/>
      <c r="K33" s="27" t="s">
        <v>2</v>
      </c>
    </row>
    <row r="34" spans="1:11">
      <c r="A34" s="8" t="s">
        <v>216</v>
      </c>
      <c r="B34" s="8" t="s">
        <v>279</v>
      </c>
      <c r="C34" s="3" t="s">
        <v>66</v>
      </c>
      <c r="D34" s="8" t="s">
        <v>302</v>
      </c>
      <c r="E34" s="50" t="s">
        <v>414</v>
      </c>
      <c r="F34" s="6">
        <v>1</v>
      </c>
      <c r="G34" s="8" t="s">
        <v>214</v>
      </c>
      <c r="H34" s="16" t="s">
        <v>269</v>
      </c>
      <c r="I34" s="8" t="s">
        <v>297</v>
      </c>
      <c r="J34" s="8"/>
      <c r="K34" s="27" t="s">
        <v>2</v>
      </c>
    </row>
    <row r="35" spans="1:11">
      <c r="A35" s="8" t="s">
        <v>216</v>
      </c>
      <c r="B35" s="8" t="s">
        <v>279</v>
      </c>
      <c r="C35" s="8" t="s">
        <v>44</v>
      </c>
      <c r="D35" s="8" t="s">
        <v>302</v>
      </c>
      <c r="E35" s="50" t="s">
        <v>397</v>
      </c>
      <c r="F35" s="6">
        <v>5</v>
      </c>
      <c r="G35" s="8" t="s">
        <v>214</v>
      </c>
      <c r="H35" s="16" t="s">
        <v>44</v>
      </c>
      <c r="I35" s="8" t="s">
        <v>297</v>
      </c>
      <c r="J35" s="8"/>
      <c r="K35" s="27" t="s">
        <v>2</v>
      </c>
    </row>
    <row r="36" spans="1:11" ht="43.5">
      <c r="A36" s="8" t="s">
        <v>326</v>
      </c>
      <c r="B36" s="8" t="s">
        <v>279</v>
      </c>
      <c r="C36" s="8" t="s">
        <v>6</v>
      </c>
      <c r="D36" s="8" t="s">
        <v>302</v>
      </c>
      <c r="E36" s="50" t="s">
        <v>397</v>
      </c>
      <c r="F36" s="6">
        <v>1</v>
      </c>
      <c r="G36" s="8" t="s">
        <v>214</v>
      </c>
      <c r="H36" s="16" t="s">
        <v>325</v>
      </c>
      <c r="I36" s="8" t="s">
        <v>297</v>
      </c>
      <c r="J36" s="8"/>
      <c r="K36" s="27" t="s">
        <v>2</v>
      </c>
    </row>
    <row r="37" spans="1:11" ht="72.5">
      <c r="A37" s="8" t="s">
        <v>326</v>
      </c>
      <c r="B37" s="13" t="s">
        <v>330</v>
      </c>
      <c r="C37" s="54" t="s">
        <v>46</v>
      </c>
      <c r="D37" s="8" t="s">
        <v>302</v>
      </c>
      <c r="E37" s="49" t="s">
        <v>415</v>
      </c>
      <c r="F37" s="6">
        <v>10</v>
      </c>
      <c r="G37" s="13" t="s">
        <v>327</v>
      </c>
      <c r="H37" s="16" t="s">
        <v>270</v>
      </c>
      <c r="I37" s="8" t="s">
        <v>297</v>
      </c>
      <c r="J37" s="8"/>
      <c r="K37" s="27" t="s">
        <v>2</v>
      </c>
    </row>
    <row r="38" spans="1:11" ht="58">
      <c r="A38" s="9" t="s">
        <v>328</v>
      </c>
      <c r="B38" s="8" t="s">
        <v>279</v>
      </c>
      <c r="C38" s="54" t="s">
        <v>46</v>
      </c>
      <c r="D38" s="8" t="s">
        <v>302</v>
      </c>
      <c r="E38" s="50" t="s">
        <v>416</v>
      </c>
      <c r="F38" s="21">
        <v>23</v>
      </c>
      <c r="G38" s="13" t="s">
        <v>329</v>
      </c>
      <c r="H38" s="16" t="s">
        <v>270</v>
      </c>
      <c r="I38" s="8" t="s">
        <v>297</v>
      </c>
      <c r="J38" s="8"/>
      <c r="K38" s="27" t="s">
        <v>2</v>
      </c>
    </row>
    <row r="39" spans="1:11">
      <c r="A39" s="8" t="s">
        <v>215</v>
      </c>
      <c r="B39" s="8" t="s">
        <v>279</v>
      </c>
      <c r="C39" s="8" t="s">
        <v>241</v>
      </c>
      <c r="D39" s="8" t="s">
        <v>295</v>
      </c>
      <c r="E39" s="50" t="s">
        <v>390</v>
      </c>
      <c r="F39" s="6">
        <v>1</v>
      </c>
      <c r="G39" s="8" t="s">
        <v>214</v>
      </c>
      <c r="H39" s="16" t="s">
        <v>280</v>
      </c>
      <c r="I39" s="8" t="s">
        <v>297</v>
      </c>
      <c r="J39" s="8"/>
      <c r="K39" s="27" t="s">
        <v>2</v>
      </c>
    </row>
    <row r="40" spans="1:11" ht="87">
      <c r="A40" s="8" t="s">
        <v>216</v>
      </c>
      <c r="B40" s="8" t="s">
        <v>279</v>
      </c>
      <c r="C40" s="8" t="s">
        <v>142</v>
      </c>
      <c r="D40" s="13" t="s">
        <v>332</v>
      </c>
      <c r="E40" s="49" t="s">
        <v>417</v>
      </c>
      <c r="F40" s="6">
        <v>6</v>
      </c>
      <c r="G40" s="8" t="s">
        <v>214</v>
      </c>
      <c r="H40" s="16" t="s">
        <v>254</v>
      </c>
      <c r="I40" s="8" t="s">
        <v>313</v>
      </c>
      <c r="J40" s="13" t="s">
        <v>331</v>
      </c>
      <c r="K40" s="27" t="s">
        <v>2</v>
      </c>
    </row>
    <row r="41" spans="1:11" ht="132" customHeight="1">
      <c r="A41" s="8" t="s">
        <v>319</v>
      </c>
      <c r="B41" s="13" t="s">
        <v>334</v>
      </c>
      <c r="C41" s="8" t="s">
        <v>242</v>
      </c>
      <c r="D41" s="13" t="s">
        <v>333</v>
      </c>
      <c r="E41" s="55" t="s">
        <v>391</v>
      </c>
      <c r="F41" s="14" t="s">
        <v>243</v>
      </c>
      <c r="G41" s="8" t="s">
        <v>214</v>
      </c>
      <c r="H41" s="16" t="s">
        <v>271</v>
      </c>
      <c r="I41" s="8" t="s">
        <v>297</v>
      </c>
      <c r="J41" s="13" t="s">
        <v>316</v>
      </c>
      <c r="K41" s="48" t="s">
        <v>1</v>
      </c>
    </row>
    <row r="42" spans="1:11">
      <c r="A42" s="8" t="s">
        <v>215</v>
      </c>
      <c r="B42" s="8" t="s">
        <v>279</v>
      </c>
      <c r="C42" s="8" t="s">
        <v>244</v>
      </c>
      <c r="D42" s="8" t="s">
        <v>295</v>
      </c>
      <c r="E42" s="55" t="s">
        <v>418</v>
      </c>
      <c r="F42" s="6">
        <v>1</v>
      </c>
      <c r="G42" s="8" t="s">
        <v>219</v>
      </c>
      <c r="H42" s="16" t="s">
        <v>253</v>
      </c>
      <c r="I42" s="8" t="s">
        <v>297</v>
      </c>
      <c r="J42" s="8"/>
      <c r="K42" s="27" t="s">
        <v>2</v>
      </c>
    </row>
    <row r="45" spans="1:11">
      <c r="A45" s="18"/>
      <c r="B45" s="18" t="s">
        <v>281</v>
      </c>
      <c r="C45" s="18" t="s">
        <v>367</v>
      </c>
    </row>
    <row r="46" spans="1:11">
      <c r="C46" t="s">
        <v>286</v>
      </c>
    </row>
    <row r="47" spans="1:11">
      <c r="C47" t="s">
        <v>287</v>
      </c>
    </row>
    <row r="48" spans="1:11">
      <c r="C48" t="s">
        <v>288</v>
      </c>
    </row>
    <row r="49" spans="3:3">
      <c r="C49" t="s">
        <v>289</v>
      </c>
    </row>
    <row r="51" spans="3:3">
      <c r="C51" s="18" t="s">
        <v>282</v>
      </c>
    </row>
    <row r="52" spans="3:3">
      <c r="C52" t="s">
        <v>283</v>
      </c>
    </row>
    <row r="53" spans="3:3">
      <c r="C53" t="s">
        <v>284</v>
      </c>
    </row>
    <row r="54" spans="3:3">
      <c r="C54" t="s">
        <v>285</v>
      </c>
    </row>
    <row r="55" spans="3:3">
      <c r="C55" t="s">
        <v>294</v>
      </c>
    </row>
    <row r="57" spans="3:3">
      <c r="C57" s="18" t="s">
        <v>310</v>
      </c>
    </row>
    <row r="58" spans="3:3">
      <c r="C58" t="s">
        <v>293</v>
      </c>
    </row>
    <row r="59" spans="3:3">
      <c r="C59" s="22" t="s">
        <v>346</v>
      </c>
    </row>
    <row r="60" spans="3:3">
      <c r="C60" s="22" t="s">
        <v>352</v>
      </c>
    </row>
    <row r="61" spans="3:3">
      <c r="C61" s="22" t="s">
        <v>353</v>
      </c>
    </row>
    <row r="62" spans="3:3">
      <c r="C62" s="22" t="s">
        <v>347</v>
      </c>
    </row>
    <row r="63" spans="3:3">
      <c r="C63" s="22" t="s">
        <v>366</v>
      </c>
    </row>
    <row r="64" spans="3:3">
      <c r="C64" s="22" t="s">
        <v>348</v>
      </c>
    </row>
    <row r="65" spans="3:3">
      <c r="C65" s="22" t="s">
        <v>349</v>
      </c>
    </row>
    <row r="66" spans="3:3">
      <c r="C66" s="22" t="s">
        <v>350</v>
      </c>
    </row>
    <row r="67" spans="3:3">
      <c r="C67" s="22" t="s">
        <v>351</v>
      </c>
    </row>
    <row r="68" spans="3:3">
      <c r="C68" s="22" t="s">
        <v>354</v>
      </c>
    </row>
    <row r="69" spans="3:3">
      <c r="C69" s="22" t="s">
        <v>355</v>
      </c>
    </row>
    <row r="70" spans="3:3">
      <c r="C70" s="22" t="s">
        <v>356</v>
      </c>
    </row>
    <row r="71" spans="3:3">
      <c r="C71" s="22" t="s">
        <v>357</v>
      </c>
    </row>
    <row r="72" spans="3:3">
      <c r="C72" s="22" t="s">
        <v>359</v>
      </c>
    </row>
    <row r="73" spans="3:3">
      <c r="C73" s="22" t="s">
        <v>358</v>
      </c>
    </row>
    <row r="74" spans="3:3">
      <c r="C74" s="22" t="s">
        <v>360</v>
      </c>
    </row>
    <row r="75" spans="3:3">
      <c r="C75" s="22" t="s">
        <v>361</v>
      </c>
    </row>
    <row r="76" spans="3:3">
      <c r="C76" s="22" t="s">
        <v>362</v>
      </c>
    </row>
    <row r="77" spans="3:3">
      <c r="C77" s="22" t="s">
        <v>363</v>
      </c>
    </row>
    <row r="78" spans="3:3">
      <c r="C78" s="22" t="s">
        <v>364</v>
      </c>
    </row>
    <row r="79" spans="3:3">
      <c r="C79" s="22" t="s">
        <v>365</v>
      </c>
    </row>
    <row r="81" spans="3:3">
      <c r="C81" s="18" t="s">
        <v>290</v>
      </c>
    </row>
    <row r="82" spans="3:3">
      <c r="C82" t="s">
        <v>291</v>
      </c>
    </row>
    <row r="83" spans="3:3">
      <c r="C83" t="s">
        <v>292</v>
      </c>
    </row>
  </sheetData>
  <phoneticPr fontId="18"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0"/>
  <sheetViews>
    <sheetView workbookViewId="0"/>
  </sheetViews>
  <sheetFormatPr defaultColWidth="12.6328125" defaultRowHeight="15" customHeight="1"/>
  <cols>
    <col min="1" max="1" width="12.453125" bestFit="1" customWidth="1"/>
    <col min="2" max="2" width="56.6328125" bestFit="1" customWidth="1"/>
    <col min="3" max="3" width="16.6328125" bestFit="1" customWidth="1"/>
    <col min="4" max="21" width="8.6328125" customWidth="1"/>
  </cols>
  <sheetData>
    <row r="1" spans="1:7" ht="14.25" customHeight="1">
      <c r="A1" s="371" t="s">
        <v>0</v>
      </c>
      <c r="B1" s="371" t="s">
        <v>50</v>
      </c>
      <c r="C1" s="1" t="s">
        <v>186</v>
      </c>
      <c r="D1" s="27" t="s">
        <v>375</v>
      </c>
      <c r="E1" s="297" t="s">
        <v>954</v>
      </c>
      <c r="F1" s="297" t="s">
        <v>955</v>
      </c>
      <c r="G1" s="297" t="s">
        <v>956</v>
      </c>
    </row>
    <row r="2" spans="1:7" ht="14.25" customHeight="1">
      <c r="A2" s="1" t="s">
        <v>187</v>
      </c>
      <c r="B2" s="1" t="s">
        <v>188</v>
      </c>
      <c r="C2" s="1" t="s">
        <v>189</v>
      </c>
      <c r="D2" s="27" t="s">
        <v>151</v>
      </c>
      <c r="E2">
        <v>0</v>
      </c>
    </row>
    <row r="3" spans="1:7" ht="14.25" customHeight="1">
      <c r="A3" s="1" t="s">
        <v>190</v>
      </c>
      <c r="B3" s="1" t="s">
        <v>188</v>
      </c>
      <c r="C3" s="1" t="s">
        <v>191</v>
      </c>
      <c r="D3" s="27" t="s">
        <v>151</v>
      </c>
      <c r="E3">
        <v>0</v>
      </c>
    </row>
    <row r="4" spans="1:7" ht="14.25" customHeight="1">
      <c r="A4" s="1" t="s">
        <v>190</v>
      </c>
      <c r="B4" s="1" t="s">
        <v>192</v>
      </c>
      <c r="C4" s="1" t="s">
        <v>193</v>
      </c>
      <c r="D4" s="27" t="s">
        <v>2</v>
      </c>
      <c r="E4">
        <v>0</v>
      </c>
    </row>
    <row r="5" spans="1:7" ht="14.25" customHeight="1">
      <c r="A5" s="1" t="s">
        <v>190</v>
      </c>
      <c r="B5" s="1" t="s">
        <v>194</v>
      </c>
      <c r="C5" s="1" t="s">
        <v>193</v>
      </c>
      <c r="D5" s="27" t="s">
        <v>2</v>
      </c>
      <c r="E5">
        <v>0</v>
      </c>
    </row>
    <row r="6" spans="1:7" ht="14.25" customHeight="1">
      <c r="A6" s="1" t="s">
        <v>190</v>
      </c>
      <c r="B6" s="1" t="s">
        <v>195</v>
      </c>
      <c r="C6" s="1" t="s">
        <v>196</v>
      </c>
      <c r="D6" s="27" t="s">
        <v>2</v>
      </c>
      <c r="E6">
        <v>0</v>
      </c>
    </row>
    <row r="7" spans="1:7" ht="14.25" customHeight="1">
      <c r="A7" s="1" t="s">
        <v>197</v>
      </c>
      <c r="B7" s="1" t="s">
        <v>188</v>
      </c>
      <c r="C7" s="1" t="s">
        <v>191</v>
      </c>
      <c r="D7" s="27" t="s">
        <v>151</v>
      </c>
      <c r="E7" t="s">
        <v>678</v>
      </c>
    </row>
    <row r="8" spans="1:7" ht="14.25" customHeight="1">
      <c r="A8" s="1" t="s">
        <v>197</v>
      </c>
      <c r="B8" s="1" t="s">
        <v>192</v>
      </c>
      <c r="C8" s="1" t="s">
        <v>193</v>
      </c>
      <c r="D8" s="27" t="s">
        <v>2</v>
      </c>
      <c r="E8" t="s">
        <v>678</v>
      </c>
    </row>
    <row r="9" spans="1:7" ht="14.25" customHeight="1">
      <c r="A9" s="1" t="s">
        <v>197</v>
      </c>
      <c r="B9" s="1" t="s">
        <v>194</v>
      </c>
      <c r="C9" s="1" t="s">
        <v>193</v>
      </c>
      <c r="D9" s="27" t="s">
        <v>2</v>
      </c>
      <c r="E9" t="s">
        <v>678</v>
      </c>
    </row>
    <row r="10" spans="1:7" ht="14.25" customHeight="1">
      <c r="A10" s="1" t="s">
        <v>198</v>
      </c>
      <c r="B10" s="1" t="s">
        <v>188</v>
      </c>
      <c r="C10" s="1" t="s">
        <v>191</v>
      </c>
      <c r="D10" s="27" t="s">
        <v>151</v>
      </c>
      <c r="E10" t="s">
        <v>678</v>
      </c>
    </row>
    <row r="11" spans="1:7" ht="14.25" customHeight="1">
      <c r="A11" s="1" t="s">
        <v>198</v>
      </c>
      <c r="B11" s="1" t="s">
        <v>192</v>
      </c>
      <c r="C11" s="1" t="s">
        <v>193</v>
      </c>
      <c r="D11" s="27" t="s">
        <v>2</v>
      </c>
      <c r="E11" t="s">
        <v>678</v>
      </c>
    </row>
    <row r="12" spans="1:7" ht="14.25" customHeight="1">
      <c r="A12" s="1" t="s">
        <v>198</v>
      </c>
      <c r="B12" s="1" t="s">
        <v>194</v>
      </c>
      <c r="C12" s="1" t="s">
        <v>193</v>
      </c>
      <c r="D12" s="27" t="s">
        <v>2</v>
      </c>
      <c r="E12" t="s">
        <v>678</v>
      </c>
    </row>
    <row r="13" spans="1:7" ht="14.25" customHeight="1">
      <c r="A13" s="1" t="s">
        <v>199</v>
      </c>
      <c r="B13" s="1" t="s">
        <v>188</v>
      </c>
      <c r="C13" s="1" t="s">
        <v>191</v>
      </c>
      <c r="D13" s="27" t="s">
        <v>151</v>
      </c>
      <c r="E13" t="s">
        <v>678</v>
      </c>
    </row>
    <row r="14" spans="1:7" ht="14.25" customHeight="1">
      <c r="A14" s="1" t="s">
        <v>199</v>
      </c>
      <c r="B14" s="1" t="s">
        <v>194</v>
      </c>
      <c r="C14" s="1" t="s">
        <v>193</v>
      </c>
      <c r="D14" s="27" t="s">
        <v>2</v>
      </c>
      <c r="E14" t="s">
        <v>678</v>
      </c>
    </row>
    <row r="15" spans="1:7" ht="14.25" customHeight="1">
      <c r="A15" s="1" t="s">
        <v>200</v>
      </c>
      <c r="B15" s="1" t="s">
        <v>188</v>
      </c>
      <c r="C15" s="1" t="s">
        <v>191</v>
      </c>
      <c r="D15" s="27" t="s">
        <v>151</v>
      </c>
      <c r="E15">
        <v>0</v>
      </c>
    </row>
    <row r="16" spans="1:7" ht="14.25" customHeight="1">
      <c r="A16" s="1" t="s">
        <v>200</v>
      </c>
      <c r="B16" s="1" t="s">
        <v>192</v>
      </c>
      <c r="C16" s="1" t="s">
        <v>193</v>
      </c>
      <c r="D16" s="27" t="s">
        <v>2</v>
      </c>
      <c r="E16">
        <v>0</v>
      </c>
    </row>
    <row r="17" spans="1:5" ht="14.25" customHeight="1">
      <c r="A17" s="1" t="s">
        <v>200</v>
      </c>
      <c r="B17" s="1" t="s">
        <v>194</v>
      </c>
      <c r="C17" s="1" t="s">
        <v>193</v>
      </c>
      <c r="D17" s="27" t="s">
        <v>2</v>
      </c>
      <c r="E17">
        <v>0</v>
      </c>
    </row>
    <row r="18" spans="1:5" ht="14.25" customHeight="1">
      <c r="A18" s="1" t="s">
        <v>201</v>
      </c>
      <c r="B18" s="1" t="s">
        <v>188</v>
      </c>
      <c r="C18" s="1" t="s">
        <v>191</v>
      </c>
      <c r="D18" s="27" t="s">
        <v>151</v>
      </c>
      <c r="E18" t="s">
        <v>678</v>
      </c>
    </row>
    <row r="19" spans="1:5" ht="14.25" customHeight="1">
      <c r="A19" s="1" t="s">
        <v>201</v>
      </c>
      <c r="B19" s="1" t="s">
        <v>192</v>
      </c>
      <c r="C19" s="1" t="s">
        <v>193</v>
      </c>
      <c r="D19" s="27" t="s">
        <v>2</v>
      </c>
      <c r="E19" t="s">
        <v>678</v>
      </c>
    </row>
    <row r="20" spans="1:5" ht="14.25" customHeight="1">
      <c r="A20" s="1" t="s">
        <v>201</v>
      </c>
      <c r="B20" s="1" t="s">
        <v>194</v>
      </c>
      <c r="C20" s="1" t="s">
        <v>193</v>
      </c>
      <c r="D20" s="27" t="s">
        <v>2</v>
      </c>
      <c r="E20" t="s">
        <v>678</v>
      </c>
    </row>
    <row r="21" spans="1:5" ht="14.25" customHeight="1">
      <c r="A21" s="1" t="s">
        <v>151</v>
      </c>
      <c r="B21" s="1" t="s">
        <v>188</v>
      </c>
      <c r="C21" s="1" t="s">
        <v>191</v>
      </c>
      <c r="D21" s="27" t="s">
        <v>151</v>
      </c>
      <c r="E21">
        <v>0</v>
      </c>
    </row>
    <row r="22" spans="1:5" ht="14.25" customHeight="1">
      <c r="A22" s="1" t="s">
        <v>151</v>
      </c>
      <c r="B22" s="1" t="s">
        <v>192</v>
      </c>
      <c r="C22" s="1" t="s">
        <v>193</v>
      </c>
      <c r="D22" s="27" t="s">
        <v>2</v>
      </c>
      <c r="E22">
        <v>0</v>
      </c>
    </row>
    <row r="23" spans="1:5" ht="14.25" customHeight="1">
      <c r="A23" s="1" t="s">
        <v>151</v>
      </c>
      <c r="B23" s="1" t="s">
        <v>194</v>
      </c>
      <c r="C23" s="1" t="s">
        <v>193</v>
      </c>
      <c r="D23" s="27" t="s">
        <v>2</v>
      </c>
      <c r="E23">
        <v>0</v>
      </c>
    </row>
    <row r="24" spans="1:5" ht="14.25" customHeight="1">
      <c r="A24" s="1" t="s">
        <v>204</v>
      </c>
      <c r="B24" s="1" t="s">
        <v>188</v>
      </c>
      <c r="C24" s="1" t="s">
        <v>191</v>
      </c>
      <c r="D24" s="27" t="s">
        <v>151</v>
      </c>
      <c r="E24">
        <v>0</v>
      </c>
    </row>
    <row r="25" spans="1:5" ht="14.25" customHeight="1">
      <c r="A25" s="1" t="s">
        <v>204</v>
      </c>
      <c r="B25" s="1" t="s">
        <v>192</v>
      </c>
      <c r="C25" s="1" t="s">
        <v>193</v>
      </c>
      <c r="D25" s="27" t="s">
        <v>2</v>
      </c>
      <c r="E25">
        <v>0</v>
      </c>
    </row>
    <row r="26" spans="1:5" ht="14.25" customHeight="1">
      <c r="A26" s="1" t="s">
        <v>204</v>
      </c>
      <c r="B26" s="1" t="s">
        <v>194</v>
      </c>
      <c r="C26" s="1" t="s">
        <v>193</v>
      </c>
      <c r="D26" s="27" t="s">
        <v>2</v>
      </c>
      <c r="E26">
        <v>0</v>
      </c>
    </row>
    <row r="27" spans="1:5" ht="14.25" customHeight="1">
      <c r="A27" t="s">
        <v>207</v>
      </c>
      <c r="B27" s="1" t="s">
        <v>188</v>
      </c>
      <c r="C27" s="1" t="s">
        <v>191</v>
      </c>
      <c r="D27" s="27" t="s">
        <v>151</v>
      </c>
      <c r="E27">
        <v>0</v>
      </c>
    </row>
    <row r="28" spans="1:5" ht="14.25" customHeight="1">
      <c r="A28" t="s">
        <v>207</v>
      </c>
      <c r="B28" s="1" t="s">
        <v>192</v>
      </c>
      <c r="C28" s="1" t="s">
        <v>193</v>
      </c>
      <c r="D28" s="27" t="s">
        <v>2</v>
      </c>
      <c r="E28">
        <v>0</v>
      </c>
    </row>
    <row r="29" spans="1:5" ht="14.25" customHeight="1">
      <c r="A29" t="s">
        <v>207</v>
      </c>
      <c r="B29" s="1" t="s">
        <v>194</v>
      </c>
      <c r="C29" s="1" t="s">
        <v>193</v>
      </c>
      <c r="D29" s="27" t="s">
        <v>2</v>
      </c>
      <c r="E29">
        <v>0</v>
      </c>
    </row>
    <row r="30" spans="1:5" ht="15" customHeight="1">
      <c r="A30" s="328" t="s">
        <v>231</v>
      </c>
      <c r="B30" s="356" t="s">
        <v>959</v>
      </c>
      <c r="C30" s="356" t="s">
        <v>960</v>
      </c>
      <c r="D30" s="27" t="s">
        <v>151</v>
      </c>
      <c r="E30">
        <v>0</v>
      </c>
    </row>
  </sheetData>
  <autoFilter ref="A1:D26" xr:uid="{00000000-0001-0000-0300-000000000000}"/>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B64F5-82DB-475E-BAC8-A292613F3EF2}">
  <dimension ref="A1"/>
  <sheetViews>
    <sheetView workbookViewId="0"/>
  </sheetViews>
  <sheetFormatPr defaultRowHeight="14.5"/>
  <sheetData>
    <row r="1" spans="1:1">
      <c r="A1" t="s">
        <v>958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D7B27-5AC7-4217-BBB2-2E7C9BEC3AB4}">
  <dimension ref="A1:G13"/>
  <sheetViews>
    <sheetView workbookViewId="0">
      <selection activeCell="B1" sqref="B1"/>
    </sheetView>
  </sheetViews>
  <sheetFormatPr defaultColWidth="8.81640625" defaultRowHeight="14.5"/>
  <cols>
    <col min="1" max="1" width="12.453125" bestFit="1" customWidth="1"/>
    <col min="2" max="2" width="45.36328125" customWidth="1"/>
    <col min="3" max="3" width="15.36328125" style="23" customWidth="1"/>
    <col min="4" max="4" width="18.1796875" customWidth="1"/>
  </cols>
  <sheetData>
    <row r="1" spans="1:7">
      <c r="A1" s="32" t="s">
        <v>0</v>
      </c>
      <c r="B1" s="372" t="s">
        <v>972</v>
      </c>
      <c r="C1" s="30" t="s">
        <v>186</v>
      </c>
      <c r="D1" s="32" t="s">
        <v>375</v>
      </c>
      <c r="E1" s="297" t="s">
        <v>954</v>
      </c>
      <c r="F1" s="297" t="s">
        <v>955</v>
      </c>
      <c r="G1" s="297" t="s">
        <v>956</v>
      </c>
    </row>
    <row r="2" spans="1:7">
      <c r="A2" s="29" t="s">
        <v>187</v>
      </c>
      <c r="B2" s="30" t="s">
        <v>188</v>
      </c>
      <c r="C2" s="31" t="s">
        <v>189</v>
      </c>
      <c r="D2" s="47" t="s">
        <v>388</v>
      </c>
      <c r="E2" t="e">
        <f>VLOOKUP(A2,ESG!A:E,10,0)</f>
        <v>#REF!</v>
      </c>
    </row>
    <row r="3" spans="1:7" ht="58">
      <c r="A3" s="29" t="s">
        <v>190</v>
      </c>
      <c r="B3" s="28" t="s">
        <v>376</v>
      </c>
      <c r="C3" s="28" t="s">
        <v>379</v>
      </c>
      <c r="D3" s="47" t="s">
        <v>389</v>
      </c>
      <c r="E3" t="e">
        <f>VLOOKUP(A3,ESG!A:E,10,0)</f>
        <v>#REF!</v>
      </c>
    </row>
    <row r="4" spans="1:7" ht="43.5">
      <c r="A4" s="29" t="s">
        <v>197</v>
      </c>
      <c r="B4" s="28" t="s">
        <v>377</v>
      </c>
      <c r="C4" s="28" t="s">
        <v>380</v>
      </c>
      <c r="D4" s="47" t="s">
        <v>389</v>
      </c>
      <c r="E4" t="e">
        <f>VLOOKUP(A4,ESG!A:E,10,0)</f>
        <v>#REF!</v>
      </c>
    </row>
    <row r="5" spans="1:7" ht="43.5">
      <c r="A5" s="29" t="s">
        <v>198</v>
      </c>
      <c r="B5" s="28" t="s">
        <v>377</v>
      </c>
      <c r="C5" s="28" t="s">
        <v>380</v>
      </c>
      <c r="D5" s="47" t="s">
        <v>389</v>
      </c>
      <c r="E5" t="e">
        <f>VLOOKUP(A5,ESG!A:E,10,0)</f>
        <v>#REF!</v>
      </c>
    </row>
    <row r="6" spans="1:7" ht="29">
      <c r="A6" s="29" t="s">
        <v>199</v>
      </c>
      <c r="B6" s="28" t="s">
        <v>378</v>
      </c>
      <c r="C6" s="28" t="s">
        <v>381</v>
      </c>
      <c r="D6" s="47" t="s">
        <v>389</v>
      </c>
      <c r="E6" t="e">
        <f>VLOOKUP(A6,ESG!A:E,10,0)</f>
        <v>#REF!</v>
      </c>
    </row>
    <row r="7" spans="1:7" ht="43.5">
      <c r="A7" s="29" t="s">
        <v>200</v>
      </c>
      <c r="B7" s="28" t="s">
        <v>377</v>
      </c>
      <c r="C7" s="28" t="s">
        <v>380</v>
      </c>
      <c r="D7" s="47" t="s">
        <v>389</v>
      </c>
      <c r="E7" t="e">
        <f>VLOOKUP(A7,ESG!A:E,10,0)</f>
        <v>#REF!</v>
      </c>
    </row>
    <row r="8" spans="1:7" ht="43.5">
      <c r="A8" s="29" t="s">
        <v>201</v>
      </c>
      <c r="B8" s="28" t="s">
        <v>377</v>
      </c>
      <c r="C8" s="28" t="s">
        <v>380</v>
      </c>
      <c r="D8" s="47" t="s">
        <v>389</v>
      </c>
      <c r="E8" t="e">
        <f>VLOOKUP(A8,ESG!A:E,10,0)</f>
        <v>#REF!</v>
      </c>
    </row>
    <row r="9" spans="1:7" ht="43.5">
      <c r="A9" s="355" t="s">
        <v>1</v>
      </c>
      <c r="B9" s="28" t="s">
        <v>377</v>
      </c>
      <c r="C9" s="28" t="s">
        <v>380</v>
      </c>
      <c r="D9" s="47" t="s">
        <v>389</v>
      </c>
      <c r="E9" t="e">
        <f>VLOOKUP(A9,ESG!A:E,10,0)</f>
        <v>#REF!</v>
      </c>
    </row>
    <row r="10" spans="1:7" ht="43.5">
      <c r="A10" s="29" t="s">
        <v>204</v>
      </c>
      <c r="B10" s="28" t="s">
        <v>377</v>
      </c>
      <c r="C10" s="28" t="s">
        <v>380</v>
      </c>
      <c r="D10" s="47" t="s">
        <v>389</v>
      </c>
      <c r="E10" t="e">
        <f>VLOOKUP(A10,ESG!A:E,10,0)</f>
        <v>#REF!</v>
      </c>
    </row>
    <row r="11" spans="1:7" ht="43.5">
      <c r="A11" t="s">
        <v>207</v>
      </c>
      <c r="B11" s="28" t="s">
        <v>377</v>
      </c>
      <c r="C11" s="28" t="s">
        <v>380</v>
      </c>
      <c r="D11" s="47" t="s">
        <v>389</v>
      </c>
      <c r="E11" t="e">
        <f>VLOOKUP(A11,ESG!A:E,10,0)</f>
        <v>#REF!</v>
      </c>
    </row>
    <row r="12" spans="1:7">
      <c r="A12" s="354" t="s">
        <v>205</v>
      </c>
    </row>
    <row r="13" spans="1:7">
      <c r="A13" s="328" t="s">
        <v>231</v>
      </c>
      <c r="B13" s="356" t="s">
        <v>959</v>
      </c>
      <c r="C13" s="356" t="s">
        <v>960</v>
      </c>
      <c r="D13" s="47" t="s">
        <v>388</v>
      </c>
      <c r="E13" t="e">
        <f>VLOOKUP(A13,ESG!A:E,10,0)</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FactSet License</vt:lpstr>
      <vt:lpstr>LSEG Summary</vt:lpstr>
      <vt:lpstr>FactSet Summary</vt:lpstr>
      <vt:lpstr>Consolidation</vt:lpstr>
      <vt:lpstr>FactSet Index Reporting</vt:lpstr>
      <vt:lpstr>Index</vt:lpstr>
      <vt:lpstr>Shariah DataFeed</vt:lpstr>
      <vt:lpstr>Migration Plan</vt:lpstr>
      <vt:lpstr>LSEG Live 4 Reporting</vt:lpstr>
      <vt:lpstr>ME - Consolidation</vt:lpstr>
      <vt:lpstr>SEDOL Summery</vt:lpstr>
      <vt:lpstr>CUSIP Summery</vt:lpstr>
      <vt:lpstr>ISIN Summery</vt:lpstr>
      <vt:lpstr>FactSet Live 4 Reporting</vt:lpstr>
      <vt:lpstr>ME - Boursa</vt:lpstr>
      <vt:lpstr>ME - Index</vt:lpstr>
      <vt:lpstr>FactSet DataFeed Reporting</vt:lpstr>
      <vt:lpstr>ME - Shariah Data-feed</vt:lpstr>
      <vt:lpstr>ME - ESG Data-feed</vt:lpstr>
      <vt:lpstr>ME - Purification &amp; Zakat</vt:lpstr>
      <vt:lpstr>Service</vt:lpstr>
      <vt:lpstr>Boursa</vt:lpstr>
      <vt:lpstr>Purif &amp; Zakat</vt:lpstr>
      <vt:lpstr>ESG</vt:lpstr>
      <vt:lpstr>Data Admin</vt:lpstr>
      <vt:lpstr>ESG Consalidated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Research 1</dc:creator>
  <cp:lastModifiedBy>Ahmed Hazem</cp:lastModifiedBy>
  <dcterms:created xsi:type="dcterms:W3CDTF">2024-10-17T10:38:37Z</dcterms:created>
  <dcterms:modified xsi:type="dcterms:W3CDTF">2025-01-19T18:43:14Z</dcterms:modified>
</cp:coreProperties>
</file>