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drawings/drawing3.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charts/chart2.xml" ContentType="application/vnd.openxmlformats-officedocument.drawingml.chart+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60" windowWidth="20730" windowHeight="11700" tabRatio="739" activeTab="1"/>
  </bookViews>
  <sheets>
    <sheet name="Input" sheetId="4" r:id="rId1"/>
    <sheet name="Client Mix" sheetId="35" r:id="rId2"/>
    <sheet name="Data Tables" sheetId="37" r:id="rId3"/>
    <sheet name="Tools" sheetId="33" state="hidden" r:id="rId4"/>
    <sheet name="Scaling Tables" sheetId="7" state="hidden" r:id="rId5"/>
    <sheet name="Version Changes" sheetId="36" r:id="rId6"/>
  </sheets>
  <externalReferences>
    <externalReference r:id="rId7"/>
    <externalReference r:id="rId8"/>
  </externalReferences>
  <definedNames>
    <definedName name="Afternoon_Peak_Duration__hours">Input!$F$21</definedName>
    <definedName name="Afternoon_Peak_Time__24hr_clock">Input!$F$20</definedName>
    <definedName name="Availability_Service">Table621[Meeting FB]</definedName>
    <definedName name="Bandwidth_Headroom">Input!$C$17</definedName>
    <definedName name="Base_OAB_Size">'Scaling Tables'!$C$7</definedName>
    <definedName name="ClienttoExchange_TZ">'Client Mix'!$CY$241</definedName>
    <definedName name="Current_Version">'Version Changes'!$D$31</definedName>
    <definedName name="Exchange_Service">Input!$C$15</definedName>
    <definedName name="Exchange_service_Type">Table4[Exchange Service]</definedName>
    <definedName name="Exchange_to_Client_Bandwidth_TZ">#REF!</definedName>
    <definedName name="ExchangeToClient_TZ">'Client Mix'!$AZ$241</definedName>
    <definedName name="GAL_Changes_per_Day">Input!$C$21</definedName>
    <definedName name="HAOption">[1]Input!$C$25</definedName>
    <definedName name="ListOfTimezones">'Scaling Tables'!$B$123:$B$149</definedName>
    <definedName name="LogsGeneratedPerDay">Tools!$C$29</definedName>
    <definedName name="Max_Percent_Hour">Tools!$D$30</definedName>
    <definedName name="Meeting_Availability_Protocol">Input!$C$22</definedName>
    <definedName name="Mobile_Device_Days_to_Sync">Input!$C$19</definedName>
    <definedName name="Mobile_Device_Full_Syncs_Per_Month">Input!$C$18</definedName>
    <definedName name="Model_TimeZone">Input!$F$22</definedName>
    <definedName name="Morning_Peak_Duration__hours">Input!$F$19</definedName>
    <definedName name="Morning_Peak_Time__24hr_clock">Input!$F$18</definedName>
    <definedName name="OABSize">Input!$C$20</definedName>
    <definedName name="Online_Archive_Enabled">Input!$C$18</definedName>
    <definedName name="OST_Resync_Per_Month">Input!$C$23</definedName>
    <definedName name="Outlook_2003__MAPI_Cached__TCP">Tools!$C$41</definedName>
    <definedName name="Outlook_2003__MAPI_Online__TCP">Tools!$C$42</definedName>
    <definedName name="Outlook_2003__OA_Cached__TCP">Tools!$C$40</definedName>
    <definedName name="Outlook_2007__MAPI_Cached__TCP">Tools!$C$38</definedName>
    <definedName name="Outlook_2007__MAPI_Online__TCP">Tools!$C$39</definedName>
    <definedName name="Outlook_2007__OA_Cached__TCP">Tools!$C$37</definedName>
    <definedName name="Outlook_2010__MAPI_Cached__TCP">Tools!$C$35</definedName>
    <definedName name="Outlook_2010__MAPI_Online__TCP">Tools!$C$36</definedName>
    <definedName name="Outlook_2010__OA_Cached__TCP">Tools!$C$34</definedName>
    <definedName name="Outlook_2011__EWS__TCP">Tools!$C$47</definedName>
    <definedName name="OWA_2007_TCP">Tools!$C$43</definedName>
    <definedName name="OWA_2010_TCP">Tools!$C$44</definedName>
    <definedName name="P1_Average_Meetings_Per_Mailbox_Per_Day">Input!$C$31</definedName>
    <definedName name="P1_Avg_Mailbox_Size__GB">Input!$C$29</definedName>
    <definedName name="P1_Avg_Msg_Size">Input!$C$26</definedName>
    <definedName name="P1_Avg_Recipients_Per_Meeting">Input!$C$30</definedName>
    <definedName name="P1_Ensure_OST_download_in_1_Working_Day">Input!$C$34</definedName>
    <definedName name="P1_Messages_Sent_Per_Mailbox_Per_Day">Input!$C$27</definedName>
    <definedName name="P1_MessagesReceived_Per_Mailbox_Per_Day">Input!$C$28</definedName>
    <definedName name="P1_Min_OST_Throughput_Requirements">'Scaling Tables'!$C$101</definedName>
    <definedName name="P1_Mobile_Client_Attachment_Read">Input!$C$33</definedName>
    <definedName name="P1_Outlook_2003__MAPI_Cached__Received">'Scaling Tables'!$O$26</definedName>
    <definedName name="P1_Outlook_2003__MAPI_Cached__Sent">'Scaling Tables'!$Q$26</definedName>
    <definedName name="P1_Outlook_2003__MAPI_Online__Received">'Scaling Tables'!$O$27</definedName>
    <definedName name="P1_Outlook_2003__MAPI_Online__Sent">'Scaling Tables'!$Q$27</definedName>
    <definedName name="P1_Outlook_2003__OA_Cached__Received">'Scaling Tables'!$O$25</definedName>
    <definedName name="P1_Outlook_2003__OA_Cached__Sent">'Scaling Tables'!$Q$25</definedName>
    <definedName name="P1_Outlook_2007__MAPI_Cached__Received">'Scaling Tables'!$O$23</definedName>
    <definedName name="P1_Outlook_2007__MAPI_Cached__Sent">'Scaling Tables'!$Q$23</definedName>
    <definedName name="P1_Outlook_2007__MAPI_Online__Received">'Scaling Tables'!$O$24</definedName>
    <definedName name="P1_Outlook_2007__MAPI_Online__Sent">'Scaling Tables'!$Q$24</definedName>
    <definedName name="P1_Outlook_2007__OA_Cached__Received">'Scaling Tables'!$O$22</definedName>
    <definedName name="P1_Outlook_2007__OA_Cached__Sent">'Scaling Tables'!$Q$22</definedName>
    <definedName name="P1_Outlook_2010__MAPI_Cached__Received">'Scaling Tables'!$O$20</definedName>
    <definedName name="P1_Outlook_2010__MAPI_Cached__Sent">'Scaling Tables'!$Q$20</definedName>
    <definedName name="P1_Outlook_2010__MAPI_Online__Received">'Scaling Tables'!$O$21</definedName>
    <definedName name="P1_Outlook_2010__MAPI_Online__Sent">'Scaling Tables'!$Q$21</definedName>
    <definedName name="P1_Outlook_2010__OA_Cached__Received">'Scaling Tables'!$O$19</definedName>
    <definedName name="P1_Outlook_2010__OA_Cached__Sent">'Scaling Tables'!$Q$19</definedName>
    <definedName name="P1_Outlook_2011__EWS__Received">'Scaling Tables'!$O$32</definedName>
    <definedName name="P1_Outlook_2011__EWS__Sent">'Scaling Tables'!$Q$32</definedName>
    <definedName name="P1_OWA_2007_Received">'Scaling Tables'!$O$28</definedName>
    <definedName name="P1_OWA_2007_Sent">'Scaling Tables'!$Q$28</definedName>
    <definedName name="P1_OWA_2010_Received">'Scaling Tables'!$O$29</definedName>
    <definedName name="P1_OWA_2010_Sent">'Scaling Tables'!$Q$29</definedName>
    <definedName name="P1_Web_Client_Online_Mode_Item_Read">Input!$C$32</definedName>
    <definedName name="P1_Windows_Mobile_6.x_Received">'Scaling Tables'!$O$30</definedName>
    <definedName name="P1_Windows_Mobile_6.x_Sent">'Scaling Tables'!$Q$30</definedName>
    <definedName name="P1_Windows_Phone_7.x_Received">'Scaling Tables'!$O$31</definedName>
    <definedName name="P1_Windows_Phone_7.x_Sent">'Scaling Tables'!$Q$31</definedName>
    <definedName name="P2_Average_Meetings_Per_Mailbox_Per_Day">Input!$F$31</definedName>
    <definedName name="P2_Avg_Mailbox_Size__GB">Input!$F$29</definedName>
    <definedName name="P2_Avg_Msg_Size">Input!$F$26</definedName>
    <definedName name="P2_Avg_Recipients_Per_Meeting">Input!$F$30</definedName>
    <definedName name="P2_Ensure_OST_download_in_1_Working_Day">Input!$F$34</definedName>
    <definedName name="P2_Messages_Sent_Per_Mailbox_Per_Day">Input!$F$27</definedName>
    <definedName name="P2_MessagesReceived_Per_Mailbox_Per_Day">Input!$F$28</definedName>
    <definedName name="P2_Min_OST_Throughput_Requirements">'Scaling Tables'!$C$107</definedName>
    <definedName name="P2_Mobile_Client_Attachment_Read">Input!$F$33</definedName>
    <definedName name="P2_Outlook_2003__MAPI_Cached__Received">'Scaling Tables'!$O$46</definedName>
    <definedName name="P2_Outlook_2003__MAPI_Cached__Sent">'Scaling Tables'!$Q$46</definedName>
    <definedName name="P2_Outlook_2003__MAPI_Online__Received">'Scaling Tables'!$O$47</definedName>
    <definedName name="P2_Outlook_2003__MAPI_Online__Sent">'Scaling Tables'!$Q$47</definedName>
    <definedName name="P2_Outlook_2003__OA_Cached__Received">'Scaling Tables'!$O$45</definedName>
    <definedName name="P2_Outlook_2003__OA_Cached__Sent">'Scaling Tables'!$Q$45</definedName>
    <definedName name="P2_Outlook_2007__MAPI_Cached__Received">'Scaling Tables'!$O$43</definedName>
    <definedName name="P2_Outlook_2007__MAPI_Cached__Sent">'Scaling Tables'!$Q$43</definedName>
    <definedName name="P2_Outlook_2007__MAPI_Online__Received">'Scaling Tables'!$O$44</definedName>
    <definedName name="P2_Outlook_2007__MAPI_Online__Sent">'Scaling Tables'!$Q$44</definedName>
    <definedName name="P2_Outlook_2007__OA_Cached__Received">'Scaling Tables'!$O$42</definedName>
    <definedName name="P2_Outlook_2007__OA_Cached__Sent">'Scaling Tables'!$Q$42</definedName>
    <definedName name="P2_Outlook_2010__MAPI_Cached__Received">'Scaling Tables'!$O$40</definedName>
    <definedName name="P2_Outlook_2010__MAPI_Cached__Sent">'Scaling Tables'!$Q$40</definedName>
    <definedName name="P2_Outlook_2010__MAPI_Online__Received">'Scaling Tables'!$O$41</definedName>
    <definedName name="P2_Outlook_2010__MAPI_Online__Sent">'Scaling Tables'!$Q$41</definedName>
    <definedName name="P2_Outlook_2010__OA_Cached__Received">'Scaling Tables'!$O$39</definedName>
    <definedName name="P2_Outlook_2010__OA_Cached__Sent">'Scaling Tables'!$Q$39</definedName>
    <definedName name="P2_Outlook_2011__EWS__Received">'Scaling Tables'!$O$52</definedName>
    <definedName name="P2_Outlook_2011__EWS__Sent">'Scaling Tables'!$Q$52</definedName>
    <definedName name="P2_OWA_2007_Received">'Scaling Tables'!$O$48</definedName>
    <definedName name="P2_OWA_2007_Sent">'Scaling Tables'!$Q$48</definedName>
    <definedName name="P2_OWA_2010_Received">'Scaling Tables'!$O$49</definedName>
    <definedName name="P2_OWA_2010_Sent">'Scaling Tables'!$Q$49</definedName>
    <definedName name="P2_Web_Client_Online_Mode_Item_Read">Input!$F$32</definedName>
    <definedName name="P2_Windows_Mobile_6.x_Received">'Scaling Tables'!$O$50</definedName>
    <definedName name="P2_Windows_Mobile_6.x_Sent">'Scaling Tables'!$Q$50</definedName>
    <definedName name="P2_Windows_Phone_7.x_Received">'Scaling Tables'!$O$51</definedName>
    <definedName name="P2_Windows_Phone_7.x_Sent">'Scaling Tables'!$Q$51</definedName>
    <definedName name="P3_Average_Meetings_Per_Mailbox_Per_Day">Input!$C$42</definedName>
    <definedName name="P3_Avg_Mailbox_Size__GB">Input!$C$40</definedName>
    <definedName name="P3_Avg_Msg_Size">Input!$C$37</definedName>
    <definedName name="P3_Avg_Recipients_Per_Meeting">Input!$C$41</definedName>
    <definedName name="P3_Ensure_OST_download_in_1_Working_Day">Input!$C$45</definedName>
    <definedName name="P3_Messages_Sent_Per_Mailbox_Per_Day">Input!$C$38</definedName>
    <definedName name="P3_MessagesReceived_Per_Mailbox_Per_Day">Input!$C$39</definedName>
    <definedName name="P3_Min_OST_Throughput_Requirements">'Scaling Tables'!$C$113</definedName>
    <definedName name="P3_Mobile_Client_Attachment_Read">Input!$C$44</definedName>
    <definedName name="P3_Outlook_2003__MAPI_Cached__Received">'Scaling Tables'!$O$66</definedName>
    <definedName name="P3_Outlook_2003__MAPI_Cached__Sent">'Scaling Tables'!$Q$66</definedName>
    <definedName name="P3_Outlook_2003__MAPI_Online__Received">'Scaling Tables'!$O$67</definedName>
    <definedName name="P3_Outlook_2003__MAPI_Online__Sent">'Scaling Tables'!$Q$67</definedName>
    <definedName name="P3_Outlook_2003__OA_Cached__Received">'Scaling Tables'!$O$65</definedName>
    <definedName name="P3_Outlook_2003__OA_Cached__Sent">'Scaling Tables'!$Q$65</definedName>
    <definedName name="P3_Outlook_2007__MAPI_Cached__Received">'Scaling Tables'!$O$63</definedName>
    <definedName name="P3_Outlook_2007__MAPI_Cached__Sent">'Scaling Tables'!$Q$63</definedName>
    <definedName name="P3_Outlook_2007__MAPI_Online__Received">'Scaling Tables'!$O$64</definedName>
    <definedName name="P3_Outlook_2007__MAPI_Online__Sent">'Scaling Tables'!$Q$64</definedName>
    <definedName name="P3_Outlook_2007__OA_Cached__Received">'Scaling Tables'!$O$62</definedName>
    <definedName name="P3_Outlook_2007__OA_Cached__Sent">'Scaling Tables'!$Q$62</definedName>
    <definedName name="P3_Outlook_2010__MAPI_Cached__Received">'Scaling Tables'!$O$60</definedName>
    <definedName name="P3_Outlook_2010__MAPI_Cached__Sent">'Scaling Tables'!$Q$60</definedName>
    <definedName name="P3_Outlook_2010__MAPI_Online__Received">'Scaling Tables'!$O$61</definedName>
    <definedName name="P3_Outlook_2010__MAPI_Online__Sent">'Scaling Tables'!$Q$61</definedName>
    <definedName name="P3_Outlook_2010__OA_Cached__Received">'Scaling Tables'!$O$59</definedName>
    <definedName name="P3_Outlook_2010__OA_Cached__Sent">'Scaling Tables'!$Q$59</definedName>
    <definedName name="P3_Outlook_2011__EWS__Received">'Scaling Tables'!$O$72</definedName>
    <definedName name="P3_Outlook_2011__EWS__Sent">'Scaling Tables'!$Q$72</definedName>
    <definedName name="P3_OWA_2007_Received">'Scaling Tables'!$O$68</definedName>
    <definedName name="P3_OWA_2007_Sent">'Scaling Tables'!$Q$68</definedName>
    <definedName name="P3_OWA_2010_Received">'Scaling Tables'!$O$69</definedName>
    <definedName name="P3_OWA_2010_Sent">'Scaling Tables'!$Q$69</definedName>
    <definedName name="P3_Web_Client_Online_Mode_Item_Read">Input!$C$43</definedName>
    <definedName name="P3_Windows_Mobile_6.x_Received">'Scaling Tables'!$O$70</definedName>
    <definedName name="P3_Windows_Mobile_6.x_Sent">'Scaling Tables'!$Q$70</definedName>
    <definedName name="P3_Windows_Phone_7.x_Received">'Scaling Tables'!$O$71</definedName>
    <definedName name="P3_Windows_Phone_7.x_Sent">'Scaling Tables'!$Q$71</definedName>
    <definedName name="P4_Average_Meetings_Per_Mailbox_Per_Day">Input!$F$42</definedName>
    <definedName name="P4_Avg_Mailbox_Size__GB">Input!$F$40</definedName>
    <definedName name="P4_Avg_Msg_Size">Input!$F$37</definedName>
    <definedName name="P4_Avg_Recipients_Per_Meeting">Input!$F$41</definedName>
    <definedName name="P4_Ensure_OST_download_in_1_Working_Day">Input!$F$45</definedName>
    <definedName name="P4_Messages_Sent_Per_Mailbox_Per_Day">Input!$F$38</definedName>
    <definedName name="P4_MessagesReceived_Per_Mailbox_Per_Day">Input!$F$39</definedName>
    <definedName name="P4_Min_OST_Throughput_Requirements">'Scaling Tables'!$C$119</definedName>
    <definedName name="P4_Mobile_Client_Attachment_Read">Input!$F$44</definedName>
    <definedName name="P4_Outlook_2003__MAPI_Cached__Received">'Scaling Tables'!$O$86</definedName>
    <definedName name="P4_Outlook_2003__MAPI_Cached__Sent">'Scaling Tables'!$Q$86</definedName>
    <definedName name="P4_Outlook_2003__MAPI_Online__Received">'Scaling Tables'!$O$87</definedName>
    <definedName name="P4_Outlook_2003__MAPI_Online__Sent">'Scaling Tables'!$Q$87</definedName>
    <definedName name="P4_Outlook_2003__OA_Cached__Received">'Scaling Tables'!$O$85</definedName>
    <definedName name="P4_Outlook_2003__OA_Cached__Sent">'Scaling Tables'!$Q$85</definedName>
    <definedName name="P4_Outlook_2007__MAPI_Cached__Received">'Scaling Tables'!$O$83</definedName>
    <definedName name="P4_Outlook_2007__MAPI_Cached__Sent">'Scaling Tables'!$Q$83</definedName>
    <definedName name="P4_Outlook_2007__MAPI_Online__Received">'Scaling Tables'!$O$84</definedName>
    <definedName name="P4_Outlook_2007__MAPI_Online__Sent">'Scaling Tables'!$Q$84</definedName>
    <definedName name="P4_Outlook_2007__OA_Cached__Received">'Scaling Tables'!$O$82</definedName>
    <definedName name="P4_Outlook_2007__OA_Cached__Sent">'Scaling Tables'!$Q$82</definedName>
    <definedName name="P4_Outlook_2010__MAPI_Cached__Received">'Scaling Tables'!$O$80</definedName>
    <definedName name="P4_Outlook_2010__MAPI_Cached__Sent">'Scaling Tables'!$Q$80</definedName>
    <definedName name="P4_Outlook_2010__MAPI_Online__Received">'Scaling Tables'!$O$81</definedName>
    <definedName name="P4_Outlook_2010__MAPI_Online__Sent">'Scaling Tables'!$Q$81</definedName>
    <definedName name="P4_Outlook_2010__OA_Cached__Received">'Scaling Tables'!$O$79</definedName>
    <definedName name="P4_Outlook_2010__OA_Cached__Sent">'Scaling Tables'!$Q$79</definedName>
    <definedName name="P4_Outlook_2011__EWS__Received">'Scaling Tables'!$O$92</definedName>
    <definedName name="P4_Outlook_2011__EWS__Sent">'Scaling Tables'!$Q$92</definedName>
    <definedName name="P4_OWA_2007_Received">'Scaling Tables'!$O$88</definedName>
    <definedName name="P4_OWA_2007_Sent">'Scaling Tables'!$Q$88</definedName>
    <definedName name="P4_OWA_2010_Received">'Scaling Tables'!$O$89</definedName>
    <definedName name="P4_OWA_2010_Sent">'Scaling Tables'!$Q$89</definedName>
    <definedName name="P4_Web_Client_Online_Mode_Item_Read">Input!$F$43</definedName>
    <definedName name="P4_Windows_Mobile_6.x_Received">'Scaling Tables'!$O$90</definedName>
    <definedName name="P4_Windows_Mobile_6.x_Sent">'Scaling Tables'!$Q$90</definedName>
    <definedName name="P4_Windows_Phone_7.x_Received">'Scaling Tables'!$O$91</definedName>
    <definedName name="P4_Windows_Phone_7.x_Sent">'Scaling Tables'!$Q$91</definedName>
    <definedName name="PeakHourPercentageUse">Tools!$D$29</definedName>
    <definedName name="Profile_Choices">Table1437[Profile Choices]</definedName>
    <definedName name="Public_Folders">Input!$C$21</definedName>
    <definedName name="SiteResilienceEnabled">[1]Input!$F$23</definedName>
    <definedName name="tblTCPWindowSize">[2]Tables!$A$183:$B$213</definedName>
    <definedName name="TimeZone">'Client Mix'!$D$9:$D$107</definedName>
    <definedName name="TZCalibrationValue">'Client Mix'!$C$137</definedName>
    <definedName name="Version_of_Exchange_Server">Input!$C$34</definedName>
    <definedName name="Windows_Mobile_6.x_TCP">Tools!$C$45</definedName>
    <definedName name="Windows_Phone_7.x_TCP">Tools!$C$46</definedName>
    <definedName name="Working_Day__Hours">Input!$C$16</definedName>
  </definedNames>
  <calcPr calcId="145621"/>
  <fileRecoveryPr autoRecover="0"/>
</workbook>
</file>

<file path=xl/calcChain.xml><?xml version="1.0" encoding="utf-8"?>
<calcChain xmlns="http://schemas.openxmlformats.org/spreadsheetml/2006/main">
  <c r="D31" i="36" l="1"/>
  <c r="B31" i="36"/>
  <c r="U14" i="35" l="1"/>
  <c r="U15" i="35"/>
  <c r="U17" i="35"/>
  <c r="U18" i="35"/>
  <c r="U19" i="35"/>
  <c r="U20" i="35"/>
  <c r="U21" i="35"/>
  <c r="U22" i="35"/>
  <c r="U23" i="35"/>
  <c r="U24" i="35"/>
  <c r="U25" i="35"/>
  <c r="U26" i="35"/>
  <c r="U27" i="35"/>
  <c r="U28" i="35"/>
  <c r="U29" i="35"/>
  <c r="U30" i="35"/>
  <c r="U31" i="35"/>
  <c r="U32" i="35"/>
  <c r="U33" i="35"/>
  <c r="U34" i="35"/>
  <c r="U35" i="35"/>
  <c r="U36" i="35"/>
  <c r="U37" i="35"/>
  <c r="U38" i="35"/>
  <c r="U39" i="35"/>
  <c r="U40" i="35"/>
  <c r="U41" i="35"/>
  <c r="U42" i="35"/>
  <c r="U43" i="35"/>
  <c r="U44" i="35"/>
  <c r="U45" i="35"/>
  <c r="U46" i="35"/>
  <c r="U47" i="35"/>
  <c r="U48" i="35"/>
  <c r="U49" i="35"/>
  <c r="U50" i="35"/>
  <c r="U51" i="35"/>
  <c r="U52" i="35"/>
  <c r="U53" i="35"/>
  <c r="U54" i="35"/>
  <c r="U55" i="35"/>
  <c r="U56" i="35"/>
  <c r="U57" i="35"/>
  <c r="U58" i="35"/>
  <c r="U59" i="35"/>
  <c r="U60" i="35"/>
  <c r="U61" i="35"/>
  <c r="U62" i="35"/>
  <c r="U63" i="35"/>
  <c r="U64" i="35"/>
  <c r="U65" i="35"/>
  <c r="U66" i="35"/>
  <c r="U67" i="35"/>
  <c r="U68" i="35"/>
  <c r="U69" i="35"/>
  <c r="U70" i="35"/>
  <c r="U71" i="35"/>
  <c r="U72" i="35"/>
  <c r="U73" i="35"/>
  <c r="U74" i="35"/>
  <c r="U75" i="35"/>
  <c r="U76" i="35"/>
  <c r="U77" i="35"/>
  <c r="U78" i="35"/>
  <c r="U79" i="35"/>
  <c r="U80" i="35"/>
  <c r="U81" i="35"/>
  <c r="U82" i="35"/>
  <c r="U83" i="35"/>
  <c r="U84" i="35"/>
  <c r="U85" i="35"/>
  <c r="U86" i="35"/>
  <c r="U87" i="35"/>
  <c r="U88" i="35"/>
  <c r="U89" i="35"/>
  <c r="U90" i="35"/>
  <c r="U91" i="35"/>
  <c r="U92" i="35"/>
  <c r="U93" i="35"/>
  <c r="U94" i="35"/>
  <c r="U95" i="35"/>
  <c r="U96" i="35"/>
  <c r="U97" i="35"/>
  <c r="U98" i="35"/>
  <c r="U99" i="35"/>
  <c r="U100" i="35"/>
  <c r="U101" i="35"/>
  <c r="U102" i="35"/>
  <c r="U103" i="35"/>
  <c r="U104" i="35"/>
  <c r="U105" i="35"/>
  <c r="U106" i="35"/>
  <c r="U107" i="35"/>
  <c r="V14" i="35"/>
  <c r="V15" i="35"/>
  <c r="V17" i="35"/>
  <c r="V18" i="35"/>
  <c r="V19" i="35"/>
  <c r="V20" i="35"/>
  <c r="V21" i="35"/>
  <c r="V22" i="35"/>
  <c r="V23" i="35"/>
  <c r="V24" i="35"/>
  <c r="V25" i="35"/>
  <c r="V26" i="35"/>
  <c r="V27" i="35"/>
  <c r="V28" i="35"/>
  <c r="V29" i="35"/>
  <c r="V30" i="35"/>
  <c r="V31" i="35"/>
  <c r="V32" i="35"/>
  <c r="V33" i="35"/>
  <c r="V34" i="35"/>
  <c r="V35" i="35"/>
  <c r="V36" i="35"/>
  <c r="V37" i="35"/>
  <c r="V38" i="35"/>
  <c r="V39" i="35"/>
  <c r="V40" i="35"/>
  <c r="V41" i="35"/>
  <c r="V42" i="35"/>
  <c r="V43" i="35"/>
  <c r="V44" i="35"/>
  <c r="V45" i="35"/>
  <c r="V46" i="35"/>
  <c r="V47" i="35"/>
  <c r="V48" i="35"/>
  <c r="V49" i="35"/>
  <c r="V50" i="35"/>
  <c r="V51" i="35"/>
  <c r="V52" i="35"/>
  <c r="V53" i="35"/>
  <c r="V54" i="35"/>
  <c r="V55" i="35"/>
  <c r="V56" i="35"/>
  <c r="V57" i="35"/>
  <c r="V58" i="35"/>
  <c r="V59" i="35"/>
  <c r="V60" i="35"/>
  <c r="V61" i="35"/>
  <c r="V62" i="35"/>
  <c r="V63" i="35"/>
  <c r="V64" i="35"/>
  <c r="V65" i="35"/>
  <c r="V66" i="35"/>
  <c r="V67" i="35"/>
  <c r="V68" i="35"/>
  <c r="V69" i="35"/>
  <c r="V70" i="35"/>
  <c r="V71" i="35"/>
  <c r="V72" i="35"/>
  <c r="V73" i="35"/>
  <c r="V74" i="35"/>
  <c r="V75" i="35"/>
  <c r="V76" i="35"/>
  <c r="V77" i="35"/>
  <c r="V78" i="35"/>
  <c r="V79" i="35"/>
  <c r="V80" i="35"/>
  <c r="V81" i="35"/>
  <c r="V82" i="35"/>
  <c r="V83" i="35"/>
  <c r="V84" i="35"/>
  <c r="V85" i="35"/>
  <c r="V86" i="35"/>
  <c r="V87" i="35"/>
  <c r="V88" i="35"/>
  <c r="V89" i="35"/>
  <c r="V90" i="35"/>
  <c r="V91" i="35"/>
  <c r="V92" i="35"/>
  <c r="V93" i="35"/>
  <c r="V94" i="35"/>
  <c r="V95" i="35"/>
  <c r="V96" i="35"/>
  <c r="V97" i="35"/>
  <c r="V98" i="35"/>
  <c r="V99" i="35"/>
  <c r="V100" i="35"/>
  <c r="V101" i="35"/>
  <c r="V102" i="35"/>
  <c r="V103" i="35"/>
  <c r="V104" i="35"/>
  <c r="V105" i="35"/>
  <c r="V106" i="35"/>
  <c r="V107" i="35"/>
  <c r="E5" i="33"/>
  <c r="E6" i="33"/>
  <c r="E7" i="33"/>
  <c r="E8" i="33"/>
  <c r="E9" i="33"/>
  <c r="E10" i="33"/>
  <c r="E11" i="33"/>
  <c r="E12" i="33"/>
  <c r="E13" i="33"/>
  <c r="E14" i="33"/>
  <c r="E15" i="33"/>
  <c r="E16" i="33"/>
  <c r="E17" i="33"/>
  <c r="E18" i="33"/>
  <c r="E19" i="33"/>
  <c r="E20" i="33"/>
  <c r="E21" i="33"/>
  <c r="E22" i="33"/>
  <c r="E23" i="33"/>
  <c r="E24" i="33"/>
  <c r="E25" i="33"/>
  <c r="E26" i="33"/>
  <c r="E27" i="33"/>
  <c r="E28" i="33"/>
  <c r="D27" i="33" l="1"/>
  <c r="D23" i="33"/>
  <c r="D22" i="33"/>
  <c r="D14" i="33"/>
  <c r="D10" i="33"/>
  <c r="D6" i="33"/>
  <c r="D25" i="33"/>
  <c r="D21" i="33"/>
  <c r="D17" i="33"/>
  <c r="D13" i="33"/>
  <c r="D9" i="33"/>
  <c r="D5" i="33"/>
  <c r="D26" i="33"/>
  <c r="D18" i="33"/>
  <c r="D28" i="33"/>
  <c r="D24" i="33"/>
  <c r="D20" i="33"/>
  <c r="D16" i="33"/>
  <c r="D12" i="33"/>
  <c r="D8" i="33"/>
  <c r="D19" i="33"/>
  <c r="D15" i="33"/>
  <c r="D11" i="33"/>
  <c r="D7" i="33"/>
  <c r="F108" i="35"/>
  <c r="G108" i="35"/>
  <c r="H108" i="35"/>
  <c r="I108" i="35"/>
  <c r="J108" i="35"/>
  <c r="K108" i="35"/>
  <c r="L108" i="35"/>
  <c r="M108" i="35"/>
  <c r="N108" i="35"/>
  <c r="O108" i="35"/>
  <c r="P108" i="35"/>
  <c r="Q108" i="35"/>
  <c r="R108" i="35"/>
  <c r="S108" i="35"/>
  <c r="X137" i="35" l="1"/>
  <c r="Y137" i="35"/>
  <c r="Z137" i="35"/>
  <c r="AA137" i="35"/>
  <c r="AB137" i="35"/>
  <c r="AC137" i="35"/>
  <c r="AD137" i="35"/>
  <c r="AE137" i="35"/>
  <c r="AF137" i="35"/>
  <c r="AG137" i="35"/>
  <c r="AH137" i="35"/>
  <c r="AI137" i="35"/>
  <c r="AJ137" i="35"/>
  <c r="AK137" i="35"/>
  <c r="AL137" i="35"/>
  <c r="AM137" i="35"/>
  <c r="AN137" i="35"/>
  <c r="AO137" i="35"/>
  <c r="AP137" i="35"/>
  <c r="AQ137" i="35"/>
  <c r="AR137" i="35"/>
  <c r="AS137" i="35"/>
  <c r="AT137" i="35"/>
  <c r="AU137" i="35"/>
  <c r="AV137" i="35"/>
  <c r="AW137" i="35"/>
  <c r="AX137" i="35"/>
  <c r="AY137" i="35"/>
  <c r="E137" i="35"/>
  <c r="F137" i="35"/>
  <c r="G137" i="35"/>
  <c r="H137" i="35"/>
  <c r="I137" i="35"/>
  <c r="J137" i="35"/>
  <c r="K137" i="35"/>
  <c r="L137" i="35"/>
  <c r="M137" i="35"/>
  <c r="N137" i="35"/>
  <c r="O137" i="35"/>
  <c r="P137" i="35"/>
  <c r="Q137" i="35"/>
  <c r="R137" i="35"/>
  <c r="S137" i="35"/>
  <c r="T137" i="35"/>
  <c r="U137" i="35"/>
  <c r="V137" i="35"/>
  <c r="W137" i="35"/>
  <c r="D137"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66" i="35"/>
  <c r="C167" i="35"/>
  <c r="C168" i="35"/>
  <c r="C169" i="35"/>
  <c r="C170" i="35"/>
  <c r="C171" i="35"/>
  <c r="C172" i="35"/>
  <c r="C173" i="35"/>
  <c r="C174" i="35"/>
  <c r="C175" i="35"/>
  <c r="C176" i="35"/>
  <c r="C177" i="35"/>
  <c r="C178" i="35"/>
  <c r="C179" i="35"/>
  <c r="C180" i="35"/>
  <c r="C181" i="35"/>
  <c r="C182" i="35"/>
  <c r="C183" i="35"/>
  <c r="C184" i="35"/>
  <c r="C185" i="35"/>
  <c r="C186" i="35"/>
  <c r="C187" i="35"/>
  <c r="C188" i="35"/>
  <c r="C189" i="35"/>
  <c r="C190" i="35"/>
  <c r="C191" i="35"/>
  <c r="C142" i="35"/>
  <c r="C192" i="35"/>
  <c r="C193" i="35"/>
  <c r="C194" i="35"/>
  <c r="C195" i="35"/>
  <c r="C196" i="35"/>
  <c r="C197" i="35"/>
  <c r="C198" i="35"/>
  <c r="C199" i="35"/>
  <c r="C200" i="35"/>
  <c r="C201" i="35"/>
  <c r="C202" i="35"/>
  <c r="C203" i="35"/>
  <c r="C204" i="35"/>
  <c r="C205" i="35"/>
  <c r="C206" i="35"/>
  <c r="C207" i="35"/>
  <c r="C208" i="35"/>
  <c r="C209" i="35"/>
  <c r="C210" i="35"/>
  <c r="C211" i="35"/>
  <c r="C212" i="35"/>
  <c r="C213" i="35"/>
  <c r="C214" i="35"/>
  <c r="C215" i="35"/>
  <c r="C216" i="35"/>
  <c r="C217" i="35"/>
  <c r="C218" i="35"/>
  <c r="C219" i="35"/>
  <c r="C220" i="35"/>
  <c r="C221" i="35"/>
  <c r="C222" i="35"/>
  <c r="C223" i="35"/>
  <c r="C224" i="35"/>
  <c r="C225" i="35"/>
  <c r="C226" i="35"/>
  <c r="C227" i="35"/>
  <c r="C228" i="35"/>
  <c r="C229" i="35"/>
  <c r="C230" i="35"/>
  <c r="C231" i="35"/>
  <c r="C232" i="35"/>
  <c r="C233" i="35"/>
  <c r="C234" i="35"/>
  <c r="C235" i="35"/>
  <c r="C236" i="35"/>
  <c r="C237" i="35"/>
  <c r="C238" i="35"/>
  <c r="C239" i="35"/>
  <c r="C240" i="35"/>
  <c r="C137" i="35" l="1"/>
  <c r="B142" i="35"/>
  <c r="BB142" i="35" s="1"/>
  <c r="B143" i="35"/>
  <c r="BB143" i="35" s="1"/>
  <c r="B144" i="35"/>
  <c r="BB144" i="35" s="1"/>
  <c r="B145" i="35"/>
  <c r="BB145" i="35" s="1"/>
  <c r="B146" i="35"/>
  <c r="BB146" i="35" s="1"/>
  <c r="B147" i="35"/>
  <c r="BB147" i="35" s="1"/>
  <c r="B148" i="35"/>
  <c r="BB148" i="35" s="1"/>
  <c r="B149" i="35"/>
  <c r="BB149" i="35" s="1"/>
  <c r="B150" i="35"/>
  <c r="BB150" i="35" s="1"/>
  <c r="B151" i="35"/>
  <c r="BB151" i="35" s="1"/>
  <c r="B152" i="35"/>
  <c r="BB152" i="35" s="1"/>
  <c r="B153" i="35"/>
  <c r="BB153" i="35" s="1"/>
  <c r="B154" i="35"/>
  <c r="BB154" i="35" s="1"/>
  <c r="B155" i="35"/>
  <c r="BB155" i="35" s="1"/>
  <c r="B156" i="35"/>
  <c r="BB156" i="35" s="1"/>
  <c r="B157" i="35"/>
  <c r="BB157" i="35" s="1"/>
  <c r="B158" i="35"/>
  <c r="B159" i="35"/>
  <c r="BB159" i="35" s="1"/>
  <c r="B160" i="35"/>
  <c r="BB160" i="35" s="1"/>
  <c r="B161" i="35"/>
  <c r="BB161" i="35" s="1"/>
  <c r="B162" i="35"/>
  <c r="BB162" i="35" s="1"/>
  <c r="B163" i="35"/>
  <c r="BB163" i="35" s="1"/>
  <c r="B164" i="35"/>
  <c r="BB164" i="35" s="1"/>
  <c r="B165" i="35"/>
  <c r="BB165" i="35" s="1"/>
  <c r="B166" i="35"/>
  <c r="BB166" i="35" s="1"/>
  <c r="B167" i="35"/>
  <c r="BB167" i="35" s="1"/>
  <c r="B168" i="35"/>
  <c r="BB168" i="35" s="1"/>
  <c r="B169" i="35"/>
  <c r="BB169" i="35" s="1"/>
  <c r="B170" i="35"/>
  <c r="BB170" i="35" s="1"/>
  <c r="B171" i="35"/>
  <c r="BB171" i="35" s="1"/>
  <c r="B172" i="35"/>
  <c r="BB172" i="35" s="1"/>
  <c r="B173" i="35"/>
  <c r="BB173" i="35" s="1"/>
  <c r="B174" i="35"/>
  <c r="BB174" i="35" s="1"/>
  <c r="B175" i="35"/>
  <c r="BB175" i="35" s="1"/>
  <c r="B176" i="35"/>
  <c r="BB176" i="35" s="1"/>
  <c r="B177" i="35"/>
  <c r="BB177" i="35" s="1"/>
  <c r="B178" i="35"/>
  <c r="BB178" i="35" s="1"/>
  <c r="B179" i="35"/>
  <c r="BB179" i="35" s="1"/>
  <c r="B180" i="35"/>
  <c r="BB180" i="35" s="1"/>
  <c r="B181" i="35"/>
  <c r="BB181" i="35" s="1"/>
  <c r="B182" i="35"/>
  <c r="BB182" i="35" s="1"/>
  <c r="B183" i="35"/>
  <c r="BB183" i="35" s="1"/>
  <c r="B184" i="35"/>
  <c r="BB184" i="35" s="1"/>
  <c r="B185" i="35"/>
  <c r="BB185" i="35" s="1"/>
  <c r="B186" i="35"/>
  <c r="BB186" i="35" s="1"/>
  <c r="B187" i="35"/>
  <c r="BB187" i="35" s="1"/>
  <c r="B188" i="35"/>
  <c r="BB188" i="35" s="1"/>
  <c r="B189" i="35"/>
  <c r="BB189" i="35" s="1"/>
  <c r="B190" i="35"/>
  <c r="BB190" i="35" s="1"/>
  <c r="B191" i="35"/>
  <c r="BB191" i="35" s="1"/>
  <c r="B192" i="35"/>
  <c r="BB192" i="35" s="1"/>
  <c r="B193" i="35"/>
  <c r="BB193" i="35" s="1"/>
  <c r="B194" i="35"/>
  <c r="BB194" i="35" s="1"/>
  <c r="B195" i="35"/>
  <c r="BB195" i="35" s="1"/>
  <c r="B196" i="35"/>
  <c r="BB196" i="35" s="1"/>
  <c r="B197" i="35"/>
  <c r="BB197" i="35" s="1"/>
  <c r="B198" i="35"/>
  <c r="BB198" i="35" s="1"/>
  <c r="B199" i="35"/>
  <c r="BB199" i="35" s="1"/>
  <c r="B200" i="35"/>
  <c r="BB200" i="35" s="1"/>
  <c r="B201" i="35"/>
  <c r="BB201" i="35" s="1"/>
  <c r="B202" i="35"/>
  <c r="BB202" i="35" s="1"/>
  <c r="B203" i="35"/>
  <c r="BB203" i="35" s="1"/>
  <c r="B204" i="35"/>
  <c r="BB204" i="35" s="1"/>
  <c r="B205" i="35"/>
  <c r="BB205" i="35" s="1"/>
  <c r="B206" i="35"/>
  <c r="BB206" i="35" s="1"/>
  <c r="B207" i="35"/>
  <c r="BB207" i="35" s="1"/>
  <c r="B208" i="35"/>
  <c r="BB208" i="35" s="1"/>
  <c r="B209" i="35"/>
  <c r="BB209" i="35" s="1"/>
  <c r="B210" i="35"/>
  <c r="BB210" i="35" s="1"/>
  <c r="B211" i="35"/>
  <c r="BB211" i="35" s="1"/>
  <c r="B212" i="35"/>
  <c r="BB212" i="35" s="1"/>
  <c r="B213" i="35"/>
  <c r="BB213" i="35" s="1"/>
  <c r="B214" i="35"/>
  <c r="BB214" i="35" s="1"/>
  <c r="B215" i="35"/>
  <c r="BB215" i="35" s="1"/>
  <c r="B216" i="35"/>
  <c r="BB216" i="35" s="1"/>
  <c r="B217" i="35"/>
  <c r="BB217" i="35" s="1"/>
  <c r="B218" i="35"/>
  <c r="BB218" i="35" s="1"/>
  <c r="B219" i="35"/>
  <c r="BB219" i="35" s="1"/>
  <c r="B220" i="35"/>
  <c r="BB220" i="35" s="1"/>
  <c r="B221" i="35"/>
  <c r="BB221" i="35" s="1"/>
  <c r="B222" i="35"/>
  <c r="BB222" i="35" s="1"/>
  <c r="B223" i="35"/>
  <c r="BB223" i="35" s="1"/>
  <c r="B224" i="35"/>
  <c r="BB224" i="35" s="1"/>
  <c r="B225" i="35"/>
  <c r="BB225" i="35" s="1"/>
  <c r="B226" i="35"/>
  <c r="BB226" i="35" s="1"/>
  <c r="B227" i="35"/>
  <c r="BB227" i="35" s="1"/>
  <c r="B228" i="35"/>
  <c r="BB228" i="35" s="1"/>
  <c r="B229" i="35"/>
  <c r="B230" i="35"/>
  <c r="BB230" i="35" s="1"/>
  <c r="B231" i="35"/>
  <c r="BB231" i="35" s="1"/>
  <c r="B232" i="35"/>
  <c r="BB232" i="35" s="1"/>
  <c r="B233" i="35"/>
  <c r="BB233" i="35" s="1"/>
  <c r="B234" i="35"/>
  <c r="BB234" i="35" s="1"/>
  <c r="B235" i="35"/>
  <c r="BB235" i="35" s="1"/>
  <c r="B236" i="35"/>
  <c r="BB236" i="35" s="1"/>
  <c r="B237" i="35"/>
  <c r="BB237" i="35" s="1"/>
  <c r="B238" i="35"/>
  <c r="BB238" i="35" s="1"/>
  <c r="B239" i="35"/>
  <c r="BB239" i="35" s="1"/>
  <c r="B240" i="35"/>
  <c r="BB240" i="35" s="1"/>
  <c r="BB158" i="35"/>
  <c r="BB229" i="35"/>
  <c r="AH29" i="35" l="1"/>
  <c r="AH30" i="35"/>
  <c r="AH31" i="35"/>
  <c r="AH32" i="35"/>
  <c r="AH33" i="35"/>
  <c r="AH34" i="35"/>
  <c r="AH35" i="35"/>
  <c r="AH36" i="35"/>
  <c r="AH37" i="35"/>
  <c r="AH38" i="35"/>
  <c r="AH39" i="35"/>
  <c r="AH40" i="35"/>
  <c r="AH41" i="35"/>
  <c r="AH42" i="35"/>
  <c r="AH43" i="35"/>
  <c r="AH44" i="35"/>
  <c r="AH45" i="35"/>
  <c r="AH46" i="35"/>
  <c r="AH47" i="35"/>
  <c r="AH48" i="35"/>
  <c r="AH49" i="35"/>
  <c r="AH50" i="35"/>
  <c r="AH51" i="35"/>
  <c r="AH52" i="35"/>
  <c r="AH53" i="35"/>
  <c r="AH54" i="35"/>
  <c r="AH55" i="35"/>
  <c r="AH56" i="35"/>
  <c r="AH57" i="35"/>
  <c r="AH58" i="35"/>
  <c r="AH59" i="35"/>
  <c r="AH60" i="35"/>
  <c r="AH61" i="35"/>
  <c r="AH62" i="35"/>
  <c r="AH63" i="35"/>
  <c r="AH64" i="35"/>
  <c r="AH65" i="35"/>
  <c r="AH66" i="35"/>
  <c r="AH67" i="35"/>
  <c r="AH68" i="35"/>
  <c r="AH69" i="35"/>
  <c r="AH70" i="35"/>
  <c r="AH71" i="35"/>
  <c r="AH72" i="35"/>
  <c r="AH73" i="35"/>
  <c r="AH74" i="35"/>
  <c r="AH75" i="35"/>
  <c r="AH76" i="35"/>
  <c r="AH77" i="35"/>
  <c r="AH78" i="35"/>
  <c r="AH79" i="35"/>
  <c r="AH80" i="35"/>
  <c r="AH81" i="35"/>
  <c r="AH82" i="35"/>
  <c r="AH83" i="35"/>
  <c r="AH84" i="35"/>
  <c r="AH85" i="35"/>
  <c r="AH86" i="35"/>
  <c r="AH87" i="35"/>
  <c r="AH88" i="35"/>
  <c r="AH89" i="35"/>
  <c r="AH90" i="35"/>
  <c r="AH91" i="35"/>
  <c r="AH92" i="35"/>
  <c r="AH93" i="35"/>
  <c r="AH94" i="35"/>
  <c r="AH95" i="35"/>
  <c r="AH96" i="35"/>
  <c r="AH97" i="35"/>
  <c r="AH98" i="35"/>
  <c r="AH99" i="35"/>
  <c r="AH100" i="35"/>
  <c r="AH101" i="35"/>
  <c r="AH102" i="35"/>
  <c r="AH103" i="35"/>
  <c r="AH104" i="35"/>
  <c r="AH105" i="35"/>
  <c r="AH106" i="35"/>
  <c r="AH107" i="35"/>
  <c r="AI29" i="35"/>
  <c r="AI30" i="35"/>
  <c r="AI31" i="35"/>
  <c r="AI32" i="35"/>
  <c r="AI33" i="35"/>
  <c r="AI34" i="35"/>
  <c r="AI35" i="35"/>
  <c r="AI36" i="35"/>
  <c r="AI37" i="35"/>
  <c r="AI38" i="35"/>
  <c r="AI39" i="35"/>
  <c r="AI40" i="35"/>
  <c r="AI41" i="35"/>
  <c r="AI42" i="35"/>
  <c r="AI43" i="35"/>
  <c r="AI44" i="35"/>
  <c r="AI45" i="35"/>
  <c r="AI46" i="35"/>
  <c r="AI47" i="35"/>
  <c r="AI48" i="35"/>
  <c r="AI49" i="35"/>
  <c r="AI50" i="35"/>
  <c r="AI51" i="35"/>
  <c r="AI52" i="35"/>
  <c r="AI53" i="35"/>
  <c r="AI54" i="35"/>
  <c r="AI55" i="35"/>
  <c r="AI56" i="35"/>
  <c r="AI57" i="35"/>
  <c r="AI58" i="35"/>
  <c r="AI59" i="35"/>
  <c r="AI60" i="35"/>
  <c r="AI61" i="35"/>
  <c r="AI62" i="35"/>
  <c r="AI63" i="35"/>
  <c r="AI64" i="35"/>
  <c r="AI65" i="35"/>
  <c r="AI66" i="35"/>
  <c r="AI67" i="35"/>
  <c r="AI68" i="35"/>
  <c r="AI69" i="35"/>
  <c r="AI70" i="35"/>
  <c r="AI71" i="35"/>
  <c r="AI72" i="35"/>
  <c r="AI73" i="35"/>
  <c r="AI74" i="35"/>
  <c r="AI75" i="35"/>
  <c r="AI76" i="35"/>
  <c r="AI77" i="35"/>
  <c r="AI78" i="35"/>
  <c r="AI79" i="35"/>
  <c r="AI80" i="35"/>
  <c r="AI81" i="35"/>
  <c r="AI82" i="35"/>
  <c r="AI83" i="35"/>
  <c r="AI84" i="35"/>
  <c r="AI85" i="35"/>
  <c r="AI86" i="35"/>
  <c r="AI87" i="35"/>
  <c r="AI88" i="35"/>
  <c r="AI89" i="35"/>
  <c r="AI90" i="35"/>
  <c r="AI91" i="35"/>
  <c r="AI92" i="35"/>
  <c r="AI93" i="35"/>
  <c r="AI94" i="35"/>
  <c r="AI95" i="35"/>
  <c r="AI96" i="35"/>
  <c r="AI97" i="35"/>
  <c r="AI98" i="35"/>
  <c r="AI99" i="35"/>
  <c r="AI100" i="35"/>
  <c r="AI101" i="35"/>
  <c r="AI102" i="35"/>
  <c r="AI103" i="35"/>
  <c r="AI104" i="35"/>
  <c r="AI105" i="35"/>
  <c r="AI106" i="35"/>
  <c r="AI107" i="35"/>
  <c r="AJ29" i="35"/>
  <c r="AJ30" i="35"/>
  <c r="AJ31" i="35"/>
  <c r="AJ32" i="35"/>
  <c r="AJ33" i="35"/>
  <c r="AJ34" i="35"/>
  <c r="AJ35" i="35"/>
  <c r="AJ36" i="35"/>
  <c r="AJ37" i="35"/>
  <c r="AJ38" i="35"/>
  <c r="AJ39" i="35"/>
  <c r="AJ40" i="35"/>
  <c r="AJ41" i="35"/>
  <c r="AJ42" i="35"/>
  <c r="AJ43" i="35"/>
  <c r="AJ44" i="35"/>
  <c r="AJ45" i="35"/>
  <c r="AJ46" i="35"/>
  <c r="AJ47" i="35"/>
  <c r="AJ48" i="35"/>
  <c r="AJ49" i="35"/>
  <c r="AJ50" i="35"/>
  <c r="AJ51" i="35"/>
  <c r="AJ52" i="35"/>
  <c r="AJ53" i="35"/>
  <c r="AJ54" i="35"/>
  <c r="AJ55" i="35"/>
  <c r="AJ56" i="35"/>
  <c r="AJ57" i="35"/>
  <c r="AJ58" i="35"/>
  <c r="AJ59" i="35"/>
  <c r="AJ60" i="35"/>
  <c r="AJ61" i="35"/>
  <c r="AJ62" i="35"/>
  <c r="AJ63" i="35"/>
  <c r="AJ64" i="35"/>
  <c r="AJ65" i="35"/>
  <c r="AJ66" i="35"/>
  <c r="AJ67" i="35"/>
  <c r="AJ68" i="35"/>
  <c r="AJ69" i="35"/>
  <c r="AJ70" i="35"/>
  <c r="AJ71" i="35"/>
  <c r="AJ72" i="35"/>
  <c r="AJ73" i="35"/>
  <c r="AJ74" i="35"/>
  <c r="AJ75" i="35"/>
  <c r="AJ76" i="35"/>
  <c r="AJ77" i="35"/>
  <c r="AJ78" i="35"/>
  <c r="AJ79" i="35"/>
  <c r="AJ80" i="35"/>
  <c r="AJ81" i="35"/>
  <c r="AJ82" i="35"/>
  <c r="AJ83" i="35"/>
  <c r="AJ84" i="35"/>
  <c r="AJ85" i="35"/>
  <c r="AJ86" i="35"/>
  <c r="AJ87" i="35"/>
  <c r="AJ88" i="35"/>
  <c r="AJ89" i="35"/>
  <c r="AJ90" i="35"/>
  <c r="AJ91" i="35"/>
  <c r="AJ92" i="35"/>
  <c r="AJ93" i="35"/>
  <c r="AJ94" i="35"/>
  <c r="AJ95" i="35"/>
  <c r="AJ96" i="35"/>
  <c r="AJ97" i="35"/>
  <c r="AJ98" i="35"/>
  <c r="AJ99" i="35"/>
  <c r="AJ100" i="35"/>
  <c r="AJ101" i="35"/>
  <c r="AJ102" i="35"/>
  <c r="AJ103" i="35"/>
  <c r="AJ104" i="35"/>
  <c r="AJ105" i="35"/>
  <c r="AJ106" i="35"/>
  <c r="AJ107" i="35"/>
  <c r="AE29" i="35"/>
  <c r="AE30" i="35"/>
  <c r="AE31" i="35"/>
  <c r="AE32" i="35"/>
  <c r="AE33" i="35"/>
  <c r="AE34" i="35"/>
  <c r="AE35" i="35"/>
  <c r="AE36" i="35"/>
  <c r="AE37" i="35"/>
  <c r="AE38" i="35"/>
  <c r="AE39" i="35"/>
  <c r="AE40" i="35"/>
  <c r="AE41" i="35"/>
  <c r="AE42" i="35"/>
  <c r="AE43" i="35"/>
  <c r="AE44" i="35"/>
  <c r="AE45" i="35"/>
  <c r="AE46" i="35"/>
  <c r="AE47" i="35"/>
  <c r="AE48" i="35"/>
  <c r="AE49" i="35"/>
  <c r="AE50" i="35"/>
  <c r="AE51" i="35"/>
  <c r="AE52" i="35"/>
  <c r="AE53" i="35"/>
  <c r="AE54" i="35"/>
  <c r="AE55" i="35"/>
  <c r="AE56" i="35"/>
  <c r="AE57" i="35"/>
  <c r="AE58" i="35"/>
  <c r="AE59" i="35"/>
  <c r="AE60" i="35"/>
  <c r="AE61" i="35"/>
  <c r="AE62" i="35"/>
  <c r="AE63" i="35"/>
  <c r="AE64" i="35"/>
  <c r="AE65" i="35"/>
  <c r="AE66" i="35"/>
  <c r="AE67" i="35"/>
  <c r="AE68" i="35"/>
  <c r="AE69" i="35"/>
  <c r="AE70" i="35"/>
  <c r="AE71" i="35"/>
  <c r="AE72" i="35"/>
  <c r="AE73" i="35"/>
  <c r="AE74" i="35"/>
  <c r="AE75" i="35"/>
  <c r="AE76" i="35"/>
  <c r="AE77" i="35"/>
  <c r="AE78" i="35"/>
  <c r="AE79" i="35"/>
  <c r="AE80" i="35"/>
  <c r="AE81" i="35"/>
  <c r="AE82" i="35"/>
  <c r="AE83" i="35"/>
  <c r="AE84" i="35"/>
  <c r="AE85" i="35"/>
  <c r="AE86" i="35"/>
  <c r="AE87" i="35"/>
  <c r="AE88" i="35"/>
  <c r="AE89" i="35"/>
  <c r="AE90" i="35"/>
  <c r="AE91" i="35"/>
  <c r="AE92" i="35"/>
  <c r="AE93" i="35"/>
  <c r="AE94" i="35"/>
  <c r="AE95" i="35"/>
  <c r="AE96" i="35"/>
  <c r="AE97" i="35"/>
  <c r="AE98" i="35"/>
  <c r="AE99" i="35"/>
  <c r="AE100" i="35"/>
  <c r="AE101" i="35"/>
  <c r="AE102" i="35"/>
  <c r="AE103" i="35"/>
  <c r="AE104" i="35"/>
  <c r="AE105" i="35"/>
  <c r="AE106" i="35"/>
  <c r="AE107" i="35"/>
  <c r="AF29" i="35"/>
  <c r="AF30" i="35"/>
  <c r="AF31" i="35"/>
  <c r="AF32" i="35"/>
  <c r="AF33" i="35"/>
  <c r="AF34" i="35"/>
  <c r="AF35" i="35"/>
  <c r="AF36" i="35"/>
  <c r="AF37" i="35"/>
  <c r="AF38" i="35"/>
  <c r="AF39" i="35"/>
  <c r="AF40" i="35"/>
  <c r="AF41" i="35"/>
  <c r="AF42" i="35"/>
  <c r="AF43" i="35"/>
  <c r="AF44" i="35"/>
  <c r="AF45" i="35"/>
  <c r="AF46" i="35"/>
  <c r="AF47" i="35"/>
  <c r="AF48" i="35"/>
  <c r="AF49" i="35"/>
  <c r="AF50" i="35"/>
  <c r="AF51" i="35"/>
  <c r="AF52" i="35"/>
  <c r="AF53" i="35"/>
  <c r="AF54" i="35"/>
  <c r="AF55" i="35"/>
  <c r="AF56" i="35"/>
  <c r="AF57" i="35"/>
  <c r="AF58" i="35"/>
  <c r="AF59" i="35"/>
  <c r="AF60" i="35"/>
  <c r="AF61" i="35"/>
  <c r="AF62" i="35"/>
  <c r="AF63" i="35"/>
  <c r="AF64" i="35"/>
  <c r="AF65" i="35"/>
  <c r="AF66" i="35"/>
  <c r="AF67" i="35"/>
  <c r="AF68" i="35"/>
  <c r="AF69" i="35"/>
  <c r="AF70" i="35"/>
  <c r="AF71" i="35"/>
  <c r="AF72" i="35"/>
  <c r="AF73" i="35"/>
  <c r="AF74" i="35"/>
  <c r="AF75" i="35"/>
  <c r="AF76" i="35"/>
  <c r="AF77" i="35"/>
  <c r="AF78" i="35"/>
  <c r="AF79" i="35"/>
  <c r="AF80" i="35"/>
  <c r="AF81" i="35"/>
  <c r="AF82" i="35"/>
  <c r="AF83" i="35"/>
  <c r="AF84" i="35"/>
  <c r="AF85" i="35"/>
  <c r="AF86" i="35"/>
  <c r="AF87" i="35"/>
  <c r="AF88" i="35"/>
  <c r="AF89" i="35"/>
  <c r="AF90" i="35"/>
  <c r="AF91" i="35"/>
  <c r="AF92" i="35"/>
  <c r="AF93" i="35"/>
  <c r="AF94" i="35"/>
  <c r="AF95" i="35"/>
  <c r="AF96" i="35"/>
  <c r="AF97" i="35"/>
  <c r="AF98" i="35"/>
  <c r="AF99" i="35"/>
  <c r="AF100" i="35"/>
  <c r="AF101" i="35"/>
  <c r="AF102" i="35"/>
  <c r="AF103" i="35"/>
  <c r="AF104" i="35"/>
  <c r="AF105" i="35"/>
  <c r="AF106" i="35"/>
  <c r="AF107" i="35"/>
  <c r="AG29" i="35"/>
  <c r="AG30" i="35"/>
  <c r="AG31" i="35"/>
  <c r="AG32" i="35"/>
  <c r="AG33" i="35"/>
  <c r="AG34" i="35"/>
  <c r="AG35" i="35"/>
  <c r="AG36" i="35"/>
  <c r="AG37" i="35"/>
  <c r="AG38" i="35"/>
  <c r="AG39" i="35"/>
  <c r="AG40" i="35"/>
  <c r="AG41" i="35"/>
  <c r="AG42" i="35"/>
  <c r="AG43" i="35"/>
  <c r="AG44" i="35"/>
  <c r="AG45" i="35"/>
  <c r="AG46" i="35"/>
  <c r="AG47" i="35"/>
  <c r="AG48" i="35"/>
  <c r="AG49" i="35"/>
  <c r="AG50" i="35"/>
  <c r="AG51" i="35"/>
  <c r="AG52" i="35"/>
  <c r="AG53" i="35"/>
  <c r="AG54" i="35"/>
  <c r="AG55" i="35"/>
  <c r="AG56" i="35"/>
  <c r="AG57" i="35"/>
  <c r="AG58" i="35"/>
  <c r="AG59" i="35"/>
  <c r="AG60" i="35"/>
  <c r="AG61" i="35"/>
  <c r="AG62" i="35"/>
  <c r="AG63" i="35"/>
  <c r="AG64" i="35"/>
  <c r="AG65" i="35"/>
  <c r="AG66" i="35"/>
  <c r="AG67" i="35"/>
  <c r="AG68" i="35"/>
  <c r="AG69" i="35"/>
  <c r="AG70" i="35"/>
  <c r="AG71" i="35"/>
  <c r="AG72" i="35"/>
  <c r="AG73" i="35"/>
  <c r="AG74" i="35"/>
  <c r="AG75" i="35"/>
  <c r="AG76" i="35"/>
  <c r="AG77" i="35"/>
  <c r="AG78" i="35"/>
  <c r="AG79" i="35"/>
  <c r="AG80" i="35"/>
  <c r="AG81" i="35"/>
  <c r="AG82" i="35"/>
  <c r="AG83" i="35"/>
  <c r="AG84" i="35"/>
  <c r="AG85" i="35"/>
  <c r="AG86" i="35"/>
  <c r="AG87" i="35"/>
  <c r="AG88" i="35"/>
  <c r="AG89" i="35"/>
  <c r="AG90" i="35"/>
  <c r="AG91" i="35"/>
  <c r="AG92" i="35"/>
  <c r="AG93" i="35"/>
  <c r="AG94" i="35"/>
  <c r="AG95" i="35"/>
  <c r="AG96" i="35"/>
  <c r="AG97" i="35"/>
  <c r="AG98" i="35"/>
  <c r="AG99" i="35"/>
  <c r="AG100" i="35"/>
  <c r="AG101" i="35"/>
  <c r="AG102" i="35"/>
  <c r="AG103" i="35"/>
  <c r="AG104" i="35"/>
  <c r="AG105" i="35"/>
  <c r="AG106" i="35"/>
  <c r="AG107" i="35"/>
  <c r="AB107" i="35"/>
  <c r="AC107" i="35"/>
  <c r="AD107" i="35"/>
  <c r="AB29" i="35"/>
  <c r="AB30" i="35"/>
  <c r="AB31" i="35"/>
  <c r="AB32" i="35"/>
  <c r="AB33" i="35"/>
  <c r="AB34" i="35"/>
  <c r="AB35" i="35"/>
  <c r="AB36" i="35"/>
  <c r="AB37" i="35"/>
  <c r="AB38" i="35"/>
  <c r="AB39" i="35"/>
  <c r="AB40" i="35"/>
  <c r="AB41" i="35"/>
  <c r="AB42" i="35"/>
  <c r="AB43" i="35"/>
  <c r="AB44" i="35"/>
  <c r="AB45" i="35"/>
  <c r="AB46" i="35"/>
  <c r="AB47" i="35"/>
  <c r="AB48" i="35"/>
  <c r="AB49" i="35"/>
  <c r="AB50" i="35"/>
  <c r="AB51" i="35"/>
  <c r="AB52" i="35"/>
  <c r="AB53" i="35"/>
  <c r="AB54" i="35"/>
  <c r="AB55" i="35"/>
  <c r="AB56" i="35"/>
  <c r="AB57" i="35"/>
  <c r="AB58" i="35"/>
  <c r="AB59" i="35"/>
  <c r="AB60" i="35"/>
  <c r="AB61" i="35"/>
  <c r="AB62" i="35"/>
  <c r="AB63" i="35"/>
  <c r="AB64" i="35"/>
  <c r="AB65" i="35"/>
  <c r="AB66" i="35"/>
  <c r="AB67" i="35"/>
  <c r="AB68" i="35"/>
  <c r="AB69" i="35"/>
  <c r="AB70" i="35"/>
  <c r="AB71" i="35"/>
  <c r="AB72" i="35"/>
  <c r="AB73" i="35"/>
  <c r="AB74" i="35"/>
  <c r="AB75" i="35"/>
  <c r="AB76" i="35"/>
  <c r="AB77" i="35"/>
  <c r="AB78" i="35"/>
  <c r="AB79" i="35"/>
  <c r="AB80" i="35"/>
  <c r="AB81" i="35"/>
  <c r="AB82" i="35"/>
  <c r="AB83" i="35"/>
  <c r="AB84" i="35"/>
  <c r="AB85" i="35"/>
  <c r="AB86" i="35"/>
  <c r="AB87" i="35"/>
  <c r="AB88" i="35"/>
  <c r="AB89" i="35"/>
  <c r="AB90" i="35"/>
  <c r="AB91" i="35"/>
  <c r="AB92" i="35"/>
  <c r="AB93" i="35"/>
  <c r="AB94" i="35"/>
  <c r="AB95" i="35"/>
  <c r="AB96" i="35"/>
  <c r="AB97" i="35"/>
  <c r="AB98" i="35"/>
  <c r="AB99" i="35"/>
  <c r="AB100" i="35"/>
  <c r="AB101" i="35"/>
  <c r="AB102" i="35"/>
  <c r="AB103" i="35"/>
  <c r="AB104" i="35"/>
  <c r="AB105" i="35"/>
  <c r="AB106"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89" i="35"/>
  <c r="AC90" i="35"/>
  <c r="AC91" i="35"/>
  <c r="AC92" i="35"/>
  <c r="AC93" i="35"/>
  <c r="AC94" i="35"/>
  <c r="AC95" i="35"/>
  <c r="AC96" i="35"/>
  <c r="AC97" i="35"/>
  <c r="AC98" i="35"/>
  <c r="AC99" i="35"/>
  <c r="AC100" i="35"/>
  <c r="AC101" i="35"/>
  <c r="AC102" i="35"/>
  <c r="AC103" i="35"/>
  <c r="AC104" i="35"/>
  <c r="AC105" i="35"/>
  <c r="AC106" i="35"/>
  <c r="AD29" i="35"/>
  <c r="AD30" i="35"/>
  <c r="AD31" i="35"/>
  <c r="AD32" i="35"/>
  <c r="AD33" i="35"/>
  <c r="AD34" i="35"/>
  <c r="AD35" i="35"/>
  <c r="AD36" i="35"/>
  <c r="AD37" i="35"/>
  <c r="AD38" i="35"/>
  <c r="AD39" i="35"/>
  <c r="AD40" i="35"/>
  <c r="AD41" i="35"/>
  <c r="AD42" i="35"/>
  <c r="AD43" i="35"/>
  <c r="AD44" i="35"/>
  <c r="AD45" i="35"/>
  <c r="AD46" i="35"/>
  <c r="AD47" i="35"/>
  <c r="AD48" i="35"/>
  <c r="AD49" i="35"/>
  <c r="AD50" i="35"/>
  <c r="AD51" i="35"/>
  <c r="AD52" i="35"/>
  <c r="AD53" i="35"/>
  <c r="AD54" i="35"/>
  <c r="AD55" i="35"/>
  <c r="AD56" i="35"/>
  <c r="AD57" i="35"/>
  <c r="AD58" i="35"/>
  <c r="AD59" i="35"/>
  <c r="AD60" i="35"/>
  <c r="AD61" i="35"/>
  <c r="AD62" i="35"/>
  <c r="AD63" i="35"/>
  <c r="AD64" i="35"/>
  <c r="AD65" i="35"/>
  <c r="AD66" i="35"/>
  <c r="AD67" i="35"/>
  <c r="AD68" i="35"/>
  <c r="AD69" i="35"/>
  <c r="AD70" i="35"/>
  <c r="AD71" i="35"/>
  <c r="AD72" i="35"/>
  <c r="AD73" i="35"/>
  <c r="AD74" i="35"/>
  <c r="AD75" i="35"/>
  <c r="AD76" i="35"/>
  <c r="AD77" i="35"/>
  <c r="AD78" i="35"/>
  <c r="AD79" i="35"/>
  <c r="AD80" i="35"/>
  <c r="AD81" i="35"/>
  <c r="AD82" i="35"/>
  <c r="AD83" i="35"/>
  <c r="AD84" i="35"/>
  <c r="AD85" i="35"/>
  <c r="AD86" i="35"/>
  <c r="AD87" i="35"/>
  <c r="AD88" i="35"/>
  <c r="AD89" i="35"/>
  <c r="AD90" i="35"/>
  <c r="AD91" i="35"/>
  <c r="AD92" i="35"/>
  <c r="AD93" i="35"/>
  <c r="AD94" i="35"/>
  <c r="AD95" i="35"/>
  <c r="AD96" i="35"/>
  <c r="AD97" i="35"/>
  <c r="AD98" i="35"/>
  <c r="AD99" i="35"/>
  <c r="AD100" i="35"/>
  <c r="AD101" i="35"/>
  <c r="AD102" i="35"/>
  <c r="AD103" i="35"/>
  <c r="AD104" i="35"/>
  <c r="AD105" i="35"/>
  <c r="AD106"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Z29" i="35"/>
  <c r="Z30" i="35"/>
  <c r="Z31" i="35"/>
  <c r="Z32" i="35"/>
  <c r="Z33" i="35"/>
  <c r="Z34" i="35"/>
  <c r="Z35" i="35"/>
  <c r="Z36" i="35"/>
  <c r="Z37" i="35"/>
  <c r="Z38" i="35"/>
  <c r="Z39" i="35"/>
  <c r="Z40" i="35"/>
  <c r="Z41" i="35"/>
  <c r="Z42" i="35"/>
  <c r="Z43" i="35"/>
  <c r="Z44" i="35"/>
  <c r="Z45" i="35"/>
  <c r="Z46" i="35"/>
  <c r="Z47" i="35"/>
  <c r="Z48" i="35"/>
  <c r="Z49" i="35"/>
  <c r="Z50" i="35"/>
  <c r="Z51" i="35"/>
  <c r="Z52" i="35"/>
  <c r="Z53" i="35"/>
  <c r="Z54" i="35"/>
  <c r="Z55" i="35"/>
  <c r="Z56" i="35"/>
  <c r="Z57" i="35"/>
  <c r="Z58" i="35"/>
  <c r="Z59" i="35"/>
  <c r="Z60" i="35"/>
  <c r="Z61" i="35"/>
  <c r="Z62" i="35"/>
  <c r="Z63" i="35"/>
  <c r="Z64" i="35"/>
  <c r="Z65" i="35"/>
  <c r="Z66" i="35"/>
  <c r="Z67" i="35"/>
  <c r="Z68" i="35"/>
  <c r="Z69" i="35"/>
  <c r="Z70" i="35"/>
  <c r="Z71" i="35"/>
  <c r="Z72" i="35"/>
  <c r="Z73" i="35"/>
  <c r="Z74" i="35"/>
  <c r="Z75" i="35"/>
  <c r="Z76" i="35"/>
  <c r="Z77" i="35"/>
  <c r="Z78" i="35"/>
  <c r="Z79" i="35"/>
  <c r="Z80" i="35"/>
  <c r="Z81" i="35"/>
  <c r="Z82" i="35"/>
  <c r="Z83" i="35"/>
  <c r="Z84" i="35"/>
  <c r="Z85" i="35"/>
  <c r="Z86" i="35"/>
  <c r="Z87" i="35"/>
  <c r="Z88" i="35"/>
  <c r="Z89" i="35"/>
  <c r="Z90" i="35"/>
  <c r="Z91" i="35"/>
  <c r="Z92" i="35"/>
  <c r="Z93" i="35"/>
  <c r="Z94" i="35"/>
  <c r="Z95" i="35"/>
  <c r="Z96" i="35"/>
  <c r="Z97" i="35"/>
  <c r="Z98" i="35"/>
  <c r="Z99" i="35"/>
  <c r="Z100" i="35"/>
  <c r="Z101" i="35"/>
  <c r="Z102" i="35"/>
  <c r="Z103" i="35"/>
  <c r="Z104" i="35"/>
  <c r="Z105" i="35"/>
  <c r="Z106" i="35"/>
  <c r="Z107"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W29" i="35"/>
  <c r="W30" i="35"/>
  <c r="W31" i="35"/>
  <c r="W32" i="35"/>
  <c r="W33" i="35"/>
  <c r="W34" i="35"/>
  <c r="W35" i="35"/>
  <c r="W36" i="35"/>
  <c r="W37" i="35"/>
  <c r="W38" i="35"/>
  <c r="W39" i="35"/>
  <c r="W40" i="35"/>
  <c r="W41" i="35"/>
  <c r="W42" i="35"/>
  <c r="W43" i="35"/>
  <c r="W44" i="35"/>
  <c r="W45" i="35"/>
  <c r="W46" i="35"/>
  <c r="W47" i="35"/>
  <c r="W48" i="35"/>
  <c r="W49" i="35"/>
  <c r="W50" i="35"/>
  <c r="W51" i="35"/>
  <c r="W52" i="35"/>
  <c r="W53" i="35"/>
  <c r="W54" i="35"/>
  <c r="W55" i="35"/>
  <c r="W56" i="35"/>
  <c r="W57" i="35"/>
  <c r="W58" i="35"/>
  <c r="W59" i="35"/>
  <c r="W60" i="35"/>
  <c r="W61" i="35"/>
  <c r="W62" i="35"/>
  <c r="W63" i="35"/>
  <c r="W64" i="35"/>
  <c r="W65" i="35"/>
  <c r="W66" i="35"/>
  <c r="W67" i="35"/>
  <c r="W68" i="35"/>
  <c r="W69" i="35"/>
  <c r="W70" i="35"/>
  <c r="W71" i="35"/>
  <c r="W72" i="35"/>
  <c r="W73" i="35"/>
  <c r="W74" i="35"/>
  <c r="W75" i="35"/>
  <c r="W76" i="35"/>
  <c r="W77" i="35"/>
  <c r="W78" i="35"/>
  <c r="W79" i="35"/>
  <c r="W80" i="35"/>
  <c r="W81" i="35"/>
  <c r="W82" i="35"/>
  <c r="W83" i="35"/>
  <c r="W84" i="35"/>
  <c r="W85" i="35"/>
  <c r="W86" i="35"/>
  <c r="W87" i="35"/>
  <c r="W88" i="35"/>
  <c r="W89" i="35"/>
  <c r="W90" i="35"/>
  <c r="W91" i="35"/>
  <c r="W92" i="35"/>
  <c r="W93" i="35"/>
  <c r="W94" i="35"/>
  <c r="W95" i="35"/>
  <c r="W96" i="35"/>
  <c r="W97" i="35"/>
  <c r="W98" i="35"/>
  <c r="W99" i="35"/>
  <c r="W100" i="35"/>
  <c r="W101" i="35"/>
  <c r="W102" i="35"/>
  <c r="W103" i="35"/>
  <c r="W104" i="35"/>
  <c r="W105" i="35"/>
  <c r="W106" i="35"/>
  <c r="W107" i="35"/>
  <c r="X29" i="35"/>
  <c r="X30" i="35"/>
  <c r="X31" i="35"/>
  <c r="X32" i="35"/>
  <c r="X33" i="35"/>
  <c r="X34" i="35"/>
  <c r="X35" i="35"/>
  <c r="X36" i="35"/>
  <c r="X37" i="35"/>
  <c r="X38" i="35"/>
  <c r="X39" i="35"/>
  <c r="X40" i="35"/>
  <c r="X41" i="35"/>
  <c r="X42" i="35"/>
  <c r="X43" i="35"/>
  <c r="X44" i="35"/>
  <c r="X45" i="35"/>
  <c r="X46" i="35"/>
  <c r="X47" i="35"/>
  <c r="X48" i="35"/>
  <c r="X49" i="35"/>
  <c r="X50" i="35"/>
  <c r="X51" i="35"/>
  <c r="X52" i="35"/>
  <c r="X53" i="35"/>
  <c r="X54" i="35"/>
  <c r="X55" i="35"/>
  <c r="X56" i="35"/>
  <c r="X57" i="35"/>
  <c r="X58" i="35"/>
  <c r="X59" i="35"/>
  <c r="X60" i="35"/>
  <c r="X61" i="35"/>
  <c r="X62" i="35"/>
  <c r="X63" i="35"/>
  <c r="X64" i="35"/>
  <c r="X65" i="35"/>
  <c r="X66" i="35"/>
  <c r="X67" i="35"/>
  <c r="X68" i="35"/>
  <c r="X69" i="35"/>
  <c r="X70" i="35"/>
  <c r="X71" i="35"/>
  <c r="X72" i="35"/>
  <c r="X73" i="35"/>
  <c r="X74" i="35"/>
  <c r="X75" i="35"/>
  <c r="X76" i="35"/>
  <c r="X77" i="35"/>
  <c r="X78" i="35"/>
  <c r="X79" i="35"/>
  <c r="X80" i="35"/>
  <c r="X81" i="35"/>
  <c r="X82" i="35"/>
  <c r="X83" i="35"/>
  <c r="X84" i="35"/>
  <c r="X85" i="35"/>
  <c r="X86" i="35"/>
  <c r="X87" i="35"/>
  <c r="X88" i="35"/>
  <c r="X89" i="35"/>
  <c r="X90" i="35"/>
  <c r="X91" i="35"/>
  <c r="X92" i="35"/>
  <c r="X93" i="35"/>
  <c r="X94" i="35"/>
  <c r="X95" i="35"/>
  <c r="X96" i="35"/>
  <c r="X97" i="35"/>
  <c r="X98" i="35"/>
  <c r="X99" i="35"/>
  <c r="X100" i="35"/>
  <c r="X101" i="35"/>
  <c r="X102" i="35"/>
  <c r="X103" i="35"/>
  <c r="X104" i="35"/>
  <c r="X105" i="35"/>
  <c r="X106" i="35"/>
  <c r="X107" i="35"/>
  <c r="T29" i="35"/>
  <c r="T30" i="35"/>
  <c r="T31" i="35"/>
  <c r="T32" i="35"/>
  <c r="T33" i="35"/>
  <c r="T34" i="35"/>
  <c r="T35" i="35"/>
  <c r="T36" i="35"/>
  <c r="T37" i="35"/>
  <c r="T38" i="35"/>
  <c r="T39" i="35"/>
  <c r="T40" i="35"/>
  <c r="T41" i="35"/>
  <c r="T42" i="35"/>
  <c r="T43" i="35"/>
  <c r="T44" i="35"/>
  <c r="T45" i="35"/>
  <c r="T46" i="35"/>
  <c r="T47" i="35"/>
  <c r="T48" i="35"/>
  <c r="T49" i="35"/>
  <c r="T50" i="35"/>
  <c r="T51" i="35"/>
  <c r="T52" i="35"/>
  <c r="T53" i="35"/>
  <c r="T54" i="35"/>
  <c r="T55" i="35"/>
  <c r="T56" i="35"/>
  <c r="T57" i="35"/>
  <c r="T58" i="35"/>
  <c r="T59" i="35"/>
  <c r="T60" i="35"/>
  <c r="T61" i="35"/>
  <c r="T62" i="35"/>
  <c r="T63" i="35"/>
  <c r="T64" i="35"/>
  <c r="T65" i="35"/>
  <c r="T66" i="35"/>
  <c r="T67" i="35"/>
  <c r="T68" i="35"/>
  <c r="T69" i="35"/>
  <c r="T70" i="35"/>
  <c r="T71" i="35"/>
  <c r="T72" i="35"/>
  <c r="T73" i="35"/>
  <c r="T74" i="35"/>
  <c r="T75" i="35"/>
  <c r="T76" i="35"/>
  <c r="T77" i="35"/>
  <c r="T78" i="35"/>
  <c r="T79" i="35"/>
  <c r="T80" i="35"/>
  <c r="T81" i="35"/>
  <c r="T82" i="35"/>
  <c r="T83" i="35"/>
  <c r="T84" i="35"/>
  <c r="T85" i="35"/>
  <c r="T86" i="35"/>
  <c r="T87" i="35"/>
  <c r="T88" i="35"/>
  <c r="T89" i="35"/>
  <c r="T90" i="35"/>
  <c r="T91" i="35"/>
  <c r="T92" i="35"/>
  <c r="T93" i="35"/>
  <c r="T94" i="35"/>
  <c r="T95" i="35"/>
  <c r="T96" i="35"/>
  <c r="T97" i="35"/>
  <c r="T98" i="35"/>
  <c r="T99" i="35"/>
  <c r="T100" i="35"/>
  <c r="T101" i="35"/>
  <c r="T102" i="35"/>
  <c r="T103" i="35"/>
  <c r="T104" i="35"/>
  <c r="T105" i="35"/>
  <c r="T106" i="35"/>
  <c r="T107" i="35"/>
  <c r="AJ9" i="35"/>
  <c r="AJ10" i="35"/>
  <c r="AJ11" i="35"/>
  <c r="AJ12" i="35"/>
  <c r="AJ13" i="35"/>
  <c r="AJ14" i="35"/>
  <c r="AJ15" i="35"/>
  <c r="AJ16" i="35"/>
  <c r="AJ17" i="35"/>
  <c r="AJ18" i="35"/>
  <c r="AJ19" i="35"/>
  <c r="AJ20" i="35"/>
  <c r="AJ21" i="35"/>
  <c r="AJ22" i="35"/>
  <c r="AJ23" i="35"/>
  <c r="AJ24" i="35"/>
  <c r="AJ25" i="35"/>
  <c r="AJ26" i="35"/>
  <c r="AJ27" i="35"/>
  <c r="AJ28" i="35"/>
  <c r="AG9" i="35"/>
  <c r="AG10" i="35"/>
  <c r="AG11" i="35"/>
  <c r="AG12" i="35"/>
  <c r="AG13" i="35"/>
  <c r="AG14" i="35"/>
  <c r="AG15" i="35"/>
  <c r="AG16" i="35"/>
  <c r="AG17" i="35"/>
  <c r="AG18" i="35"/>
  <c r="AG19" i="35"/>
  <c r="AG20" i="35"/>
  <c r="AG21" i="35"/>
  <c r="AG22" i="35"/>
  <c r="AG23" i="35"/>
  <c r="AG24" i="35"/>
  <c r="AG25" i="35"/>
  <c r="AG26" i="35"/>
  <c r="AG27" i="35"/>
  <c r="AG28" i="35"/>
  <c r="AD9" i="35"/>
  <c r="AD10" i="35"/>
  <c r="AD11" i="35"/>
  <c r="AD12" i="35"/>
  <c r="AD13" i="35"/>
  <c r="AD14" i="35"/>
  <c r="AD15" i="35"/>
  <c r="AD16" i="35"/>
  <c r="AD17" i="35"/>
  <c r="AD18" i="35"/>
  <c r="AD19" i="35"/>
  <c r="AD20" i="35"/>
  <c r="AD21" i="35"/>
  <c r="AD22" i="35"/>
  <c r="AD23" i="35"/>
  <c r="AD24" i="35"/>
  <c r="AD25" i="35"/>
  <c r="AD26" i="35"/>
  <c r="AD27" i="35"/>
  <c r="AD28" i="35"/>
  <c r="AA21" i="35"/>
  <c r="AA22" i="35"/>
  <c r="AA23" i="35"/>
  <c r="AA24" i="35"/>
  <c r="AA25" i="35"/>
  <c r="AA26" i="35"/>
  <c r="AA27" i="35"/>
  <c r="AA28" i="35"/>
  <c r="D237" i="35" l="1"/>
  <c r="BC237" i="35"/>
  <c r="CA237" i="35" s="1"/>
  <c r="BG237" i="35"/>
  <c r="CE237" i="35" s="1"/>
  <c r="BK237" i="35"/>
  <c r="CI237" i="35" s="1"/>
  <c r="CM237" i="35"/>
  <c r="BO237" i="35" s="1"/>
  <c r="CQ237" i="35"/>
  <c r="BS237" i="35" s="1"/>
  <c r="CU237" i="35"/>
  <c r="BW237" i="35" s="1"/>
  <c r="BD237" i="35"/>
  <c r="CB237" i="35" s="1"/>
  <c r="BH237" i="35"/>
  <c r="CF237" i="35" s="1"/>
  <c r="BL237" i="35"/>
  <c r="CJ237" i="35" s="1"/>
  <c r="CN237" i="35"/>
  <c r="BP237" i="35" s="1"/>
  <c r="CR237" i="35"/>
  <c r="BT237" i="35" s="1"/>
  <c r="CV237" i="35"/>
  <c r="BX237" i="35" s="1"/>
  <c r="BE237" i="35"/>
  <c r="CC237" i="35" s="1"/>
  <c r="BI237" i="35"/>
  <c r="CG237" i="35" s="1"/>
  <c r="BM237" i="35"/>
  <c r="CK237" i="35" s="1"/>
  <c r="CO237" i="35"/>
  <c r="BQ237" i="35" s="1"/>
  <c r="CS237" i="35"/>
  <c r="BU237" i="35" s="1"/>
  <c r="CW237" i="35"/>
  <c r="BY237" i="35" s="1"/>
  <c r="BF237" i="35"/>
  <c r="CD237" i="35" s="1"/>
  <c r="BJ237" i="35"/>
  <c r="CH237" i="35" s="1"/>
  <c r="BN237" i="35"/>
  <c r="CL237" i="35" s="1"/>
  <c r="CP237" i="35"/>
  <c r="BR237" i="35" s="1"/>
  <c r="CT237" i="35"/>
  <c r="BV237" i="35" s="1"/>
  <c r="CX237" i="35"/>
  <c r="BZ237" i="35" s="1"/>
  <c r="G237" i="35"/>
  <c r="AE237" i="35" s="1"/>
  <c r="K237" i="35"/>
  <c r="AI237" i="35" s="1"/>
  <c r="O237" i="35"/>
  <c r="AM237" i="35" s="1"/>
  <c r="AP237" i="35"/>
  <c r="R237" i="35" s="1"/>
  <c r="AT237" i="35"/>
  <c r="V237" i="35" s="1"/>
  <c r="AX237" i="35"/>
  <c r="Z237" i="35" s="1"/>
  <c r="H237" i="35"/>
  <c r="AF237" i="35" s="1"/>
  <c r="L237" i="35"/>
  <c r="AJ237" i="35" s="1"/>
  <c r="AB237" i="35"/>
  <c r="AQ237" i="35"/>
  <c r="S237" i="35" s="1"/>
  <c r="AU237" i="35"/>
  <c r="W237" i="35" s="1"/>
  <c r="AY237" i="35"/>
  <c r="AA237" i="35" s="1"/>
  <c r="E237" i="35"/>
  <c r="AC237" i="35" s="1"/>
  <c r="I237" i="35"/>
  <c r="AG237" i="35" s="1"/>
  <c r="M237" i="35"/>
  <c r="AK237" i="35" s="1"/>
  <c r="AN237" i="35"/>
  <c r="P237" i="35" s="1"/>
  <c r="AR237" i="35"/>
  <c r="T237" i="35" s="1"/>
  <c r="AV237" i="35"/>
  <c r="X237" i="35" s="1"/>
  <c r="F237" i="35"/>
  <c r="AD237" i="35" s="1"/>
  <c r="J237" i="35"/>
  <c r="AH237" i="35" s="1"/>
  <c r="N237" i="35"/>
  <c r="AL237" i="35" s="1"/>
  <c r="AO237" i="35"/>
  <c r="Q237" i="35" s="1"/>
  <c r="AS237" i="35"/>
  <c r="U237" i="35" s="1"/>
  <c r="AW237" i="35"/>
  <c r="Y237" i="35" s="1"/>
  <c r="D233" i="35"/>
  <c r="BF233" i="35"/>
  <c r="CD233" i="35" s="1"/>
  <c r="BJ233" i="35"/>
  <c r="CH233" i="35" s="1"/>
  <c r="BN233" i="35"/>
  <c r="CL233" i="35" s="1"/>
  <c r="CP233" i="35"/>
  <c r="BR233" i="35" s="1"/>
  <c r="CT233" i="35"/>
  <c r="BV233" i="35" s="1"/>
  <c r="CX233" i="35"/>
  <c r="BZ233" i="35" s="1"/>
  <c r="BC233" i="35"/>
  <c r="CA233" i="35" s="1"/>
  <c r="BG233" i="35"/>
  <c r="CE233" i="35" s="1"/>
  <c r="BK233" i="35"/>
  <c r="CI233" i="35" s="1"/>
  <c r="CM233" i="35"/>
  <c r="BO233" i="35" s="1"/>
  <c r="CQ233" i="35"/>
  <c r="BS233" i="35" s="1"/>
  <c r="CU233" i="35"/>
  <c r="BW233" i="35" s="1"/>
  <c r="BD233" i="35"/>
  <c r="CB233" i="35" s="1"/>
  <c r="BL233" i="35"/>
  <c r="CJ233" i="35" s="1"/>
  <c r="CN233" i="35"/>
  <c r="BP233" i="35" s="1"/>
  <c r="CV233" i="35"/>
  <c r="BX233" i="35" s="1"/>
  <c r="BE233" i="35"/>
  <c r="CC233" i="35" s="1"/>
  <c r="BM233" i="35"/>
  <c r="CK233" i="35" s="1"/>
  <c r="CO233" i="35"/>
  <c r="BQ233" i="35" s="1"/>
  <c r="CW233" i="35"/>
  <c r="BY233" i="35" s="1"/>
  <c r="BH233" i="35"/>
  <c r="CF233" i="35" s="1"/>
  <c r="CR233" i="35"/>
  <c r="BT233" i="35" s="1"/>
  <c r="BI233" i="35"/>
  <c r="CG233" i="35" s="1"/>
  <c r="CS233" i="35"/>
  <c r="BU233" i="35" s="1"/>
  <c r="H233" i="35"/>
  <c r="AF233" i="35" s="1"/>
  <c r="L233" i="35"/>
  <c r="AJ233" i="35" s="1"/>
  <c r="AB233" i="35"/>
  <c r="AQ233" i="35"/>
  <c r="S233" i="35" s="1"/>
  <c r="AU233" i="35"/>
  <c r="W233" i="35" s="1"/>
  <c r="AY233" i="35"/>
  <c r="AA233" i="35" s="1"/>
  <c r="E233" i="35"/>
  <c r="AC233" i="35" s="1"/>
  <c r="I233" i="35"/>
  <c r="AG233" i="35" s="1"/>
  <c r="M233" i="35"/>
  <c r="AK233" i="35" s="1"/>
  <c r="AN233" i="35"/>
  <c r="P233" i="35" s="1"/>
  <c r="AR233" i="35"/>
  <c r="T233" i="35" s="1"/>
  <c r="AV233" i="35"/>
  <c r="X233" i="35" s="1"/>
  <c r="F233" i="35"/>
  <c r="AD233" i="35" s="1"/>
  <c r="J233" i="35"/>
  <c r="AH233" i="35" s="1"/>
  <c r="N233" i="35"/>
  <c r="AL233" i="35" s="1"/>
  <c r="AO233" i="35"/>
  <c r="Q233" i="35" s="1"/>
  <c r="AS233" i="35"/>
  <c r="U233" i="35" s="1"/>
  <c r="AW233" i="35"/>
  <c r="Y233" i="35" s="1"/>
  <c r="G233" i="35"/>
  <c r="AE233" i="35" s="1"/>
  <c r="K233" i="35"/>
  <c r="AI233" i="35" s="1"/>
  <c r="O233" i="35"/>
  <c r="AM233" i="35" s="1"/>
  <c r="AP233" i="35"/>
  <c r="R233" i="35" s="1"/>
  <c r="AT233" i="35"/>
  <c r="V233" i="35" s="1"/>
  <c r="AX233" i="35"/>
  <c r="Z233" i="35" s="1"/>
  <c r="D229" i="35"/>
  <c r="BD229" i="35"/>
  <c r="CB229" i="35" s="1"/>
  <c r="BH229" i="35"/>
  <c r="CF229" i="35" s="1"/>
  <c r="BL229" i="35"/>
  <c r="CJ229" i="35" s="1"/>
  <c r="CN229" i="35"/>
  <c r="BP229" i="35" s="1"/>
  <c r="CR229" i="35"/>
  <c r="BT229" i="35" s="1"/>
  <c r="CV229" i="35"/>
  <c r="BX229" i="35" s="1"/>
  <c r="BE229" i="35"/>
  <c r="CC229" i="35" s="1"/>
  <c r="BI229" i="35"/>
  <c r="CG229" i="35" s="1"/>
  <c r="BM229" i="35"/>
  <c r="CK229" i="35" s="1"/>
  <c r="CO229" i="35"/>
  <c r="BQ229" i="35" s="1"/>
  <c r="CS229" i="35"/>
  <c r="BU229" i="35" s="1"/>
  <c r="CW229" i="35"/>
  <c r="BY229" i="35" s="1"/>
  <c r="BF229" i="35"/>
  <c r="CD229" i="35" s="1"/>
  <c r="BJ229" i="35"/>
  <c r="CH229" i="35" s="1"/>
  <c r="BN229" i="35"/>
  <c r="CL229" i="35" s="1"/>
  <c r="CP229" i="35"/>
  <c r="BR229" i="35" s="1"/>
  <c r="CT229" i="35"/>
  <c r="BV229" i="35" s="1"/>
  <c r="CX229" i="35"/>
  <c r="BZ229" i="35" s="1"/>
  <c r="BC229" i="35"/>
  <c r="CA229" i="35" s="1"/>
  <c r="BG229" i="35"/>
  <c r="CE229" i="35" s="1"/>
  <c r="BK229" i="35"/>
  <c r="CI229" i="35" s="1"/>
  <c r="CM229" i="35"/>
  <c r="BO229" i="35" s="1"/>
  <c r="CQ229" i="35"/>
  <c r="BS229" i="35" s="1"/>
  <c r="CU229" i="35"/>
  <c r="BW229" i="35" s="1"/>
  <c r="E229" i="35"/>
  <c r="AC229" i="35" s="1"/>
  <c r="I229" i="35"/>
  <c r="AG229" i="35" s="1"/>
  <c r="M229" i="35"/>
  <c r="AK229" i="35" s="1"/>
  <c r="AN229" i="35"/>
  <c r="P229" i="35" s="1"/>
  <c r="AR229" i="35"/>
  <c r="T229" i="35" s="1"/>
  <c r="AV229" i="35"/>
  <c r="X229" i="35" s="1"/>
  <c r="F229" i="35"/>
  <c r="AD229" i="35" s="1"/>
  <c r="J229" i="35"/>
  <c r="AH229" i="35" s="1"/>
  <c r="N229" i="35"/>
  <c r="AL229" i="35" s="1"/>
  <c r="AO229" i="35"/>
  <c r="Q229" i="35" s="1"/>
  <c r="AS229" i="35"/>
  <c r="U229" i="35" s="1"/>
  <c r="AW229" i="35"/>
  <c r="Y229" i="35" s="1"/>
  <c r="G229" i="35"/>
  <c r="AE229" i="35" s="1"/>
  <c r="K229" i="35"/>
  <c r="AI229" i="35" s="1"/>
  <c r="O229" i="35"/>
  <c r="AM229" i="35" s="1"/>
  <c r="AP229" i="35"/>
  <c r="R229" i="35" s="1"/>
  <c r="AT229" i="35"/>
  <c r="V229" i="35" s="1"/>
  <c r="AX229" i="35"/>
  <c r="Z229" i="35" s="1"/>
  <c r="H229" i="35"/>
  <c r="AF229" i="35" s="1"/>
  <c r="L229" i="35"/>
  <c r="AJ229" i="35" s="1"/>
  <c r="AB229" i="35"/>
  <c r="AQ229" i="35"/>
  <c r="S229" i="35" s="1"/>
  <c r="AU229" i="35"/>
  <c r="W229" i="35" s="1"/>
  <c r="AY229" i="35"/>
  <c r="AA229" i="35" s="1"/>
  <c r="D225" i="35"/>
  <c r="BC225" i="35"/>
  <c r="CA225" i="35" s="1"/>
  <c r="BG225" i="35"/>
  <c r="CE225" i="35" s="1"/>
  <c r="BK225" i="35"/>
  <c r="CI225" i="35" s="1"/>
  <c r="CN225" i="35"/>
  <c r="BP225" i="35" s="1"/>
  <c r="CR225" i="35"/>
  <c r="BT225" i="35" s="1"/>
  <c r="CV225" i="35"/>
  <c r="BX225" i="35" s="1"/>
  <c r="BD225" i="35"/>
  <c r="CB225" i="35" s="1"/>
  <c r="BH225" i="35"/>
  <c r="CF225" i="35" s="1"/>
  <c r="BL225" i="35"/>
  <c r="CJ225" i="35" s="1"/>
  <c r="CO225" i="35"/>
  <c r="BQ225" i="35" s="1"/>
  <c r="CS225" i="35"/>
  <c r="BU225" i="35" s="1"/>
  <c r="CW225" i="35"/>
  <c r="BY225" i="35" s="1"/>
  <c r="BE225" i="35"/>
  <c r="CC225" i="35" s="1"/>
  <c r="BI225" i="35"/>
  <c r="CG225" i="35" s="1"/>
  <c r="BM225" i="35"/>
  <c r="CK225" i="35" s="1"/>
  <c r="CP225" i="35"/>
  <c r="BR225" i="35" s="1"/>
  <c r="CT225" i="35"/>
  <c r="BV225" i="35" s="1"/>
  <c r="CX225" i="35"/>
  <c r="BZ225" i="35" s="1"/>
  <c r="BF225" i="35"/>
  <c r="CD225" i="35" s="1"/>
  <c r="BJ225" i="35"/>
  <c r="CH225" i="35" s="1"/>
  <c r="BN225" i="35"/>
  <c r="CL225" i="35" s="1"/>
  <c r="CM225" i="35"/>
  <c r="BO225" i="35" s="1"/>
  <c r="CQ225" i="35"/>
  <c r="BS225" i="35" s="1"/>
  <c r="CU225" i="35"/>
  <c r="BW225" i="35" s="1"/>
  <c r="E225" i="35"/>
  <c r="AC225" i="35" s="1"/>
  <c r="I225" i="35"/>
  <c r="AG225" i="35" s="1"/>
  <c r="M225" i="35"/>
  <c r="AK225" i="35" s="1"/>
  <c r="AN225" i="35"/>
  <c r="P225" i="35" s="1"/>
  <c r="AR225" i="35"/>
  <c r="T225" i="35" s="1"/>
  <c r="AV225" i="35"/>
  <c r="X225" i="35" s="1"/>
  <c r="F225" i="35"/>
  <c r="AD225" i="35" s="1"/>
  <c r="J225" i="35"/>
  <c r="AH225" i="35" s="1"/>
  <c r="N225" i="35"/>
  <c r="AL225" i="35" s="1"/>
  <c r="AO225" i="35"/>
  <c r="Q225" i="35" s="1"/>
  <c r="AS225" i="35"/>
  <c r="U225" i="35" s="1"/>
  <c r="AW225" i="35"/>
  <c r="Y225" i="35" s="1"/>
  <c r="G225" i="35"/>
  <c r="AE225" i="35" s="1"/>
  <c r="K225" i="35"/>
  <c r="AI225" i="35" s="1"/>
  <c r="O225" i="35"/>
  <c r="AM225" i="35" s="1"/>
  <c r="AP225" i="35"/>
  <c r="R225" i="35" s="1"/>
  <c r="AT225" i="35"/>
  <c r="V225" i="35" s="1"/>
  <c r="AX225" i="35"/>
  <c r="Z225" i="35" s="1"/>
  <c r="H225" i="35"/>
  <c r="AF225" i="35" s="1"/>
  <c r="L225" i="35"/>
  <c r="AJ225" i="35" s="1"/>
  <c r="AB225" i="35"/>
  <c r="AQ225" i="35"/>
  <c r="S225" i="35" s="1"/>
  <c r="AU225" i="35"/>
  <c r="W225" i="35" s="1"/>
  <c r="AY225" i="35"/>
  <c r="AA225" i="35" s="1"/>
  <c r="D221" i="35"/>
  <c r="BC221" i="35"/>
  <c r="CA221" i="35" s="1"/>
  <c r="BG221" i="35"/>
  <c r="CE221" i="35" s="1"/>
  <c r="BK221" i="35"/>
  <c r="CI221" i="35" s="1"/>
  <c r="CM221" i="35"/>
  <c r="BO221" i="35" s="1"/>
  <c r="CQ221" i="35"/>
  <c r="BS221" i="35" s="1"/>
  <c r="CU221" i="35"/>
  <c r="BW221" i="35" s="1"/>
  <c r="BD221" i="35"/>
  <c r="CB221" i="35" s="1"/>
  <c r="BH221" i="35"/>
  <c r="CF221" i="35" s="1"/>
  <c r="BL221" i="35"/>
  <c r="CJ221" i="35" s="1"/>
  <c r="CN221" i="35"/>
  <c r="BP221" i="35" s="1"/>
  <c r="CR221" i="35"/>
  <c r="BT221" i="35" s="1"/>
  <c r="CV221" i="35"/>
  <c r="BX221" i="35" s="1"/>
  <c r="BE221" i="35"/>
  <c r="CC221" i="35" s="1"/>
  <c r="BI221" i="35"/>
  <c r="CG221" i="35" s="1"/>
  <c r="BM221" i="35"/>
  <c r="CK221" i="35" s="1"/>
  <c r="CO221" i="35"/>
  <c r="BQ221" i="35" s="1"/>
  <c r="CS221" i="35"/>
  <c r="BU221" i="35" s="1"/>
  <c r="CW221" i="35"/>
  <c r="BY221" i="35" s="1"/>
  <c r="BF221" i="35"/>
  <c r="CD221" i="35" s="1"/>
  <c r="BJ221" i="35"/>
  <c r="CH221" i="35" s="1"/>
  <c r="BN221" i="35"/>
  <c r="CL221" i="35" s="1"/>
  <c r="CP221" i="35"/>
  <c r="BR221" i="35" s="1"/>
  <c r="CT221" i="35"/>
  <c r="BV221" i="35" s="1"/>
  <c r="CX221" i="35"/>
  <c r="BZ221" i="35" s="1"/>
  <c r="G221" i="35"/>
  <c r="AE221" i="35" s="1"/>
  <c r="K221" i="35"/>
  <c r="AI221" i="35" s="1"/>
  <c r="O221" i="35"/>
  <c r="AM221" i="35" s="1"/>
  <c r="AP221" i="35"/>
  <c r="R221" i="35" s="1"/>
  <c r="AT221" i="35"/>
  <c r="V221" i="35" s="1"/>
  <c r="AX221" i="35"/>
  <c r="Z221" i="35" s="1"/>
  <c r="H221" i="35"/>
  <c r="AF221" i="35" s="1"/>
  <c r="L221" i="35"/>
  <c r="AJ221" i="35" s="1"/>
  <c r="AB221" i="35"/>
  <c r="AQ221" i="35"/>
  <c r="S221" i="35" s="1"/>
  <c r="AU221" i="35"/>
  <c r="W221" i="35" s="1"/>
  <c r="AY221" i="35"/>
  <c r="AA221" i="35" s="1"/>
  <c r="E221" i="35"/>
  <c r="AC221" i="35" s="1"/>
  <c r="I221" i="35"/>
  <c r="AG221" i="35" s="1"/>
  <c r="M221" i="35"/>
  <c r="AK221" i="35" s="1"/>
  <c r="AN221" i="35"/>
  <c r="P221" i="35" s="1"/>
  <c r="AR221" i="35"/>
  <c r="T221" i="35" s="1"/>
  <c r="AV221" i="35"/>
  <c r="X221" i="35" s="1"/>
  <c r="F221" i="35"/>
  <c r="AD221" i="35" s="1"/>
  <c r="J221" i="35"/>
  <c r="AH221" i="35" s="1"/>
  <c r="N221" i="35"/>
  <c r="AL221" i="35" s="1"/>
  <c r="AO221" i="35"/>
  <c r="Q221" i="35" s="1"/>
  <c r="AS221" i="35"/>
  <c r="U221" i="35" s="1"/>
  <c r="AW221" i="35"/>
  <c r="Y221" i="35" s="1"/>
  <c r="D217" i="35"/>
  <c r="BC217" i="35"/>
  <c r="CA217" i="35" s="1"/>
  <c r="BG217" i="35"/>
  <c r="CE217" i="35" s="1"/>
  <c r="BK217" i="35"/>
  <c r="CI217" i="35" s="1"/>
  <c r="CP217" i="35"/>
  <c r="BR217" i="35" s="1"/>
  <c r="CT217" i="35"/>
  <c r="BV217" i="35" s="1"/>
  <c r="CX217" i="35"/>
  <c r="BZ217" i="35" s="1"/>
  <c r="BD217" i="35"/>
  <c r="CB217" i="35" s="1"/>
  <c r="BH217" i="35"/>
  <c r="CF217" i="35" s="1"/>
  <c r="BL217" i="35"/>
  <c r="CJ217" i="35" s="1"/>
  <c r="CM217" i="35"/>
  <c r="BO217" i="35" s="1"/>
  <c r="CQ217" i="35"/>
  <c r="BS217" i="35" s="1"/>
  <c r="CU217" i="35"/>
  <c r="BW217" i="35" s="1"/>
  <c r="BE217" i="35"/>
  <c r="CC217" i="35" s="1"/>
  <c r="BI217" i="35"/>
  <c r="CG217" i="35" s="1"/>
  <c r="BM217" i="35"/>
  <c r="CK217" i="35" s="1"/>
  <c r="CN217" i="35"/>
  <c r="BP217" i="35" s="1"/>
  <c r="CR217" i="35"/>
  <c r="BT217" i="35" s="1"/>
  <c r="CV217" i="35"/>
  <c r="BX217" i="35" s="1"/>
  <c r="BF217" i="35"/>
  <c r="CD217" i="35" s="1"/>
  <c r="BJ217" i="35"/>
  <c r="CH217" i="35" s="1"/>
  <c r="BN217" i="35"/>
  <c r="CL217" i="35" s="1"/>
  <c r="CO217" i="35"/>
  <c r="BQ217" i="35" s="1"/>
  <c r="CS217" i="35"/>
  <c r="BU217" i="35" s="1"/>
  <c r="CW217" i="35"/>
  <c r="BY217" i="35" s="1"/>
  <c r="H217" i="35"/>
  <c r="AF217" i="35" s="1"/>
  <c r="L217" i="35"/>
  <c r="AJ217" i="35" s="1"/>
  <c r="AB217" i="35"/>
  <c r="AQ217" i="35"/>
  <c r="S217" i="35" s="1"/>
  <c r="AU217" i="35"/>
  <c r="W217" i="35" s="1"/>
  <c r="AY217" i="35"/>
  <c r="AA217" i="35" s="1"/>
  <c r="E217" i="35"/>
  <c r="AC217" i="35" s="1"/>
  <c r="I217" i="35"/>
  <c r="AG217" i="35" s="1"/>
  <c r="M217" i="35"/>
  <c r="AK217" i="35" s="1"/>
  <c r="AN217" i="35"/>
  <c r="P217" i="35" s="1"/>
  <c r="AR217" i="35"/>
  <c r="T217" i="35" s="1"/>
  <c r="AV217" i="35"/>
  <c r="X217" i="35" s="1"/>
  <c r="F217" i="35"/>
  <c r="AD217" i="35" s="1"/>
  <c r="J217" i="35"/>
  <c r="AH217" i="35" s="1"/>
  <c r="N217" i="35"/>
  <c r="AL217" i="35" s="1"/>
  <c r="AO217" i="35"/>
  <c r="Q217" i="35" s="1"/>
  <c r="AS217" i="35"/>
  <c r="U217" i="35" s="1"/>
  <c r="AW217" i="35"/>
  <c r="Y217" i="35" s="1"/>
  <c r="G217" i="35"/>
  <c r="AE217" i="35" s="1"/>
  <c r="K217" i="35"/>
  <c r="AI217" i="35" s="1"/>
  <c r="O217" i="35"/>
  <c r="AM217" i="35" s="1"/>
  <c r="AP217" i="35"/>
  <c r="R217" i="35" s="1"/>
  <c r="AT217" i="35"/>
  <c r="V217" i="35" s="1"/>
  <c r="AX217" i="35"/>
  <c r="Z217" i="35" s="1"/>
  <c r="D213" i="35"/>
  <c r="BE213" i="35"/>
  <c r="CC213" i="35" s="1"/>
  <c r="BI213" i="35"/>
  <c r="CG213" i="35" s="1"/>
  <c r="BM213" i="35"/>
  <c r="CK213" i="35" s="1"/>
  <c r="CM213" i="35"/>
  <c r="BO213" i="35" s="1"/>
  <c r="CQ213" i="35"/>
  <c r="BS213" i="35" s="1"/>
  <c r="CU213" i="35"/>
  <c r="BW213" i="35" s="1"/>
  <c r="BF213" i="35"/>
  <c r="CD213" i="35" s="1"/>
  <c r="BJ213" i="35"/>
  <c r="CH213" i="35" s="1"/>
  <c r="BN213" i="35"/>
  <c r="CL213" i="35" s="1"/>
  <c r="CN213" i="35"/>
  <c r="BP213" i="35" s="1"/>
  <c r="CR213" i="35"/>
  <c r="BT213" i="35" s="1"/>
  <c r="CV213" i="35"/>
  <c r="BX213" i="35" s="1"/>
  <c r="BC213" i="35"/>
  <c r="CA213" i="35" s="1"/>
  <c r="BG213" i="35"/>
  <c r="CE213" i="35" s="1"/>
  <c r="BK213" i="35"/>
  <c r="CI213" i="35" s="1"/>
  <c r="CO213" i="35"/>
  <c r="BQ213" i="35" s="1"/>
  <c r="CS213" i="35"/>
  <c r="BU213" i="35" s="1"/>
  <c r="CW213" i="35"/>
  <c r="BY213" i="35" s="1"/>
  <c r="BD213" i="35"/>
  <c r="CB213" i="35" s="1"/>
  <c r="BH213" i="35"/>
  <c r="CF213" i="35" s="1"/>
  <c r="BL213" i="35"/>
  <c r="CJ213" i="35" s="1"/>
  <c r="CP213" i="35"/>
  <c r="BR213" i="35" s="1"/>
  <c r="CT213" i="35"/>
  <c r="BV213" i="35" s="1"/>
  <c r="CX213" i="35"/>
  <c r="BZ213" i="35" s="1"/>
  <c r="E213" i="35"/>
  <c r="AC213" i="35" s="1"/>
  <c r="I213" i="35"/>
  <c r="AG213" i="35" s="1"/>
  <c r="M213" i="35"/>
  <c r="AK213" i="35" s="1"/>
  <c r="AN213" i="35"/>
  <c r="P213" i="35" s="1"/>
  <c r="AR213" i="35"/>
  <c r="T213" i="35" s="1"/>
  <c r="AV213" i="35"/>
  <c r="X213" i="35" s="1"/>
  <c r="F213" i="35"/>
  <c r="AD213" i="35" s="1"/>
  <c r="J213" i="35"/>
  <c r="AH213" i="35" s="1"/>
  <c r="N213" i="35"/>
  <c r="AL213" i="35" s="1"/>
  <c r="AO213" i="35"/>
  <c r="Q213" i="35" s="1"/>
  <c r="AS213" i="35"/>
  <c r="U213" i="35" s="1"/>
  <c r="AW213" i="35"/>
  <c r="Y213" i="35" s="1"/>
  <c r="G213" i="35"/>
  <c r="AE213" i="35" s="1"/>
  <c r="K213" i="35"/>
  <c r="AI213" i="35" s="1"/>
  <c r="O213" i="35"/>
  <c r="AM213" i="35" s="1"/>
  <c r="AP213" i="35"/>
  <c r="R213" i="35" s="1"/>
  <c r="AT213" i="35"/>
  <c r="V213" i="35" s="1"/>
  <c r="AX213" i="35"/>
  <c r="Z213" i="35" s="1"/>
  <c r="H213" i="35"/>
  <c r="AF213" i="35" s="1"/>
  <c r="L213" i="35"/>
  <c r="AJ213" i="35" s="1"/>
  <c r="AB213" i="35"/>
  <c r="AQ213" i="35"/>
  <c r="S213" i="35" s="1"/>
  <c r="AU213" i="35"/>
  <c r="W213" i="35" s="1"/>
  <c r="AY213" i="35"/>
  <c r="AA213" i="35" s="1"/>
  <c r="D209" i="35"/>
  <c r="BC209" i="35"/>
  <c r="CA209" i="35" s="1"/>
  <c r="BG209" i="35"/>
  <c r="CE209" i="35" s="1"/>
  <c r="BK209" i="35"/>
  <c r="CI209" i="35" s="1"/>
  <c r="CM209" i="35"/>
  <c r="BO209" i="35" s="1"/>
  <c r="CQ209" i="35"/>
  <c r="BS209" i="35" s="1"/>
  <c r="CU209" i="35"/>
  <c r="BW209" i="35" s="1"/>
  <c r="BD209" i="35"/>
  <c r="CB209" i="35" s="1"/>
  <c r="BH209" i="35"/>
  <c r="CF209" i="35" s="1"/>
  <c r="BL209" i="35"/>
  <c r="CJ209" i="35" s="1"/>
  <c r="CN209" i="35"/>
  <c r="BP209" i="35" s="1"/>
  <c r="CR209" i="35"/>
  <c r="BT209" i="35" s="1"/>
  <c r="CV209" i="35"/>
  <c r="BX209" i="35" s="1"/>
  <c r="BE209" i="35"/>
  <c r="CC209" i="35" s="1"/>
  <c r="BI209" i="35"/>
  <c r="CG209" i="35" s="1"/>
  <c r="BM209" i="35"/>
  <c r="CK209" i="35" s="1"/>
  <c r="CO209" i="35"/>
  <c r="BQ209" i="35" s="1"/>
  <c r="CS209" i="35"/>
  <c r="BU209" i="35" s="1"/>
  <c r="CW209" i="35"/>
  <c r="BY209" i="35" s="1"/>
  <c r="BF209" i="35"/>
  <c r="CD209" i="35" s="1"/>
  <c r="BJ209" i="35"/>
  <c r="CH209" i="35" s="1"/>
  <c r="BN209" i="35"/>
  <c r="CL209" i="35" s="1"/>
  <c r="CP209" i="35"/>
  <c r="BR209" i="35" s="1"/>
  <c r="CT209" i="35"/>
  <c r="BV209" i="35" s="1"/>
  <c r="CX209" i="35"/>
  <c r="BZ209" i="35" s="1"/>
  <c r="F209" i="35"/>
  <c r="AD209" i="35" s="1"/>
  <c r="J209" i="35"/>
  <c r="AH209" i="35" s="1"/>
  <c r="N209" i="35"/>
  <c r="AL209" i="35" s="1"/>
  <c r="AO209" i="35"/>
  <c r="Q209" i="35" s="1"/>
  <c r="AS209" i="35"/>
  <c r="U209" i="35" s="1"/>
  <c r="AW209" i="35"/>
  <c r="Y209" i="35" s="1"/>
  <c r="G209" i="35"/>
  <c r="AE209" i="35" s="1"/>
  <c r="K209" i="35"/>
  <c r="AI209" i="35" s="1"/>
  <c r="O209" i="35"/>
  <c r="AM209" i="35" s="1"/>
  <c r="AP209" i="35"/>
  <c r="R209" i="35" s="1"/>
  <c r="AT209" i="35"/>
  <c r="V209" i="35" s="1"/>
  <c r="AX209" i="35"/>
  <c r="Z209" i="35" s="1"/>
  <c r="H209" i="35"/>
  <c r="AF209" i="35" s="1"/>
  <c r="L209" i="35"/>
  <c r="AJ209" i="35" s="1"/>
  <c r="AB209" i="35"/>
  <c r="AQ209" i="35"/>
  <c r="S209" i="35" s="1"/>
  <c r="AU209" i="35"/>
  <c r="W209" i="35" s="1"/>
  <c r="AY209" i="35"/>
  <c r="AA209" i="35" s="1"/>
  <c r="E209" i="35"/>
  <c r="AC209" i="35" s="1"/>
  <c r="I209" i="35"/>
  <c r="AG209" i="35" s="1"/>
  <c r="M209" i="35"/>
  <c r="AK209" i="35" s="1"/>
  <c r="AN209" i="35"/>
  <c r="P209" i="35" s="1"/>
  <c r="AR209" i="35"/>
  <c r="T209" i="35" s="1"/>
  <c r="AV209" i="35"/>
  <c r="X209" i="35" s="1"/>
  <c r="D205" i="35"/>
  <c r="BC205" i="35"/>
  <c r="CA205" i="35" s="1"/>
  <c r="BG205" i="35"/>
  <c r="CE205" i="35" s="1"/>
  <c r="BK205" i="35"/>
  <c r="CI205" i="35" s="1"/>
  <c r="CM205" i="35"/>
  <c r="BO205" i="35" s="1"/>
  <c r="CQ205" i="35"/>
  <c r="BS205" i="35" s="1"/>
  <c r="CU205" i="35"/>
  <c r="BW205" i="35" s="1"/>
  <c r="BD205" i="35"/>
  <c r="CB205" i="35" s="1"/>
  <c r="BH205" i="35"/>
  <c r="CF205" i="35" s="1"/>
  <c r="BL205" i="35"/>
  <c r="CJ205" i="35" s="1"/>
  <c r="CN205" i="35"/>
  <c r="BP205" i="35" s="1"/>
  <c r="CR205" i="35"/>
  <c r="BT205" i="35" s="1"/>
  <c r="CV205" i="35"/>
  <c r="BX205" i="35" s="1"/>
  <c r="BE205" i="35"/>
  <c r="CC205" i="35" s="1"/>
  <c r="BI205" i="35"/>
  <c r="CG205" i="35" s="1"/>
  <c r="BM205" i="35"/>
  <c r="CK205" i="35" s="1"/>
  <c r="CO205" i="35"/>
  <c r="BQ205" i="35" s="1"/>
  <c r="CS205" i="35"/>
  <c r="BU205" i="35" s="1"/>
  <c r="CW205" i="35"/>
  <c r="BY205" i="35" s="1"/>
  <c r="BF205" i="35"/>
  <c r="CD205" i="35" s="1"/>
  <c r="BJ205" i="35"/>
  <c r="CH205" i="35" s="1"/>
  <c r="BN205" i="35"/>
  <c r="CL205" i="35" s="1"/>
  <c r="CP205" i="35"/>
  <c r="BR205" i="35" s="1"/>
  <c r="CT205" i="35"/>
  <c r="BV205" i="35" s="1"/>
  <c r="CX205" i="35"/>
  <c r="BZ205" i="35" s="1"/>
  <c r="H205" i="35"/>
  <c r="AF205" i="35" s="1"/>
  <c r="L205" i="35"/>
  <c r="AJ205" i="35" s="1"/>
  <c r="AB205" i="35"/>
  <c r="AQ205" i="35"/>
  <c r="S205" i="35" s="1"/>
  <c r="AU205" i="35"/>
  <c r="W205" i="35" s="1"/>
  <c r="AY205" i="35"/>
  <c r="AA205" i="35" s="1"/>
  <c r="E205" i="35"/>
  <c r="AC205" i="35" s="1"/>
  <c r="I205" i="35"/>
  <c r="AG205" i="35" s="1"/>
  <c r="M205" i="35"/>
  <c r="AK205" i="35" s="1"/>
  <c r="AN205" i="35"/>
  <c r="P205" i="35" s="1"/>
  <c r="AR205" i="35"/>
  <c r="T205" i="35" s="1"/>
  <c r="AV205" i="35"/>
  <c r="X205" i="35" s="1"/>
  <c r="F205" i="35"/>
  <c r="AD205" i="35" s="1"/>
  <c r="J205" i="35"/>
  <c r="AH205" i="35" s="1"/>
  <c r="N205" i="35"/>
  <c r="AL205" i="35" s="1"/>
  <c r="AO205" i="35"/>
  <c r="Q205" i="35" s="1"/>
  <c r="AS205" i="35"/>
  <c r="U205" i="35" s="1"/>
  <c r="AW205" i="35"/>
  <c r="Y205" i="35" s="1"/>
  <c r="G205" i="35"/>
  <c r="AE205" i="35" s="1"/>
  <c r="K205" i="35"/>
  <c r="AI205" i="35" s="1"/>
  <c r="O205" i="35"/>
  <c r="AM205" i="35" s="1"/>
  <c r="AP205" i="35"/>
  <c r="R205" i="35" s="1"/>
  <c r="AT205" i="35"/>
  <c r="V205" i="35" s="1"/>
  <c r="AX205" i="35"/>
  <c r="Z205" i="35" s="1"/>
  <c r="D201" i="35"/>
  <c r="BC201" i="35"/>
  <c r="CA201" i="35" s="1"/>
  <c r="BG201" i="35"/>
  <c r="CE201" i="35" s="1"/>
  <c r="BK201" i="35"/>
  <c r="CI201" i="35" s="1"/>
  <c r="CM201" i="35"/>
  <c r="BO201" i="35" s="1"/>
  <c r="CQ201" i="35"/>
  <c r="BS201" i="35" s="1"/>
  <c r="CU201" i="35"/>
  <c r="BW201" i="35" s="1"/>
  <c r="BD201" i="35"/>
  <c r="CB201" i="35" s="1"/>
  <c r="BH201" i="35"/>
  <c r="CF201" i="35" s="1"/>
  <c r="BL201" i="35"/>
  <c r="CJ201" i="35" s="1"/>
  <c r="CN201" i="35"/>
  <c r="BP201" i="35" s="1"/>
  <c r="CR201" i="35"/>
  <c r="BT201" i="35" s="1"/>
  <c r="CV201" i="35"/>
  <c r="BX201" i="35" s="1"/>
  <c r="BE201" i="35"/>
  <c r="CC201" i="35" s="1"/>
  <c r="BI201" i="35"/>
  <c r="CG201" i="35" s="1"/>
  <c r="BM201" i="35"/>
  <c r="CK201" i="35" s="1"/>
  <c r="CO201" i="35"/>
  <c r="BQ201" i="35" s="1"/>
  <c r="CS201" i="35"/>
  <c r="BU201" i="35" s="1"/>
  <c r="CW201" i="35"/>
  <c r="BY201" i="35" s="1"/>
  <c r="BF201" i="35"/>
  <c r="CD201" i="35" s="1"/>
  <c r="BJ201" i="35"/>
  <c r="CH201" i="35" s="1"/>
  <c r="BN201" i="35"/>
  <c r="CL201" i="35" s="1"/>
  <c r="CP201" i="35"/>
  <c r="BR201" i="35" s="1"/>
  <c r="CT201" i="35"/>
  <c r="BV201" i="35" s="1"/>
  <c r="CX201" i="35"/>
  <c r="BZ201" i="35" s="1"/>
  <c r="E201" i="35"/>
  <c r="AC201" i="35" s="1"/>
  <c r="I201" i="35"/>
  <c r="AG201" i="35" s="1"/>
  <c r="M201" i="35"/>
  <c r="AK201" i="35" s="1"/>
  <c r="AN201" i="35"/>
  <c r="P201" i="35" s="1"/>
  <c r="AR201" i="35"/>
  <c r="T201" i="35" s="1"/>
  <c r="AV201" i="35"/>
  <c r="X201" i="35" s="1"/>
  <c r="F201" i="35"/>
  <c r="AD201" i="35" s="1"/>
  <c r="J201" i="35"/>
  <c r="AH201" i="35" s="1"/>
  <c r="N201" i="35"/>
  <c r="AL201" i="35" s="1"/>
  <c r="AO201" i="35"/>
  <c r="Q201" i="35" s="1"/>
  <c r="AS201" i="35"/>
  <c r="U201" i="35" s="1"/>
  <c r="AW201" i="35"/>
  <c r="Y201" i="35" s="1"/>
  <c r="G201" i="35"/>
  <c r="AE201" i="35" s="1"/>
  <c r="K201" i="35"/>
  <c r="AI201" i="35" s="1"/>
  <c r="O201" i="35"/>
  <c r="AM201" i="35" s="1"/>
  <c r="AP201" i="35"/>
  <c r="R201" i="35" s="1"/>
  <c r="AT201" i="35"/>
  <c r="V201" i="35" s="1"/>
  <c r="AX201" i="35"/>
  <c r="Z201" i="35" s="1"/>
  <c r="H201" i="35"/>
  <c r="AF201" i="35" s="1"/>
  <c r="L201" i="35"/>
  <c r="AJ201" i="35" s="1"/>
  <c r="AB201" i="35"/>
  <c r="AQ201" i="35"/>
  <c r="S201" i="35" s="1"/>
  <c r="AU201" i="35"/>
  <c r="W201" i="35" s="1"/>
  <c r="AY201" i="35"/>
  <c r="AA201" i="35" s="1"/>
  <c r="D197" i="35"/>
  <c r="BC197" i="35"/>
  <c r="CA197" i="35" s="1"/>
  <c r="BG197" i="35"/>
  <c r="CE197" i="35" s="1"/>
  <c r="BK197" i="35"/>
  <c r="CI197" i="35" s="1"/>
  <c r="CM197" i="35"/>
  <c r="BO197" i="35" s="1"/>
  <c r="CQ197" i="35"/>
  <c r="BS197" i="35" s="1"/>
  <c r="CU197" i="35"/>
  <c r="BW197" i="35" s="1"/>
  <c r="BD197" i="35"/>
  <c r="CB197" i="35" s="1"/>
  <c r="BH197" i="35"/>
  <c r="CF197" i="35" s="1"/>
  <c r="BL197" i="35"/>
  <c r="CJ197" i="35" s="1"/>
  <c r="CN197" i="35"/>
  <c r="BP197" i="35" s="1"/>
  <c r="CR197" i="35"/>
  <c r="BT197" i="35" s="1"/>
  <c r="CV197" i="35"/>
  <c r="BX197" i="35" s="1"/>
  <c r="BE197" i="35"/>
  <c r="CC197" i="35" s="1"/>
  <c r="BI197" i="35"/>
  <c r="CG197" i="35" s="1"/>
  <c r="BM197" i="35"/>
  <c r="CK197" i="35" s="1"/>
  <c r="CO197" i="35"/>
  <c r="BQ197" i="35" s="1"/>
  <c r="CS197" i="35"/>
  <c r="BU197" i="35" s="1"/>
  <c r="CW197" i="35"/>
  <c r="BY197" i="35" s="1"/>
  <c r="BF197" i="35"/>
  <c r="CD197" i="35" s="1"/>
  <c r="BJ197" i="35"/>
  <c r="CH197" i="35" s="1"/>
  <c r="BN197" i="35"/>
  <c r="CL197" i="35" s="1"/>
  <c r="CP197" i="35"/>
  <c r="BR197" i="35" s="1"/>
  <c r="CT197" i="35"/>
  <c r="BV197" i="35" s="1"/>
  <c r="CX197" i="35"/>
  <c r="BZ197" i="35" s="1"/>
  <c r="G197" i="35"/>
  <c r="AE197" i="35" s="1"/>
  <c r="K197" i="35"/>
  <c r="AI197" i="35" s="1"/>
  <c r="O197" i="35"/>
  <c r="AM197" i="35" s="1"/>
  <c r="AP197" i="35"/>
  <c r="R197" i="35" s="1"/>
  <c r="AT197" i="35"/>
  <c r="V197" i="35" s="1"/>
  <c r="AX197" i="35"/>
  <c r="Z197" i="35" s="1"/>
  <c r="H197" i="35"/>
  <c r="AF197" i="35" s="1"/>
  <c r="L197" i="35"/>
  <c r="AJ197" i="35" s="1"/>
  <c r="AB197" i="35"/>
  <c r="AQ197" i="35"/>
  <c r="S197" i="35" s="1"/>
  <c r="AU197" i="35"/>
  <c r="W197" i="35" s="1"/>
  <c r="AY197" i="35"/>
  <c r="AA197" i="35" s="1"/>
  <c r="E197" i="35"/>
  <c r="AC197" i="35" s="1"/>
  <c r="I197" i="35"/>
  <c r="AG197" i="35" s="1"/>
  <c r="M197" i="35"/>
  <c r="AK197" i="35" s="1"/>
  <c r="AN197" i="35"/>
  <c r="P197" i="35" s="1"/>
  <c r="AR197" i="35"/>
  <c r="T197" i="35" s="1"/>
  <c r="AV197" i="35"/>
  <c r="X197" i="35" s="1"/>
  <c r="F197" i="35"/>
  <c r="AD197" i="35" s="1"/>
  <c r="J197" i="35"/>
  <c r="AH197" i="35" s="1"/>
  <c r="N197" i="35"/>
  <c r="AL197" i="35" s="1"/>
  <c r="AO197" i="35"/>
  <c r="Q197" i="35" s="1"/>
  <c r="AS197" i="35"/>
  <c r="U197" i="35" s="1"/>
  <c r="AW197" i="35"/>
  <c r="Y197" i="35" s="1"/>
  <c r="D193" i="35"/>
  <c r="BC193" i="35"/>
  <c r="CA193" i="35" s="1"/>
  <c r="BG193" i="35"/>
  <c r="CE193" i="35" s="1"/>
  <c r="BK193" i="35"/>
  <c r="CI193" i="35" s="1"/>
  <c r="CM193" i="35"/>
  <c r="BO193" i="35" s="1"/>
  <c r="CQ193" i="35"/>
  <c r="BS193" i="35" s="1"/>
  <c r="CU193" i="35"/>
  <c r="BW193" i="35" s="1"/>
  <c r="BD193" i="35"/>
  <c r="CB193" i="35" s="1"/>
  <c r="BH193" i="35"/>
  <c r="CF193" i="35" s="1"/>
  <c r="BL193" i="35"/>
  <c r="CJ193" i="35" s="1"/>
  <c r="CN193" i="35"/>
  <c r="BP193" i="35" s="1"/>
  <c r="CR193" i="35"/>
  <c r="BT193" i="35" s="1"/>
  <c r="CV193" i="35"/>
  <c r="BX193" i="35" s="1"/>
  <c r="BE193" i="35"/>
  <c r="CC193" i="35" s="1"/>
  <c r="BI193" i="35"/>
  <c r="CG193" i="35" s="1"/>
  <c r="BM193" i="35"/>
  <c r="CK193" i="35" s="1"/>
  <c r="CO193" i="35"/>
  <c r="BQ193" i="35" s="1"/>
  <c r="CS193" i="35"/>
  <c r="BU193" i="35" s="1"/>
  <c r="CW193" i="35"/>
  <c r="BY193" i="35" s="1"/>
  <c r="BF193" i="35"/>
  <c r="CD193" i="35" s="1"/>
  <c r="BJ193" i="35"/>
  <c r="CH193" i="35" s="1"/>
  <c r="BN193" i="35"/>
  <c r="CL193" i="35" s="1"/>
  <c r="CP193" i="35"/>
  <c r="BR193" i="35" s="1"/>
  <c r="CT193" i="35"/>
  <c r="BV193" i="35" s="1"/>
  <c r="CX193" i="35"/>
  <c r="BZ193" i="35" s="1"/>
  <c r="F193" i="35"/>
  <c r="AD193" i="35" s="1"/>
  <c r="J193" i="35"/>
  <c r="AH193" i="35" s="1"/>
  <c r="N193" i="35"/>
  <c r="AL193" i="35" s="1"/>
  <c r="AO193" i="35"/>
  <c r="Q193" i="35" s="1"/>
  <c r="AS193" i="35"/>
  <c r="U193" i="35" s="1"/>
  <c r="AW193" i="35"/>
  <c r="Y193" i="35" s="1"/>
  <c r="G193" i="35"/>
  <c r="AE193" i="35" s="1"/>
  <c r="K193" i="35"/>
  <c r="AI193" i="35" s="1"/>
  <c r="O193" i="35"/>
  <c r="AM193" i="35" s="1"/>
  <c r="AP193" i="35"/>
  <c r="R193" i="35" s="1"/>
  <c r="AT193" i="35"/>
  <c r="V193" i="35" s="1"/>
  <c r="AX193" i="35"/>
  <c r="Z193" i="35" s="1"/>
  <c r="I193" i="35"/>
  <c r="AG193" i="35" s="1"/>
  <c r="AN193" i="35"/>
  <c r="P193" i="35" s="1"/>
  <c r="AV193" i="35"/>
  <c r="X193" i="35" s="1"/>
  <c r="L193" i="35"/>
  <c r="AJ193" i="35" s="1"/>
  <c r="AQ193" i="35"/>
  <c r="S193" i="35" s="1"/>
  <c r="AY193" i="35"/>
  <c r="AA193" i="35" s="1"/>
  <c r="E193" i="35"/>
  <c r="AC193" i="35" s="1"/>
  <c r="M193" i="35"/>
  <c r="AK193" i="35" s="1"/>
  <c r="AR193" i="35"/>
  <c r="T193" i="35" s="1"/>
  <c r="H193" i="35"/>
  <c r="AF193" i="35" s="1"/>
  <c r="AB193" i="35"/>
  <c r="AU193" i="35"/>
  <c r="W193" i="35" s="1"/>
  <c r="D189" i="35"/>
  <c r="BD189" i="35"/>
  <c r="CB189" i="35" s="1"/>
  <c r="BH189" i="35"/>
  <c r="CF189" i="35" s="1"/>
  <c r="BL189" i="35"/>
  <c r="CJ189" i="35" s="1"/>
  <c r="CN189" i="35"/>
  <c r="BP189" i="35" s="1"/>
  <c r="CR189" i="35"/>
  <c r="BT189" i="35" s="1"/>
  <c r="CV189" i="35"/>
  <c r="BX189" i="35" s="1"/>
  <c r="BE189" i="35"/>
  <c r="CC189" i="35" s="1"/>
  <c r="BI189" i="35"/>
  <c r="CG189" i="35" s="1"/>
  <c r="BM189" i="35"/>
  <c r="CK189" i="35" s="1"/>
  <c r="CO189" i="35"/>
  <c r="BQ189" i="35" s="1"/>
  <c r="CS189" i="35"/>
  <c r="BU189" i="35" s="1"/>
  <c r="CW189" i="35"/>
  <c r="BY189" i="35" s="1"/>
  <c r="BF189" i="35"/>
  <c r="CD189" i="35" s="1"/>
  <c r="BJ189" i="35"/>
  <c r="CH189" i="35" s="1"/>
  <c r="BN189" i="35"/>
  <c r="CL189" i="35" s="1"/>
  <c r="CP189" i="35"/>
  <c r="BR189" i="35" s="1"/>
  <c r="CT189" i="35"/>
  <c r="BV189" i="35" s="1"/>
  <c r="CX189" i="35"/>
  <c r="BZ189" i="35" s="1"/>
  <c r="BC189" i="35"/>
  <c r="CA189" i="35" s="1"/>
  <c r="BG189" i="35"/>
  <c r="CE189" i="35" s="1"/>
  <c r="BK189" i="35"/>
  <c r="CI189" i="35" s="1"/>
  <c r="CM189" i="35"/>
  <c r="BO189" i="35" s="1"/>
  <c r="CQ189" i="35"/>
  <c r="BS189" i="35" s="1"/>
  <c r="CU189" i="35"/>
  <c r="BW189" i="35" s="1"/>
  <c r="E189" i="35"/>
  <c r="AC189" i="35" s="1"/>
  <c r="G189" i="35"/>
  <c r="AE189" i="35" s="1"/>
  <c r="K189" i="35"/>
  <c r="AI189" i="35" s="1"/>
  <c r="O189" i="35"/>
  <c r="AM189" i="35" s="1"/>
  <c r="AP189" i="35"/>
  <c r="R189" i="35" s="1"/>
  <c r="AT189" i="35"/>
  <c r="V189" i="35" s="1"/>
  <c r="AX189" i="35"/>
  <c r="Z189" i="35" s="1"/>
  <c r="H189" i="35"/>
  <c r="AF189" i="35" s="1"/>
  <c r="L189" i="35"/>
  <c r="AJ189" i="35" s="1"/>
  <c r="AB189" i="35"/>
  <c r="AQ189" i="35"/>
  <c r="S189" i="35" s="1"/>
  <c r="AU189" i="35"/>
  <c r="W189" i="35" s="1"/>
  <c r="AY189" i="35"/>
  <c r="AA189" i="35" s="1"/>
  <c r="J189" i="35"/>
  <c r="AH189" i="35" s="1"/>
  <c r="AO189" i="35"/>
  <c r="Q189" i="35" s="1"/>
  <c r="AW189" i="35"/>
  <c r="Y189" i="35" s="1"/>
  <c r="M189" i="35"/>
  <c r="AK189" i="35" s="1"/>
  <c r="AR189" i="35"/>
  <c r="T189" i="35" s="1"/>
  <c r="F189" i="35"/>
  <c r="AD189" i="35" s="1"/>
  <c r="N189" i="35"/>
  <c r="AL189" i="35" s="1"/>
  <c r="AS189" i="35"/>
  <c r="U189" i="35" s="1"/>
  <c r="I189" i="35"/>
  <c r="AG189" i="35" s="1"/>
  <c r="AN189" i="35"/>
  <c r="P189" i="35" s="1"/>
  <c r="AV189" i="35"/>
  <c r="X189" i="35" s="1"/>
  <c r="D185" i="35"/>
  <c r="BD185" i="35"/>
  <c r="CB185" i="35" s="1"/>
  <c r="BH185" i="35"/>
  <c r="CF185" i="35" s="1"/>
  <c r="BL185" i="35"/>
  <c r="CJ185" i="35" s="1"/>
  <c r="CN185" i="35"/>
  <c r="BP185" i="35" s="1"/>
  <c r="CR185" i="35"/>
  <c r="BT185" i="35" s="1"/>
  <c r="CV185" i="35"/>
  <c r="BX185" i="35" s="1"/>
  <c r="BE185" i="35"/>
  <c r="CC185" i="35" s="1"/>
  <c r="BI185" i="35"/>
  <c r="CG185" i="35" s="1"/>
  <c r="BM185" i="35"/>
  <c r="CK185" i="35" s="1"/>
  <c r="CO185" i="35"/>
  <c r="BQ185" i="35" s="1"/>
  <c r="CS185" i="35"/>
  <c r="BU185" i="35" s="1"/>
  <c r="CW185" i="35"/>
  <c r="BY185" i="35" s="1"/>
  <c r="BF185" i="35"/>
  <c r="CD185" i="35" s="1"/>
  <c r="BJ185" i="35"/>
  <c r="CH185" i="35" s="1"/>
  <c r="BN185" i="35"/>
  <c r="CL185" i="35" s="1"/>
  <c r="CP185" i="35"/>
  <c r="BR185" i="35" s="1"/>
  <c r="CT185" i="35"/>
  <c r="BV185" i="35" s="1"/>
  <c r="CX185" i="35"/>
  <c r="BZ185" i="35" s="1"/>
  <c r="BC185" i="35"/>
  <c r="CA185" i="35" s="1"/>
  <c r="BG185" i="35"/>
  <c r="CE185" i="35" s="1"/>
  <c r="BK185" i="35"/>
  <c r="CI185" i="35" s="1"/>
  <c r="CM185" i="35"/>
  <c r="BO185" i="35" s="1"/>
  <c r="CQ185" i="35"/>
  <c r="BS185" i="35" s="1"/>
  <c r="CU185" i="35"/>
  <c r="BW185" i="35" s="1"/>
  <c r="G185" i="35"/>
  <c r="AE185" i="35" s="1"/>
  <c r="K185" i="35"/>
  <c r="AI185" i="35" s="1"/>
  <c r="O185" i="35"/>
  <c r="AM185" i="35" s="1"/>
  <c r="AP185" i="35"/>
  <c r="R185" i="35" s="1"/>
  <c r="AT185" i="35"/>
  <c r="V185" i="35" s="1"/>
  <c r="AX185" i="35"/>
  <c r="Z185" i="35" s="1"/>
  <c r="H185" i="35"/>
  <c r="AF185" i="35" s="1"/>
  <c r="L185" i="35"/>
  <c r="AJ185" i="35" s="1"/>
  <c r="AB185" i="35"/>
  <c r="AQ185" i="35"/>
  <c r="S185" i="35" s="1"/>
  <c r="AU185" i="35"/>
  <c r="W185" i="35" s="1"/>
  <c r="AY185" i="35"/>
  <c r="AA185" i="35" s="1"/>
  <c r="E185" i="35"/>
  <c r="AC185" i="35" s="1"/>
  <c r="I185" i="35"/>
  <c r="AG185" i="35" s="1"/>
  <c r="M185" i="35"/>
  <c r="AK185" i="35" s="1"/>
  <c r="AN185" i="35"/>
  <c r="P185" i="35" s="1"/>
  <c r="AR185" i="35"/>
  <c r="T185" i="35" s="1"/>
  <c r="AV185" i="35"/>
  <c r="X185" i="35" s="1"/>
  <c r="F185" i="35"/>
  <c r="AD185" i="35" s="1"/>
  <c r="J185" i="35"/>
  <c r="AH185" i="35" s="1"/>
  <c r="N185" i="35"/>
  <c r="AL185" i="35" s="1"/>
  <c r="AO185" i="35"/>
  <c r="Q185" i="35" s="1"/>
  <c r="AS185" i="35"/>
  <c r="U185" i="35" s="1"/>
  <c r="AW185" i="35"/>
  <c r="Y185" i="35" s="1"/>
  <c r="D181" i="35"/>
  <c r="BF181" i="35"/>
  <c r="CD181" i="35" s="1"/>
  <c r="BJ181" i="35"/>
  <c r="CH181" i="35" s="1"/>
  <c r="BN181" i="35"/>
  <c r="CL181" i="35" s="1"/>
  <c r="CP181" i="35"/>
  <c r="BR181" i="35" s="1"/>
  <c r="CT181" i="35"/>
  <c r="BV181" i="35" s="1"/>
  <c r="CX181" i="35"/>
  <c r="BZ181" i="35" s="1"/>
  <c r="BC181" i="35"/>
  <c r="CA181" i="35" s="1"/>
  <c r="BG181" i="35"/>
  <c r="CE181" i="35" s="1"/>
  <c r="BK181" i="35"/>
  <c r="CI181" i="35" s="1"/>
  <c r="CM181" i="35"/>
  <c r="BO181" i="35" s="1"/>
  <c r="CQ181" i="35"/>
  <c r="BS181" i="35" s="1"/>
  <c r="CU181" i="35"/>
  <c r="BW181" i="35" s="1"/>
  <c r="BD181" i="35"/>
  <c r="CB181" i="35" s="1"/>
  <c r="BH181" i="35"/>
  <c r="CF181" i="35" s="1"/>
  <c r="BL181" i="35"/>
  <c r="CJ181" i="35" s="1"/>
  <c r="CN181" i="35"/>
  <c r="BP181" i="35" s="1"/>
  <c r="CR181" i="35"/>
  <c r="BT181" i="35" s="1"/>
  <c r="CV181" i="35"/>
  <c r="BX181" i="35" s="1"/>
  <c r="BE181" i="35"/>
  <c r="CC181" i="35" s="1"/>
  <c r="BI181" i="35"/>
  <c r="CG181" i="35" s="1"/>
  <c r="BM181" i="35"/>
  <c r="CK181" i="35" s="1"/>
  <c r="CO181" i="35"/>
  <c r="BQ181" i="35" s="1"/>
  <c r="CS181" i="35"/>
  <c r="BU181" i="35" s="1"/>
  <c r="CW181" i="35"/>
  <c r="BY181" i="35" s="1"/>
  <c r="E181" i="35"/>
  <c r="AC181" i="35" s="1"/>
  <c r="I181" i="35"/>
  <c r="AG181" i="35" s="1"/>
  <c r="M181" i="35"/>
  <c r="AK181" i="35" s="1"/>
  <c r="AN181" i="35"/>
  <c r="P181" i="35" s="1"/>
  <c r="AR181" i="35"/>
  <c r="T181" i="35" s="1"/>
  <c r="AV181" i="35"/>
  <c r="X181" i="35" s="1"/>
  <c r="F181" i="35"/>
  <c r="AD181" i="35" s="1"/>
  <c r="J181" i="35"/>
  <c r="AH181" i="35" s="1"/>
  <c r="N181" i="35"/>
  <c r="AL181" i="35" s="1"/>
  <c r="AO181" i="35"/>
  <c r="Q181" i="35" s="1"/>
  <c r="AS181" i="35"/>
  <c r="U181" i="35" s="1"/>
  <c r="AW181" i="35"/>
  <c r="Y181" i="35" s="1"/>
  <c r="G181" i="35"/>
  <c r="AE181" i="35" s="1"/>
  <c r="K181" i="35"/>
  <c r="AI181" i="35" s="1"/>
  <c r="O181" i="35"/>
  <c r="AM181" i="35" s="1"/>
  <c r="AP181" i="35"/>
  <c r="R181" i="35" s="1"/>
  <c r="AT181" i="35"/>
  <c r="V181" i="35" s="1"/>
  <c r="AX181" i="35"/>
  <c r="Z181" i="35" s="1"/>
  <c r="H181" i="35"/>
  <c r="AF181" i="35" s="1"/>
  <c r="L181" i="35"/>
  <c r="AJ181" i="35" s="1"/>
  <c r="AB181" i="35"/>
  <c r="AQ181" i="35"/>
  <c r="S181" i="35" s="1"/>
  <c r="AU181" i="35"/>
  <c r="W181" i="35" s="1"/>
  <c r="AY181" i="35"/>
  <c r="AA181" i="35" s="1"/>
  <c r="D177" i="35"/>
  <c r="BD177" i="35"/>
  <c r="CB177" i="35" s="1"/>
  <c r="BH177" i="35"/>
  <c r="CF177" i="35" s="1"/>
  <c r="BL177" i="35"/>
  <c r="CJ177" i="35" s="1"/>
  <c r="CM177" i="35"/>
  <c r="BO177" i="35" s="1"/>
  <c r="CQ177" i="35"/>
  <c r="BS177" i="35" s="1"/>
  <c r="CU177" i="35"/>
  <c r="BW177" i="35" s="1"/>
  <c r="BE177" i="35"/>
  <c r="CC177" i="35" s="1"/>
  <c r="BI177" i="35"/>
  <c r="CG177" i="35" s="1"/>
  <c r="BM177" i="35"/>
  <c r="CK177" i="35" s="1"/>
  <c r="CN177" i="35"/>
  <c r="BP177" i="35" s="1"/>
  <c r="CR177" i="35"/>
  <c r="BT177" i="35" s="1"/>
  <c r="CV177" i="35"/>
  <c r="BX177" i="35" s="1"/>
  <c r="BF177" i="35"/>
  <c r="CD177" i="35" s="1"/>
  <c r="BJ177" i="35"/>
  <c r="CH177" i="35" s="1"/>
  <c r="BN177" i="35"/>
  <c r="CL177" i="35" s="1"/>
  <c r="CO177" i="35"/>
  <c r="BQ177" i="35" s="1"/>
  <c r="CS177" i="35"/>
  <c r="BU177" i="35" s="1"/>
  <c r="CW177" i="35"/>
  <c r="BY177" i="35" s="1"/>
  <c r="BC177" i="35"/>
  <c r="CA177" i="35" s="1"/>
  <c r="BG177" i="35"/>
  <c r="CE177" i="35" s="1"/>
  <c r="BK177" i="35"/>
  <c r="CI177" i="35" s="1"/>
  <c r="CP177" i="35"/>
  <c r="BR177" i="35" s="1"/>
  <c r="CT177" i="35"/>
  <c r="BV177" i="35" s="1"/>
  <c r="CX177" i="35"/>
  <c r="BZ177" i="35" s="1"/>
  <c r="F177" i="35"/>
  <c r="AD177" i="35" s="1"/>
  <c r="J177" i="35"/>
  <c r="AH177" i="35" s="1"/>
  <c r="N177" i="35"/>
  <c r="AL177" i="35" s="1"/>
  <c r="AO177" i="35"/>
  <c r="Q177" i="35" s="1"/>
  <c r="AS177" i="35"/>
  <c r="U177" i="35" s="1"/>
  <c r="AW177" i="35"/>
  <c r="Y177" i="35" s="1"/>
  <c r="G177" i="35"/>
  <c r="AE177" i="35" s="1"/>
  <c r="K177" i="35"/>
  <c r="AI177" i="35" s="1"/>
  <c r="O177" i="35"/>
  <c r="AM177" i="35" s="1"/>
  <c r="AP177" i="35"/>
  <c r="R177" i="35" s="1"/>
  <c r="AT177" i="35"/>
  <c r="V177" i="35" s="1"/>
  <c r="AX177" i="35"/>
  <c r="Z177" i="35" s="1"/>
  <c r="H177" i="35"/>
  <c r="AF177" i="35" s="1"/>
  <c r="L177" i="35"/>
  <c r="AJ177" i="35" s="1"/>
  <c r="AB177" i="35"/>
  <c r="AQ177" i="35"/>
  <c r="S177" i="35" s="1"/>
  <c r="AU177" i="35"/>
  <c r="W177" i="35" s="1"/>
  <c r="AY177" i="35"/>
  <c r="AA177" i="35" s="1"/>
  <c r="E177" i="35"/>
  <c r="AC177" i="35" s="1"/>
  <c r="I177" i="35"/>
  <c r="AG177" i="35" s="1"/>
  <c r="M177" i="35"/>
  <c r="AK177" i="35" s="1"/>
  <c r="AN177" i="35"/>
  <c r="P177" i="35" s="1"/>
  <c r="AR177" i="35"/>
  <c r="T177" i="35" s="1"/>
  <c r="AV177" i="35"/>
  <c r="X177" i="35" s="1"/>
  <c r="D173" i="35"/>
  <c r="BF173" i="35"/>
  <c r="CD173" i="35" s="1"/>
  <c r="BJ173" i="35"/>
  <c r="CH173" i="35" s="1"/>
  <c r="BN173" i="35"/>
  <c r="CL173" i="35" s="1"/>
  <c r="CP173" i="35"/>
  <c r="BR173" i="35" s="1"/>
  <c r="CT173" i="35"/>
  <c r="BV173" i="35" s="1"/>
  <c r="CX173" i="35"/>
  <c r="BZ173" i="35" s="1"/>
  <c r="BC173" i="35"/>
  <c r="CA173" i="35" s="1"/>
  <c r="BG173" i="35"/>
  <c r="CE173" i="35" s="1"/>
  <c r="BK173" i="35"/>
  <c r="CI173" i="35" s="1"/>
  <c r="CM173" i="35"/>
  <c r="BO173" i="35" s="1"/>
  <c r="CQ173" i="35"/>
  <c r="BS173" i="35" s="1"/>
  <c r="CU173" i="35"/>
  <c r="BW173" i="35" s="1"/>
  <c r="BD173" i="35"/>
  <c r="CB173" i="35" s="1"/>
  <c r="BH173" i="35"/>
  <c r="CF173" i="35" s="1"/>
  <c r="BL173" i="35"/>
  <c r="CJ173" i="35" s="1"/>
  <c r="CN173" i="35"/>
  <c r="BP173" i="35" s="1"/>
  <c r="CR173" i="35"/>
  <c r="BT173" i="35" s="1"/>
  <c r="CV173" i="35"/>
  <c r="BX173" i="35" s="1"/>
  <c r="BE173" i="35"/>
  <c r="CC173" i="35" s="1"/>
  <c r="BI173" i="35"/>
  <c r="CG173" i="35" s="1"/>
  <c r="BM173" i="35"/>
  <c r="CK173" i="35" s="1"/>
  <c r="CO173" i="35"/>
  <c r="BQ173" i="35" s="1"/>
  <c r="CS173" i="35"/>
  <c r="BU173" i="35" s="1"/>
  <c r="CW173" i="35"/>
  <c r="BY173" i="35" s="1"/>
  <c r="G173" i="35"/>
  <c r="AE173" i="35" s="1"/>
  <c r="K173" i="35"/>
  <c r="AI173" i="35" s="1"/>
  <c r="O173" i="35"/>
  <c r="AM173" i="35" s="1"/>
  <c r="AP173" i="35"/>
  <c r="R173" i="35" s="1"/>
  <c r="AT173" i="35"/>
  <c r="V173" i="35" s="1"/>
  <c r="AX173" i="35"/>
  <c r="Z173" i="35" s="1"/>
  <c r="H173" i="35"/>
  <c r="AF173" i="35" s="1"/>
  <c r="L173" i="35"/>
  <c r="AJ173" i="35" s="1"/>
  <c r="AB173" i="35"/>
  <c r="AQ173" i="35"/>
  <c r="S173" i="35" s="1"/>
  <c r="AU173" i="35"/>
  <c r="W173" i="35" s="1"/>
  <c r="AY173" i="35"/>
  <c r="AA173" i="35" s="1"/>
  <c r="E173" i="35"/>
  <c r="AC173" i="35" s="1"/>
  <c r="I173" i="35"/>
  <c r="AG173" i="35" s="1"/>
  <c r="M173" i="35"/>
  <c r="AK173" i="35" s="1"/>
  <c r="AN173" i="35"/>
  <c r="P173" i="35" s="1"/>
  <c r="AR173" i="35"/>
  <c r="T173" i="35" s="1"/>
  <c r="AV173" i="35"/>
  <c r="X173" i="35" s="1"/>
  <c r="F173" i="35"/>
  <c r="AD173" i="35" s="1"/>
  <c r="J173" i="35"/>
  <c r="AH173" i="35" s="1"/>
  <c r="N173" i="35"/>
  <c r="AL173" i="35" s="1"/>
  <c r="AO173" i="35"/>
  <c r="Q173" i="35" s="1"/>
  <c r="AS173" i="35"/>
  <c r="U173" i="35" s="1"/>
  <c r="AW173" i="35"/>
  <c r="Y173" i="35" s="1"/>
  <c r="D169" i="35"/>
  <c r="BE169" i="35"/>
  <c r="CC169" i="35" s="1"/>
  <c r="BI169" i="35"/>
  <c r="CG169" i="35" s="1"/>
  <c r="BM169" i="35"/>
  <c r="CK169" i="35" s="1"/>
  <c r="CP169" i="35"/>
  <c r="BR169" i="35" s="1"/>
  <c r="CT169" i="35"/>
  <c r="BV169" i="35" s="1"/>
  <c r="CX169" i="35"/>
  <c r="BZ169" i="35" s="1"/>
  <c r="BF169" i="35"/>
  <c r="CD169" i="35" s="1"/>
  <c r="BJ169" i="35"/>
  <c r="CH169" i="35" s="1"/>
  <c r="BN169" i="35"/>
  <c r="CL169" i="35" s="1"/>
  <c r="CM169" i="35"/>
  <c r="BO169" i="35" s="1"/>
  <c r="CQ169" i="35"/>
  <c r="BS169" i="35" s="1"/>
  <c r="CU169" i="35"/>
  <c r="BW169" i="35" s="1"/>
  <c r="BC169" i="35"/>
  <c r="CA169" i="35" s="1"/>
  <c r="BG169" i="35"/>
  <c r="CE169" i="35" s="1"/>
  <c r="BK169" i="35"/>
  <c r="CI169" i="35" s="1"/>
  <c r="CN169" i="35"/>
  <c r="BP169" i="35" s="1"/>
  <c r="CR169" i="35"/>
  <c r="BT169" i="35" s="1"/>
  <c r="CV169" i="35"/>
  <c r="BX169" i="35" s="1"/>
  <c r="BD169" i="35"/>
  <c r="CB169" i="35" s="1"/>
  <c r="BH169" i="35"/>
  <c r="CF169" i="35" s="1"/>
  <c r="BL169" i="35"/>
  <c r="CJ169" i="35" s="1"/>
  <c r="CO169" i="35"/>
  <c r="BQ169" i="35" s="1"/>
  <c r="CS169" i="35"/>
  <c r="BU169" i="35" s="1"/>
  <c r="CW169" i="35"/>
  <c r="BY169" i="35" s="1"/>
  <c r="G169" i="35"/>
  <c r="AE169" i="35" s="1"/>
  <c r="K169" i="35"/>
  <c r="AI169" i="35" s="1"/>
  <c r="O169" i="35"/>
  <c r="AM169" i="35" s="1"/>
  <c r="AP169" i="35"/>
  <c r="R169" i="35" s="1"/>
  <c r="AT169" i="35"/>
  <c r="V169" i="35" s="1"/>
  <c r="AX169" i="35"/>
  <c r="Z169" i="35" s="1"/>
  <c r="H169" i="35"/>
  <c r="AF169" i="35" s="1"/>
  <c r="L169" i="35"/>
  <c r="AJ169" i="35" s="1"/>
  <c r="AB169" i="35"/>
  <c r="AQ169" i="35"/>
  <c r="S169" i="35" s="1"/>
  <c r="AU169" i="35"/>
  <c r="W169" i="35" s="1"/>
  <c r="AY169" i="35"/>
  <c r="AA169" i="35" s="1"/>
  <c r="E169" i="35"/>
  <c r="AC169" i="35" s="1"/>
  <c r="I169" i="35"/>
  <c r="AG169" i="35" s="1"/>
  <c r="M169" i="35"/>
  <c r="AK169" i="35" s="1"/>
  <c r="AN169" i="35"/>
  <c r="P169" i="35" s="1"/>
  <c r="AR169" i="35"/>
  <c r="T169" i="35" s="1"/>
  <c r="AV169" i="35"/>
  <c r="X169" i="35" s="1"/>
  <c r="F169" i="35"/>
  <c r="AD169" i="35" s="1"/>
  <c r="J169" i="35"/>
  <c r="AH169" i="35" s="1"/>
  <c r="N169" i="35"/>
  <c r="AL169" i="35" s="1"/>
  <c r="AO169" i="35"/>
  <c r="Q169" i="35" s="1"/>
  <c r="AS169" i="35"/>
  <c r="U169" i="35" s="1"/>
  <c r="AW169" i="35"/>
  <c r="Y169" i="35" s="1"/>
  <c r="D165" i="35"/>
  <c r="BC165" i="35"/>
  <c r="CA165" i="35" s="1"/>
  <c r="BG165" i="35"/>
  <c r="CE165" i="35" s="1"/>
  <c r="BK165" i="35"/>
  <c r="CI165" i="35" s="1"/>
  <c r="CM165" i="35"/>
  <c r="BO165" i="35" s="1"/>
  <c r="CQ165" i="35"/>
  <c r="BS165" i="35" s="1"/>
  <c r="CU165" i="35"/>
  <c r="BW165" i="35" s="1"/>
  <c r="BD165" i="35"/>
  <c r="CB165" i="35" s="1"/>
  <c r="BH165" i="35"/>
  <c r="CF165" i="35" s="1"/>
  <c r="BL165" i="35"/>
  <c r="CJ165" i="35" s="1"/>
  <c r="CN165" i="35"/>
  <c r="BP165" i="35" s="1"/>
  <c r="CR165" i="35"/>
  <c r="BT165" i="35" s="1"/>
  <c r="CV165" i="35"/>
  <c r="BX165" i="35" s="1"/>
  <c r="BE165" i="35"/>
  <c r="CC165" i="35" s="1"/>
  <c r="BI165" i="35"/>
  <c r="CG165" i="35" s="1"/>
  <c r="BM165" i="35"/>
  <c r="CK165" i="35" s="1"/>
  <c r="CO165" i="35"/>
  <c r="BQ165" i="35" s="1"/>
  <c r="CS165" i="35"/>
  <c r="BU165" i="35" s="1"/>
  <c r="CW165" i="35"/>
  <c r="BY165" i="35" s="1"/>
  <c r="BF165" i="35"/>
  <c r="CD165" i="35" s="1"/>
  <c r="BJ165" i="35"/>
  <c r="CH165" i="35" s="1"/>
  <c r="BN165" i="35"/>
  <c r="CL165" i="35" s="1"/>
  <c r="CP165" i="35"/>
  <c r="BR165" i="35" s="1"/>
  <c r="CT165" i="35"/>
  <c r="BV165" i="35" s="1"/>
  <c r="CX165" i="35"/>
  <c r="BZ165" i="35" s="1"/>
  <c r="H165" i="35"/>
  <c r="AF165" i="35" s="1"/>
  <c r="L165" i="35"/>
  <c r="AJ165" i="35" s="1"/>
  <c r="AB165" i="35"/>
  <c r="AP165" i="35"/>
  <c r="R165" i="35" s="1"/>
  <c r="AT165" i="35"/>
  <c r="V165" i="35" s="1"/>
  <c r="AX165" i="35"/>
  <c r="Z165" i="35" s="1"/>
  <c r="E165" i="35"/>
  <c r="AC165" i="35" s="1"/>
  <c r="I165" i="35"/>
  <c r="AG165" i="35" s="1"/>
  <c r="M165" i="35"/>
  <c r="AK165" i="35" s="1"/>
  <c r="AQ165" i="35"/>
  <c r="S165" i="35" s="1"/>
  <c r="AU165" i="35"/>
  <c r="W165" i="35" s="1"/>
  <c r="AY165" i="35"/>
  <c r="AA165" i="35" s="1"/>
  <c r="F165" i="35"/>
  <c r="AD165" i="35" s="1"/>
  <c r="J165" i="35"/>
  <c r="AH165" i="35" s="1"/>
  <c r="N165" i="35"/>
  <c r="AL165" i="35" s="1"/>
  <c r="AN165" i="35"/>
  <c r="P165" i="35" s="1"/>
  <c r="AR165" i="35"/>
  <c r="T165" i="35" s="1"/>
  <c r="AV165" i="35"/>
  <c r="X165" i="35" s="1"/>
  <c r="G165" i="35"/>
  <c r="AE165" i="35" s="1"/>
  <c r="K165" i="35"/>
  <c r="AI165" i="35" s="1"/>
  <c r="O165" i="35"/>
  <c r="AM165" i="35" s="1"/>
  <c r="AO165" i="35"/>
  <c r="Q165" i="35" s="1"/>
  <c r="AS165" i="35"/>
  <c r="U165" i="35" s="1"/>
  <c r="AW165" i="35"/>
  <c r="Y165" i="35" s="1"/>
  <c r="D240" i="35"/>
  <c r="BC240" i="35"/>
  <c r="CA240" i="35" s="1"/>
  <c r="BG240" i="35"/>
  <c r="CE240" i="35" s="1"/>
  <c r="BK240" i="35"/>
  <c r="CI240" i="35" s="1"/>
  <c r="CM240" i="35"/>
  <c r="BO240" i="35" s="1"/>
  <c r="CQ240" i="35"/>
  <c r="BS240" i="35" s="1"/>
  <c r="CU240" i="35"/>
  <c r="BW240" i="35" s="1"/>
  <c r="BD240" i="35"/>
  <c r="CB240" i="35" s="1"/>
  <c r="BH240" i="35"/>
  <c r="CF240" i="35" s="1"/>
  <c r="BL240" i="35"/>
  <c r="CJ240" i="35" s="1"/>
  <c r="CN240" i="35"/>
  <c r="BP240" i="35" s="1"/>
  <c r="CR240" i="35"/>
  <c r="BT240" i="35" s="1"/>
  <c r="CV240" i="35"/>
  <c r="BX240" i="35" s="1"/>
  <c r="BE240" i="35"/>
  <c r="CC240" i="35" s="1"/>
  <c r="BI240" i="35"/>
  <c r="CG240" i="35" s="1"/>
  <c r="BM240" i="35"/>
  <c r="CK240" i="35" s="1"/>
  <c r="CO240" i="35"/>
  <c r="BQ240" i="35" s="1"/>
  <c r="CS240" i="35"/>
  <c r="BU240" i="35" s="1"/>
  <c r="CW240" i="35"/>
  <c r="BY240" i="35" s="1"/>
  <c r="BF240" i="35"/>
  <c r="CD240" i="35" s="1"/>
  <c r="BJ240" i="35"/>
  <c r="CH240" i="35" s="1"/>
  <c r="BN240" i="35"/>
  <c r="CL240" i="35" s="1"/>
  <c r="CP240" i="35"/>
  <c r="BR240" i="35" s="1"/>
  <c r="CT240" i="35"/>
  <c r="BV240" i="35" s="1"/>
  <c r="CX240" i="35"/>
  <c r="BZ240" i="35" s="1"/>
  <c r="F240" i="35"/>
  <c r="AD240" i="35" s="1"/>
  <c r="J240" i="35"/>
  <c r="AH240" i="35" s="1"/>
  <c r="N240" i="35"/>
  <c r="AL240" i="35" s="1"/>
  <c r="AN240" i="35"/>
  <c r="P240" i="35" s="1"/>
  <c r="AR240" i="35"/>
  <c r="T240" i="35" s="1"/>
  <c r="AV240" i="35"/>
  <c r="X240" i="35" s="1"/>
  <c r="G240" i="35"/>
  <c r="AE240" i="35" s="1"/>
  <c r="K240" i="35"/>
  <c r="AI240" i="35" s="1"/>
  <c r="O240" i="35"/>
  <c r="AM240" i="35" s="1"/>
  <c r="AO240" i="35"/>
  <c r="Q240" i="35" s="1"/>
  <c r="AS240" i="35"/>
  <c r="U240" i="35" s="1"/>
  <c r="AW240" i="35"/>
  <c r="Y240" i="35" s="1"/>
  <c r="H240" i="35"/>
  <c r="AF240" i="35" s="1"/>
  <c r="L240" i="35"/>
  <c r="AJ240" i="35" s="1"/>
  <c r="AB240" i="35"/>
  <c r="AP240" i="35"/>
  <c r="R240" i="35" s="1"/>
  <c r="AT240" i="35"/>
  <c r="V240" i="35" s="1"/>
  <c r="AX240" i="35"/>
  <c r="Z240" i="35" s="1"/>
  <c r="E240" i="35"/>
  <c r="AC240" i="35" s="1"/>
  <c r="I240" i="35"/>
  <c r="AG240" i="35" s="1"/>
  <c r="M240" i="35"/>
  <c r="AK240" i="35" s="1"/>
  <c r="AQ240" i="35"/>
  <c r="S240" i="35" s="1"/>
  <c r="AU240" i="35"/>
  <c r="W240" i="35" s="1"/>
  <c r="AY240" i="35"/>
  <c r="AA240" i="35" s="1"/>
  <c r="D236" i="35"/>
  <c r="BF236" i="35"/>
  <c r="CD236" i="35" s="1"/>
  <c r="BJ236" i="35"/>
  <c r="CH236" i="35" s="1"/>
  <c r="BN236" i="35"/>
  <c r="CL236" i="35" s="1"/>
  <c r="BC236" i="35"/>
  <c r="CA236" i="35" s="1"/>
  <c r="BG236" i="35"/>
  <c r="CE236" i="35" s="1"/>
  <c r="BK236" i="35"/>
  <c r="CI236" i="35" s="1"/>
  <c r="BH236" i="35"/>
  <c r="CF236" i="35" s="1"/>
  <c r="CM236" i="35"/>
  <c r="BO236" i="35" s="1"/>
  <c r="CQ236" i="35"/>
  <c r="BS236" i="35" s="1"/>
  <c r="CU236" i="35"/>
  <c r="BW236" i="35" s="1"/>
  <c r="BI236" i="35"/>
  <c r="CG236" i="35" s="1"/>
  <c r="CN236" i="35"/>
  <c r="BP236" i="35" s="1"/>
  <c r="CR236" i="35"/>
  <c r="BT236" i="35" s="1"/>
  <c r="CV236" i="35"/>
  <c r="BX236" i="35" s="1"/>
  <c r="BD236" i="35"/>
  <c r="CB236" i="35" s="1"/>
  <c r="BL236" i="35"/>
  <c r="CJ236" i="35" s="1"/>
  <c r="CO236" i="35"/>
  <c r="BQ236" i="35" s="1"/>
  <c r="CS236" i="35"/>
  <c r="BU236" i="35" s="1"/>
  <c r="CW236" i="35"/>
  <c r="BY236" i="35" s="1"/>
  <c r="BE236" i="35"/>
  <c r="CC236" i="35" s="1"/>
  <c r="BM236" i="35"/>
  <c r="CK236" i="35" s="1"/>
  <c r="CP236" i="35"/>
  <c r="BR236" i="35" s="1"/>
  <c r="CT236" i="35"/>
  <c r="BV236" i="35" s="1"/>
  <c r="CX236" i="35"/>
  <c r="BZ236" i="35" s="1"/>
  <c r="G236" i="35"/>
  <c r="AE236" i="35" s="1"/>
  <c r="K236" i="35"/>
  <c r="AI236" i="35" s="1"/>
  <c r="O236" i="35"/>
  <c r="AM236" i="35" s="1"/>
  <c r="AP236" i="35"/>
  <c r="R236" i="35" s="1"/>
  <c r="AT236" i="35"/>
  <c r="V236" i="35" s="1"/>
  <c r="AX236" i="35"/>
  <c r="Z236" i="35" s="1"/>
  <c r="H236" i="35"/>
  <c r="AF236" i="35" s="1"/>
  <c r="L236" i="35"/>
  <c r="AJ236" i="35" s="1"/>
  <c r="AB236" i="35"/>
  <c r="AQ236" i="35"/>
  <c r="S236" i="35" s="1"/>
  <c r="AU236" i="35"/>
  <c r="W236" i="35" s="1"/>
  <c r="AY236" i="35"/>
  <c r="AA236" i="35" s="1"/>
  <c r="E236" i="35"/>
  <c r="AC236" i="35" s="1"/>
  <c r="I236" i="35"/>
  <c r="AG236" i="35" s="1"/>
  <c r="M236" i="35"/>
  <c r="AK236" i="35" s="1"/>
  <c r="AN236" i="35"/>
  <c r="P236" i="35" s="1"/>
  <c r="AR236" i="35"/>
  <c r="T236" i="35" s="1"/>
  <c r="AV236" i="35"/>
  <c r="X236" i="35" s="1"/>
  <c r="F236" i="35"/>
  <c r="AD236" i="35" s="1"/>
  <c r="J236" i="35"/>
  <c r="AH236" i="35" s="1"/>
  <c r="N236" i="35"/>
  <c r="AL236" i="35" s="1"/>
  <c r="AO236" i="35"/>
  <c r="Q236" i="35" s="1"/>
  <c r="AS236" i="35"/>
  <c r="U236" i="35" s="1"/>
  <c r="AW236" i="35"/>
  <c r="Y236" i="35" s="1"/>
  <c r="D232" i="35"/>
  <c r="BD232" i="35"/>
  <c r="CB232" i="35" s="1"/>
  <c r="BH232" i="35"/>
  <c r="CF232" i="35" s="1"/>
  <c r="BL232" i="35"/>
  <c r="CJ232" i="35" s="1"/>
  <c r="BE232" i="35"/>
  <c r="CC232" i="35" s="1"/>
  <c r="BI232" i="35"/>
  <c r="CG232" i="35" s="1"/>
  <c r="BM232" i="35"/>
  <c r="CK232" i="35" s="1"/>
  <c r="BF232" i="35"/>
  <c r="CD232" i="35" s="1"/>
  <c r="BJ232" i="35"/>
  <c r="CH232" i="35" s="1"/>
  <c r="BN232" i="35"/>
  <c r="CL232" i="35" s="1"/>
  <c r="CP232" i="35"/>
  <c r="BR232" i="35" s="1"/>
  <c r="CT232" i="35"/>
  <c r="BV232" i="35" s="1"/>
  <c r="CX232" i="35"/>
  <c r="BZ232" i="35" s="1"/>
  <c r="BC232" i="35"/>
  <c r="CA232" i="35" s="1"/>
  <c r="BG232" i="35"/>
  <c r="CE232" i="35" s="1"/>
  <c r="BK232" i="35"/>
  <c r="CI232" i="35" s="1"/>
  <c r="CM232" i="35"/>
  <c r="BO232" i="35" s="1"/>
  <c r="CQ232" i="35"/>
  <c r="BS232" i="35" s="1"/>
  <c r="CU232" i="35"/>
  <c r="BW232" i="35" s="1"/>
  <c r="CR232" i="35"/>
  <c r="BT232" i="35" s="1"/>
  <c r="CS232" i="35"/>
  <c r="BU232" i="35" s="1"/>
  <c r="CN232" i="35"/>
  <c r="BP232" i="35" s="1"/>
  <c r="CV232" i="35"/>
  <c r="BX232" i="35" s="1"/>
  <c r="CO232" i="35"/>
  <c r="BQ232" i="35" s="1"/>
  <c r="CW232" i="35"/>
  <c r="BY232" i="35" s="1"/>
  <c r="E232" i="35"/>
  <c r="AC232" i="35" s="1"/>
  <c r="I232" i="35"/>
  <c r="AG232" i="35" s="1"/>
  <c r="M232" i="35"/>
  <c r="AK232" i="35" s="1"/>
  <c r="AQ232" i="35"/>
  <c r="S232" i="35" s="1"/>
  <c r="AU232" i="35"/>
  <c r="W232" i="35" s="1"/>
  <c r="AY232" i="35"/>
  <c r="AA232" i="35" s="1"/>
  <c r="F232" i="35"/>
  <c r="AD232" i="35" s="1"/>
  <c r="J232" i="35"/>
  <c r="AH232" i="35" s="1"/>
  <c r="N232" i="35"/>
  <c r="AL232" i="35" s="1"/>
  <c r="AN232" i="35"/>
  <c r="P232" i="35" s="1"/>
  <c r="AR232" i="35"/>
  <c r="T232" i="35" s="1"/>
  <c r="AV232" i="35"/>
  <c r="X232" i="35" s="1"/>
  <c r="G232" i="35"/>
  <c r="AE232" i="35" s="1"/>
  <c r="K232" i="35"/>
  <c r="AI232" i="35" s="1"/>
  <c r="O232" i="35"/>
  <c r="AM232" i="35" s="1"/>
  <c r="AO232" i="35"/>
  <c r="Q232" i="35" s="1"/>
  <c r="AS232" i="35"/>
  <c r="U232" i="35" s="1"/>
  <c r="AW232" i="35"/>
  <c r="Y232" i="35" s="1"/>
  <c r="H232" i="35"/>
  <c r="AF232" i="35" s="1"/>
  <c r="L232" i="35"/>
  <c r="AJ232" i="35" s="1"/>
  <c r="AB232" i="35"/>
  <c r="AP232" i="35"/>
  <c r="R232" i="35" s="1"/>
  <c r="AT232" i="35"/>
  <c r="V232" i="35" s="1"/>
  <c r="AX232" i="35"/>
  <c r="Z232" i="35" s="1"/>
  <c r="D228" i="35"/>
  <c r="BD228" i="35"/>
  <c r="CB228" i="35" s="1"/>
  <c r="BH228" i="35"/>
  <c r="CF228" i="35" s="1"/>
  <c r="BL228" i="35"/>
  <c r="CJ228" i="35" s="1"/>
  <c r="CN228" i="35"/>
  <c r="BP228" i="35" s="1"/>
  <c r="CR228" i="35"/>
  <c r="BT228" i="35" s="1"/>
  <c r="CV228" i="35"/>
  <c r="BX228" i="35" s="1"/>
  <c r="BE228" i="35"/>
  <c r="CC228" i="35" s="1"/>
  <c r="BI228" i="35"/>
  <c r="CG228" i="35" s="1"/>
  <c r="BM228" i="35"/>
  <c r="CK228" i="35" s="1"/>
  <c r="CO228" i="35"/>
  <c r="BQ228" i="35" s="1"/>
  <c r="CS228" i="35"/>
  <c r="BU228" i="35" s="1"/>
  <c r="CW228" i="35"/>
  <c r="BY228" i="35" s="1"/>
  <c r="BF228" i="35"/>
  <c r="CD228" i="35" s="1"/>
  <c r="BJ228" i="35"/>
  <c r="CH228" i="35" s="1"/>
  <c r="BN228" i="35"/>
  <c r="CL228" i="35" s="1"/>
  <c r="CP228" i="35"/>
  <c r="BR228" i="35" s="1"/>
  <c r="CT228" i="35"/>
  <c r="BV228" i="35" s="1"/>
  <c r="CX228" i="35"/>
  <c r="BZ228" i="35" s="1"/>
  <c r="BC228" i="35"/>
  <c r="CA228" i="35" s="1"/>
  <c r="BG228" i="35"/>
  <c r="CE228" i="35" s="1"/>
  <c r="BK228" i="35"/>
  <c r="CI228" i="35" s="1"/>
  <c r="CM228" i="35"/>
  <c r="BO228" i="35" s="1"/>
  <c r="CQ228" i="35"/>
  <c r="BS228" i="35" s="1"/>
  <c r="CU228" i="35"/>
  <c r="BW228" i="35" s="1"/>
  <c r="E228" i="35"/>
  <c r="AC228" i="35" s="1"/>
  <c r="I228" i="35"/>
  <c r="AG228" i="35" s="1"/>
  <c r="M228" i="35"/>
  <c r="AK228" i="35" s="1"/>
  <c r="AN228" i="35"/>
  <c r="P228" i="35" s="1"/>
  <c r="AR228" i="35"/>
  <c r="T228" i="35" s="1"/>
  <c r="AV228" i="35"/>
  <c r="X228" i="35" s="1"/>
  <c r="F228" i="35"/>
  <c r="AD228" i="35" s="1"/>
  <c r="J228" i="35"/>
  <c r="AH228" i="35" s="1"/>
  <c r="N228" i="35"/>
  <c r="AL228" i="35" s="1"/>
  <c r="AO228" i="35"/>
  <c r="Q228" i="35" s="1"/>
  <c r="AS228" i="35"/>
  <c r="U228" i="35" s="1"/>
  <c r="AW228" i="35"/>
  <c r="Y228" i="35" s="1"/>
  <c r="G228" i="35"/>
  <c r="AE228" i="35" s="1"/>
  <c r="K228" i="35"/>
  <c r="AI228" i="35" s="1"/>
  <c r="O228" i="35"/>
  <c r="AM228" i="35" s="1"/>
  <c r="AP228" i="35"/>
  <c r="R228" i="35" s="1"/>
  <c r="AT228" i="35"/>
  <c r="V228" i="35" s="1"/>
  <c r="AX228" i="35"/>
  <c r="Z228" i="35" s="1"/>
  <c r="H228" i="35"/>
  <c r="AF228" i="35" s="1"/>
  <c r="L228" i="35"/>
  <c r="AJ228" i="35" s="1"/>
  <c r="AB228" i="35"/>
  <c r="AQ228" i="35"/>
  <c r="S228" i="35" s="1"/>
  <c r="AU228" i="35"/>
  <c r="W228" i="35" s="1"/>
  <c r="AY228" i="35"/>
  <c r="AA228" i="35" s="1"/>
  <c r="AN224" i="35"/>
  <c r="P224" i="35" s="1"/>
  <c r="AR224" i="35"/>
  <c r="T224" i="35" s="1"/>
  <c r="AV224" i="35"/>
  <c r="X224" i="35" s="1"/>
  <c r="G224" i="35"/>
  <c r="AE224" i="35" s="1"/>
  <c r="AW224" i="35"/>
  <c r="Y224" i="35" s="1"/>
  <c r="H224" i="35"/>
  <c r="AF224" i="35" s="1"/>
  <c r="L224" i="35"/>
  <c r="AJ224" i="35" s="1"/>
  <c r="AB224" i="35"/>
  <c r="I224" i="35"/>
  <c r="AG224" i="35" s="1"/>
  <c r="M224" i="35"/>
  <c r="AK224" i="35" s="1"/>
  <c r="AQ224" i="35"/>
  <c r="S224" i="35" s="1"/>
  <c r="AU224" i="35"/>
  <c r="W224" i="35" s="1"/>
  <c r="D220" i="35"/>
  <c r="BC220" i="35"/>
  <c r="CA220" i="35" s="1"/>
  <c r="BG220" i="35"/>
  <c r="CE220" i="35" s="1"/>
  <c r="BK220" i="35"/>
  <c r="CI220" i="35" s="1"/>
  <c r="CM220" i="35"/>
  <c r="BO220" i="35" s="1"/>
  <c r="CQ220" i="35"/>
  <c r="BS220" i="35" s="1"/>
  <c r="CU220" i="35"/>
  <c r="BW220" i="35" s="1"/>
  <c r="BD220" i="35"/>
  <c r="CB220" i="35" s="1"/>
  <c r="BH220" i="35"/>
  <c r="CF220" i="35" s="1"/>
  <c r="BL220" i="35"/>
  <c r="CJ220" i="35" s="1"/>
  <c r="CN220" i="35"/>
  <c r="BP220" i="35" s="1"/>
  <c r="CR220" i="35"/>
  <c r="BT220" i="35" s="1"/>
  <c r="CV220" i="35"/>
  <c r="BX220" i="35" s="1"/>
  <c r="BE220" i="35"/>
  <c r="CC220" i="35" s="1"/>
  <c r="BI220" i="35"/>
  <c r="CG220" i="35" s="1"/>
  <c r="BM220" i="35"/>
  <c r="CK220" i="35" s="1"/>
  <c r="CO220" i="35"/>
  <c r="BQ220" i="35" s="1"/>
  <c r="CS220" i="35"/>
  <c r="BU220" i="35" s="1"/>
  <c r="CW220" i="35"/>
  <c r="BY220" i="35" s="1"/>
  <c r="BF220" i="35"/>
  <c r="CD220" i="35" s="1"/>
  <c r="BJ220" i="35"/>
  <c r="CH220" i="35" s="1"/>
  <c r="BN220" i="35"/>
  <c r="CL220" i="35" s="1"/>
  <c r="CP220" i="35"/>
  <c r="BR220" i="35" s="1"/>
  <c r="CT220" i="35"/>
  <c r="BV220" i="35" s="1"/>
  <c r="CX220" i="35"/>
  <c r="BZ220" i="35" s="1"/>
  <c r="H220" i="35"/>
  <c r="AF220" i="35" s="1"/>
  <c r="L220" i="35"/>
  <c r="AJ220" i="35" s="1"/>
  <c r="AB220" i="35"/>
  <c r="AP220" i="35"/>
  <c r="R220" i="35" s="1"/>
  <c r="AT220" i="35"/>
  <c r="V220" i="35" s="1"/>
  <c r="AX220" i="35"/>
  <c r="Z220" i="35" s="1"/>
  <c r="E220" i="35"/>
  <c r="AC220" i="35" s="1"/>
  <c r="I220" i="35"/>
  <c r="AG220" i="35" s="1"/>
  <c r="M220" i="35"/>
  <c r="AK220" i="35" s="1"/>
  <c r="AQ220" i="35"/>
  <c r="S220" i="35" s="1"/>
  <c r="AU220" i="35"/>
  <c r="W220" i="35" s="1"/>
  <c r="AY220" i="35"/>
  <c r="AA220" i="35" s="1"/>
  <c r="F220" i="35"/>
  <c r="AD220" i="35" s="1"/>
  <c r="J220" i="35"/>
  <c r="AH220" i="35" s="1"/>
  <c r="N220" i="35"/>
  <c r="AL220" i="35" s="1"/>
  <c r="AN220" i="35"/>
  <c r="P220" i="35" s="1"/>
  <c r="AR220" i="35"/>
  <c r="T220" i="35" s="1"/>
  <c r="AV220" i="35"/>
  <c r="X220" i="35" s="1"/>
  <c r="G220" i="35"/>
  <c r="AE220" i="35" s="1"/>
  <c r="K220" i="35"/>
  <c r="AI220" i="35" s="1"/>
  <c r="O220" i="35"/>
  <c r="AM220" i="35" s="1"/>
  <c r="AO220" i="35"/>
  <c r="Q220" i="35" s="1"/>
  <c r="AS220" i="35"/>
  <c r="U220" i="35" s="1"/>
  <c r="AW220" i="35"/>
  <c r="Y220" i="35" s="1"/>
  <c r="D216" i="35"/>
  <c r="BC216" i="35"/>
  <c r="CA216" i="35" s="1"/>
  <c r="BG216" i="35"/>
  <c r="CE216" i="35" s="1"/>
  <c r="BK216" i="35"/>
  <c r="CI216" i="35" s="1"/>
  <c r="CM216" i="35"/>
  <c r="BO216" i="35" s="1"/>
  <c r="CQ216" i="35"/>
  <c r="BS216" i="35" s="1"/>
  <c r="CU216" i="35"/>
  <c r="BW216" i="35" s="1"/>
  <c r="BD216" i="35"/>
  <c r="CB216" i="35" s="1"/>
  <c r="BH216" i="35"/>
  <c r="CF216" i="35" s="1"/>
  <c r="BL216" i="35"/>
  <c r="CJ216" i="35" s="1"/>
  <c r="CN216" i="35"/>
  <c r="BP216" i="35" s="1"/>
  <c r="CR216" i="35"/>
  <c r="BT216" i="35" s="1"/>
  <c r="CV216" i="35"/>
  <c r="BX216" i="35" s="1"/>
  <c r="BE216" i="35"/>
  <c r="CC216" i="35" s="1"/>
  <c r="BI216" i="35"/>
  <c r="CG216" i="35" s="1"/>
  <c r="BM216" i="35"/>
  <c r="CK216" i="35" s="1"/>
  <c r="CO216" i="35"/>
  <c r="BQ216" i="35" s="1"/>
  <c r="CS216" i="35"/>
  <c r="BU216" i="35" s="1"/>
  <c r="CW216" i="35"/>
  <c r="BY216" i="35" s="1"/>
  <c r="BF216" i="35"/>
  <c r="CD216" i="35" s="1"/>
  <c r="BJ216" i="35"/>
  <c r="CH216" i="35" s="1"/>
  <c r="BN216" i="35"/>
  <c r="CL216" i="35" s="1"/>
  <c r="CP216" i="35"/>
  <c r="BR216" i="35" s="1"/>
  <c r="CT216" i="35"/>
  <c r="BV216" i="35" s="1"/>
  <c r="CX216" i="35"/>
  <c r="BZ216" i="35" s="1"/>
  <c r="E216" i="35"/>
  <c r="AC216" i="35" s="1"/>
  <c r="I216" i="35"/>
  <c r="AG216" i="35" s="1"/>
  <c r="M216" i="35"/>
  <c r="AK216" i="35" s="1"/>
  <c r="AQ216" i="35"/>
  <c r="S216" i="35" s="1"/>
  <c r="AU216" i="35"/>
  <c r="W216" i="35" s="1"/>
  <c r="AY216" i="35"/>
  <c r="AA216" i="35" s="1"/>
  <c r="F216" i="35"/>
  <c r="AD216" i="35" s="1"/>
  <c r="J216" i="35"/>
  <c r="AH216" i="35" s="1"/>
  <c r="N216" i="35"/>
  <c r="AL216" i="35" s="1"/>
  <c r="AN216" i="35"/>
  <c r="P216" i="35" s="1"/>
  <c r="AR216" i="35"/>
  <c r="T216" i="35" s="1"/>
  <c r="AV216" i="35"/>
  <c r="X216" i="35" s="1"/>
  <c r="G216" i="35"/>
  <c r="AE216" i="35" s="1"/>
  <c r="K216" i="35"/>
  <c r="AI216" i="35" s="1"/>
  <c r="O216" i="35"/>
  <c r="AM216" i="35" s="1"/>
  <c r="AO216" i="35"/>
  <c r="Q216" i="35" s="1"/>
  <c r="AS216" i="35"/>
  <c r="U216" i="35" s="1"/>
  <c r="AW216" i="35"/>
  <c r="Y216" i="35" s="1"/>
  <c r="H216" i="35"/>
  <c r="AF216" i="35" s="1"/>
  <c r="L216" i="35"/>
  <c r="AJ216" i="35" s="1"/>
  <c r="AB216" i="35"/>
  <c r="AP216" i="35"/>
  <c r="R216" i="35" s="1"/>
  <c r="AT216" i="35"/>
  <c r="V216" i="35" s="1"/>
  <c r="AX216" i="35"/>
  <c r="Z216" i="35" s="1"/>
  <c r="D212" i="35"/>
  <c r="BE212" i="35"/>
  <c r="CC212" i="35" s="1"/>
  <c r="BI212" i="35"/>
  <c r="CG212" i="35" s="1"/>
  <c r="BM212" i="35"/>
  <c r="CK212" i="35" s="1"/>
  <c r="CO212" i="35"/>
  <c r="BQ212" i="35" s="1"/>
  <c r="CS212" i="35"/>
  <c r="BU212" i="35" s="1"/>
  <c r="CW212" i="35"/>
  <c r="BY212" i="35" s="1"/>
  <c r="BF212" i="35"/>
  <c r="CD212" i="35" s="1"/>
  <c r="BJ212" i="35"/>
  <c r="CH212" i="35" s="1"/>
  <c r="BN212" i="35"/>
  <c r="CL212" i="35" s="1"/>
  <c r="CP212" i="35"/>
  <c r="BR212" i="35" s="1"/>
  <c r="CT212" i="35"/>
  <c r="BV212" i="35" s="1"/>
  <c r="CX212" i="35"/>
  <c r="BZ212" i="35" s="1"/>
  <c r="BC212" i="35"/>
  <c r="CA212" i="35" s="1"/>
  <c r="BG212" i="35"/>
  <c r="CE212" i="35" s="1"/>
  <c r="BK212" i="35"/>
  <c r="CI212" i="35" s="1"/>
  <c r="CM212" i="35"/>
  <c r="BO212" i="35" s="1"/>
  <c r="CQ212" i="35"/>
  <c r="BS212" i="35" s="1"/>
  <c r="CU212" i="35"/>
  <c r="BW212" i="35" s="1"/>
  <c r="BD212" i="35"/>
  <c r="CB212" i="35" s="1"/>
  <c r="BH212" i="35"/>
  <c r="CF212" i="35" s="1"/>
  <c r="BL212" i="35"/>
  <c r="CJ212" i="35" s="1"/>
  <c r="CN212" i="35"/>
  <c r="BP212" i="35" s="1"/>
  <c r="CR212" i="35"/>
  <c r="BT212" i="35" s="1"/>
  <c r="CV212" i="35"/>
  <c r="BX212" i="35" s="1"/>
  <c r="E212" i="35"/>
  <c r="AC212" i="35" s="1"/>
  <c r="I212" i="35"/>
  <c r="AG212" i="35" s="1"/>
  <c r="M212" i="35"/>
  <c r="AK212" i="35" s="1"/>
  <c r="AN212" i="35"/>
  <c r="P212" i="35" s="1"/>
  <c r="AR212" i="35"/>
  <c r="T212" i="35" s="1"/>
  <c r="AV212" i="35"/>
  <c r="X212" i="35" s="1"/>
  <c r="F212" i="35"/>
  <c r="AD212" i="35" s="1"/>
  <c r="J212" i="35"/>
  <c r="AH212" i="35" s="1"/>
  <c r="N212" i="35"/>
  <c r="AL212" i="35" s="1"/>
  <c r="AO212" i="35"/>
  <c r="Q212" i="35" s="1"/>
  <c r="AS212" i="35"/>
  <c r="U212" i="35" s="1"/>
  <c r="AW212" i="35"/>
  <c r="Y212" i="35" s="1"/>
  <c r="G212" i="35"/>
  <c r="AE212" i="35" s="1"/>
  <c r="K212" i="35"/>
  <c r="AI212" i="35" s="1"/>
  <c r="O212" i="35"/>
  <c r="AM212" i="35" s="1"/>
  <c r="AP212" i="35"/>
  <c r="R212" i="35" s="1"/>
  <c r="AT212" i="35"/>
  <c r="V212" i="35" s="1"/>
  <c r="AX212" i="35"/>
  <c r="Z212" i="35" s="1"/>
  <c r="H212" i="35"/>
  <c r="AF212" i="35" s="1"/>
  <c r="L212" i="35"/>
  <c r="AJ212" i="35" s="1"/>
  <c r="AB212" i="35"/>
  <c r="AQ212" i="35"/>
  <c r="S212" i="35" s="1"/>
  <c r="AU212" i="35"/>
  <c r="W212" i="35" s="1"/>
  <c r="AY212" i="35"/>
  <c r="AA212" i="35" s="1"/>
  <c r="D208" i="35"/>
  <c r="BC208" i="35"/>
  <c r="CA208" i="35" s="1"/>
  <c r="BG208" i="35"/>
  <c r="CE208" i="35" s="1"/>
  <c r="BK208" i="35"/>
  <c r="CI208" i="35" s="1"/>
  <c r="CM208" i="35"/>
  <c r="BO208" i="35" s="1"/>
  <c r="CQ208" i="35"/>
  <c r="BS208" i="35" s="1"/>
  <c r="CU208" i="35"/>
  <c r="BW208" i="35" s="1"/>
  <c r="BD208" i="35"/>
  <c r="CB208" i="35" s="1"/>
  <c r="BH208" i="35"/>
  <c r="CF208" i="35" s="1"/>
  <c r="BL208" i="35"/>
  <c r="CJ208" i="35" s="1"/>
  <c r="CN208" i="35"/>
  <c r="BP208" i="35" s="1"/>
  <c r="CR208" i="35"/>
  <c r="BT208" i="35" s="1"/>
  <c r="CV208" i="35"/>
  <c r="BX208" i="35" s="1"/>
  <c r="BE208" i="35"/>
  <c r="CC208" i="35" s="1"/>
  <c r="BI208" i="35"/>
  <c r="CG208" i="35" s="1"/>
  <c r="BM208" i="35"/>
  <c r="CK208" i="35" s="1"/>
  <c r="CO208" i="35"/>
  <c r="BQ208" i="35" s="1"/>
  <c r="CS208" i="35"/>
  <c r="BU208" i="35" s="1"/>
  <c r="CW208" i="35"/>
  <c r="BY208" i="35" s="1"/>
  <c r="BF208" i="35"/>
  <c r="CD208" i="35" s="1"/>
  <c r="BJ208" i="35"/>
  <c r="CH208" i="35" s="1"/>
  <c r="BN208" i="35"/>
  <c r="CL208" i="35" s="1"/>
  <c r="CP208" i="35"/>
  <c r="BR208" i="35" s="1"/>
  <c r="CT208" i="35"/>
  <c r="BV208" i="35" s="1"/>
  <c r="CX208" i="35"/>
  <c r="BZ208" i="35" s="1"/>
  <c r="G208" i="35"/>
  <c r="AE208" i="35" s="1"/>
  <c r="K208" i="35"/>
  <c r="AI208" i="35" s="1"/>
  <c r="O208" i="35"/>
  <c r="AM208" i="35" s="1"/>
  <c r="AO208" i="35"/>
  <c r="Q208" i="35" s="1"/>
  <c r="AS208" i="35"/>
  <c r="U208" i="35" s="1"/>
  <c r="AW208" i="35"/>
  <c r="Y208" i="35" s="1"/>
  <c r="H208" i="35"/>
  <c r="AF208" i="35" s="1"/>
  <c r="L208" i="35"/>
  <c r="AJ208" i="35" s="1"/>
  <c r="AB208" i="35"/>
  <c r="AP208" i="35"/>
  <c r="R208" i="35" s="1"/>
  <c r="AT208" i="35"/>
  <c r="V208" i="35" s="1"/>
  <c r="AX208" i="35"/>
  <c r="Z208" i="35" s="1"/>
  <c r="E208" i="35"/>
  <c r="AC208" i="35" s="1"/>
  <c r="I208" i="35"/>
  <c r="AG208" i="35" s="1"/>
  <c r="M208" i="35"/>
  <c r="AK208" i="35" s="1"/>
  <c r="AQ208" i="35"/>
  <c r="S208" i="35" s="1"/>
  <c r="AU208" i="35"/>
  <c r="W208" i="35" s="1"/>
  <c r="AY208" i="35"/>
  <c r="AA208" i="35" s="1"/>
  <c r="F208" i="35"/>
  <c r="AD208" i="35" s="1"/>
  <c r="J208" i="35"/>
  <c r="AH208" i="35" s="1"/>
  <c r="N208" i="35"/>
  <c r="AL208" i="35" s="1"/>
  <c r="AN208" i="35"/>
  <c r="P208" i="35" s="1"/>
  <c r="AR208" i="35"/>
  <c r="T208" i="35" s="1"/>
  <c r="AV208" i="35"/>
  <c r="X208" i="35" s="1"/>
  <c r="D204" i="35"/>
  <c r="BC204" i="35"/>
  <c r="CA204" i="35" s="1"/>
  <c r="BG204" i="35"/>
  <c r="CE204" i="35" s="1"/>
  <c r="BK204" i="35"/>
  <c r="CI204" i="35" s="1"/>
  <c r="CM204" i="35"/>
  <c r="BO204" i="35" s="1"/>
  <c r="CQ204" i="35"/>
  <c r="BS204" i="35" s="1"/>
  <c r="CU204" i="35"/>
  <c r="BW204" i="35" s="1"/>
  <c r="BD204" i="35"/>
  <c r="CB204" i="35" s="1"/>
  <c r="BH204" i="35"/>
  <c r="CF204" i="35" s="1"/>
  <c r="BL204" i="35"/>
  <c r="CJ204" i="35" s="1"/>
  <c r="CN204" i="35"/>
  <c r="BP204" i="35" s="1"/>
  <c r="CR204" i="35"/>
  <c r="BT204" i="35" s="1"/>
  <c r="CV204" i="35"/>
  <c r="BX204" i="35" s="1"/>
  <c r="BE204" i="35"/>
  <c r="CC204" i="35" s="1"/>
  <c r="BI204" i="35"/>
  <c r="CG204" i="35" s="1"/>
  <c r="BM204" i="35"/>
  <c r="CK204" i="35" s="1"/>
  <c r="CO204" i="35"/>
  <c r="BQ204" i="35" s="1"/>
  <c r="CS204" i="35"/>
  <c r="BU204" i="35" s="1"/>
  <c r="CW204" i="35"/>
  <c r="BY204" i="35" s="1"/>
  <c r="BF204" i="35"/>
  <c r="CD204" i="35" s="1"/>
  <c r="BJ204" i="35"/>
  <c r="CH204" i="35" s="1"/>
  <c r="BN204" i="35"/>
  <c r="CL204" i="35" s="1"/>
  <c r="CP204" i="35"/>
  <c r="BR204" i="35" s="1"/>
  <c r="CT204" i="35"/>
  <c r="BV204" i="35" s="1"/>
  <c r="CX204" i="35"/>
  <c r="BZ204" i="35" s="1"/>
  <c r="E204" i="35"/>
  <c r="AC204" i="35" s="1"/>
  <c r="I204" i="35"/>
  <c r="AG204" i="35" s="1"/>
  <c r="M204" i="35"/>
  <c r="AK204" i="35" s="1"/>
  <c r="AQ204" i="35"/>
  <c r="S204" i="35" s="1"/>
  <c r="AU204" i="35"/>
  <c r="W204" i="35" s="1"/>
  <c r="AY204" i="35"/>
  <c r="AA204" i="35" s="1"/>
  <c r="F204" i="35"/>
  <c r="AD204" i="35" s="1"/>
  <c r="J204" i="35"/>
  <c r="AH204" i="35" s="1"/>
  <c r="N204" i="35"/>
  <c r="AL204" i="35" s="1"/>
  <c r="AN204" i="35"/>
  <c r="P204" i="35" s="1"/>
  <c r="AR204" i="35"/>
  <c r="T204" i="35" s="1"/>
  <c r="AV204" i="35"/>
  <c r="X204" i="35" s="1"/>
  <c r="G204" i="35"/>
  <c r="AE204" i="35" s="1"/>
  <c r="K204" i="35"/>
  <c r="AI204" i="35" s="1"/>
  <c r="O204" i="35"/>
  <c r="AM204" i="35" s="1"/>
  <c r="AO204" i="35"/>
  <c r="Q204" i="35" s="1"/>
  <c r="AS204" i="35"/>
  <c r="U204" i="35" s="1"/>
  <c r="AW204" i="35"/>
  <c r="Y204" i="35" s="1"/>
  <c r="H204" i="35"/>
  <c r="AF204" i="35" s="1"/>
  <c r="L204" i="35"/>
  <c r="AJ204" i="35" s="1"/>
  <c r="AB204" i="35"/>
  <c r="AP204" i="35"/>
  <c r="R204" i="35" s="1"/>
  <c r="AT204" i="35"/>
  <c r="V204" i="35" s="1"/>
  <c r="AX204" i="35"/>
  <c r="Z204" i="35" s="1"/>
  <c r="D200" i="35"/>
  <c r="BC200" i="35"/>
  <c r="CA200" i="35" s="1"/>
  <c r="BG200" i="35"/>
  <c r="CE200" i="35" s="1"/>
  <c r="BK200" i="35"/>
  <c r="CI200" i="35" s="1"/>
  <c r="CM200" i="35"/>
  <c r="BO200" i="35" s="1"/>
  <c r="CQ200" i="35"/>
  <c r="BS200" i="35" s="1"/>
  <c r="CU200" i="35"/>
  <c r="BW200" i="35" s="1"/>
  <c r="BD200" i="35"/>
  <c r="CB200" i="35" s="1"/>
  <c r="BH200" i="35"/>
  <c r="CF200" i="35" s="1"/>
  <c r="BL200" i="35"/>
  <c r="CJ200" i="35" s="1"/>
  <c r="CN200" i="35"/>
  <c r="BP200" i="35" s="1"/>
  <c r="CR200" i="35"/>
  <c r="BT200" i="35" s="1"/>
  <c r="CV200" i="35"/>
  <c r="BX200" i="35" s="1"/>
  <c r="BE200" i="35"/>
  <c r="CC200" i="35" s="1"/>
  <c r="BI200" i="35"/>
  <c r="CG200" i="35" s="1"/>
  <c r="BM200" i="35"/>
  <c r="CK200" i="35" s="1"/>
  <c r="CO200" i="35"/>
  <c r="BQ200" i="35" s="1"/>
  <c r="CS200" i="35"/>
  <c r="BU200" i="35" s="1"/>
  <c r="CW200" i="35"/>
  <c r="BY200" i="35" s="1"/>
  <c r="BF200" i="35"/>
  <c r="CD200" i="35" s="1"/>
  <c r="BJ200" i="35"/>
  <c r="CH200" i="35" s="1"/>
  <c r="BN200" i="35"/>
  <c r="CL200" i="35" s="1"/>
  <c r="CP200" i="35"/>
  <c r="BR200" i="35" s="1"/>
  <c r="CT200" i="35"/>
  <c r="BV200" i="35" s="1"/>
  <c r="CX200" i="35"/>
  <c r="BZ200" i="35" s="1"/>
  <c r="F200" i="35"/>
  <c r="AD200" i="35" s="1"/>
  <c r="J200" i="35"/>
  <c r="AH200" i="35" s="1"/>
  <c r="N200" i="35"/>
  <c r="AL200" i="35" s="1"/>
  <c r="AN200" i="35"/>
  <c r="P200" i="35" s="1"/>
  <c r="AR200" i="35"/>
  <c r="T200" i="35" s="1"/>
  <c r="AV200" i="35"/>
  <c r="X200" i="35" s="1"/>
  <c r="G200" i="35"/>
  <c r="AE200" i="35" s="1"/>
  <c r="K200" i="35"/>
  <c r="AI200" i="35" s="1"/>
  <c r="O200" i="35"/>
  <c r="AM200" i="35" s="1"/>
  <c r="AO200" i="35"/>
  <c r="Q200" i="35" s="1"/>
  <c r="AS200" i="35"/>
  <c r="U200" i="35" s="1"/>
  <c r="AW200" i="35"/>
  <c r="Y200" i="35" s="1"/>
  <c r="H200" i="35"/>
  <c r="AF200" i="35" s="1"/>
  <c r="L200" i="35"/>
  <c r="AJ200" i="35" s="1"/>
  <c r="AB200" i="35"/>
  <c r="AP200" i="35"/>
  <c r="R200" i="35" s="1"/>
  <c r="AT200" i="35"/>
  <c r="V200" i="35" s="1"/>
  <c r="AX200" i="35"/>
  <c r="Z200" i="35" s="1"/>
  <c r="E200" i="35"/>
  <c r="AC200" i="35" s="1"/>
  <c r="I200" i="35"/>
  <c r="AG200" i="35" s="1"/>
  <c r="M200" i="35"/>
  <c r="AK200" i="35" s="1"/>
  <c r="AQ200" i="35"/>
  <c r="S200" i="35" s="1"/>
  <c r="AU200" i="35"/>
  <c r="W200" i="35" s="1"/>
  <c r="AY200" i="35"/>
  <c r="AA200" i="35" s="1"/>
  <c r="D196" i="35"/>
  <c r="BC196" i="35"/>
  <c r="CA196" i="35" s="1"/>
  <c r="BG196" i="35"/>
  <c r="CE196" i="35" s="1"/>
  <c r="BK196" i="35"/>
  <c r="CI196" i="35" s="1"/>
  <c r="CM196" i="35"/>
  <c r="BO196" i="35" s="1"/>
  <c r="CQ196" i="35"/>
  <c r="BS196" i="35" s="1"/>
  <c r="CU196" i="35"/>
  <c r="BW196" i="35" s="1"/>
  <c r="BD196" i="35"/>
  <c r="CB196" i="35" s="1"/>
  <c r="BH196" i="35"/>
  <c r="CF196" i="35" s="1"/>
  <c r="BL196" i="35"/>
  <c r="CJ196" i="35" s="1"/>
  <c r="CN196" i="35"/>
  <c r="BP196" i="35" s="1"/>
  <c r="CR196" i="35"/>
  <c r="BT196" i="35" s="1"/>
  <c r="CV196" i="35"/>
  <c r="BX196" i="35" s="1"/>
  <c r="BE196" i="35"/>
  <c r="CC196" i="35" s="1"/>
  <c r="BI196" i="35"/>
  <c r="CG196" i="35" s="1"/>
  <c r="BM196" i="35"/>
  <c r="CK196" i="35" s="1"/>
  <c r="CO196" i="35"/>
  <c r="BQ196" i="35" s="1"/>
  <c r="CS196" i="35"/>
  <c r="BU196" i="35" s="1"/>
  <c r="CW196" i="35"/>
  <c r="BY196" i="35" s="1"/>
  <c r="BF196" i="35"/>
  <c r="CD196" i="35" s="1"/>
  <c r="BJ196" i="35"/>
  <c r="CH196" i="35" s="1"/>
  <c r="BN196" i="35"/>
  <c r="CL196" i="35" s="1"/>
  <c r="CP196" i="35"/>
  <c r="BR196" i="35" s="1"/>
  <c r="CT196" i="35"/>
  <c r="BV196" i="35" s="1"/>
  <c r="CX196" i="35"/>
  <c r="BZ196" i="35" s="1"/>
  <c r="H196" i="35"/>
  <c r="AF196" i="35" s="1"/>
  <c r="L196" i="35"/>
  <c r="AJ196" i="35" s="1"/>
  <c r="AB196" i="35"/>
  <c r="AP196" i="35"/>
  <c r="R196" i="35" s="1"/>
  <c r="AT196" i="35"/>
  <c r="V196" i="35" s="1"/>
  <c r="AX196" i="35"/>
  <c r="Z196" i="35" s="1"/>
  <c r="E196" i="35"/>
  <c r="AC196" i="35" s="1"/>
  <c r="I196" i="35"/>
  <c r="AG196" i="35" s="1"/>
  <c r="M196" i="35"/>
  <c r="AK196" i="35" s="1"/>
  <c r="AQ196" i="35"/>
  <c r="S196" i="35" s="1"/>
  <c r="AU196" i="35"/>
  <c r="W196" i="35" s="1"/>
  <c r="AY196" i="35"/>
  <c r="AA196" i="35" s="1"/>
  <c r="F196" i="35"/>
  <c r="AD196" i="35" s="1"/>
  <c r="J196" i="35"/>
  <c r="AH196" i="35" s="1"/>
  <c r="N196" i="35"/>
  <c r="AL196" i="35" s="1"/>
  <c r="AN196" i="35"/>
  <c r="P196" i="35" s="1"/>
  <c r="AR196" i="35"/>
  <c r="T196" i="35" s="1"/>
  <c r="AV196" i="35"/>
  <c r="X196" i="35" s="1"/>
  <c r="G196" i="35"/>
  <c r="AE196" i="35" s="1"/>
  <c r="K196" i="35"/>
  <c r="AI196" i="35" s="1"/>
  <c r="O196" i="35"/>
  <c r="AM196" i="35" s="1"/>
  <c r="AO196" i="35"/>
  <c r="Q196" i="35" s="1"/>
  <c r="AS196" i="35"/>
  <c r="U196" i="35" s="1"/>
  <c r="AW196" i="35"/>
  <c r="Y196" i="35" s="1"/>
  <c r="D192" i="35"/>
  <c r="BC192" i="35"/>
  <c r="CA192" i="35" s="1"/>
  <c r="BG192" i="35"/>
  <c r="CE192" i="35" s="1"/>
  <c r="BK192" i="35"/>
  <c r="CI192" i="35" s="1"/>
  <c r="CM192" i="35"/>
  <c r="BO192" i="35" s="1"/>
  <c r="CQ192" i="35"/>
  <c r="BS192" i="35" s="1"/>
  <c r="CU192" i="35"/>
  <c r="BW192" i="35" s="1"/>
  <c r="BD192" i="35"/>
  <c r="CB192" i="35" s="1"/>
  <c r="BH192" i="35"/>
  <c r="CF192" i="35" s="1"/>
  <c r="BL192" i="35"/>
  <c r="CJ192" i="35" s="1"/>
  <c r="CN192" i="35"/>
  <c r="BP192" i="35" s="1"/>
  <c r="CR192" i="35"/>
  <c r="BT192" i="35" s="1"/>
  <c r="CV192" i="35"/>
  <c r="BX192" i="35" s="1"/>
  <c r="BE192" i="35"/>
  <c r="CC192" i="35" s="1"/>
  <c r="BI192" i="35"/>
  <c r="CG192" i="35" s="1"/>
  <c r="BM192" i="35"/>
  <c r="CK192" i="35" s="1"/>
  <c r="CO192" i="35"/>
  <c r="BQ192" i="35" s="1"/>
  <c r="CS192" i="35"/>
  <c r="BU192" i="35" s="1"/>
  <c r="CW192" i="35"/>
  <c r="BY192" i="35" s="1"/>
  <c r="BF192" i="35"/>
  <c r="CD192" i="35" s="1"/>
  <c r="BJ192" i="35"/>
  <c r="CH192" i="35" s="1"/>
  <c r="BN192" i="35"/>
  <c r="CL192" i="35" s="1"/>
  <c r="CP192" i="35"/>
  <c r="BR192" i="35" s="1"/>
  <c r="CT192" i="35"/>
  <c r="BV192" i="35" s="1"/>
  <c r="CX192" i="35"/>
  <c r="BZ192" i="35" s="1"/>
  <c r="G192" i="35"/>
  <c r="AE192" i="35" s="1"/>
  <c r="K192" i="35"/>
  <c r="AI192" i="35" s="1"/>
  <c r="O192" i="35"/>
  <c r="AM192" i="35" s="1"/>
  <c r="AO192" i="35"/>
  <c r="Q192" i="35" s="1"/>
  <c r="AS192" i="35"/>
  <c r="U192" i="35" s="1"/>
  <c r="AW192" i="35"/>
  <c r="Y192" i="35" s="1"/>
  <c r="H192" i="35"/>
  <c r="AF192" i="35" s="1"/>
  <c r="L192" i="35"/>
  <c r="AJ192" i="35" s="1"/>
  <c r="AB192" i="35"/>
  <c r="AP192" i="35"/>
  <c r="R192" i="35" s="1"/>
  <c r="AT192" i="35"/>
  <c r="V192" i="35" s="1"/>
  <c r="AX192" i="35"/>
  <c r="Z192" i="35" s="1"/>
  <c r="J192" i="35"/>
  <c r="AH192" i="35" s="1"/>
  <c r="AN192" i="35"/>
  <c r="P192" i="35" s="1"/>
  <c r="AV192" i="35"/>
  <c r="X192" i="35" s="1"/>
  <c r="E192" i="35"/>
  <c r="AC192" i="35" s="1"/>
  <c r="M192" i="35"/>
  <c r="AK192" i="35" s="1"/>
  <c r="AQ192" i="35"/>
  <c r="S192" i="35" s="1"/>
  <c r="AY192" i="35"/>
  <c r="AA192" i="35" s="1"/>
  <c r="F192" i="35"/>
  <c r="AD192" i="35" s="1"/>
  <c r="N192" i="35"/>
  <c r="AL192" i="35" s="1"/>
  <c r="AR192" i="35"/>
  <c r="T192" i="35" s="1"/>
  <c r="I192" i="35"/>
  <c r="AG192" i="35" s="1"/>
  <c r="AU192" i="35"/>
  <c r="W192" i="35" s="1"/>
  <c r="D188" i="35"/>
  <c r="BD188" i="35"/>
  <c r="CB188" i="35" s="1"/>
  <c r="BH188" i="35"/>
  <c r="CF188" i="35" s="1"/>
  <c r="BL188" i="35"/>
  <c r="CJ188" i="35" s="1"/>
  <c r="CN188" i="35"/>
  <c r="BP188" i="35" s="1"/>
  <c r="CR188" i="35"/>
  <c r="BT188" i="35" s="1"/>
  <c r="CV188" i="35"/>
  <c r="BX188" i="35" s="1"/>
  <c r="BE188" i="35"/>
  <c r="CC188" i="35" s="1"/>
  <c r="BI188" i="35"/>
  <c r="CG188" i="35" s="1"/>
  <c r="BM188" i="35"/>
  <c r="CK188" i="35" s="1"/>
  <c r="CO188" i="35"/>
  <c r="BQ188" i="35" s="1"/>
  <c r="CS188" i="35"/>
  <c r="BU188" i="35" s="1"/>
  <c r="CW188" i="35"/>
  <c r="BY188" i="35" s="1"/>
  <c r="BF188" i="35"/>
  <c r="CD188" i="35" s="1"/>
  <c r="BJ188" i="35"/>
  <c r="CH188" i="35" s="1"/>
  <c r="BN188" i="35"/>
  <c r="CL188" i="35" s="1"/>
  <c r="CP188" i="35"/>
  <c r="BR188" i="35" s="1"/>
  <c r="CT188" i="35"/>
  <c r="BV188" i="35" s="1"/>
  <c r="CX188" i="35"/>
  <c r="BZ188" i="35" s="1"/>
  <c r="BC188" i="35"/>
  <c r="CA188" i="35" s="1"/>
  <c r="BG188" i="35"/>
  <c r="CE188" i="35" s="1"/>
  <c r="BK188" i="35"/>
  <c r="CI188" i="35" s="1"/>
  <c r="CM188" i="35"/>
  <c r="BO188" i="35" s="1"/>
  <c r="CQ188" i="35"/>
  <c r="BS188" i="35" s="1"/>
  <c r="CU188" i="35"/>
  <c r="BW188" i="35" s="1"/>
  <c r="F188" i="35"/>
  <c r="AD188" i="35" s="1"/>
  <c r="J188" i="35"/>
  <c r="AH188" i="35" s="1"/>
  <c r="N188" i="35"/>
  <c r="AL188" i="35" s="1"/>
  <c r="AN188" i="35"/>
  <c r="P188" i="35" s="1"/>
  <c r="AR188" i="35"/>
  <c r="T188" i="35" s="1"/>
  <c r="AV188" i="35"/>
  <c r="X188" i="35" s="1"/>
  <c r="G188" i="35"/>
  <c r="AE188" i="35" s="1"/>
  <c r="K188" i="35"/>
  <c r="AI188" i="35" s="1"/>
  <c r="O188" i="35"/>
  <c r="AM188" i="35" s="1"/>
  <c r="AO188" i="35"/>
  <c r="Q188" i="35" s="1"/>
  <c r="AS188" i="35"/>
  <c r="U188" i="35" s="1"/>
  <c r="AW188" i="35"/>
  <c r="Y188" i="35" s="1"/>
  <c r="H188" i="35"/>
  <c r="AF188" i="35" s="1"/>
  <c r="L188" i="35"/>
  <c r="AJ188" i="35" s="1"/>
  <c r="AB188" i="35"/>
  <c r="AP188" i="35"/>
  <c r="R188" i="35" s="1"/>
  <c r="AT188" i="35"/>
  <c r="V188" i="35" s="1"/>
  <c r="AX188" i="35"/>
  <c r="Z188" i="35" s="1"/>
  <c r="E188" i="35"/>
  <c r="AC188" i="35" s="1"/>
  <c r="I188" i="35"/>
  <c r="AG188" i="35" s="1"/>
  <c r="M188" i="35"/>
  <c r="AK188" i="35" s="1"/>
  <c r="AQ188" i="35"/>
  <c r="S188" i="35" s="1"/>
  <c r="AU188" i="35"/>
  <c r="W188" i="35" s="1"/>
  <c r="AY188" i="35"/>
  <c r="AA188" i="35" s="1"/>
  <c r="D184" i="35"/>
  <c r="BD184" i="35"/>
  <c r="CB184" i="35" s="1"/>
  <c r="BH184" i="35"/>
  <c r="CF184" i="35" s="1"/>
  <c r="BL184" i="35"/>
  <c r="CJ184" i="35" s="1"/>
  <c r="CN184" i="35"/>
  <c r="BP184" i="35" s="1"/>
  <c r="CR184" i="35"/>
  <c r="BT184" i="35" s="1"/>
  <c r="CV184" i="35"/>
  <c r="BX184" i="35" s="1"/>
  <c r="BE184" i="35"/>
  <c r="CC184" i="35" s="1"/>
  <c r="BI184" i="35"/>
  <c r="CG184" i="35" s="1"/>
  <c r="BM184" i="35"/>
  <c r="CK184" i="35" s="1"/>
  <c r="CO184" i="35"/>
  <c r="BQ184" i="35" s="1"/>
  <c r="CS184" i="35"/>
  <c r="BU184" i="35" s="1"/>
  <c r="CW184" i="35"/>
  <c r="BY184" i="35" s="1"/>
  <c r="BF184" i="35"/>
  <c r="CD184" i="35" s="1"/>
  <c r="BJ184" i="35"/>
  <c r="CH184" i="35" s="1"/>
  <c r="BN184" i="35"/>
  <c r="CL184" i="35" s="1"/>
  <c r="CP184" i="35"/>
  <c r="BR184" i="35" s="1"/>
  <c r="CT184" i="35"/>
  <c r="BV184" i="35" s="1"/>
  <c r="CX184" i="35"/>
  <c r="BZ184" i="35" s="1"/>
  <c r="BC184" i="35"/>
  <c r="CA184" i="35" s="1"/>
  <c r="BG184" i="35"/>
  <c r="CE184" i="35" s="1"/>
  <c r="BK184" i="35"/>
  <c r="CI184" i="35" s="1"/>
  <c r="CM184" i="35"/>
  <c r="BO184" i="35" s="1"/>
  <c r="CQ184" i="35"/>
  <c r="BS184" i="35" s="1"/>
  <c r="CU184" i="35"/>
  <c r="BW184" i="35" s="1"/>
  <c r="H184" i="35"/>
  <c r="AF184" i="35" s="1"/>
  <c r="L184" i="35"/>
  <c r="AJ184" i="35" s="1"/>
  <c r="AB184" i="35"/>
  <c r="AP184" i="35"/>
  <c r="R184" i="35" s="1"/>
  <c r="AT184" i="35"/>
  <c r="V184" i="35" s="1"/>
  <c r="AX184" i="35"/>
  <c r="Z184" i="35" s="1"/>
  <c r="E184" i="35"/>
  <c r="AC184" i="35" s="1"/>
  <c r="I184" i="35"/>
  <c r="AG184" i="35" s="1"/>
  <c r="M184" i="35"/>
  <c r="AK184" i="35" s="1"/>
  <c r="AQ184" i="35"/>
  <c r="S184" i="35" s="1"/>
  <c r="AU184" i="35"/>
  <c r="W184" i="35" s="1"/>
  <c r="AY184" i="35"/>
  <c r="AA184" i="35" s="1"/>
  <c r="F184" i="35"/>
  <c r="AD184" i="35" s="1"/>
  <c r="J184" i="35"/>
  <c r="AH184" i="35" s="1"/>
  <c r="N184" i="35"/>
  <c r="AL184" i="35" s="1"/>
  <c r="AN184" i="35"/>
  <c r="P184" i="35" s="1"/>
  <c r="AR184" i="35"/>
  <c r="T184" i="35" s="1"/>
  <c r="AV184" i="35"/>
  <c r="X184" i="35" s="1"/>
  <c r="G184" i="35"/>
  <c r="AE184" i="35" s="1"/>
  <c r="K184" i="35"/>
  <c r="AI184" i="35" s="1"/>
  <c r="O184" i="35"/>
  <c r="AM184" i="35" s="1"/>
  <c r="AO184" i="35"/>
  <c r="Q184" i="35" s="1"/>
  <c r="AS184" i="35"/>
  <c r="U184" i="35" s="1"/>
  <c r="AW184" i="35"/>
  <c r="Y184" i="35" s="1"/>
  <c r="D180" i="35"/>
  <c r="BF180" i="35"/>
  <c r="CD180" i="35" s="1"/>
  <c r="BJ180" i="35"/>
  <c r="CH180" i="35" s="1"/>
  <c r="BN180" i="35"/>
  <c r="CL180" i="35" s="1"/>
  <c r="CP180" i="35"/>
  <c r="BR180" i="35" s="1"/>
  <c r="CT180" i="35"/>
  <c r="BV180" i="35" s="1"/>
  <c r="CX180" i="35"/>
  <c r="BZ180" i="35" s="1"/>
  <c r="BC180" i="35"/>
  <c r="CA180" i="35" s="1"/>
  <c r="BG180" i="35"/>
  <c r="CE180" i="35" s="1"/>
  <c r="BK180" i="35"/>
  <c r="CI180" i="35" s="1"/>
  <c r="CM180" i="35"/>
  <c r="BO180" i="35" s="1"/>
  <c r="CQ180" i="35"/>
  <c r="BS180" i="35" s="1"/>
  <c r="CU180" i="35"/>
  <c r="BW180" i="35" s="1"/>
  <c r="BD180" i="35"/>
  <c r="CB180" i="35" s="1"/>
  <c r="BH180" i="35"/>
  <c r="CF180" i="35" s="1"/>
  <c r="BL180" i="35"/>
  <c r="CJ180" i="35" s="1"/>
  <c r="CN180" i="35"/>
  <c r="BP180" i="35" s="1"/>
  <c r="CR180" i="35"/>
  <c r="BT180" i="35" s="1"/>
  <c r="CV180" i="35"/>
  <c r="BX180" i="35" s="1"/>
  <c r="BE180" i="35"/>
  <c r="CC180" i="35" s="1"/>
  <c r="BI180" i="35"/>
  <c r="CG180" i="35" s="1"/>
  <c r="BM180" i="35"/>
  <c r="CK180" i="35" s="1"/>
  <c r="CO180" i="35"/>
  <c r="BQ180" i="35" s="1"/>
  <c r="CS180" i="35"/>
  <c r="BU180" i="35" s="1"/>
  <c r="CW180" i="35"/>
  <c r="BY180" i="35" s="1"/>
  <c r="F180" i="35"/>
  <c r="AD180" i="35" s="1"/>
  <c r="J180" i="35"/>
  <c r="AH180" i="35" s="1"/>
  <c r="N180" i="35"/>
  <c r="AL180" i="35" s="1"/>
  <c r="AN180" i="35"/>
  <c r="P180" i="35" s="1"/>
  <c r="AR180" i="35"/>
  <c r="T180" i="35" s="1"/>
  <c r="AV180" i="35"/>
  <c r="X180" i="35" s="1"/>
  <c r="G180" i="35"/>
  <c r="AE180" i="35" s="1"/>
  <c r="K180" i="35"/>
  <c r="AI180" i="35" s="1"/>
  <c r="O180" i="35"/>
  <c r="AM180" i="35" s="1"/>
  <c r="AO180" i="35"/>
  <c r="Q180" i="35" s="1"/>
  <c r="AS180" i="35"/>
  <c r="U180" i="35" s="1"/>
  <c r="AW180" i="35"/>
  <c r="Y180" i="35" s="1"/>
  <c r="H180" i="35"/>
  <c r="AF180" i="35" s="1"/>
  <c r="L180" i="35"/>
  <c r="AJ180" i="35" s="1"/>
  <c r="AB180" i="35"/>
  <c r="AP180" i="35"/>
  <c r="R180" i="35" s="1"/>
  <c r="AT180" i="35"/>
  <c r="V180" i="35" s="1"/>
  <c r="AX180" i="35"/>
  <c r="Z180" i="35" s="1"/>
  <c r="E180" i="35"/>
  <c r="AC180" i="35" s="1"/>
  <c r="I180" i="35"/>
  <c r="AG180" i="35" s="1"/>
  <c r="M180" i="35"/>
  <c r="AK180" i="35" s="1"/>
  <c r="AQ180" i="35"/>
  <c r="S180" i="35" s="1"/>
  <c r="AU180" i="35"/>
  <c r="W180" i="35" s="1"/>
  <c r="AY180" i="35"/>
  <c r="AA180" i="35" s="1"/>
  <c r="D176" i="35"/>
  <c r="BF176" i="35"/>
  <c r="CD176" i="35" s="1"/>
  <c r="BJ176" i="35"/>
  <c r="CH176" i="35" s="1"/>
  <c r="BC176" i="35"/>
  <c r="CA176" i="35" s="1"/>
  <c r="BG176" i="35"/>
  <c r="CE176" i="35" s="1"/>
  <c r="BK176" i="35"/>
  <c r="CI176" i="35" s="1"/>
  <c r="BD176" i="35"/>
  <c r="CB176" i="35" s="1"/>
  <c r="BH176" i="35"/>
  <c r="CF176" i="35" s="1"/>
  <c r="BL176" i="35"/>
  <c r="CJ176" i="35" s="1"/>
  <c r="BE176" i="35"/>
  <c r="CC176" i="35" s="1"/>
  <c r="BI176" i="35"/>
  <c r="CG176" i="35" s="1"/>
  <c r="BM176" i="35"/>
  <c r="CK176" i="35" s="1"/>
  <c r="CN176" i="35"/>
  <c r="BP176" i="35" s="1"/>
  <c r="CR176" i="35"/>
  <c r="BT176" i="35" s="1"/>
  <c r="CV176" i="35"/>
  <c r="BX176" i="35" s="1"/>
  <c r="CO176" i="35"/>
  <c r="BQ176" i="35" s="1"/>
  <c r="CS176" i="35"/>
  <c r="BU176" i="35" s="1"/>
  <c r="CW176" i="35"/>
  <c r="BY176" i="35" s="1"/>
  <c r="BN176" i="35"/>
  <c r="CL176" i="35" s="1"/>
  <c r="CP176" i="35"/>
  <c r="BR176" i="35" s="1"/>
  <c r="CT176" i="35"/>
  <c r="BV176" i="35" s="1"/>
  <c r="CX176" i="35"/>
  <c r="BZ176" i="35" s="1"/>
  <c r="CM176" i="35"/>
  <c r="BO176" i="35" s="1"/>
  <c r="CQ176" i="35"/>
  <c r="BS176" i="35" s="1"/>
  <c r="CU176" i="35"/>
  <c r="BW176" i="35" s="1"/>
  <c r="G176" i="35"/>
  <c r="AE176" i="35" s="1"/>
  <c r="K176" i="35"/>
  <c r="AI176" i="35" s="1"/>
  <c r="O176" i="35"/>
  <c r="AM176" i="35" s="1"/>
  <c r="AO176" i="35"/>
  <c r="Q176" i="35" s="1"/>
  <c r="AS176" i="35"/>
  <c r="U176" i="35" s="1"/>
  <c r="AW176" i="35"/>
  <c r="Y176" i="35" s="1"/>
  <c r="H176" i="35"/>
  <c r="AF176" i="35" s="1"/>
  <c r="L176" i="35"/>
  <c r="AJ176" i="35" s="1"/>
  <c r="AB176" i="35"/>
  <c r="AP176" i="35"/>
  <c r="R176" i="35" s="1"/>
  <c r="AT176" i="35"/>
  <c r="V176" i="35" s="1"/>
  <c r="AX176" i="35"/>
  <c r="Z176" i="35" s="1"/>
  <c r="E176" i="35"/>
  <c r="AC176" i="35" s="1"/>
  <c r="I176" i="35"/>
  <c r="AG176" i="35" s="1"/>
  <c r="M176" i="35"/>
  <c r="AK176" i="35" s="1"/>
  <c r="AQ176" i="35"/>
  <c r="S176" i="35" s="1"/>
  <c r="AU176" i="35"/>
  <c r="W176" i="35" s="1"/>
  <c r="AY176" i="35"/>
  <c r="AA176" i="35" s="1"/>
  <c r="F176" i="35"/>
  <c r="AD176" i="35" s="1"/>
  <c r="J176" i="35"/>
  <c r="AH176" i="35" s="1"/>
  <c r="N176" i="35"/>
  <c r="AL176" i="35" s="1"/>
  <c r="AN176" i="35"/>
  <c r="P176" i="35" s="1"/>
  <c r="AR176" i="35"/>
  <c r="T176" i="35" s="1"/>
  <c r="AV176" i="35"/>
  <c r="X176" i="35" s="1"/>
  <c r="D172" i="35"/>
  <c r="BF172" i="35"/>
  <c r="CD172" i="35" s="1"/>
  <c r="BJ172" i="35"/>
  <c r="CH172" i="35" s="1"/>
  <c r="BN172" i="35"/>
  <c r="CL172" i="35" s="1"/>
  <c r="CP172" i="35"/>
  <c r="BR172" i="35" s="1"/>
  <c r="CT172" i="35"/>
  <c r="BV172" i="35" s="1"/>
  <c r="CX172" i="35"/>
  <c r="BZ172" i="35" s="1"/>
  <c r="BC172" i="35"/>
  <c r="CA172" i="35" s="1"/>
  <c r="BG172" i="35"/>
  <c r="CE172" i="35" s="1"/>
  <c r="BK172" i="35"/>
  <c r="CI172" i="35" s="1"/>
  <c r="CM172" i="35"/>
  <c r="BO172" i="35" s="1"/>
  <c r="CQ172" i="35"/>
  <c r="BS172" i="35" s="1"/>
  <c r="CU172" i="35"/>
  <c r="BW172" i="35" s="1"/>
  <c r="BD172" i="35"/>
  <c r="CB172" i="35" s="1"/>
  <c r="BH172" i="35"/>
  <c r="CF172" i="35" s="1"/>
  <c r="BL172" i="35"/>
  <c r="CJ172" i="35" s="1"/>
  <c r="CN172" i="35"/>
  <c r="BP172" i="35" s="1"/>
  <c r="CR172" i="35"/>
  <c r="BT172" i="35" s="1"/>
  <c r="CV172" i="35"/>
  <c r="BX172" i="35" s="1"/>
  <c r="BE172" i="35"/>
  <c r="CC172" i="35" s="1"/>
  <c r="BI172" i="35"/>
  <c r="CG172" i="35" s="1"/>
  <c r="BM172" i="35"/>
  <c r="CK172" i="35" s="1"/>
  <c r="CO172" i="35"/>
  <c r="BQ172" i="35" s="1"/>
  <c r="CS172" i="35"/>
  <c r="BU172" i="35" s="1"/>
  <c r="CW172" i="35"/>
  <c r="BY172" i="35" s="1"/>
  <c r="H172" i="35"/>
  <c r="AF172" i="35" s="1"/>
  <c r="L172" i="35"/>
  <c r="AJ172" i="35" s="1"/>
  <c r="AB172" i="35"/>
  <c r="AP172" i="35"/>
  <c r="R172" i="35" s="1"/>
  <c r="AT172" i="35"/>
  <c r="V172" i="35" s="1"/>
  <c r="AX172" i="35"/>
  <c r="Z172" i="35" s="1"/>
  <c r="E172" i="35"/>
  <c r="AC172" i="35" s="1"/>
  <c r="I172" i="35"/>
  <c r="AG172" i="35" s="1"/>
  <c r="M172" i="35"/>
  <c r="AK172" i="35" s="1"/>
  <c r="AQ172" i="35"/>
  <c r="S172" i="35" s="1"/>
  <c r="AU172" i="35"/>
  <c r="W172" i="35" s="1"/>
  <c r="AY172" i="35"/>
  <c r="AA172" i="35" s="1"/>
  <c r="F172" i="35"/>
  <c r="AD172" i="35" s="1"/>
  <c r="J172" i="35"/>
  <c r="AH172" i="35" s="1"/>
  <c r="N172" i="35"/>
  <c r="AL172" i="35" s="1"/>
  <c r="AN172" i="35"/>
  <c r="P172" i="35" s="1"/>
  <c r="AR172" i="35"/>
  <c r="T172" i="35" s="1"/>
  <c r="AV172" i="35"/>
  <c r="X172" i="35" s="1"/>
  <c r="G172" i="35"/>
  <c r="AE172" i="35" s="1"/>
  <c r="K172" i="35"/>
  <c r="AI172" i="35" s="1"/>
  <c r="O172" i="35"/>
  <c r="AM172" i="35" s="1"/>
  <c r="AO172" i="35"/>
  <c r="Q172" i="35" s="1"/>
  <c r="AS172" i="35"/>
  <c r="U172" i="35" s="1"/>
  <c r="AW172" i="35"/>
  <c r="Y172" i="35" s="1"/>
  <c r="D168" i="35"/>
  <c r="BE168" i="35"/>
  <c r="CC168" i="35" s="1"/>
  <c r="BI168" i="35"/>
  <c r="CG168" i="35" s="1"/>
  <c r="BM168" i="35"/>
  <c r="CK168" i="35" s="1"/>
  <c r="CO168" i="35"/>
  <c r="BQ168" i="35" s="1"/>
  <c r="CS168" i="35"/>
  <c r="BU168" i="35" s="1"/>
  <c r="CW168" i="35"/>
  <c r="BY168" i="35" s="1"/>
  <c r="BF168" i="35"/>
  <c r="CD168" i="35" s="1"/>
  <c r="BJ168" i="35"/>
  <c r="CH168" i="35" s="1"/>
  <c r="BN168" i="35"/>
  <c r="CL168" i="35" s="1"/>
  <c r="CP168" i="35"/>
  <c r="BR168" i="35" s="1"/>
  <c r="CT168" i="35"/>
  <c r="BV168" i="35" s="1"/>
  <c r="CX168" i="35"/>
  <c r="BZ168" i="35" s="1"/>
  <c r="BC168" i="35"/>
  <c r="CA168" i="35" s="1"/>
  <c r="BG168" i="35"/>
  <c r="CE168" i="35" s="1"/>
  <c r="BK168" i="35"/>
  <c r="CI168" i="35" s="1"/>
  <c r="CM168" i="35"/>
  <c r="BO168" i="35" s="1"/>
  <c r="CQ168" i="35"/>
  <c r="BS168" i="35" s="1"/>
  <c r="CU168" i="35"/>
  <c r="BW168" i="35" s="1"/>
  <c r="BD168" i="35"/>
  <c r="CB168" i="35" s="1"/>
  <c r="BH168" i="35"/>
  <c r="CF168" i="35" s="1"/>
  <c r="BL168" i="35"/>
  <c r="CJ168" i="35" s="1"/>
  <c r="CN168" i="35"/>
  <c r="BP168" i="35" s="1"/>
  <c r="CR168" i="35"/>
  <c r="BT168" i="35" s="1"/>
  <c r="CV168" i="35"/>
  <c r="BX168" i="35" s="1"/>
  <c r="G168" i="35"/>
  <c r="AE168" i="35" s="1"/>
  <c r="K168" i="35"/>
  <c r="AI168" i="35" s="1"/>
  <c r="O168" i="35"/>
  <c r="AM168" i="35" s="1"/>
  <c r="AP168" i="35"/>
  <c r="R168" i="35" s="1"/>
  <c r="AT168" i="35"/>
  <c r="V168" i="35" s="1"/>
  <c r="AX168" i="35"/>
  <c r="Z168" i="35" s="1"/>
  <c r="H168" i="35"/>
  <c r="AF168" i="35" s="1"/>
  <c r="L168" i="35"/>
  <c r="AJ168" i="35" s="1"/>
  <c r="AB168" i="35"/>
  <c r="AQ168" i="35"/>
  <c r="S168" i="35" s="1"/>
  <c r="AU168" i="35"/>
  <c r="W168" i="35" s="1"/>
  <c r="AY168" i="35"/>
  <c r="AA168" i="35" s="1"/>
  <c r="E168" i="35"/>
  <c r="AC168" i="35" s="1"/>
  <c r="I168" i="35"/>
  <c r="AG168" i="35" s="1"/>
  <c r="M168" i="35"/>
  <c r="AK168" i="35" s="1"/>
  <c r="AN168" i="35"/>
  <c r="P168" i="35" s="1"/>
  <c r="AR168" i="35"/>
  <c r="T168" i="35" s="1"/>
  <c r="AV168" i="35"/>
  <c r="X168" i="35" s="1"/>
  <c r="F168" i="35"/>
  <c r="AD168" i="35" s="1"/>
  <c r="J168" i="35"/>
  <c r="AH168" i="35" s="1"/>
  <c r="N168" i="35"/>
  <c r="AL168" i="35" s="1"/>
  <c r="AO168" i="35"/>
  <c r="Q168" i="35" s="1"/>
  <c r="AS168" i="35"/>
  <c r="U168" i="35" s="1"/>
  <c r="AW168" i="35"/>
  <c r="Y168" i="35" s="1"/>
  <c r="D164" i="35"/>
  <c r="BC164" i="35"/>
  <c r="CA164" i="35" s="1"/>
  <c r="BG164" i="35"/>
  <c r="CE164" i="35" s="1"/>
  <c r="BD164" i="35"/>
  <c r="CB164" i="35" s="1"/>
  <c r="BH164" i="35"/>
  <c r="CF164" i="35" s="1"/>
  <c r="BL164" i="35"/>
  <c r="CJ164" i="35" s="1"/>
  <c r="CM164" i="35"/>
  <c r="BO164" i="35" s="1"/>
  <c r="CQ164" i="35"/>
  <c r="BS164" i="35" s="1"/>
  <c r="CU164" i="35"/>
  <c r="BW164" i="35" s="1"/>
  <c r="BI164" i="35"/>
  <c r="CG164" i="35" s="1"/>
  <c r="BM164" i="35"/>
  <c r="CK164" i="35" s="1"/>
  <c r="CN164" i="35"/>
  <c r="BP164" i="35" s="1"/>
  <c r="CR164" i="35"/>
  <c r="BT164" i="35" s="1"/>
  <c r="CV164" i="35"/>
  <c r="BX164" i="35" s="1"/>
  <c r="BE164" i="35"/>
  <c r="CC164" i="35" s="1"/>
  <c r="BJ164" i="35"/>
  <c r="CH164" i="35" s="1"/>
  <c r="BN164" i="35"/>
  <c r="CL164" i="35" s="1"/>
  <c r="CO164" i="35"/>
  <c r="BQ164" i="35" s="1"/>
  <c r="CS164" i="35"/>
  <c r="BU164" i="35" s="1"/>
  <c r="CW164" i="35"/>
  <c r="BY164" i="35" s="1"/>
  <c r="BF164" i="35"/>
  <c r="CD164" i="35" s="1"/>
  <c r="BK164" i="35"/>
  <c r="CI164" i="35" s="1"/>
  <c r="CP164" i="35"/>
  <c r="BR164" i="35" s="1"/>
  <c r="CT164" i="35"/>
  <c r="BV164" i="35" s="1"/>
  <c r="CX164" i="35"/>
  <c r="BZ164" i="35" s="1"/>
  <c r="H164" i="35"/>
  <c r="AF164" i="35" s="1"/>
  <c r="L164" i="35"/>
  <c r="AJ164" i="35" s="1"/>
  <c r="AB164" i="35"/>
  <c r="AQ164" i="35"/>
  <c r="S164" i="35" s="1"/>
  <c r="AU164" i="35"/>
  <c r="W164" i="35" s="1"/>
  <c r="AY164" i="35"/>
  <c r="AA164" i="35" s="1"/>
  <c r="E164" i="35"/>
  <c r="AC164" i="35" s="1"/>
  <c r="I164" i="35"/>
  <c r="AG164" i="35" s="1"/>
  <c r="M164" i="35"/>
  <c r="AK164" i="35" s="1"/>
  <c r="AN164" i="35"/>
  <c r="P164" i="35" s="1"/>
  <c r="AR164" i="35"/>
  <c r="T164" i="35" s="1"/>
  <c r="AV164" i="35"/>
  <c r="X164" i="35" s="1"/>
  <c r="F164" i="35"/>
  <c r="AD164" i="35" s="1"/>
  <c r="J164" i="35"/>
  <c r="AH164" i="35" s="1"/>
  <c r="N164" i="35"/>
  <c r="AL164" i="35" s="1"/>
  <c r="AO164" i="35"/>
  <c r="Q164" i="35" s="1"/>
  <c r="AS164" i="35"/>
  <c r="U164" i="35" s="1"/>
  <c r="AW164" i="35"/>
  <c r="Y164" i="35" s="1"/>
  <c r="G164" i="35"/>
  <c r="AE164" i="35" s="1"/>
  <c r="K164" i="35"/>
  <c r="AI164" i="35" s="1"/>
  <c r="O164" i="35"/>
  <c r="AM164" i="35" s="1"/>
  <c r="AP164" i="35"/>
  <c r="R164" i="35" s="1"/>
  <c r="AT164" i="35"/>
  <c r="V164" i="35" s="1"/>
  <c r="AX164" i="35"/>
  <c r="Z164" i="35" s="1"/>
  <c r="D239" i="35"/>
  <c r="BC239" i="35"/>
  <c r="CA239" i="35" s="1"/>
  <c r="BG239" i="35"/>
  <c r="CE239" i="35" s="1"/>
  <c r="BK239" i="35"/>
  <c r="CI239" i="35" s="1"/>
  <c r="CM239" i="35"/>
  <c r="BO239" i="35" s="1"/>
  <c r="CQ239" i="35"/>
  <c r="BS239" i="35" s="1"/>
  <c r="CU239" i="35"/>
  <c r="BW239" i="35" s="1"/>
  <c r="BD239" i="35"/>
  <c r="CB239" i="35" s="1"/>
  <c r="BH239" i="35"/>
  <c r="CF239" i="35" s="1"/>
  <c r="BL239" i="35"/>
  <c r="CJ239" i="35" s="1"/>
  <c r="CN239" i="35"/>
  <c r="BP239" i="35" s="1"/>
  <c r="CR239" i="35"/>
  <c r="BT239" i="35" s="1"/>
  <c r="CV239" i="35"/>
  <c r="BX239" i="35" s="1"/>
  <c r="BE239" i="35"/>
  <c r="CC239" i="35" s="1"/>
  <c r="BI239" i="35"/>
  <c r="CG239" i="35" s="1"/>
  <c r="BM239" i="35"/>
  <c r="CK239" i="35" s="1"/>
  <c r="CO239" i="35"/>
  <c r="BQ239" i="35" s="1"/>
  <c r="CS239" i="35"/>
  <c r="BU239" i="35" s="1"/>
  <c r="CW239" i="35"/>
  <c r="BY239" i="35" s="1"/>
  <c r="BF239" i="35"/>
  <c r="CD239" i="35" s="1"/>
  <c r="BJ239" i="35"/>
  <c r="CH239" i="35" s="1"/>
  <c r="BN239" i="35"/>
  <c r="CL239" i="35" s="1"/>
  <c r="CP239" i="35"/>
  <c r="BR239" i="35" s="1"/>
  <c r="CT239" i="35"/>
  <c r="BV239" i="35" s="1"/>
  <c r="CX239" i="35"/>
  <c r="BZ239" i="35" s="1"/>
  <c r="F239" i="35"/>
  <c r="AD239" i="35" s="1"/>
  <c r="J239" i="35"/>
  <c r="AH239" i="35" s="1"/>
  <c r="N239" i="35"/>
  <c r="AL239" i="35" s="1"/>
  <c r="AO239" i="35"/>
  <c r="Q239" i="35" s="1"/>
  <c r="AS239" i="35"/>
  <c r="U239" i="35" s="1"/>
  <c r="AW239" i="35"/>
  <c r="Y239" i="35" s="1"/>
  <c r="G239" i="35"/>
  <c r="AE239" i="35" s="1"/>
  <c r="K239" i="35"/>
  <c r="AI239" i="35" s="1"/>
  <c r="O239" i="35"/>
  <c r="AM239" i="35" s="1"/>
  <c r="AP239" i="35"/>
  <c r="R239" i="35" s="1"/>
  <c r="AT239" i="35"/>
  <c r="V239" i="35" s="1"/>
  <c r="AX239" i="35"/>
  <c r="Z239" i="35" s="1"/>
  <c r="H239" i="35"/>
  <c r="AF239" i="35" s="1"/>
  <c r="L239" i="35"/>
  <c r="AJ239" i="35" s="1"/>
  <c r="AB239" i="35"/>
  <c r="AQ239" i="35"/>
  <c r="S239" i="35" s="1"/>
  <c r="AU239" i="35"/>
  <c r="W239" i="35" s="1"/>
  <c r="AY239" i="35"/>
  <c r="AA239" i="35" s="1"/>
  <c r="E239" i="35"/>
  <c r="AC239" i="35" s="1"/>
  <c r="I239" i="35"/>
  <c r="AG239" i="35" s="1"/>
  <c r="M239" i="35"/>
  <c r="AK239" i="35" s="1"/>
  <c r="AN239" i="35"/>
  <c r="P239" i="35" s="1"/>
  <c r="AR239" i="35"/>
  <c r="T239" i="35" s="1"/>
  <c r="AV239" i="35"/>
  <c r="X239" i="35" s="1"/>
  <c r="D235" i="35"/>
  <c r="BF235" i="35"/>
  <c r="CD235" i="35" s="1"/>
  <c r="BJ235" i="35"/>
  <c r="CH235" i="35" s="1"/>
  <c r="BN235" i="35"/>
  <c r="CL235" i="35" s="1"/>
  <c r="CP235" i="35"/>
  <c r="BR235" i="35" s="1"/>
  <c r="CT235" i="35"/>
  <c r="BV235" i="35" s="1"/>
  <c r="CX235" i="35"/>
  <c r="BZ235" i="35" s="1"/>
  <c r="BC235" i="35"/>
  <c r="CA235" i="35" s="1"/>
  <c r="BG235" i="35"/>
  <c r="CE235" i="35" s="1"/>
  <c r="BK235" i="35"/>
  <c r="CI235" i="35" s="1"/>
  <c r="CM235" i="35"/>
  <c r="BO235" i="35" s="1"/>
  <c r="CQ235" i="35"/>
  <c r="BS235" i="35" s="1"/>
  <c r="CU235" i="35"/>
  <c r="BW235" i="35" s="1"/>
  <c r="BD235" i="35"/>
  <c r="CB235" i="35" s="1"/>
  <c r="BL235" i="35"/>
  <c r="CJ235" i="35" s="1"/>
  <c r="CN235" i="35"/>
  <c r="BP235" i="35" s="1"/>
  <c r="CV235" i="35"/>
  <c r="BX235" i="35" s="1"/>
  <c r="BE235" i="35"/>
  <c r="CC235" i="35" s="1"/>
  <c r="BM235" i="35"/>
  <c r="CK235" i="35" s="1"/>
  <c r="CO235" i="35"/>
  <c r="BQ235" i="35" s="1"/>
  <c r="CW235" i="35"/>
  <c r="BY235" i="35" s="1"/>
  <c r="BH235" i="35"/>
  <c r="CF235" i="35" s="1"/>
  <c r="CR235" i="35"/>
  <c r="BT235" i="35" s="1"/>
  <c r="BI235" i="35"/>
  <c r="CG235" i="35" s="1"/>
  <c r="CS235" i="35"/>
  <c r="BU235" i="35" s="1"/>
  <c r="H235" i="35"/>
  <c r="AF235" i="35" s="1"/>
  <c r="L235" i="35"/>
  <c r="AJ235" i="35" s="1"/>
  <c r="AB235" i="35"/>
  <c r="AP235" i="35"/>
  <c r="R235" i="35" s="1"/>
  <c r="AT235" i="35"/>
  <c r="V235" i="35" s="1"/>
  <c r="AX235" i="35"/>
  <c r="Z235" i="35" s="1"/>
  <c r="E235" i="35"/>
  <c r="AC235" i="35" s="1"/>
  <c r="I235" i="35"/>
  <c r="AG235" i="35" s="1"/>
  <c r="M235" i="35"/>
  <c r="AK235" i="35" s="1"/>
  <c r="AQ235" i="35"/>
  <c r="S235" i="35" s="1"/>
  <c r="AU235" i="35"/>
  <c r="W235" i="35" s="1"/>
  <c r="AY235" i="35"/>
  <c r="AA235" i="35" s="1"/>
  <c r="F235" i="35"/>
  <c r="AD235" i="35" s="1"/>
  <c r="J235" i="35"/>
  <c r="AH235" i="35" s="1"/>
  <c r="N235" i="35"/>
  <c r="AL235" i="35" s="1"/>
  <c r="AN235" i="35"/>
  <c r="P235" i="35" s="1"/>
  <c r="AR235" i="35"/>
  <c r="T235" i="35" s="1"/>
  <c r="AV235" i="35"/>
  <c r="X235" i="35" s="1"/>
  <c r="G235" i="35"/>
  <c r="AE235" i="35" s="1"/>
  <c r="K235" i="35"/>
  <c r="AI235" i="35" s="1"/>
  <c r="O235" i="35"/>
  <c r="AM235" i="35" s="1"/>
  <c r="AO235" i="35"/>
  <c r="Q235" i="35" s="1"/>
  <c r="AS235" i="35"/>
  <c r="U235" i="35" s="1"/>
  <c r="AW235" i="35"/>
  <c r="Y235" i="35" s="1"/>
  <c r="D231" i="35"/>
  <c r="BD231" i="35"/>
  <c r="CB231" i="35" s="1"/>
  <c r="BH231" i="35"/>
  <c r="CF231" i="35" s="1"/>
  <c r="BL231" i="35"/>
  <c r="CJ231" i="35" s="1"/>
  <c r="CN231" i="35"/>
  <c r="BP231" i="35" s="1"/>
  <c r="CR231" i="35"/>
  <c r="BT231" i="35" s="1"/>
  <c r="CV231" i="35"/>
  <c r="BX231" i="35" s="1"/>
  <c r="BE231" i="35"/>
  <c r="CC231" i="35" s="1"/>
  <c r="BI231" i="35"/>
  <c r="CG231" i="35" s="1"/>
  <c r="BM231" i="35"/>
  <c r="CK231" i="35" s="1"/>
  <c r="CO231" i="35"/>
  <c r="BQ231" i="35" s="1"/>
  <c r="CS231" i="35"/>
  <c r="BU231" i="35" s="1"/>
  <c r="CW231" i="35"/>
  <c r="BY231" i="35" s="1"/>
  <c r="BF231" i="35"/>
  <c r="CD231" i="35" s="1"/>
  <c r="BJ231" i="35"/>
  <c r="CH231" i="35" s="1"/>
  <c r="BN231" i="35"/>
  <c r="CL231" i="35" s="1"/>
  <c r="CP231" i="35"/>
  <c r="BR231" i="35" s="1"/>
  <c r="CT231" i="35"/>
  <c r="BV231" i="35" s="1"/>
  <c r="CX231" i="35"/>
  <c r="BZ231" i="35" s="1"/>
  <c r="BC231" i="35"/>
  <c r="CA231" i="35" s="1"/>
  <c r="BG231" i="35"/>
  <c r="CE231" i="35" s="1"/>
  <c r="BK231" i="35"/>
  <c r="CI231" i="35" s="1"/>
  <c r="CM231" i="35"/>
  <c r="BO231" i="35" s="1"/>
  <c r="CQ231" i="35"/>
  <c r="BS231" i="35" s="1"/>
  <c r="CU231" i="35"/>
  <c r="BW231" i="35" s="1"/>
  <c r="E231" i="35"/>
  <c r="AC231" i="35" s="1"/>
  <c r="I231" i="35"/>
  <c r="AG231" i="35" s="1"/>
  <c r="M231" i="35"/>
  <c r="AK231" i="35" s="1"/>
  <c r="AN231" i="35"/>
  <c r="P231" i="35" s="1"/>
  <c r="AR231" i="35"/>
  <c r="T231" i="35" s="1"/>
  <c r="AV231" i="35"/>
  <c r="X231" i="35" s="1"/>
  <c r="F231" i="35"/>
  <c r="AD231" i="35" s="1"/>
  <c r="J231" i="35"/>
  <c r="AH231" i="35" s="1"/>
  <c r="N231" i="35"/>
  <c r="AL231" i="35" s="1"/>
  <c r="AO231" i="35"/>
  <c r="Q231" i="35" s="1"/>
  <c r="AS231" i="35"/>
  <c r="U231" i="35" s="1"/>
  <c r="AW231" i="35"/>
  <c r="Y231" i="35" s="1"/>
  <c r="G231" i="35"/>
  <c r="AE231" i="35" s="1"/>
  <c r="K231" i="35"/>
  <c r="AI231" i="35" s="1"/>
  <c r="O231" i="35"/>
  <c r="AM231" i="35" s="1"/>
  <c r="AP231" i="35"/>
  <c r="R231" i="35" s="1"/>
  <c r="AT231" i="35"/>
  <c r="V231" i="35" s="1"/>
  <c r="AX231" i="35"/>
  <c r="Z231" i="35" s="1"/>
  <c r="H231" i="35"/>
  <c r="AF231" i="35" s="1"/>
  <c r="L231" i="35"/>
  <c r="AJ231" i="35" s="1"/>
  <c r="AB231" i="35"/>
  <c r="AQ231" i="35"/>
  <c r="S231" i="35" s="1"/>
  <c r="AU231" i="35"/>
  <c r="W231" i="35" s="1"/>
  <c r="AY231" i="35"/>
  <c r="AA231" i="35" s="1"/>
  <c r="D227" i="35"/>
  <c r="BD227" i="35"/>
  <c r="CB227" i="35" s="1"/>
  <c r="BH227" i="35"/>
  <c r="CF227" i="35" s="1"/>
  <c r="BL227" i="35"/>
  <c r="CJ227" i="35" s="1"/>
  <c r="CN227" i="35"/>
  <c r="BP227" i="35" s="1"/>
  <c r="CR227" i="35"/>
  <c r="BT227" i="35" s="1"/>
  <c r="CV227" i="35"/>
  <c r="BX227" i="35" s="1"/>
  <c r="BE227" i="35"/>
  <c r="CC227" i="35" s="1"/>
  <c r="BI227" i="35"/>
  <c r="CG227" i="35" s="1"/>
  <c r="BM227" i="35"/>
  <c r="CK227" i="35" s="1"/>
  <c r="CO227" i="35"/>
  <c r="BQ227" i="35" s="1"/>
  <c r="CS227" i="35"/>
  <c r="BU227" i="35" s="1"/>
  <c r="CW227" i="35"/>
  <c r="BY227" i="35" s="1"/>
  <c r="BF227" i="35"/>
  <c r="CD227" i="35" s="1"/>
  <c r="BJ227" i="35"/>
  <c r="CH227" i="35" s="1"/>
  <c r="BN227" i="35"/>
  <c r="CL227" i="35" s="1"/>
  <c r="CP227" i="35"/>
  <c r="BR227" i="35" s="1"/>
  <c r="CT227" i="35"/>
  <c r="BV227" i="35" s="1"/>
  <c r="CX227" i="35"/>
  <c r="BZ227" i="35" s="1"/>
  <c r="BC227" i="35"/>
  <c r="CA227" i="35" s="1"/>
  <c r="BG227" i="35"/>
  <c r="CE227" i="35" s="1"/>
  <c r="BK227" i="35"/>
  <c r="CI227" i="35" s="1"/>
  <c r="CM227" i="35"/>
  <c r="BO227" i="35" s="1"/>
  <c r="CQ227" i="35"/>
  <c r="BS227" i="35" s="1"/>
  <c r="CU227" i="35"/>
  <c r="BW227" i="35" s="1"/>
  <c r="E227" i="35"/>
  <c r="AC227" i="35" s="1"/>
  <c r="I227" i="35"/>
  <c r="AG227" i="35" s="1"/>
  <c r="M227" i="35"/>
  <c r="AK227" i="35" s="1"/>
  <c r="AN227" i="35"/>
  <c r="P227" i="35" s="1"/>
  <c r="AR227" i="35"/>
  <c r="T227" i="35" s="1"/>
  <c r="AV227" i="35"/>
  <c r="X227" i="35" s="1"/>
  <c r="F227" i="35"/>
  <c r="AD227" i="35" s="1"/>
  <c r="J227" i="35"/>
  <c r="AH227" i="35" s="1"/>
  <c r="N227" i="35"/>
  <c r="AL227" i="35" s="1"/>
  <c r="AO227" i="35"/>
  <c r="Q227" i="35" s="1"/>
  <c r="AS227" i="35"/>
  <c r="U227" i="35" s="1"/>
  <c r="AW227" i="35"/>
  <c r="Y227" i="35" s="1"/>
  <c r="G227" i="35"/>
  <c r="AE227" i="35" s="1"/>
  <c r="K227" i="35"/>
  <c r="AI227" i="35" s="1"/>
  <c r="O227" i="35"/>
  <c r="AM227" i="35" s="1"/>
  <c r="AP227" i="35"/>
  <c r="R227" i="35" s="1"/>
  <c r="AT227" i="35"/>
  <c r="V227" i="35" s="1"/>
  <c r="AX227" i="35"/>
  <c r="Z227" i="35" s="1"/>
  <c r="H227" i="35"/>
  <c r="AF227" i="35" s="1"/>
  <c r="L227" i="35"/>
  <c r="AJ227" i="35" s="1"/>
  <c r="AB227" i="35"/>
  <c r="AQ227" i="35"/>
  <c r="S227" i="35" s="1"/>
  <c r="AU227" i="35"/>
  <c r="W227" i="35" s="1"/>
  <c r="AY227" i="35"/>
  <c r="AA227" i="35" s="1"/>
  <c r="D223" i="35"/>
  <c r="J223" i="35"/>
  <c r="AH223" i="35" s="1"/>
  <c r="AO223" i="35"/>
  <c r="Q223" i="35" s="1"/>
  <c r="K223" i="35"/>
  <c r="AI223" i="35" s="1"/>
  <c r="AQ223" i="35"/>
  <c r="S223" i="35" s="1"/>
  <c r="AY223" i="35"/>
  <c r="AA223" i="35" s="1"/>
  <c r="I223" i="35"/>
  <c r="AG223" i="35" s="1"/>
  <c r="AV223" i="35"/>
  <c r="X223" i="35" s="1"/>
  <c r="D219" i="35"/>
  <c r="BD219" i="35"/>
  <c r="CB219" i="35" s="1"/>
  <c r="BH219" i="35"/>
  <c r="CF219" i="35" s="1"/>
  <c r="BL219" i="35"/>
  <c r="CJ219" i="35" s="1"/>
  <c r="CM219" i="35"/>
  <c r="BO219" i="35" s="1"/>
  <c r="CQ219" i="35"/>
  <c r="BS219" i="35" s="1"/>
  <c r="CU219" i="35"/>
  <c r="BW219" i="35" s="1"/>
  <c r="BE219" i="35"/>
  <c r="CC219" i="35" s="1"/>
  <c r="BI219" i="35"/>
  <c r="CG219" i="35" s="1"/>
  <c r="BM219" i="35"/>
  <c r="CK219" i="35" s="1"/>
  <c r="CN219" i="35"/>
  <c r="BP219" i="35" s="1"/>
  <c r="CR219" i="35"/>
  <c r="BT219" i="35" s="1"/>
  <c r="CV219" i="35"/>
  <c r="BX219" i="35" s="1"/>
  <c r="BF219" i="35"/>
  <c r="CD219" i="35" s="1"/>
  <c r="BJ219" i="35"/>
  <c r="CH219" i="35" s="1"/>
  <c r="BN219" i="35"/>
  <c r="CL219" i="35" s="1"/>
  <c r="CO219" i="35"/>
  <c r="BQ219" i="35" s="1"/>
  <c r="CS219" i="35"/>
  <c r="BU219" i="35" s="1"/>
  <c r="CW219" i="35"/>
  <c r="BY219" i="35" s="1"/>
  <c r="BC219" i="35"/>
  <c r="CA219" i="35" s="1"/>
  <c r="BG219" i="35"/>
  <c r="CE219" i="35" s="1"/>
  <c r="BK219" i="35"/>
  <c r="CI219" i="35" s="1"/>
  <c r="CP219" i="35"/>
  <c r="BR219" i="35" s="1"/>
  <c r="CT219" i="35"/>
  <c r="BV219" i="35" s="1"/>
  <c r="CX219" i="35"/>
  <c r="BZ219" i="35" s="1"/>
  <c r="H219" i="35"/>
  <c r="AF219" i="35" s="1"/>
  <c r="L219" i="35"/>
  <c r="AJ219" i="35" s="1"/>
  <c r="AB219" i="35"/>
  <c r="AQ219" i="35"/>
  <c r="S219" i="35" s="1"/>
  <c r="AU219" i="35"/>
  <c r="W219" i="35" s="1"/>
  <c r="AY219" i="35"/>
  <c r="AA219" i="35" s="1"/>
  <c r="E219" i="35"/>
  <c r="AC219" i="35" s="1"/>
  <c r="I219" i="35"/>
  <c r="AG219" i="35" s="1"/>
  <c r="M219" i="35"/>
  <c r="AK219" i="35" s="1"/>
  <c r="AN219" i="35"/>
  <c r="P219" i="35" s="1"/>
  <c r="AR219" i="35"/>
  <c r="T219" i="35" s="1"/>
  <c r="AV219" i="35"/>
  <c r="X219" i="35" s="1"/>
  <c r="F219" i="35"/>
  <c r="AD219" i="35" s="1"/>
  <c r="J219" i="35"/>
  <c r="AH219" i="35" s="1"/>
  <c r="N219" i="35"/>
  <c r="AL219" i="35" s="1"/>
  <c r="AO219" i="35"/>
  <c r="Q219" i="35" s="1"/>
  <c r="AS219" i="35"/>
  <c r="U219" i="35" s="1"/>
  <c r="AW219" i="35"/>
  <c r="Y219" i="35" s="1"/>
  <c r="G219" i="35"/>
  <c r="AE219" i="35" s="1"/>
  <c r="K219" i="35"/>
  <c r="AI219" i="35" s="1"/>
  <c r="O219" i="35"/>
  <c r="AM219" i="35" s="1"/>
  <c r="AP219" i="35"/>
  <c r="R219" i="35" s="1"/>
  <c r="AT219" i="35"/>
  <c r="V219" i="35" s="1"/>
  <c r="AX219" i="35"/>
  <c r="Z219" i="35" s="1"/>
  <c r="D215" i="35"/>
  <c r="BC215" i="35"/>
  <c r="CA215" i="35" s="1"/>
  <c r="BG215" i="35"/>
  <c r="CE215" i="35" s="1"/>
  <c r="BK215" i="35"/>
  <c r="CI215" i="35" s="1"/>
  <c r="CM215" i="35"/>
  <c r="BO215" i="35" s="1"/>
  <c r="CQ215" i="35"/>
  <c r="BS215" i="35" s="1"/>
  <c r="BD215" i="35"/>
  <c r="CB215" i="35" s="1"/>
  <c r="BH215" i="35"/>
  <c r="CF215" i="35" s="1"/>
  <c r="BL215" i="35"/>
  <c r="CJ215" i="35" s="1"/>
  <c r="CN215" i="35"/>
  <c r="BP215" i="35" s="1"/>
  <c r="CR215" i="35"/>
  <c r="BT215" i="35" s="1"/>
  <c r="BE215" i="35"/>
  <c r="CC215" i="35" s="1"/>
  <c r="BI215" i="35"/>
  <c r="CG215" i="35" s="1"/>
  <c r="BM215" i="35"/>
  <c r="CK215" i="35" s="1"/>
  <c r="CO215" i="35"/>
  <c r="BQ215" i="35" s="1"/>
  <c r="BF215" i="35"/>
  <c r="CD215" i="35" s="1"/>
  <c r="BJ215" i="35"/>
  <c r="CH215" i="35" s="1"/>
  <c r="BN215" i="35"/>
  <c r="CL215" i="35" s="1"/>
  <c r="CP215" i="35"/>
  <c r="BR215" i="35" s="1"/>
  <c r="CU215" i="35"/>
  <c r="BW215" i="35" s="1"/>
  <c r="CV215" i="35"/>
  <c r="BX215" i="35" s="1"/>
  <c r="CS215" i="35"/>
  <c r="BU215" i="35" s="1"/>
  <c r="CW215" i="35"/>
  <c r="BY215" i="35" s="1"/>
  <c r="CT215" i="35"/>
  <c r="BV215" i="35" s="1"/>
  <c r="CX215" i="35"/>
  <c r="BZ215" i="35" s="1"/>
  <c r="E215" i="35"/>
  <c r="AC215" i="35" s="1"/>
  <c r="I215" i="35"/>
  <c r="AG215" i="35" s="1"/>
  <c r="M215" i="35"/>
  <c r="AK215" i="35" s="1"/>
  <c r="AN215" i="35"/>
  <c r="P215" i="35" s="1"/>
  <c r="AR215" i="35"/>
  <c r="T215" i="35" s="1"/>
  <c r="AV215" i="35"/>
  <c r="X215" i="35" s="1"/>
  <c r="F215" i="35"/>
  <c r="AD215" i="35" s="1"/>
  <c r="J215" i="35"/>
  <c r="AH215" i="35" s="1"/>
  <c r="N215" i="35"/>
  <c r="AL215" i="35" s="1"/>
  <c r="AO215" i="35"/>
  <c r="Q215" i="35" s="1"/>
  <c r="AS215" i="35"/>
  <c r="U215" i="35" s="1"/>
  <c r="AW215" i="35"/>
  <c r="Y215" i="35" s="1"/>
  <c r="G215" i="35"/>
  <c r="AE215" i="35" s="1"/>
  <c r="K215" i="35"/>
  <c r="AI215" i="35" s="1"/>
  <c r="O215" i="35"/>
  <c r="AM215" i="35" s="1"/>
  <c r="AP215" i="35"/>
  <c r="R215" i="35" s="1"/>
  <c r="AT215" i="35"/>
  <c r="V215" i="35" s="1"/>
  <c r="AX215" i="35"/>
  <c r="Z215" i="35" s="1"/>
  <c r="H215" i="35"/>
  <c r="AF215" i="35" s="1"/>
  <c r="L215" i="35"/>
  <c r="AJ215" i="35" s="1"/>
  <c r="AB215" i="35"/>
  <c r="AQ215" i="35"/>
  <c r="S215" i="35" s="1"/>
  <c r="AU215" i="35"/>
  <c r="W215" i="35" s="1"/>
  <c r="AY215" i="35"/>
  <c r="AA215" i="35" s="1"/>
  <c r="D211" i="35"/>
  <c r="BF211" i="35"/>
  <c r="CD211" i="35" s="1"/>
  <c r="BJ211" i="35"/>
  <c r="CH211" i="35" s="1"/>
  <c r="BN211" i="35"/>
  <c r="CL211" i="35" s="1"/>
  <c r="CO211" i="35"/>
  <c r="BQ211" i="35" s="1"/>
  <c r="CS211" i="35"/>
  <c r="BU211" i="35" s="1"/>
  <c r="CW211" i="35"/>
  <c r="BY211" i="35" s="1"/>
  <c r="BC211" i="35"/>
  <c r="CA211" i="35" s="1"/>
  <c r="BG211" i="35"/>
  <c r="CE211" i="35" s="1"/>
  <c r="BK211" i="35"/>
  <c r="CI211" i="35" s="1"/>
  <c r="CP211" i="35"/>
  <c r="BR211" i="35" s="1"/>
  <c r="CT211" i="35"/>
  <c r="BV211" i="35" s="1"/>
  <c r="CX211" i="35"/>
  <c r="BZ211" i="35" s="1"/>
  <c r="BD211" i="35"/>
  <c r="CB211" i="35" s="1"/>
  <c r="BH211" i="35"/>
  <c r="CF211" i="35" s="1"/>
  <c r="BL211" i="35"/>
  <c r="CJ211" i="35" s="1"/>
  <c r="CM211" i="35"/>
  <c r="BO211" i="35" s="1"/>
  <c r="CQ211" i="35"/>
  <c r="BS211" i="35" s="1"/>
  <c r="CU211" i="35"/>
  <c r="BW211" i="35" s="1"/>
  <c r="BE211" i="35"/>
  <c r="CC211" i="35" s="1"/>
  <c r="BI211" i="35"/>
  <c r="CG211" i="35" s="1"/>
  <c r="BM211" i="35"/>
  <c r="CK211" i="35" s="1"/>
  <c r="CN211" i="35"/>
  <c r="BP211" i="35" s="1"/>
  <c r="CR211" i="35"/>
  <c r="BT211" i="35" s="1"/>
  <c r="CV211" i="35"/>
  <c r="BX211" i="35" s="1"/>
  <c r="E211" i="35"/>
  <c r="AC211" i="35" s="1"/>
  <c r="I211" i="35"/>
  <c r="AG211" i="35" s="1"/>
  <c r="M211" i="35"/>
  <c r="AK211" i="35" s="1"/>
  <c r="AN211" i="35"/>
  <c r="P211" i="35" s="1"/>
  <c r="AR211" i="35"/>
  <c r="T211" i="35" s="1"/>
  <c r="AV211" i="35"/>
  <c r="X211" i="35" s="1"/>
  <c r="F211" i="35"/>
  <c r="AD211" i="35" s="1"/>
  <c r="J211" i="35"/>
  <c r="AH211" i="35" s="1"/>
  <c r="N211" i="35"/>
  <c r="AL211" i="35" s="1"/>
  <c r="AO211" i="35"/>
  <c r="Q211" i="35" s="1"/>
  <c r="AS211" i="35"/>
  <c r="U211" i="35" s="1"/>
  <c r="AW211" i="35"/>
  <c r="Y211" i="35" s="1"/>
  <c r="G211" i="35"/>
  <c r="AE211" i="35" s="1"/>
  <c r="K211" i="35"/>
  <c r="AI211" i="35" s="1"/>
  <c r="O211" i="35"/>
  <c r="AM211" i="35" s="1"/>
  <c r="AP211" i="35"/>
  <c r="R211" i="35" s="1"/>
  <c r="AT211" i="35"/>
  <c r="V211" i="35" s="1"/>
  <c r="AX211" i="35"/>
  <c r="Z211" i="35" s="1"/>
  <c r="H211" i="35"/>
  <c r="AF211" i="35" s="1"/>
  <c r="L211" i="35"/>
  <c r="AJ211" i="35" s="1"/>
  <c r="AB211" i="35"/>
  <c r="AQ211" i="35"/>
  <c r="S211" i="35" s="1"/>
  <c r="AU211" i="35"/>
  <c r="W211" i="35" s="1"/>
  <c r="AY211" i="35"/>
  <c r="AA211" i="35" s="1"/>
  <c r="D207" i="35"/>
  <c r="BC207" i="35"/>
  <c r="CA207" i="35" s="1"/>
  <c r="BG207" i="35"/>
  <c r="CE207" i="35" s="1"/>
  <c r="BK207" i="35"/>
  <c r="CI207" i="35" s="1"/>
  <c r="CM207" i="35"/>
  <c r="BO207" i="35" s="1"/>
  <c r="CQ207" i="35"/>
  <c r="BS207" i="35" s="1"/>
  <c r="CU207" i="35"/>
  <c r="BW207" i="35" s="1"/>
  <c r="BD207" i="35"/>
  <c r="CB207" i="35" s="1"/>
  <c r="BH207" i="35"/>
  <c r="CF207" i="35" s="1"/>
  <c r="BL207" i="35"/>
  <c r="CJ207" i="35" s="1"/>
  <c r="CN207" i="35"/>
  <c r="BP207" i="35" s="1"/>
  <c r="CR207" i="35"/>
  <c r="BT207" i="35" s="1"/>
  <c r="CV207" i="35"/>
  <c r="BX207" i="35" s="1"/>
  <c r="BE207" i="35"/>
  <c r="CC207" i="35" s="1"/>
  <c r="BI207" i="35"/>
  <c r="CG207" i="35" s="1"/>
  <c r="BM207" i="35"/>
  <c r="CK207" i="35" s="1"/>
  <c r="CO207" i="35"/>
  <c r="BQ207" i="35" s="1"/>
  <c r="CS207" i="35"/>
  <c r="BU207" i="35" s="1"/>
  <c r="CW207" i="35"/>
  <c r="BY207" i="35" s="1"/>
  <c r="BF207" i="35"/>
  <c r="CD207" i="35" s="1"/>
  <c r="BJ207" i="35"/>
  <c r="CH207" i="35" s="1"/>
  <c r="BN207" i="35"/>
  <c r="CL207" i="35" s="1"/>
  <c r="CP207" i="35"/>
  <c r="BR207" i="35" s="1"/>
  <c r="CT207" i="35"/>
  <c r="BV207" i="35" s="1"/>
  <c r="CX207" i="35"/>
  <c r="BZ207" i="35" s="1"/>
  <c r="G207" i="35"/>
  <c r="AE207" i="35" s="1"/>
  <c r="K207" i="35"/>
  <c r="AI207" i="35" s="1"/>
  <c r="O207" i="35"/>
  <c r="AM207" i="35" s="1"/>
  <c r="AP207" i="35"/>
  <c r="R207" i="35" s="1"/>
  <c r="AT207" i="35"/>
  <c r="V207" i="35" s="1"/>
  <c r="AX207" i="35"/>
  <c r="Z207" i="35" s="1"/>
  <c r="H207" i="35"/>
  <c r="AF207" i="35" s="1"/>
  <c r="L207" i="35"/>
  <c r="AJ207" i="35" s="1"/>
  <c r="AB207" i="35"/>
  <c r="AQ207" i="35"/>
  <c r="S207" i="35" s="1"/>
  <c r="AU207" i="35"/>
  <c r="W207" i="35" s="1"/>
  <c r="AY207" i="35"/>
  <c r="AA207" i="35" s="1"/>
  <c r="E207" i="35"/>
  <c r="AC207" i="35" s="1"/>
  <c r="I207" i="35"/>
  <c r="AG207" i="35" s="1"/>
  <c r="M207" i="35"/>
  <c r="AK207" i="35" s="1"/>
  <c r="AN207" i="35"/>
  <c r="P207" i="35" s="1"/>
  <c r="AR207" i="35"/>
  <c r="T207" i="35" s="1"/>
  <c r="AV207" i="35"/>
  <c r="X207" i="35" s="1"/>
  <c r="F207" i="35"/>
  <c r="AD207" i="35" s="1"/>
  <c r="J207" i="35"/>
  <c r="AH207" i="35" s="1"/>
  <c r="N207" i="35"/>
  <c r="AL207" i="35" s="1"/>
  <c r="AO207" i="35"/>
  <c r="Q207" i="35" s="1"/>
  <c r="AS207" i="35"/>
  <c r="U207" i="35" s="1"/>
  <c r="AW207" i="35"/>
  <c r="Y207" i="35" s="1"/>
  <c r="D203" i="35"/>
  <c r="BC203" i="35"/>
  <c r="CA203" i="35" s="1"/>
  <c r="BG203" i="35"/>
  <c r="CE203" i="35" s="1"/>
  <c r="BK203" i="35"/>
  <c r="CI203" i="35" s="1"/>
  <c r="CM203" i="35"/>
  <c r="BO203" i="35" s="1"/>
  <c r="CQ203" i="35"/>
  <c r="BS203" i="35" s="1"/>
  <c r="CU203" i="35"/>
  <c r="BW203" i="35" s="1"/>
  <c r="BD203" i="35"/>
  <c r="CB203" i="35" s="1"/>
  <c r="BH203" i="35"/>
  <c r="CF203" i="35" s="1"/>
  <c r="BL203" i="35"/>
  <c r="CJ203" i="35" s="1"/>
  <c r="CN203" i="35"/>
  <c r="BP203" i="35" s="1"/>
  <c r="CR203" i="35"/>
  <c r="BT203" i="35" s="1"/>
  <c r="CV203" i="35"/>
  <c r="BX203" i="35" s="1"/>
  <c r="BE203" i="35"/>
  <c r="CC203" i="35" s="1"/>
  <c r="BI203" i="35"/>
  <c r="CG203" i="35" s="1"/>
  <c r="BM203" i="35"/>
  <c r="CK203" i="35" s="1"/>
  <c r="CO203" i="35"/>
  <c r="BQ203" i="35" s="1"/>
  <c r="CS203" i="35"/>
  <c r="BU203" i="35" s="1"/>
  <c r="CW203" i="35"/>
  <c r="BY203" i="35" s="1"/>
  <c r="BF203" i="35"/>
  <c r="CD203" i="35" s="1"/>
  <c r="BJ203" i="35"/>
  <c r="CH203" i="35" s="1"/>
  <c r="BN203" i="35"/>
  <c r="CL203" i="35" s="1"/>
  <c r="CP203" i="35"/>
  <c r="BR203" i="35" s="1"/>
  <c r="CT203" i="35"/>
  <c r="BV203" i="35" s="1"/>
  <c r="CX203" i="35"/>
  <c r="BZ203" i="35" s="1"/>
  <c r="E203" i="35"/>
  <c r="AC203" i="35" s="1"/>
  <c r="I203" i="35"/>
  <c r="AG203" i="35" s="1"/>
  <c r="M203" i="35"/>
  <c r="AK203" i="35" s="1"/>
  <c r="AN203" i="35"/>
  <c r="P203" i="35" s="1"/>
  <c r="AR203" i="35"/>
  <c r="T203" i="35" s="1"/>
  <c r="AV203" i="35"/>
  <c r="X203" i="35" s="1"/>
  <c r="F203" i="35"/>
  <c r="AD203" i="35" s="1"/>
  <c r="J203" i="35"/>
  <c r="AH203" i="35" s="1"/>
  <c r="N203" i="35"/>
  <c r="AL203" i="35" s="1"/>
  <c r="AO203" i="35"/>
  <c r="Q203" i="35" s="1"/>
  <c r="AS203" i="35"/>
  <c r="U203" i="35" s="1"/>
  <c r="AW203" i="35"/>
  <c r="Y203" i="35" s="1"/>
  <c r="G203" i="35"/>
  <c r="AE203" i="35" s="1"/>
  <c r="K203" i="35"/>
  <c r="AI203" i="35" s="1"/>
  <c r="O203" i="35"/>
  <c r="AM203" i="35" s="1"/>
  <c r="AP203" i="35"/>
  <c r="R203" i="35" s="1"/>
  <c r="AT203" i="35"/>
  <c r="V203" i="35" s="1"/>
  <c r="AX203" i="35"/>
  <c r="Z203" i="35" s="1"/>
  <c r="H203" i="35"/>
  <c r="AF203" i="35" s="1"/>
  <c r="L203" i="35"/>
  <c r="AJ203" i="35" s="1"/>
  <c r="AB203" i="35"/>
  <c r="AQ203" i="35"/>
  <c r="S203" i="35" s="1"/>
  <c r="AU203" i="35"/>
  <c r="W203" i="35" s="1"/>
  <c r="AY203" i="35"/>
  <c r="AA203" i="35" s="1"/>
  <c r="D199" i="35"/>
  <c r="BC199" i="35"/>
  <c r="CA199" i="35" s="1"/>
  <c r="BG199" i="35"/>
  <c r="CE199" i="35" s="1"/>
  <c r="BK199" i="35"/>
  <c r="CI199" i="35" s="1"/>
  <c r="CM199" i="35"/>
  <c r="BO199" i="35" s="1"/>
  <c r="CQ199" i="35"/>
  <c r="BS199" i="35" s="1"/>
  <c r="CU199" i="35"/>
  <c r="BW199" i="35" s="1"/>
  <c r="BD199" i="35"/>
  <c r="CB199" i="35" s="1"/>
  <c r="BH199" i="35"/>
  <c r="CF199" i="35" s="1"/>
  <c r="BL199" i="35"/>
  <c r="CJ199" i="35" s="1"/>
  <c r="CN199" i="35"/>
  <c r="BP199" i="35" s="1"/>
  <c r="CR199" i="35"/>
  <c r="BT199" i="35" s="1"/>
  <c r="CV199" i="35"/>
  <c r="BX199" i="35" s="1"/>
  <c r="BE199" i="35"/>
  <c r="CC199" i="35" s="1"/>
  <c r="BI199" i="35"/>
  <c r="CG199" i="35" s="1"/>
  <c r="BM199" i="35"/>
  <c r="CK199" i="35" s="1"/>
  <c r="CO199" i="35"/>
  <c r="BQ199" i="35" s="1"/>
  <c r="CS199" i="35"/>
  <c r="BU199" i="35" s="1"/>
  <c r="CW199" i="35"/>
  <c r="BY199" i="35" s="1"/>
  <c r="BF199" i="35"/>
  <c r="CD199" i="35" s="1"/>
  <c r="BJ199" i="35"/>
  <c r="CH199" i="35" s="1"/>
  <c r="BN199" i="35"/>
  <c r="CL199" i="35" s="1"/>
  <c r="CP199" i="35"/>
  <c r="BR199" i="35" s="1"/>
  <c r="CT199" i="35"/>
  <c r="BV199" i="35" s="1"/>
  <c r="CX199" i="35"/>
  <c r="BZ199" i="35" s="1"/>
  <c r="F199" i="35"/>
  <c r="AD199" i="35" s="1"/>
  <c r="J199" i="35"/>
  <c r="AH199" i="35" s="1"/>
  <c r="N199" i="35"/>
  <c r="AL199" i="35" s="1"/>
  <c r="AO199" i="35"/>
  <c r="Q199" i="35" s="1"/>
  <c r="AS199" i="35"/>
  <c r="U199" i="35" s="1"/>
  <c r="AW199" i="35"/>
  <c r="Y199" i="35" s="1"/>
  <c r="G199" i="35"/>
  <c r="AE199" i="35" s="1"/>
  <c r="K199" i="35"/>
  <c r="AI199" i="35" s="1"/>
  <c r="O199" i="35"/>
  <c r="AM199" i="35" s="1"/>
  <c r="AP199" i="35"/>
  <c r="R199" i="35" s="1"/>
  <c r="AT199" i="35"/>
  <c r="V199" i="35" s="1"/>
  <c r="AX199" i="35"/>
  <c r="Z199" i="35" s="1"/>
  <c r="H199" i="35"/>
  <c r="AF199" i="35" s="1"/>
  <c r="L199" i="35"/>
  <c r="AJ199" i="35" s="1"/>
  <c r="AB199" i="35"/>
  <c r="AQ199" i="35"/>
  <c r="S199" i="35" s="1"/>
  <c r="AU199" i="35"/>
  <c r="W199" i="35" s="1"/>
  <c r="AY199" i="35"/>
  <c r="AA199" i="35" s="1"/>
  <c r="E199" i="35"/>
  <c r="AC199" i="35" s="1"/>
  <c r="I199" i="35"/>
  <c r="AG199" i="35" s="1"/>
  <c r="M199" i="35"/>
  <c r="AK199" i="35" s="1"/>
  <c r="AN199" i="35"/>
  <c r="P199" i="35" s="1"/>
  <c r="AR199" i="35"/>
  <c r="T199" i="35" s="1"/>
  <c r="AV199" i="35"/>
  <c r="X199" i="35" s="1"/>
  <c r="D195" i="35"/>
  <c r="BC195" i="35"/>
  <c r="CA195" i="35" s="1"/>
  <c r="BG195" i="35"/>
  <c r="CE195" i="35" s="1"/>
  <c r="BK195" i="35"/>
  <c r="CI195" i="35" s="1"/>
  <c r="CM195" i="35"/>
  <c r="BO195" i="35" s="1"/>
  <c r="CQ195" i="35"/>
  <c r="BS195" i="35" s="1"/>
  <c r="CU195" i="35"/>
  <c r="BW195" i="35" s="1"/>
  <c r="BD195" i="35"/>
  <c r="CB195" i="35" s="1"/>
  <c r="BH195" i="35"/>
  <c r="CF195" i="35" s="1"/>
  <c r="BL195" i="35"/>
  <c r="CJ195" i="35" s="1"/>
  <c r="CN195" i="35"/>
  <c r="BP195" i="35" s="1"/>
  <c r="CR195" i="35"/>
  <c r="BT195" i="35" s="1"/>
  <c r="CV195" i="35"/>
  <c r="BX195" i="35" s="1"/>
  <c r="BE195" i="35"/>
  <c r="CC195" i="35" s="1"/>
  <c r="BI195" i="35"/>
  <c r="CG195" i="35" s="1"/>
  <c r="BM195" i="35"/>
  <c r="CK195" i="35" s="1"/>
  <c r="CO195" i="35"/>
  <c r="BQ195" i="35" s="1"/>
  <c r="CS195" i="35"/>
  <c r="BU195" i="35" s="1"/>
  <c r="CW195" i="35"/>
  <c r="BY195" i="35" s="1"/>
  <c r="BF195" i="35"/>
  <c r="CD195" i="35" s="1"/>
  <c r="BJ195" i="35"/>
  <c r="CH195" i="35" s="1"/>
  <c r="BN195" i="35"/>
  <c r="CL195" i="35" s="1"/>
  <c r="CP195" i="35"/>
  <c r="BR195" i="35" s="1"/>
  <c r="CT195" i="35"/>
  <c r="BV195" i="35" s="1"/>
  <c r="CX195" i="35"/>
  <c r="BZ195" i="35" s="1"/>
  <c r="H195" i="35"/>
  <c r="AF195" i="35" s="1"/>
  <c r="L195" i="35"/>
  <c r="AJ195" i="35" s="1"/>
  <c r="AB195" i="35"/>
  <c r="AQ195" i="35"/>
  <c r="S195" i="35" s="1"/>
  <c r="AU195" i="35"/>
  <c r="W195" i="35" s="1"/>
  <c r="AY195" i="35"/>
  <c r="AA195" i="35" s="1"/>
  <c r="E195" i="35"/>
  <c r="AC195" i="35" s="1"/>
  <c r="I195" i="35"/>
  <c r="AG195" i="35" s="1"/>
  <c r="M195" i="35"/>
  <c r="AK195" i="35" s="1"/>
  <c r="AN195" i="35"/>
  <c r="P195" i="35" s="1"/>
  <c r="AR195" i="35"/>
  <c r="T195" i="35" s="1"/>
  <c r="AV195" i="35"/>
  <c r="X195" i="35" s="1"/>
  <c r="F195" i="35"/>
  <c r="AD195" i="35" s="1"/>
  <c r="J195" i="35"/>
  <c r="AH195" i="35" s="1"/>
  <c r="N195" i="35"/>
  <c r="AL195" i="35" s="1"/>
  <c r="AO195" i="35"/>
  <c r="Q195" i="35" s="1"/>
  <c r="AS195" i="35"/>
  <c r="U195" i="35" s="1"/>
  <c r="AW195" i="35"/>
  <c r="Y195" i="35" s="1"/>
  <c r="G195" i="35"/>
  <c r="AE195" i="35" s="1"/>
  <c r="K195" i="35"/>
  <c r="AI195" i="35" s="1"/>
  <c r="O195" i="35"/>
  <c r="AM195" i="35" s="1"/>
  <c r="AP195" i="35"/>
  <c r="R195" i="35" s="1"/>
  <c r="AT195" i="35"/>
  <c r="V195" i="35" s="1"/>
  <c r="AX195" i="35"/>
  <c r="Z195" i="35" s="1"/>
  <c r="D191" i="35"/>
  <c r="BC191" i="35"/>
  <c r="CA191" i="35" s="1"/>
  <c r="BG191" i="35"/>
  <c r="CE191" i="35" s="1"/>
  <c r="BK191" i="35"/>
  <c r="CI191" i="35" s="1"/>
  <c r="CM191" i="35"/>
  <c r="BO191" i="35" s="1"/>
  <c r="CQ191" i="35"/>
  <c r="BS191" i="35" s="1"/>
  <c r="CU191" i="35"/>
  <c r="BW191" i="35" s="1"/>
  <c r="BD191" i="35"/>
  <c r="CB191" i="35" s="1"/>
  <c r="BH191" i="35"/>
  <c r="CF191" i="35" s="1"/>
  <c r="BL191" i="35"/>
  <c r="CJ191" i="35" s="1"/>
  <c r="CN191" i="35"/>
  <c r="BP191" i="35" s="1"/>
  <c r="CR191" i="35"/>
  <c r="BT191" i="35" s="1"/>
  <c r="CV191" i="35"/>
  <c r="BX191" i="35" s="1"/>
  <c r="BE191" i="35"/>
  <c r="CC191" i="35" s="1"/>
  <c r="BI191" i="35"/>
  <c r="CG191" i="35" s="1"/>
  <c r="BM191" i="35"/>
  <c r="CK191" i="35" s="1"/>
  <c r="CO191" i="35"/>
  <c r="BQ191" i="35" s="1"/>
  <c r="CS191" i="35"/>
  <c r="BU191" i="35" s="1"/>
  <c r="CW191" i="35"/>
  <c r="BY191" i="35" s="1"/>
  <c r="BF191" i="35"/>
  <c r="CD191" i="35" s="1"/>
  <c r="BJ191" i="35"/>
  <c r="CH191" i="35" s="1"/>
  <c r="BN191" i="35"/>
  <c r="CL191" i="35" s="1"/>
  <c r="CP191" i="35"/>
  <c r="BR191" i="35" s="1"/>
  <c r="CT191" i="35"/>
  <c r="BV191" i="35" s="1"/>
  <c r="CX191" i="35"/>
  <c r="BZ191" i="35" s="1"/>
  <c r="G191" i="35"/>
  <c r="AE191" i="35" s="1"/>
  <c r="K191" i="35"/>
  <c r="AI191" i="35" s="1"/>
  <c r="O191" i="35"/>
  <c r="AM191" i="35" s="1"/>
  <c r="AP191" i="35"/>
  <c r="R191" i="35" s="1"/>
  <c r="AT191" i="35"/>
  <c r="V191" i="35" s="1"/>
  <c r="AX191" i="35"/>
  <c r="Z191" i="35" s="1"/>
  <c r="H191" i="35"/>
  <c r="AF191" i="35" s="1"/>
  <c r="L191" i="35"/>
  <c r="AJ191" i="35" s="1"/>
  <c r="AB191" i="35"/>
  <c r="AQ191" i="35"/>
  <c r="S191" i="35" s="1"/>
  <c r="AU191" i="35"/>
  <c r="W191" i="35" s="1"/>
  <c r="AY191" i="35"/>
  <c r="AA191" i="35" s="1"/>
  <c r="J191" i="35"/>
  <c r="AH191" i="35" s="1"/>
  <c r="AO191" i="35"/>
  <c r="Q191" i="35" s="1"/>
  <c r="AW191" i="35"/>
  <c r="Y191" i="35" s="1"/>
  <c r="E191" i="35"/>
  <c r="AC191" i="35" s="1"/>
  <c r="M191" i="35"/>
  <c r="AK191" i="35" s="1"/>
  <c r="AR191" i="35"/>
  <c r="T191" i="35" s="1"/>
  <c r="F191" i="35"/>
  <c r="AD191" i="35" s="1"/>
  <c r="N191" i="35"/>
  <c r="AL191" i="35" s="1"/>
  <c r="AS191" i="35"/>
  <c r="U191" i="35" s="1"/>
  <c r="I191" i="35"/>
  <c r="AG191" i="35" s="1"/>
  <c r="AN191" i="35"/>
  <c r="P191" i="35" s="1"/>
  <c r="AV191" i="35"/>
  <c r="X191" i="35" s="1"/>
  <c r="D187" i="35"/>
  <c r="BD187" i="35"/>
  <c r="CB187" i="35" s="1"/>
  <c r="BH187" i="35"/>
  <c r="CF187" i="35" s="1"/>
  <c r="BL187" i="35"/>
  <c r="CJ187" i="35" s="1"/>
  <c r="CN187" i="35"/>
  <c r="BP187" i="35" s="1"/>
  <c r="CR187" i="35"/>
  <c r="BT187" i="35" s="1"/>
  <c r="CV187" i="35"/>
  <c r="BX187" i="35" s="1"/>
  <c r="BE187" i="35"/>
  <c r="CC187" i="35" s="1"/>
  <c r="BI187" i="35"/>
  <c r="CG187" i="35" s="1"/>
  <c r="BM187" i="35"/>
  <c r="CK187" i="35" s="1"/>
  <c r="CO187" i="35"/>
  <c r="BQ187" i="35" s="1"/>
  <c r="CS187" i="35"/>
  <c r="BU187" i="35" s="1"/>
  <c r="CW187" i="35"/>
  <c r="BY187" i="35" s="1"/>
  <c r="BF187" i="35"/>
  <c r="CD187" i="35" s="1"/>
  <c r="BJ187" i="35"/>
  <c r="CH187" i="35" s="1"/>
  <c r="BN187" i="35"/>
  <c r="CL187" i="35" s="1"/>
  <c r="CP187" i="35"/>
  <c r="BR187" i="35" s="1"/>
  <c r="CT187" i="35"/>
  <c r="BV187" i="35" s="1"/>
  <c r="CX187" i="35"/>
  <c r="BZ187" i="35" s="1"/>
  <c r="BC187" i="35"/>
  <c r="CA187" i="35" s="1"/>
  <c r="BG187" i="35"/>
  <c r="CE187" i="35" s="1"/>
  <c r="BK187" i="35"/>
  <c r="CI187" i="35" s="1"/>
  <c r="CM187" i="35"/>
  <c r="BO187" i="35" s="1"/>
  <c r="CQ187" i="35"/>
  <c r="BS187" i="35" s="1"/>
  <c r="CU187" i="35"/>
  <c r="BW187" i="35" s="1"/>
  <c r="F187" i="35"/>
  <c r="AD187" i="35" s="1"/>
  <c r="J187" i="35"/>
  <c r="AH187" i="35" s="1"/>
  <c r="N187" i="35"/>
  <c r="AL187" i="35" s="1"/>
  <c r="AO187" i="35"/>
  <c r="Q187" i="35" s="1"/>
  <c r="AS187" i="35"/>
  <c r="U187" i="35" s="1"/>
  <c r="AW187" i="35"/>
  <c r="Y187" i="35" s="1"/>
  <c r="G187" i="35"/>
  <c r="AE187" i="35" s="1"/>
  <c r="K187" i="35"/>
  <c r="AI187" i="35" s="1"/>
  <c r="O187" i="35"/>
  <c r="AM187" i="35" s="1"/>
  <c r="AP187" i="35"/>
  <c r="R187" i="35" s="1"/>
  <c r="AT187" i="35"/>
  <c r="V187" i="35" s="1"/>
  <c r="AX187" i="35"/>
  <c r="Z187" i="35" s="1"/>
  <c r="H187" i="35"/>
  <c r="AF187" i="35" s="1"/>
  <c r="L187" i="35"/>
  <c r="AJ187" i="35" s="1"/>
  <c r="AB187" i="35"/>
  <c r="AQ187" i="35"/>
  <c r="S187" i="35" s="1"/>
  <c r="AU187" i="35"/>
  <c r="W187" i="35" s="1"/>
  <c r="AY187" i="35"/>
  <c r="AA187" i="35" s="1"/>
  <c r="E187" i="35"/>
  <c r="AC187" i="35" s="1"/>
  <c r="I187" i="35"/>
  <c r="AG187" i="35" s="1"/>
  <c r="M187" i="35"/>
  <c r="AK187" i="35" s="1"/>
  <c r="AN187" i="35"/>
  <c r="P187" i="35" s="1"/>
  <c r="AR187" i="35"/>
  <c r="T187" i="35" s="1"/>
  <c r="AV187" i="35"/>
  <c r="X187" i="35" s="1"/>
  <c r="D183" i="35"/>
  <c r="BE183" i="35"/>
  <c r="CC183" i="35" s="1"/>
  <c r="BI183" i="35"/>
  <c r="CG183" i="35" s="1"/>
  <c r="BM183" i="35"/>
  <c r="CK183" i="35" s="1"/>
  <c r="CN183" i="35"/>
  <c r="BP183" i="35" s="1"/>
  <c r="CR183" i="35"/>
  <c r="BT183" i="35" s="1"/>
  <c r="CV183" i="35"/>
  <c r="BX183" i="35" s="1"/>
  <c r="BF183" i="35"/>
  <c r="CD183" i="35" s="1"/>
  <c r="BJ183" i="35"/>
  <c r="CH183" i="35" s="1"/>
  <c r="BN183" i="35"/>
  <c r="CL183" i="35" s="1"/>
  <c r="CO183" i="35"/>
  <c r="BQ183" i="35" s="1"/>
  <c r="CS183" i="35"/>
  <c r="BU183" i="35" s="1"/>
  <c r="CW183" i="35"/>
  <c r="BY183" i="35" s="1"/>
  <c r="BC183" i="35"/>
  <c r="CA183" i="35" s="1"/>
  <c r="BG183" i="35"/>
  <c r="CE183" i="35" s="1"/>
  <c r="BK183" i="35"/>
  <c r="CI183" i="35" s="1"/>
  <c r="CP183" i="35"/>
  <c r="BR183" i="35" s="1"/>
  <c r="CT183" i="35"/>
  <c r="BV183" i="35" s="1"/>
  <c r="CX183" i="35"/>
  <c r="BZ183" i="35" s="1"/>
  <c r="BD183" i="35"/>
  <c r="CB183" i="35" s="1"/>
  <c r="BH183" i="35"/>
  <c r="CF183" i="35" s="1"/>
  <c r="BL183" i="35"/>
  <c r="CJ183" i="35" s="1"/>
  <c r="CM183" i="35"/>
  <c r="BO183" i="35" s="1"/>
  <c r="CQ183" i="35"/>
  <c r="BS183" i="35" s="1"/>
  <c r="CU183" i="35"/>
  <c r="BW183" i="35" s="1"/>
  <c r="H183" i="35"/>
  <c r="AF183" i="35" s="1"/>
  <c r="L183" i="35"/>
  <c r="AJ183" i="35" s="1"/>
  <c r="AB183" i="35"/>
  <c r="AQ183" i="35"/>
  <c r="S183" i="35" s="1"/>
  <c r="AU183" i="35"/>
  <c r="W183" i="35" s="1"/>
  <c r="AY183" i="35"/>
  <c r="AA183" i="35" s="1"/>
  <c r="E183" i="35"/>
  <c r="AC183" i="35" s="1"/>
  <c r="I183" i="35"/>
  <c r="AG183" i="35" s="1"/>
  <c r="M183" i="35"/>
  <c r="AK183" i="35" s="1"/>
  <c r="AN183" i="35"/>
  <c r="P183" i="35" s="1"/>
  <c r="AR183" i="35"/>
  <c r="T183" i="35" s="1"/>
  <c r="AV183" i="35"/>
  <c r="X183" i="35" s="1"/>
  <c r="F183" i="35"/>
  <c r="AD183" i="35" s="1"/>
  <c r="J183" i="35"/>
  <c r="AH183" i="35" s="1"/>
  <c r="N183" i="35"/>
  <c r="AL183" i="35" s="1"/>
  <c r="AO183" i="35"/>
  <c r="Q183" i="35" s="1"/>
  <c r="AS183" i="35"/>
  <c r="U183" i="35" s="1"/>
  <c r="AW183" i="35"/>
  <c r="Y183" i="35" s="1"/>
  <c r="G183" i="35"/>
  <c r="AE183" i="35" s="1"/>
  <c r="K183" i="35"/>
  <c r="AI183" i="35" s="1"/>
  <c r="O183" i="35"/>
  <c r="AM183" i="35" s="1"/>
  <c r="AP183" i="35"/>
  <c r="R183" i="35" s="1"/>
  <c r="AT183" i="35"/>
  <c r="V183" i="35" s="1"/>
  <c r="AX183" i="35"/>
  <c r="Z183" i="35" s="1"/>
  <c r="D179" i="35"/>
  <c r="BC179" i="35"/>
  <c r="CA179" i="35" s="1"/>
  <c r="BG179" i="35"/>
  <c r="CE179" i="35" s="1"/>
  <c r="BK179" i="35"/>
  <c r="CI179" i="35" s="1"/>
  <c r="CP179" i="35"/>
  <c r="BR179" i="35" s="1"/>
  <c r="CT179" i="35"/>
  <c r="BV179" i="35" s="1"/>
  <c r="CX179" i="35"/>
  <c r="BZ179" i="35" s="1"/>
  <c r="BD179" i="35"/>
  <c r="CB179" i="35" s="1"/>
  <c r="BH179" i="35"/>
  <c r="CF179" i="35" s="1"/>
  <c r="BL179" i="35"/>
  <c r="CJ179" i="35" s="1"/>
  <c r="CM179" i="35"/>
  <c r="BO179" i="35" s="1"/>
  <c r="CQ179" i="35"/>
  <c r="BS179" i="35" s="1"/>
  <c r="CU179" i="35"/>
  <c r="BW179" i="35" s="1"/>
  <c r="BE179" i="35"/>
  <c r="CC179" i="35" s="1"/>
  <c r="BI179" i="35"/>
  <c r="CG179" i="35" s="1"/>
  <c r="BM179" i="35"/>
  <c r="CK179" i="35" s="1"/>
  <c r="CN179" i="35"/>
  <c r="BP179" i="35" s="1"/>
  <c r="CR179" i="35"/>
  <c r="BT179" i="35" s="1"/>
  <c r="CV179" i="35"/>
  <c r="BX179" i="35" s="1"/>
  <c r="BF179" i="35"/>
  <c r="CD179" i="35" s="1"/>
  <c r="BJ179" i="35"/>
  <c r="CH179" i="35" s="1"/>
  <c r="BN179" i="35"/>
  <c r="CL179" i="35" s="1"/>
  <c r="CO179" i="35"/>
  <c r="BQ179" i="35" s="1"/>
  <c r="CS179" i="35"/>
  <c r="BU179" i="35" s="1"/>
  <c r="CW179" i="35"/>
  <c r="BY179" i="35" s="1"/>
  <c r="F179" i="35"/>
  <c r="AD179" i="35" s="1"/>
  <c r="J179" i="35"/>
  <c r="AH179" i="35" s="1"/>
  <c r="N179" i="35"/>
  <c r="AL179" i="35" s="1"/>
  <c r="AO179" i="35"/>
  <c r="Q179" i="35" s="1"/>
  <c r="AS179" i="35"/>
  <c r="U179" i="35" s="1"/>
  <c r="AW179" i="35"/>
  <c r="Y179" i="35" s="1"/>
  <c r="G179" i="35"/>
  <c r="AE179" i="35" s="1"/>
  <c r="K179" i="35"/>
  <c r="AI179" i="35" s="1"/>
  <c r="O179" i="35"/>
  <c r="AM179" i="35" s="1"/>
  <c r="AP179" i="35"/>
  <c r="R179" i="35" s="1"/>
  <c r="AT179" i="35"/>
  <c r="V179" i="35" s="1"/>
  <c r="AX179" i="35"/>
  <c r="Z179" i="35" s="1"/>
  <c r="H179" i="35"/>
  <c r="AF179" i="35" s="1"/>
  <c r="L179" i="35"/>
  <c r="AJ179" i="35" s="1"/>
  <c r="AB179" i="35"/>
  <c r="AQ179" i="35"/>
  <c r="S179" i="35" s="1"/>
  <c r="AU179" i="35"/>
  <c r="W179" i="35" s="1"/>
  <c r="AY179" i="35"/>
  <c r="AA179" i="35" s="1"/>
  <c r="E179" i="35"/>
  <c r="AC179" i="35" s="1"/>
  <c r="I179" i="35"/>
  <c r="AG179" i="35" s="1"/>
  <c r="M179" i="35"/>
  <c r="AK179" i="35" s="1"/>
  <c r="AN179" i="35"/>
  <c r="P179" i="35" s="1"/>
  <c r="AR179" i="35"/>
  <c r="T179" i="35" s="1"/>
  <c r="AV179" i="35"/>
  <c r="X179" i="35" s="1"/>
  <c r="D175" i="35"/>
  <c r="BC175" i="35"/>
  <c r="CA175" i="35" s="1"/>
  <c r="BG175" i="35"/>
  <c r="CE175" i="35" s="1"/>
  <c r="BK175" i="35"/>
  <c r="CI175" i="35" s="1"/>
  <c r="CP175" i="35"/>
  <c r="BR175" i="35" s="1"/>
  <c r="CT175" i="35"/>
  <c r="BV175" i="35" s="1"/>
  <c r="CX175" i="35"/>
  <c r="BZ175" i="35" s="1"/>
  <c r="BD175" i="35"/>
  <c r="CB175" i="35" s="1"/>
  <c r="BH175" i="35"/>
  <c r="CF175" i="35" s="1"/>
  <c r="BL175" i="35"/>
  <c r="CJ175" i="35" s="1"/>
  <c r="CM175" i="35"/>
  <c r="BO175" i="35" s="1"/>
  <c r="CQ175" i="35"/>
  <c r="BS175" i="35" s="1"/>
  <c r="CU175" i="35"/>
  <c r="BW175" i="35" s="1"/>
  <c r="BE175" i="35"/>
  <c r="CC175" i="35" s="1"/>
  <c r="BI175" i="35"/>
  <c r="CG175" i="35" s="1"/>
  <c r="BM175" i="35"/>
  <c r="CK175" i="35" s="1"/>
  <c r="CN175" i="35"/>
  <c r="BP175" i="35" s="1"/>
  <c r="CR175" i="35"/>
  <c r="BT175" i="35" s="1"/>
  <c r="CV175" i="35"/>
  <c r="BX175" i="35" s="1"/>
  <c r="BF175" i="35"/>
  <c r="CD175" i="35" s="1"/>
  <c r="BJ175" i="35"/>
  <c r="CH175" i="35" s="1"/>
  <c r="BN175" i="35"/>
  <c r="CL175" i="35" s="1"/>
  <c r="CO175" i="35"/>
  <c r="BQ175" i="35" s="1"/>
  <c r="CS175" i="35"/>
  <c r="BU175" i="35" s="1"/>
  <c r="CW175" i="35"/>
  <c r="BY175" i="35" s="1"/>
  <c r="G175" i="35"/>
  <c r="AE175" i="35" s="1"/>
  <c r="K175" i="35"/>
  <c r="AI175" i="35" s="1"/>
  <c r="O175" i="35"/>
  <c r="AM175" i="35" s="1"/>
  <c r="AP175" i="35"/>
  <c r="R175" i="35" s="1"/>
  <c r="AT175" i="35"/>
  <c r="V175" i="35" s="1"/>
  <c r="AX175" i="35"/>
  <c r="Z175" i="35" s="1"/>
  <c r="H175" i="35"/>
  <c r="AF175" i="35" s="1"/>
  <c r="L175" i="35"/>
  <c r="AJ175" i="35" s="1"/>
  <c r="AB175" i="35"/>
  <c r="AQ175" i="35"/>
  <c r="S175" i="35" s="1"/>
  <c r="AU175" i="35"/>
  <c r="W175" i="35" s="1"/>
  <c r="AY175" i="35"/>
  <c r="AA175" i="35" s="1"/>
  <c r="E175" i="35"/>
  <c r="AC175" i="35" s="1"/>
  <c r="I175" i="35"/>
  <c r="AG175" i="35" s="1"/>
  <c r="M175" i="35"/>
  <c r="AK175" i="35" s="1"/>
  <c r="AN175" i="35"/>
  <c r="P175" i="35" s="1"/>
  <c r="AR175" i="35"/>
  <c r="T175" i="35" s="1"/>
  <c r="AV175" i="35"/>
  <c r="X175" i="35" s="1"/>
  <c r="F175" i="35"/>
  <c r="AD175" i="35" s="1"/>
  <c r="J175" i="35"/>
  <c r="AH175" i="35" s="1"/>
  <c r="N175" i="35"/>
  <c r="AL175" i="35" s="1"/>
  <c r="AO175" i="35"/>
  <c r="Q175" i="35" s="1"/>
  <c r="AS175" i="35"/>
  <c r="U175" i="35" s="1"/>
  <c r="AW175" i="35"/>
  <c r="Y175" i="35" s="1"/>
  <c r="D171" i="35"/>
  <c r="BE171" i="35"/>
  <c r="CC171" i="35" s="1"/>
  <c r="BI171" i="35"/>
  <c r="CG171" i="35" s="1"/>
  <c r="BM171" i="35"/>
  <c r="CK171" i="35" s="1"/>
  <c r="CP171" i="35"/>
  <c r="BR171" i="35" s="1"/>
  <c r="CT171" i="35"/>
  <c r="BV171" i="35" s="1"/>
  <c r="CX171" i="35"/>
  <c r="BZ171" i="35" s="1"/>
  <c r="BF171" i="35"/>
  <c r="CD171" i="35" s="1"/>
  <c r="BJ171" i="35"/>
  <c r="CH171" i="35" s="1"/>
  <c r="BN171" i="35"/>
  <c r="CL171" i="35" s="1"/>
  <c r="CM171" i="35"/>
  <c r="BO171" i="35" s="1"/>
  <c r="CQ171" i="35"/>
  <c r="BS171" i="35" s="1"/>
  <c r="CU171" i="35"/>
  <c r="BW171" i="35" s="1"/>
  <c r="BC171" i="35"/>
  <c r="CA171" i="35" s="1"/>
  <c r="BG171" i="35"/>
  <c r="CE171" i="35" s="1"/>
  <c r="BK171" i="35"/>
  <c r="CI171" i="35" s="1"/>
  <c r="CN171" i="35"/>
  <c r="BP171" i="35" s="1"/>
  <c r="CR171" i="35"/>
  <c r="BT171" i="35" s="1"/>
  <c r="CV171" i="35"/>
  <c r="BX171" i="35" s="1"/>
  <c r="BD171" i="35"/>
  <c r="CB171" i="35" s="1"/>
  <c r="BH171" i="35"/>
  <c r="CF171" i="35" s="1"/>
  <c r="BL171" i="35"/>
  <c r="CJ171" i="35" s="1"/>
  <c r="CO171" i="35"/>
  <c r="BQ171" i="35" s="1"/>
  <c r="CS171" i="35"/>
  <c r="BU171" i="35" s="1"/>
  <c r="CW171" i="35"/>
  <c r="BY171" i="35" s="1"/>
  <c r="G171" i="35"/>
  <c r="AE171" i="35" s="1"/>
  <c r="K171" i="35"/>
  <c r="AI171" i="35" s="1"/>
  <c r="O171" i="35"/>
  <c r="AM171" i="35" s="1"/>
  <c r="AQ171" i="35"/>
  <c r="S171" i="35" s="1"/>
  <c r="AU171" i="35"/>
  <c r="W171" i="35" s="1"/>
  <c r="AY171" i="35"/>
  <c r="AA171" i="35" s="1"/>
  <c r="H171" i="35"/>
  <c r="AF171" i="35" s="1"/>
  <c r="L171" i="35"/>
  <c r="AJ171" i="35" s="1"/>
  <c r="AB171" i="35"/>
  <c r="AN171" i="35"/>
  <c r="P171" i="35" s="1"/>
  <c r="AR171" i="35"/>
  <c r="T171" i="35" s="1"/>
  <c r="AV171" i="35"/>
  <c r="X171" i="35" s="1"/>
  <c r="E171" i="35"/>
  <c r="AC171" i="35" s="1"/>
  <c r="I171" i="35"/>
  <c r="AG171" i="35" s="1"/>
  <c r="M171" i="35"/>
  <c r="AK171" i="35" s="1"/>
  <c r="AO171" i="35"/>
  <c r="Q171" i="35" s="1"/>
  <c r="AS171" i="35"/>
  <c r="U171" i="35" s="1"/>
  <c r="AW171" i="35"/>
  <c r="Y171" i="35" s="1"/>
  <c r="F171" i="35"/>
  <c r="AD171" i="35" s="1"/>
  <c r="J171" i="35"/>
  <c r="AH171" i="35" s="1"/>
  <c r="N171" i="35"/>
  <c r="AL171" i="35" s="1"/>
  <c r="AP171" i="35"/>
  <c r="R171" i="35" s="1"/>
  <c r="AT171" i="35"/>
  <c r="V171" i="35" s="1"/>
  <c r="AX171" i="35"/>
  <c r="Z171" i="35" s="1"/>
  <c r="D167" i="35"/>
  <c r="BC167" i="35"/>
  <c r="CA167" i="35" s="1"/>
  <c r="BG167" i="35"/>
  <c r="CE167" i="35" s="1"/>
  <c r="BK167" i="35"/>
  <c r="CI167" i="35" s="1"/>
  <c r="CO167" i="35"/>
  <c r="BQ167" i="35" s="1"/>
  <c r="CS167" i="35"/>
  <c r="BU167" i="35" s="1"/>
  <c r="CW167" i="35"/>
  <c r="BY167" i="35" s="1"/>
  <c r="BD167" i="35"/>
  <c r="CB167" i="35" s="1"/>
  <c r="BH167" i="35"/>
  <c r="CF167" i="35" s="1"/>
  <c r="BL167" i="35"/>
  <c r="CJ167" i="35" s="1"/>
  <c r="CP167" i="35"/>
  <c r="BR167" i="35" s="1"/>
  <c r="CT167" i="35"/>
  <c r="BV167" i="35" s="1"/>
  <c r="CX167" i="35"/>
  <c r="BZ167" i="35" s="1"/>
  <c r="BE167" i="35"/>
  <c r="CC167" i="35" s="1"/>
  <c r="BI167" i="35"/>
  <c r="CG167" i="35" s="1"/>
  <c r="BM167" i="35"/>
  <c r="CK167" i="35" s="1"/>
  <c r="CM167" i="35"/>
  <c r="BO167" i="35" s="1"/>
  <c r="CQ167" i="35"/>
  <c r="BS167" i="35" s="1"/>
  <c r="CU167" i="35"/>
  <c r="BW167" i="35" s="1"/>
  <c r="BF167" i="35"/>
  <c r="CD167" i="35" s="1"/>
  <c r="BJ167" i="35"/>
  <c r="CH167" i="35" s="1"/>
  <c r="BN167" i="35"/>
  <c r="CL167" i="35" s="1"/>
  <c r="CN167" i="35"/>
  <c r="BP167" i="35" s="1"/>
  <c r="CR167" i="35"/>
  <c r="BT167" i="35" s="1"/>
  <c r="CV167" i="35"/>
  <c r="BX167" i="35" s="1"/>
  <c r="G167" i="35"/>
  <c r="AE167" i="35" s="1"/>
  <c r="K167" i="35"/>
  <c r="AI167" i="35" s="1"/>
  <c r="O167" i="35"/>
  <c r="AM167" i="35" s="1"/>
  <c r="AP167" i="35"/>
  <c r="R167" i="35" s="1"/>
  <c r="AT167" i="35"/>
  <c r="V167" i="35" s="1"/>
  <c r="AX167" i="35"/>
  <c r="Z167" i="35" s="1"/>
  <c r="H167" i="35"/>
  <c r="AF167" i="35" s="1"/>
  <c r="L167" i="35"/>
  <c r="AJ167" i="35" s="1"/>
  <c r="AB167" i="35"/>
  <c r="AQ167" i="35"/>
  <c r="S167" i="35" s="1"/>
  <c r="AU167" i="35"/>
  <c r="W167" i="35" s="1"/>
  <c r="AY167" i="35"/>
  <c r="AA167" i="35" s="1"/>
  <c r="E167" i="35"/>
  <c r="AC167" i="35" s="1"/>
  <c r="I167" i="35"/>
  <c r="AG167" i="35" s="1"/>
  <c r="M167" i="35"/>
  <c r="AK167" i="35" s="1"/>
  <c r="AN167" i="35"/>
  <c r="P167" i="35" s="1"/>
  <c r="AR167" i="35"/>
  <c r="T167" i="35" s="1"/>
  <c r="AV167" i="35"/>
  <c r="X167" i="35" s="1"/>
  <c r="F167" i="35"/>
  <c r="AD167" i="35" s="1"/>
  <c r="J167" i="35"/>
  <c r="AH167" i="35" s="1"/>
  <c r="N167" i="35"/>
  <c r="AL167" i="35" s="1"/>
  <c r="AO167" i="35"/>
  <c r="Q167" i="35" s="1"/>
  <c r="AS167" i="35"/>
  <c r="U167" i="35" s="1"/>
  <c r="AW167" i="35"/>
  <c r="Y167" i="35" s="1"/>
  <c r="D163" i="35"/>
  <c r="BD163" i="35"/>
  <c r="CB163" i="35" s="1"/>
  <c r="BH163" i="35"/>
  <c r="CF163" i="35" s="1"/>
  <c r="BL163" i="35"/>
  <c r="CJ163" i="35" s="1"/>
  <c r="BE163" i="35"/>
  <c r="CC163" i="35" s="1"/>
  <c r="BI163" i="35"/>
  <c r="CG163" i="35" s="1"/>
  <c r="BM163" i="35"/>
  <c r="CK163" i="35" s="1"/>
  <c r="BF163" i="35"/>
  <c r="CD163" i="35" s="1"/>
  <c r="BJ163" i="35"/>
  <c r="CH163" i="35" s="1"/>
  <c r="BN163" i="35"/>
  <c r="CL163" i="35" s="1"/>
  <c r="CM163" i="35"/>
  <c r="BO163" i="35" s="1"/>
  <c r="CQ163" i="35"/>
  <c r="BS163" i="35" s="1"/>
  <c r="CU163" i="35"/>
  <c r="BW163" i="35" s="1"/>
  <c r="BC163" i="35"/>
  <c r="CA163" i="35" s="1"/>
  <c r="BG163" i="35"/>
  <c r="CE163" i="35" s="1"/>
  <c r="BK163" i="35"/>
  <c r="CI163" i="35" s="1"/>
  <c r="CN163" i="35"/>
  <c r="BP163" i="35" s="1"/>
  <c r="CR163" i="35"/>
  <c r="BT163" i="35" s="1"/>
  <c r="CV163" i="35"/>
  <c r="BX163" i="35" s="1"/>
  <c r="CO163" i="35"/>
  <c r="BQ163" i="35" s="1"/>
  <c r="CW163" i="35"/>
  <c r="BY163" i="35" s="1"/>
  <c r="CP163" i="35"/>
  <c r="BR163" i="35" s="1"/>
  <c r="CX163" i="35"/>
  <c r="BZ163" i="35" s="1"/>
  <c r="CS163" i="35"/>
  <c r="BU163" i="35" s="1"/>
  <c r="CT163" i="35"/>
  <c r="BV163" i="35" s="1"/>
  <c r="F163" i="35"/>
  <c r="AD163" i="35" s="1"/>
  <c r="J163" i="35"/>
  <c r="AH163" i="35" s="1"/>
  <c r="N163" i="35"/>
  <c r="AL163" i="35" s="1"/>
  <c r="AQ163" i="35"/>
  <c r="S163" i="35" s="1"/>
  <c r="AU163" i="35"/>
  <c r="W163" i="35" s="1"/>
  <c r="AY163" i="35"/>
  <c r="AA163" i="35" s="1"/>
  <c r="G163" i="35"/>
  <c r="AE163" i="35" s="1"/>
  <c r="K163" i="35"/>
  <c r="AI163" i="35" s="1"/>
  <c r="O163" i="35"/>
  <c r="AM163" i="35" s="1"/>
  <c r="AN163" i="35"/>
  <c r="P163" i="35" s="1"/>
  <c r="AR163" i="35"/>
  <c r="T163" i="35" s="1"/>
  <c r="AV163" i="35"/>
  <c r="X163" i="35" s="1"/>
  <c r="H163" i="35"/>
  <c r="AF163" i="35" s="1"/>
  <c r="L163" i="35"/>
  <c r="AJ163" i="35" s="1"/>
  <c r="AB163" i="35"/>
  <c r="AO163" i="35"/>
  <c r="Q163" i="35" s="1"/>
  <c r="AS163" i="35"/>
  <c r="U163" i="35" s="1"/>
  <c r="AW163" i="35"/>
  <c r="Y163" i="35" s="1"/>
  <c r="E163" i="35"/>
  <c r="AC163" i="35" s="1"/>
  <c r="I163" i="35"/>
  <c r="AG163" i="35" s="1"/>
  <c r="M163" i="35"/>
  <c r="AK163" i="35" s="1"/>
  <c r="AP163" i="35"/>
  <c r="R163" i="35" s="1"/>
  <c r="AT163" i="35"/>
  <c r="V163" i="35" s="1"/>
  <c r="AX163" i="35"/>
  <c r="Z163" i="35" s="1"/>
  <c r="D238" i="35"/>
  <c r="BC238" i="35"/>
  <c r="CA238" i="35" s="1"/>
  <c r="BG238" i="35"/>
  <c r="CE238" i="35" s="1"/>
  <c r="BK238" i="35"/>
  <c r="CI238" i="35" s="1"/>
  <c r="CM238" i="35"/>
  <c r="BO238" i="35" s="1"/>
  <c r="CQ238" i="35"/>
  <c r="BS238" i="35" s="1"/>
  <c r="CU238" i="35"/>
  <c r="BW238" i="35" s="1"/>
  <c r="BD238" i="35"/>
  <c r="CB238" i="35" s="1"/>
  <c r="BH238" i="35"/>
  <c r="CF238" i="35" s="1"/>
  <c r="BL238" i="35"/>
  <c r="CJ238" i="35" s="1"/>
  <c r="CN238" i="35"/>
  <c r="BP238" i="35" s="1"/>
  <c r="CR238" i="35"/>
  <c r="BT238" i="35" s="1"/>
  <c r="CV238" i="35"/>
  <c r="BX238" i="35" s="1"/>
  <c r="BE238" i="35"/>
  <c r="CC238" i="35" s="1"/>
  <c r="BI238" i="35"/>
  <c r="CG238" i="35" s="1"/>
  <c r="BM238" i="35"/>
  <c r="CK238" i="35" s="1"/>
  <c r="CO238" i="35"/>
  <c r="BQ238" i="35" s="1"/>
  <c r="CS238" i="35"/>
  <c r="BU238" i="35" s="1"/>
  <c r="CW238" i="35"/>
  <c r="BY238" i="35" s="1"/>
  <c r="BF238" i="35"/>
  <c r="CD238" i="35" s="1"/>
  <c r="BJ238" i="35"/>
  <c r="CH238" i="35" s="1"/>
  <c r="BN238" i="35"/>
  <c r="CL238" i="35" s="1"/>
  <c r="CP238" i="35"/>
  <c r="BR238" i="35" s="1"/>
  <c r="CT238" i="35"/>
  <c r="BV238" i="35" s="1"/>
  <c r="CX238" i="35"/>
  <c r="BZ238" i="35" s="1"/>
  <c r="G238" i="35"/>
  <c r="AE238" i="35" s="1"/>
  <c r="K238" i="35"/>
  <c r="AI238" i="35" s="1"/>
  <c r="O238" i="35"/>
  <c r="AM238" i="35" s="1"/>
  <c r="AO238" i="35"/>
  <c r="Q238" i="35" s="1"/>
  <c r="AS238" i="35"/>
  <c r="U238" i="35" s="1"/>
  <c r="AW238" i="35"/>
  <c r="Y238" i="35" s="1"/>
  <c r="H238" i="35"/>
  <c r="AF238" i="35" s="1"/>
  <c r="L238" i="35"/>
  <c r="AJ238" i="35" s="1"/>
  <c r="AB238" i="35"/>
  <c r="AP238" i="35"/>
  <c r="R238" i="35" s="1"/>
  <c r="AT238" i="35"/>
  <c r="V238" i="35" s="1"/>
  <c r="AX238" i="35"/>
  <c r="Z238" i="35" s="1"/>
  <c r="E238" i="35"/>
  <c r="AC238" i="35" s="1"/>
  <c r="I238" i="35"/>
  <c r="AG238" i="35" s="1"/>
  <c r="M238" i="35"/>
  <c r="AK238" i="35" s="1"/>
  <c r="AQ238" i="35"/>
  <c r="S238" i="35" s="1"/>
  <c r="AU238" i="35"/>
  <c r="W238" i="35" s="1"/>
  <c r="AY238" i="35"/>
  <c r="AA238" i="35" s="1"/>
  <c r="F238" i="35"/>
  <c r="AD238" i="35" s="1"/>
  <c r="J238" i="35"/>
  <c r="AH238" i="35" s="1"/>
  <c r="N238" i="35"/>
  <c r="AL238" i="35" s="1"/>
  <c r="AN238" i="35"/>
  <c r="P238" i="35" s="1"/>
  <c r="AR238" i="35"/>
  <c r="T238" i="35" s="1"/>
  <c r="AV238" i="35"/>
  <c r="X238" i="35" s="1"/>
  <c r="D234" i="35"/>
  <c r="BF234" i="35"/>
  <c r="CD234" i="35" s="1"/>
  <c r="BJ234" i="35"/>
  <c r="CH234" i="35" s="1"/>
  <c r="BN234" i="35"/>
  <c r="CL234" i="35" s="1"/>
  <c r="CP234" i="35"/>
  <c r="BR234" i="35" s="1"/>
  <c r="CT234" i="35"/>
  <c r="BV234" i="35" s="1"/>
  <c r="CX234" i="35"/>
  <c r="BZ234" i="35" s="1"/>
  <c r="BC234" i="35"/>
  <c r="CA234" i="35" s="1"/>
  <c r="BG234" i="35"/>
  <c r="CE234" i="35" s="1"/>
  <c r="BK234" i="35"/>
  <c r="CI234" i="35" s="1"/>
  <c r="CM234" i="35"/>
  <c r="BO234" i="35" s="1"/>
  <c r="CQ234" i="35"/>
  <c r="BS234" i="35" s="1"/>
  <c r="CU234" i="35"/>
  <c r="BW234" i="35" s="1"/>
  <c r="BH234" i="35"/>
  <c r="CF234" i="35" s="1"/>
  <c r="CR234" i="35"/>
  <c r="BT234" i="35" s="1"/>
  <c r="BI234" i="35"/>
  <c r="CG234" i="35" s="1"/>
  <c r="CS234" i="35"/>
  <c r="BU234" i="35" s="1"/>
  <c r="BD234" i="35"/>
  <c r="CB234" i="35" s="1"/>
  <c r="BL234" i="35"/>
  <c r="CJ234" i="35" s="1"/>
  <c r="CN234" i="35"/>
  <c r="BP234" i="35" s="1"/>
  <c r="CV234" i="35"/>
  <c r="BX234" i="35" s="1"/>
  <c r="BE234" i="35"/>
  <c r="CC234" i="35" s="1"/>
  <c r="BM234" i="35"/>
  <c r="CK234" i="35" s="1"/>
  <c r="CO234" i="35"/>
  <c r="BQ234" i="35" s="1"/>
  <c r="CW234" i="35"/>
  <c r="BY234" i="35" s="1"/>
  <c r="H234" i="35"/>
  <c r="AF234" i="35" s="1"/>
  <c r="L234" i="35"/>
  <c r="AJ234" i="35" s="1"/>
  <c r="AB234" i="35"/>
  <c r="AQ234" i="35"/>
  <c r="S234" i="35" s="1"/>
  <c r="AU234" i="35"/>
  <c r="W234" i="35" s="1"/>
  <c r="AY234" i="35"/>
  <c r="AA234" i="35" s="1"/>
  <c r="E234" i="35"/>
  <c r="AC234" i="35" s="1"/>
  <c r="I234" i="35"/>
  <c r="AG234" i="35" s="1"/>
  <c r="M234" i="35"/>
  <c r="AK234" i="35" s="1"/>
  <c r="AN234" i="35"/>
  <c r="P234" i="35" s="1"/>
  <c r="AR234" i="35"/>
  <c r="T234" i="35" s="1"/>
  <c r="AV234" i="35"/>
  <c r="X234" i="35" s="1"/>
  <c r="F234" i="35"/>
  <c r="AD234" i="35" s="1"/>
  <c r="J234" i="35"/>
  <c r="AH234" i="35" s="1"/>
  <c r="N234" i="35"/>
  <c r="AL234" i="35" s="1"/>
  <c r="AO234" i="35"/>
  <c r="Q234" i="35" s="1"/>
  <c r="AS234" i="35"/>
  <c r="U234" i="35" s="1"/>
  <c r="AW234" i="35"/>
  <c r="Y234" i="35" s="1"/>
  <c r="G234" i="35"/>
  <c r="AE234" i="35" s="1"/>
  <c r="K234" i="35"/>
  <c r="AI234" i="35" s="1"/>
  <c r="O234" i="35"/>
  <c r="AM234" i="35" s="1"/>
  <c r="AP234" i="35"/>
  <c r="R234" i="35" s="1"/>
  <c r="AT234" i="35"/>
  <c r="V234" i="35" s="1"/>
  <c r="AX234" i="35"/>
  <c r="Z234" i="35" s="1"/>
  <c r="D230" i="35"/>
  <c r="BD230" i="35"/>
  <c r="CB230" i="35" s="1"/>
  <c r="BH230" i="35"/>
  <c r="CF230" i="35" s="1"/>
  <c r="BL230" i="35"/>
  <c r="CJ230" i="35" s="1"/>
  <c r="CN230" i="35"/>
  <c r="BP230" i="35" s="1"/>
  <c r="CR230" i="35"/>
  <c r="BT230" i="35" s="1"/>
  <c r="CV230" i="35"/>
  <c r="BX230" i="35" s="1"/>
  <c r="BE230" i="35"/>
  <c r="CC230" i="35" s="1"/>
  <c r="BI230" i="35"/>
  <c r="CG230" i="35" s="1"/>
  <c r="BM230" i="35"/>
  <c r="CK230" i="35" s="1"/>
  <c r="CO230" i="35"/>
  <c r="BQ230" i="35" s="1"/>
  <c r="CS230" i="35"/>
  <c r="BU230" i="35" s="1"/>
  <c r="CW230" i="35"/>
  <c r="BY230" i="35" s="1"/>
  <c r="BF230" i="35"/>
  <c r="CD230" i="35" s="1"/>
  <c r="BJ230" i="35"/>
  <c r="CH230" i="35" s="1"/>
  <c r="BN230" i="35"/>
  <c r="CL230" i="35" s="1"/>
  <c r="CP230" i="35"/>
  <c r="BR230" i="35" s="1"/>
  <c r="CT230" i="35"/>
  <c r="BV230" i="35" s="1"/>
  <c r="CX230" i="35"/>
  <c r="BZ230" i="35" s="1"/>
  <c r="BC230" i="35"/>
  <c r="CA230" i="35" s="1"/>
  <c r="BG230" i="35"/>
  <c r="CE230" i="35" s="1"/>
  <c r="BK230" i="35"/>
  <c r="CI230" i="35" s="1"/>
  <c r="CM230" i="35"/>
  <c r="BO230" i="35" s="1"/>
  <c r="CQ230" i="35"/>
  <c r="BS230" i="35" s="1"/>
  <c r="CU230" i="35"/>
  <c r="BW230" i="35" s="1"/>
  <c r="E230" i="35"/>
  <c r="AC230" i="35" s="1"/>
  <c r="I230" i="35"/>
  <c r="AG230" i="35" s="1"/>
  <c r="M230" i="35"/>
  <c r="AK230" i="35" s="1"/>
  <c r="AN230" i="35"/>
  <c r="P230" i="35" s="1"/>
  <c r="AR230" i="35"/>
  <c r="T230" i="35" s="1"/>
  <c r="AV230" i="35"/>
  <c r="X230" i="35" s="1"/>
  <c r="F230" i="35"/>
  <c r="AD230" i="35" s="1"/>
  <c r="J230" i="35"/>
  <c r="AH230" i="35" s="1"/>
  <c r="N230" i="35"/>
  <c r="AL230" i="35" s="1"/>
  <c r="AO230" i="35"/>
  <c r="Q230" i="35" s="1"/>
  <c r="AS230" i="35"/>
  <c r="U230" i="35" s="1"/>
  <c r="AW230" i="35"/>
  <c r="Y230" i="35" s="1"/>
  <c r="G230" i="35"/>
  <c r="AE230" i="35" s="1"/>
  <c r="K230" i="35"/>
  <c r="AI230" i="35" s="1"/>
  <c r="O230" i="35"/>
  <c r="AM230" i="35" s="1"/>
  <c r="AP230" i="35"/>
  <c r="R230" i="35" s="1"/>
  <c r="AT230" i="35"/>
  <c r="V230" i="35" s="1"/>
  <c r="AX230" i="35"/>
  <c r="Z230" i="35" s="1"/>
  <c r="H230" i="35"/>
  <c r="AF230" i="35" s="1"/>
  <c r="L230" i="35"/>
  <c r="AJ230" i="35" s="1"/>
  <c r="AB230" i="35"/>
  <c r="AQ230" i="35"/>
  <c r="S230" i="35" s="1"/>
  <c r="AU230" i="35"/>
  <c r="W230" i="35" s="1"/>
  <c r="AY230" i="35"/>
  <c r="AA230" i="35" s="1"/>
  <c r="D226" i="35"/>
  <c r="BD226" i="35"/>
  <c r="CB226" i="35" s="1"/>
  <c r="BH226" i="35"/>
  <c r="CF226" i="35" s="1"/>
  <c r="BL226" i="35"/>
  <c r="CJ226" i="35" s="1"/>
  <c r="CN226" i="35"/>
  <c r="BP226" i="35" s="1"/>
  <c r="CR226" i="35"/>
  <c r="BT226" i="35" s="1"/>
  <c r="CV226" i="35"/>
  <c r="BX226" i="35" s="1"/>
  <c r="BE226" i="35"/>
  <c r="CC226" i="35" s="1"/>
  <c r="BI226" i="35"/>
  <c r="CG226" i="35" s="1"/>
  <c r="BM226" i="35"/>
  <c r="CK226" i="35" s="1"/>
  <c r="CO226" i="35"/>
  <c r="BQ226" i="35" s="1"/>
  <c r="CS226" i="35"/>
  <c r="BU226" i="35" s="1"/>
  <c r="CW226" i="35"/>
  <c r="BY226" i="35" s="1"/>
  <c r="BF226" i="35"/>
  <c r="CD226" i="35" s="1"/>
  <c r="BJ226" i="35"/>
  <c r="CH226" i="35" s="1"/>
  <c r="BN226" i="35"/>
  <c r="CL226" i="35" s="1"/>
  <c r="CP226" i="35"/>
  <c r="BR226" i="35" s="1"/>
  <c r="CT226" i="35"/>
  <c r="BV226" i="35" s="1"/>
  <c r="CX226" i="35"/>
  <c r="BZ226" i="35" s="1"/>
  <c r="BC226" i="35"/>
  <c r="CA226" i="35" s="1"/>
  <c r="BG226" i="35"/>
  <c r="CE226" i="35" s="1"/>
  <c r="BK226" i="35"/>
  <c r="CI226" i="35" s="1"/>
  <c r="CM226" i="35"/>
  <c r="BO226" i="35" s="1"/>
  <c r="CQ226" i="35"/>
  <c r="BS226" i="35" s="1"/>
  <c r="CU226" i="35"/>
  <c r="BW226" i="35" s="1"/>
  <c r="E226" i="35"/>
  <c r="AC226" i="35" s="1"/>
  <c r="I226" i="35"/>
  <c r="AG226" i="35" s="1"/>
  <c r="M226" i="35"/>
  <c r="AK226" i="35" s="1"/>
  <c r="AN226" i="35"/>
  <c r="P226" i="35" s="1"/>
  <c r="AR226" i="35"/>
  <c r="T226" i="35" s="1"/>
  <c r="AV226" i="35"/>
  <c r="X226" i="35" s="1"/>
  <c r="F226" i="35"/>
  <c r="AD226" i="35" s="1"/>
  <c r="J226" i="35"/>
  <c r="AH226" i="35" s="1"/>
  <c r="N226" i="35"/>
  <c r="AL226" i="35" s="1"/>
  <c r="AO226" i="35"/>
  <c r="Q226" i="35" s="1"/>
  <c r="AS226" i="35"/>
  <c r="U226" i="35" s="1"/>
  <c r="AW226" i="35"/>
  <c r="Y226" i="35" s="1"/>
  <c r="G226" i="35"/>
  <c r="AE226" i="35" s="1"/>
  <c r="K226" i="35"/>
  <c r="AI226" i="35" s="1"/>
  <c r="O226" i="35"/>
  <c r="AM226" i="35" s="1"/>
  <c r="AP226" i="35"/>
  <c r="R226" i="35" s="1"/>
  <c r="AT226" i="35"/>
  <c r="V226" i="35" s="1"/>
  <c r="AX226" i="35"/>
  <c r="Z226" i="35" s="1"/>
  <c r="H226" i="35"/>
  <c r="AF226" i="35" s="1"/>
  <c r="L226" i="35"/>
  <c r="AJ226" i="35" s="1"/>
  <c r="AB226" i="35"/>
  <c r="AQ226" i="35"/>
  <c r="S226" i="35" s="1"/>
  <c r="AU226" i="35"/>
  <c r="W226" i="35" s="1"/>
  <c r="AY226" i="35"/>
  <c r="AA226" i="35" s="1"/>
  <c r="D222" i="35"/>
  <c r="AO222" i="35"/>
  <c r="Q222" i="35" s="1"/>
  <c r="AW222" i="35"/>
  <c r="Y222" i="35" s="1"/>
  <c r="H222" i="35"/>
  <c r="AF222" i="35" s="1"/>
  <c r="L222" i="35"/>
  <c r="AJ222" i="35" s="1"/>
  <c r="AX222" i="35"/>
  <c r="Z222" i="35" s="1"/>
  <c r="I222" i="35"/>
  <c r="AG222" i="35" s="1"/>
  <c r="M222" i="35"/>
  <c r="AK222" i="35" s="1"/>
  <c r="AQ222" i="35"/>
  <c r="S222" i="35" s="1"/>
  <c r="J222" i="35"/>
  <c r="AH222" i="35" s="1"/>
  <c r="AN222" i="35"/>
  <c r="P222" i="35" s="1"/>
  <c r="AR222" i="35"/>
  <c r="T222" i="35" s="1"/>
  <c r="AV222" i="35"/>
  <c r="X222" i="35" s="1"/>
  <c r="D218" i="35"/>
  <c r="BF218" i="35"/>
  <c r="CD218" i="35" s="1"/>
  <c r="BJ218" i="35"/>
  <c r="CH218" i="35" s="1"/>
  <c r="BN218" i="35"/>
  <c r="CL218" i="35" s="1"/>
  <c r="CN218" i="35"/>
  <c r="BP218" i="35" s="1"/>
  <c r="CR218" i="35"/>
  <c r="BT218" i="35" s="1"/>
  <c r="CV218" i="35"/>
  <c r="BX218" i="35" s="1"/>
  <c r="BC218" i="35"/>
  <c r="CA218" i="35" s="1"/>
  <c r="BG218" i="35"/>
  <c r="CE218" i="35" s="1"/>
  <c r="BK218" i="35"/>
  <c r="CI218" i="35" s="1"/>
  <c r="CO218" i="35"/>
  <c r="BQ218" i="35" s="1"/>
  <c r="CS218" i="35"/>
  <c r="BU218" i="35" s="1"/>
  <c r="CW218" i="35"/>
  <c r="BY218" i="35" s="1"/>
  <c r="BD218" i="35"/>
  <c r="CB218" i="35" s="1"/>
  <c r="BH218" i="35"/>
  <c r="CF218" i="35" s="1"/>
  <c r="BL218" i="35"/>
  <c r="CJ218" i="35" s="1"/>
  <c r="CP218" i="35"/>
  <c r="BR218" i="35" s="1"/>
  <c r="CT218" i="35"/>
  <c r="BV218" i="35" s="1"/>
  <c r="CX218" i="35"/>
  <c r="BZ218" i="35" s="1"/>
  <c r="BE218" i="35"/>
  <c r="CC218" i="35" s="1"/>
  <c r="BI218" i="35"/>
  <c r="CG218" i="35" s="1"/>
  <c r="BM218" i="35"/>
  <c r="CK218" i="35" s="1"/>
  <c r="CM218" i="35"/>
  <c r="BO218" i="35" s="1"/>
  <c r="CQ218" i="35"/>
  <c r="BS218" i="35" s="1"/>
  <c r="CU218" i="35"/>
  <c r="BW218" i="35" s="1"/>
  <c r="H218" i="35"/>
  <c r="AF218" i="35" s="1"/>
  <c r="L218" i="35"/>
  <c r="AJ218" i="35" s="1"/>
  <c r="AB218" i="35"/>
  <c r="AQ218" i="35"/>
  <c r="S218" i="35" s="1"/>
  <c r="AU218" i="35"/>
  <c r="W218" i="35" s="1"/>
  <c r="AY218" i="35"/>
  <c r="AA218" i="35" s="1"/>
  <c r="E218" i="35"/>
  <c r="AC218" i="35" s="1"/>
  <c r="I218" i="35"/>
  <c r="AG218" i="35" s="1"/>
  <c r="M218" i="35"/>
  <c r="AK218" i="35" s="1"/>
  <c r="AN218" i="35"/>
  <c r="P218" i="35" s="1"/>
  <c r="AR218" i="35"/>
  <c r="T218" i="35" s="1"/>
  <c r="AV218" i="35"/>
  <c r="X218" i="35" s="1"/>
  <c r="F218" i="35"/>
  <c r="AD218" i="35" s="1"/>
  <c r="J218" i="35"/>
  <c r="AH218" i="35" s="1"/>
  <c r="N218" i="35"/>
  <c r="AL218" i="35" s="1"/>
  <c r="AO218" i="35"/>
  <c r="Q218" i="35" s="1"/>
  <c r="AS218" i="35"/>
  <c r="U218" i="35" s="1"/>
  <c r="AW218" i="35"/>
  <c r="Y218" i="35" s="1"/>
  <c r="G218" i="35"/>
  <c r="AE218" i="35" s="1"/>
  <c r="K218" i="35"/>
  <c r="AI218" i="35" s="1"/>
  <c r="O218" i="35"/>
  <c r="AM218" i="35" s="1"/>
  <c r="AP218" i="35"/>
  <c r="R218" i="35" s="1"/>
  <c r="AT218" i="35"/>
  <c r="V218" i="35" s="1"/>
  <c r="AX218" i="35"/>
  <c r="Z218" i="35" s="1"/>
  <c r="D214" i="35"/>
  <c r="BC214" i="35"/>
  <c r="CA214" i="35" s="1"/>
  <c r="BG214" i="35"/>
  <c r="CE214" i="35" s="1"/>
  <c r="BK214" i="35"/>
  <c r="CI214" i="35" s="1"/>
  <c r="CM214" i="35"/>
  <c r="BO214" i="35" s="1"/>
  <c r="CQ214" i="35"/>
  <c r="BS214" i="35" s="1"/>
  <c r="CU214" i="35"/>
  <c r="BW214" i="35" s="1"/>
  <c r="BD214" i="35"/>
  <c r="CB214" i="35" s="1"/>
  <c r="BH214" i="35"/>
  <c r="CF214" i="35" s="1"/>
  <c r="BL214" i="35"/>
  <c r="CJ214" i="35" s="1"/>
  <c r="CN214" i="35"/>
  <c r="BP214" i="35" s="1"/>
  <c r="CR214" i="35"/>
  <c r="BT214" i="35" s="1"/>
  <c r="CV214" i="35"/>
  <c r="BX214" i="35" s="1"/>
  <c r="BE214" i="35"/>
  <c r="CC214" i="35" s="1"/>
  <c r="BI214" i="35"/>
  <c r="CG214" i="35" s="1"/>
  <c r="BM214" i="35"/>
  <c r="CK214" i="35" s="1"/>
  <c r="CO214" i="35"/>
  <c r="BQ214" i="35" s="1"/>
  <c r="CS214" i="35"/>
  <c r="BU214" i="35" s="1"/>
  <c r="CW214" i="35"/>
  <c r="BY214" i="35" s="1"/>
  <c r="BF214" i="35"/>
  <c r="CD214" i="35" s="1"/>
  <c r="BJ214" i="35"/>
  <c r="CH214" i="35" s="1"/>
  <c r="BN214" i="35"/>
  <c r="CL214" i="35" s="1"/>
  <c r="CP214" i="35"/>
  <c r="BR214" i="35" s="1"/>
  <c r="CT214" i="35"/>
  <c r="BV214" i="35" s="1"/>
  <c r="CX214" i="35"/>
  <c r="BZ214" i="35" s="1"/>
  <c r="E214" i="35"/>
  <c r="AC214" i="35" s="1"/>
  <c r="I214" i="35"/>
  <c r="AG214" i="35" s="1"/>
  <c r="M214" i="35"/>
  <c r="AK214" i="35" s="1"/>
  <c r="AN214" i="35"/>
  <c r="P214" i="35" s="1"/>
  <c r="AR214" i="35"/>
  <c r="T214" i="35" s="1"/>
  <c r="AV214" i="35"/>
  <c r="X214" i="35" s="1"/>
  <c r="F214" i="35"/>
  <c r="AD214" i="35" s="1"/>
  <c r="J214" i="35"/>
  <c r="AH214" i="35" s="1"/>
  <c r="N214" i="35"/>
  <c r="AL214" i="35" s="1"/>
  <c r="AO214" i="35"/>
  <c r="Q214" i="35" s="1"/>
  <c r="AS214" i="35"/>
  <c r="U214" i="35" s="1"/>
  <c r="AW214" i="35"/>
  <c r="Y214" i="35" s="1"/>
  <c r="G214" i="35"/>
  <c r="AE214" i="35" s="1"/>
  <c r="K214" i="35"/>
  <c r="AI214" i="35" s="1"/>
  <c r="O214" i="35"/>
  <c r="AM214" i="35" s="1"/>
  <c r="AP214" i="35"/>
  <c r="R214" i="35" s="1"/>
  <c r="AT214" i="35"/>
  <c r="V214" i="35" s="1"/>
  <c r="AX214" i="35"/>
  <c r="Z214" i="35" s="1"/>
  <c r="H214" i="35"/>
  <c r="AF214" i="35" s="1"/>
  <c r="L214" i="35"/>
  <c r="AJ214" i="35" s="1"/>
  <c r="AB214" i="35"/>
  <c r="AQ214" i="35"/>
  <c r="S214" i="35" s="1"/>
  <c r="AU214" i="35"/>
  <c r="W214" i="35" s="1"/>
  <c r="AY214" i="35"/>
  <c r="AA214" i="35" s="1"/>
  <c r="D210" i="35"/>
  <c r="BC210" i="35"/>
  <c r="CA210" i="35" s="1"/>
  <c r="BG210" i="35"/>
  <c r="CE210" i="35" s="1"/>
  <c r="BK210" i="35"/>
  <c r="CI210" i="35" s="1"/>
  <c r="CP210" i="35"/>
  <c r="BR210" i="35" s="1"/>
  <c r="CT210" i="35"/>
  <c r="BV210" i="35" s="1"/>
  <c r="CX210" i="35"/>
  <c r="BZ210" i="35" s="1"/>
  <c r="BD210" i="35"/>
  <c r="CB210" i="35" s="1"/>
  <c r="BH210" i="35"/>
  <c r="CF210" i="35" s="1"/>
  <c r="BL210" i="35"/>
  <c r="CJ210" i="35" s="1"/>
  <c r="CM210" i="35"/>
  <c r="BO210" i="35" s="1"/>
  <c r="CQ210" i="35"/>
  <c r="BS210" i="35" s="1"/>
  <c r="CU210" i="35"/>
  <c r="BW210" i="35" s="1"/>
  <c r="BE210" i="35"/>
  <c r="CC210" i="35" s="1"/>
  <c r="BI210" i="35"/>
  <c r="CG210" i="35" s="1"/>
  <c r="BM210" i="35"/>
  <c r="CK210" i="35" s="1"/>
  <c r="CN210" i="35"/>
  <c r="BP210" i="35" s="1"/>
  <c r="CR210" i="35"/>
  <c r="BT210" i="35" s="1"/>
  <c r="CV210" i="35"/>
  <c r="BX210" i="35" s="1"/>
  <c r="BF210" i="35"/>
  <c r="CD210" i="35" s="1"/>
  <c r="BJ210" i="35"/>
  <c r="CH210" i="35" s="1"/>
  <c r="BN210" i="35"/>
  <c r="CL210" i="35" s="1"/>
  <c r="CO210" i="35"/>
  <c r="BQ210" i="35" s="1"/>
  <c r="CS210" i="35"/>
  <c r="BU210" i="35" s="1"/>
  <c r="CW210" i="35"/>
  <c r="BY210" i="35" s="1"/>
  <c r="F210" i="35"/>
  <c r="AD210" i="35" s="1"/>
  <c r="J210" i="35"/>
  <c r="AH210" i="35" s="1"/>
  <c r="N210" i="35"/>
  <c r="AL210" i="35" s="1"/>
  <c r="AN210" i="35"/>
  <c r="P210" i="35" s="1"/>
  <c r="AR210" i="35"/>
  <c r="T210" i="35" s="1"/>
  <c r="AV210" i="35"/>
  <c r="X210" i="35" s="1"/>
  <c r="G210" i="35"/>
  <c r="AE210" i="35" s="1"/>
  <c r="K210" i="35"/>
  <c r="AI210" i="35" s="1"/>
  <c r="O210" i="35"/>
  <c r="AM210" i="35" s="1"/>
  <c r="AO210" i="35"/>
  <c r="Q210" i="35" s="1"/>
  <c r="AS210" i="35"/>
  <c r="U210" i="35" s="1"/>
  <c r="AW210" i="35"/>
  <c r="Y210" i="35" s="1"/>
  <c r="H210" i="35"/>
  <c r="AF210" i="35" s="1"/>
  <c r="L210" i="35"/>
  <c r="AJ210" i="35" s="1"/>
  <c r="AB210" i="35"/>
  <c r="AP210" i="35"/>
  <c r="R210" i="35" s="1"/>
  <c r="AT210" i="35"/>
  <c r="V210" i="35" s="1"/>
  <c r="AX210" i="35"/>
  <c r="Z210" i="35" s="1"/>
  <c r="E210" i="35"/>
  <c r="AC210" i="35" s="1"/>
  <c r="I210" i="35"/>
  <c r="AG210" i="35" s="1"/>
  <c r="M210" i="35"/>
  <c r="AK210" i="35" s="1"/>
  <c r="AQ210" i="35"/>
  <c r="S210" i="35" s="1"/>
  <c r="AU210" i="35"/>
  <c r="W210" i="35" s="1"/>
  <c r="AY210" i="35"/>
  <c r="AA210" i="35" s="1"/>
  <c r="D206" i="35"/>
  <c r="BC206" i="35"/>
  <c r="CA206" i="35" s="1"/>
  <c r="BG206" i="35"/>
  <c r="CE206" i="35" s="1"/>
  <c r="BK206" i="35"/>
  <c r="CI206" i="35" s="1"/>
  <c r="CM206" i="35"/>
  <c r="BO206" i="35" s="1"/>
  <c r="CQ206" i="35"/>
  <c r="BS206" i="35" s="1"/>
  <c r="CU206" i="35"/>
  <c r="BW206" i="35" s="1"/>
  <c r="BD206" i="35"/>
  <c r="CB206" i="35" s="1"/>
  <c r="BH206" i="35"/>
  <c r="CF206" i="35" s="1"/>
  <c r="BL206" i="35"/>
  <c r="CJ206" i="35" s="1"/>
  <c r="CN206" i="35"/>
  <c r="BP206" i="35" s="1"/>
  <c r="CR206" i="35"/>
  <c r="BT206" i="35" s="1"/>
  <c r="CV206" i="35"/>
  <c r="BX206" i="35" s="1"/>
  <c r="BE206" i="35"/>
  <c r="CC206" i="35" s="1"/>
  <c r="BI206" i="35"/>
  <c r="CG206" i="35" s="1"/>
  <c r="BM206" i="35"/>
  <c r="CK206" i="35" s="1"/>
  <c r="CO206" i="35"/>
  <c r="BQ206" i="35" s="1"/>
  <c r="CS206" i="35"/>
  <c r="BU206" i="35" s="1"/>
  <c r="CW206" i="35"/>
  <c r="BY206" i="35" s="1"/>
  <c r="BF206" i="35"/>
  <c r="CD206" i="35" s="1"/>
  <c r="BJ206" i="35"/>
  <c r="CH206" i="35" s="1"/>
  <c r="BN206" i="35"/>
  <c r="CL206" i="35" s="1"/>
  <c r="CP206" i="35"/>
  <c r="BR206" i="35" s="1"/>
  <c r="CT206" i="35"/>
  <c r="BV206" i="35" s="1"/>
  <c r="CX206" i="35"/>
  <c r="BZ206" i="35" s="1"/>
  <c r="H206" i="35"/>
  <c r="AF206" i="35" s="1"/>
  <c r="L206" i="35"/>
  <c r="AJ206" i="35" s="1"/>
  <c r="AB206" i="35"/>
  <c r="AP206" i="35"/>
  <c r="R206" i="35" s="1"/>
  <c r="AT206" i="35"/>
  <c r="V206" i="35" s="1"/>
  <c r="AX206" i="35"/>
  <c r="Z206" i="35" s="1"/>
  <c r="E206" i="35"/>
  <c r="AC206" i="35" s="1"/>
  <c r="I206" i="35"/>
  <c r="AG206" i="35" s="1"/>
  <c r="M206" i="35"/>
  <c r="AK206" i="35" s="1"/>
  <c r="AQ206" i="35"/>
  <c r="S206" i="35" s="1"/>
  <c r="AU206" i="35"/>
  <c r="W206" i="35" s="1"/>
  <c r="AY206" i="35"/>
  <c r="AA206" i="35" s="1"/>
  <c r="F206" i="35"/>
  <c r="AD206" i="35" s="1"/>
  <c r="J206" i="35"/>
  <c r="AH206" i="35" s="1"/>
  <c r="N206" i="35"/>
  <c r="AL206" i="35" s="1"/>
  <c r="AN206" i="35"/>
  <c r="P206" i="35" s="1"/>
  <c r="AR206" i="35"/>
  <c r="T206" i="35" s="1"/>
  <c r="AV206" i="35"/>
  <c r="X206" i="35" s="1"/>
  <c r="G206" i="35"/>
  <c r="AE206" i="35" s="1"/>
  <c r="K206" i="35"/>
  <c r="AI206" i="35" s="1"/>
  <c r="O206" i="35"/>
  <c r="AM206" i="35" s="1"/>
  <c r="AO206" i="35"/>
  <c r="Q206" i="35" s="1"/>
  <c r="AS206" i="35"/>
  <c r="U206" i="35" s="1"/>
  <c r="AW206" i="35"/>
  <c r="Y206" i="35" s="1"/>
  <c r="D202" i="35"/>
  <c r="BC202" i="35"/>
  <c r="CA202" i="35" s="1"/>
  <c r="BG202" i="35"/>
  <c r="CE202" i="35" s="1"/>
  <c r="BK202" i="35"/>
  <c r="CI202" i="35" s="1"/>
  <c r="CM202" i="35"/>
  <c r="BO202" i="35" s="1"/>
  <c r="CQ202" i="35"/>
  <c r="BS202" i="35" s="1"/>
  <c r="CU202" i="35"/>
  <c r="BW202" i="35" s="1"/>
  <c r="BD202" i="35"/>
  <c r="CB202" i="35" s="1"/>
  <c r="BH202" i="35"/>
  <c r="CF202" i="35" s="1"/>
  <c r="BL202" i="35"/>
  <c r="CJ202" i="35" s="1"/>
  <c r="CN202" i="35"/>
  <c r="BP202" i="35" s="1"/>
  <c r="CR202" i="35"/>
  <c r="BT202" i="35" s="1"/>
  <c r="CV202" i="35"/>
  <c r="BX202" i="35" s="1"/>
  <c r="BE202" i="35"/>
  <c r="CC202" i="35" s="1"/>
  <c r="BI202" i="35"/>
  <c r="CG202" i="35" s="1"/>
  <c r="BM202" i="35"/>
  <c r="CK202" i="35" s="1"/>
  <c r="CO202" i="35"/>
  <c r="BQ202" i="35" s="1"/>
  <c r="CS202" i="35"/>
  <c r="BU202" i="35" s="1"/>
  <c r="CW202" i="35"/>
  <c r="BY202" i="35" s="1"/>
  <c r="BF202" i="35"/>
  <c r="CD202" i="35" s="1"/>
  <c r="BJ202" i="35"/>
  <c r="CH202" i="35" s="1"/>
  <c r="BN202" i="35"/>
  <c r="CL202" i="35" s="1"/>
  <c r="CP202" i="35"/>
  <c r="BR202" i="35" s="1"/>
  <c r="CT202" i="35"/>
  <c r="BV202" i="35" s="1"/>
  <c r="CX202" i="35"/>
  <c r="BZ202" i="35" s="1"/>
  <c r="E202" i="35"/>
  <c r="AC202" i="35" s="1"/>
  <c r="I202" i="35"/>
  <c r="AG202" i="35" s="1"/>
  <c r="M202" i="35"/>
  <c r="AK202" i="35" s="1"/>
  <c r="AN202" i="35"/>
  <c r="P202" i="35" s="1"/>
  <c r="AR202" i="35"/>
  <c r="T202" i="35" s="1"/>
  <c r="AV202" i="35"/>
  <c r="X202" i="35" s="1"/>
  <c r="F202" i="35"/>
  <c r="AD202" i="35" s="1"/>
  <c r="J202" i="35"/>
  <c r="AH202" i="35" s="1"/>
  <c r="N202" i="35"/>
  <c r="AL202" i="35" s="1"/>
  <c r="AO202" i="35"/>
  <c r="Q202" i="35" s="1"/>
  <c r="AS202" i="35"/>
  <c r="U202" i="35" s="1"/>
  <c r="AW202" i="35"/>
  <c r="Y202" i="35" s="1"/>
  <c r="G202" i="35"/>
  <c r="AE202" i="35" s="1"/>
  <c r="K202" i="35"/>
  <c r="AI202" i="35" s="1"/>
  <c r="O202" i="35"/>
  <c r="AM202" i="35" s="1"/>
  <c r="AP202" i="35"/>
  <c r="R202" i="35" s="1"/>
  <c r="AT202" i="35"/>
  <c r="V202" i="35" s="1"/>
  <c r="AX202" i="35"/>
  <c r="Z202" i="35" s="1"/>
  <c r="H202" i="35"/>
  <c r="AF202" i="35" s="1"/>
  <c r="L202" i="35"/>
  <c r="AJ202" i="35" s="1"/>
  <c r="AB202" i="35"/>
  <c r="AQ202" i="35"/>
  <c r="S202" i="35" s="1"/>
  <c r="AU202" i="35"/>
  <c r="W202" i="35" s="1"/>
  <c r="AY202" i="35"/>
  <c r="AA202" i="35" s="1"/>
  <c r="D198" i="35"/>
  <c r="BC198" i="35"/>
  <c r="CA198" i="35" s="1"/>
  <c r="BG198" i="35"/>
  <c r="CE198" i="35" s="1"/>
  <c r="BK198" i="35"/>
  <c r="CI198" i="35" s="1"/>
  <c r="CM198" i="35"/>
  <c r="BO198" i="35" s="1"/>
  <c r="CQ198" i="35"/>
  <c r="BS198" i="35" s="1"/>
  <c r="CU198" i="35"/>
  <c r="BW198" i="35" s="1"/>
  <c r="BD198" i="35"/>
  <c r="CB198" i="35" s="1"/>
  <c r="BH198" i="35"/>
  <c r="CF198" i="35" s="1"/>
  <c r="BL198" i="35"/>
  <c r="CJ198" i="35" s="1"/>
  <c r="CN198" i="35"/>
  <c r="BP198" i="35" s="1"/>
  <c r="CR198" i="35"/>
  <c r="BT198" i="35" s="1"/>
  <c r="CV198" i="35"/>
  <c r="BX198" i="35" s="1"/>
  <c r="BE198" i="35"/>
  <c r="CC198" i="35" s="1"/>
  <c r="BI198" i="35"/>
  <c r="CG198" i="35" s="1"/>
  <c r="BM198" i="35"/>
  <c r="CK198" i="35" s="1"/>
  <c r="CO198" i="35"/>
  <c r="BQ198" i="35" s="1"/>
  <c r="CS198" i="35"/>
  <c r="BU198" i="35" s="1"/>
  <c r="CW198" i="35"/>
  <c r="BY198" i="35" s="1"/>
  <c r="BF198" i="35"/>
  <c r="CD198" i="35" s="1"/>
  <c r="BJ198" i="35"/>
  <c r="CH198" i="35" s="1"/>
  <c r="BN198" i="35"/>
  <c r="CL198" i="35" s="1"/>
  <c r="CP198" i="35"/>
  <c r="BR198" i="35" s="1"/>
  <c r="CT198" i="35"/>
  <c r="BV198" i="35" s="1"/>
  <c r="CX198" i="35"/>
  <c r="BZ198" i="35" s="1"/>
  <c r="G198" i="35"/>
  <c r="AE198" i="35" s="1"/>
  <c r="K198" i="35"/>
  <c r="AI198" i="35" s="1"/>
  <c r="O198" i="35"/>
  <c r="AM198" i="35" s="1"/>
  <c r="AO198" i="35"/>
  <c r="Q198" i="35" s="1"/>
  <c r="AS198" i="35"/>
  <c r="U198" i="35" s="1"/>
  <c r="AW198" i="35"/>
  <c r="Y198" i="35" s="1"/>
  <c r="H198" i="35"/>
  <c r="AF198" i="35" s="1"/>
  <c r="L198" i="35"/>
  <c r="AJ198" i="35" s="1"/>
  <c r="AB198" i="35"/>
  <c r="AP198" i="35"/>
  <c r="R198" i="35" s="1"/>
  <c r="AT198" i="35"/>
  <c r="V198" i="35" s="1"/>
  <c r="AX198" i="35"/>
  <c r="Z198" i="35" s="1"/>
  <c r="E198" i="35"/>
  <c r="AC198" i="35" s="1"/>
  <c r="I198" i="35"/>
  <c r="AG198" i="35" s="1"/>
  <c r="M198" i="35"/>
  <c r="AK198" i="35" s="1"/>
  <c r="AQ198" i="35"/>
  <c r="S198" i="35" s="1"/>
  <c r="AU198" i="35"/>
  <c r="W198" i="35" s="1"/>
  <c r="AY198" i="35"/>
  <c r="AA198" i="35" s="1"/>
  <c r="F198" i="35"/>
  <c r="AD198" i="35" s="1"/>
  <c r="J198" i="35"/>
  <c r="AH198" i="35" s="1"/>
  <c r="N198" i="35"/>
  <c r="AL198" i="35" s="1"/>
  <c r="AN198" i="35"/>
  <c r="P198" i="35" s="1"/>
  <c r="AR198" i="35"/>
  <c r="T198" i="35" s="1"/>
  <c r="AV198" i="35"/>
  <c r="X198" i="35" s="1"/>
  <c r="D194" i="35"/>
  <c r="BC194" i="35"/>
  <c r="CA194" i="35" s="1"/>
  <c r="BG194" i="35"/>
  <c r="CE194" i="35" s="1"/>
  <c r="BK194" i="35"/>
  <c r="CI194" i="35" s="1"/>
  <c r="CM194" i="35"/>
  <c r="BO194" i="35" s="1"/>
  <c r="CQ194" i="35"/>
  <c r="BS194" i="35" s="1"/>
  <c r="CU194" i="35"/>
  <c r="BW194" i="35" s="1"/>
  <c r="BD194" i="35"/>
  <c r="CB194" i="35" s="1"/>
  <c r="BH194" i="35"/>
  <c r="CF194" i="35" s="1"/>
  <c r="BL194" i="35"/>
  <c r="CJ194" i="35" s="1"/>
  <c r="CN194" i="35"/>
  <c r="BP194" i="35" s="1"/>
  <c r="CR194" i="35"/>
  <c r="BT194" i="35" s="1"/>
  <c r="CV194" i="35"/>
  <c r="BX194" i="35" s="1"/>
  <c r="BE194" i="35"/>
  <c r="CC194" i="35" s="1"/>
  <c r="BI194" i="35"/>
  <c r="CG194" i="35" s="1"/>
  <c r="BM194" i="35"/>
  <c r="CK194" i="35" s="1"/>
  <c r="CO194" i="35"/>
  <c r="BQ194" i="35" s="1"/>
  <c r="CS194" i="35"/>
  <c r="BU194" i="35" s="1"/>
  <c r="CW194" i="35"/>
  <c r="BY194" i="35" s="1"/>
  <c r="BF194" i="35"/>
  <c r="CD194" i="35" s="1"/>
  <c r="BJ194" i="35"/>
  <c r="CH194" i="35" s="1"/>
  <c r="BN194" i="35"/>
  <c r="CL194" i="35" s="1"/>
  <c r="CP194" i="35"/>
  <c r="BR194" i="35" s="1"/>
  <c r="CT194" i="35"/>
  <c r="BV194" i="35" s="1"/>
  <c r="CX194" i="35"/>
  <c r="BZ194" i="35" s="1"/>
  <c r="F194" i="35"/>
  <c r="AD194" i="35" s="1"/>
  <c r="G194" i="35"/>
  <c r="AE194" i="35" s="1"/>
  <c r="I194" i="35"/>
  <c r="AG194" i="35" s="1"/>
  <c r="M194" i="35"/>
  <c r="AK194" i="35" s="1"/>
  <c r="AQ194" i="35"/>
  <c r="S194" i="35" s="1"/>
  <c r="AU194" i="35"/>
  <c r="W194" i="35" s="1"/>
  <c r="AY194" i="35"/>
  <c r="AA194" i="35" s="1"/>
  <c r="J194" i="35"/>
  <c r="AH194" i="35" s="1"/>
  <c r="N194" i="35"/>
  <c r="AL194" i="35" s="1"/>
  <c r="AN194" i="35"/>
  <c r="P194" i="35" s="1"/>
  <c r="AR194" i="35"/>
  <c r="T194" i="35" s="1"/>
  <c r="AV194" i="35"/>
  <c r="X194" i="35" s="1"/>
  <c r="E194" i="35"/>
  <c r="AC194" i="35" s="1"/>
  <c r="K194" i="35"/>
  <c r="AI194" i="35" s="1"/>
  <c r="O194" i="35"/>
  <c r="AM194" i="35" s="1"/>
  <c r="AO194" i="35"/>
  <c r="Q194" i="35" s="1"/>
  <c r="AS194" i="35"/>
  <c r="U194" i="35" s="1"/>
  <c r="AW194" i="35"/>
  <c r="Y194" i="35" s="1"/>
  <c r="H194" i="35"/>
  <c r="AF194" i="35" s="1"/>
  <c r="L194" i="35"/>
  <c r="AJ194" i="35" s="1"/>
  <c r="AB194" i="35"/>
  <c r="AP194" i="35"/>
  <c r="R194" i="35" s="1"/>
  <c r="AT194" i="35"/>
  <c r="V194" i="35" s="1"/>
  <c r="AX194" i="35"/>
  <c r="Z194" i="35" s="1"/>
  <c r="D190" i="35"/>
  <c r="BD190" i="35"/>
  <c r="CB190" i="35" s="1"/>
  <c r="BC190" i="35"/>
  <c r="CA190" i="35" s="1"/>
  <c r="BG190" i="35"/>
  <c r="CE190" i="35" s="1"/>
  <c r="BK190" i="35"/>
  <c r="CI190" i="35" s="1"/>
  <c r="CM190" i="35"/>
  <c r="BO190" i="35" s="1"/>
  <c r="CQ190" i="35"/>
  <c r="BS190" i="35" s="1"/>
  <c r="CU190" i="35"/>
  <c r="BW190" i="35" s="1"/>
  <c r="BH190" i="35"/>
  <c r="CF190" i="35" s="1"/>
  <c r="BL190" i="35"/>
  <c r="CJ190" i="35" s="1"/>
  <c r="CN190" i="35"/>
  <c r="BP190" i="35" s="1"/>
  <c r="CR190" i="35"/>
  <c r="BT190" i="35" s="1"/>
  <c r="CV190" i="35"/>
  <c r="BX190" i="35" s="1"/>
  <c r="BE190" i="35"/>
  <c r="CC190" i="35" s="1"/>
  <c r="BI190" i="35"/>
  <c r="CG190" i="35" s="1"/>
  <c r="BM190" i="35"/>
  <c r="CK190" i="35" s="1"/>
  <c r="CO190" i="35"/>
  <c r="BQ190" i="35" s="1"/>
  <c r="CS190" i="35"/>
  <c r="BU190" i="35" s="1"/>
  <c r="CW190" i="35"/>
  <c r="BY190" i="35" s="1"/>
  <c r="BF190" i="35"/>
  <c r="CD190" i="35" s="1"/>
  <c r="BJ190" i="35"/>
  <c r="CH190" i="35" s="1"/>
  <c r="BN190" i="35"/>
  <c r="CL190" i="35" s="1"/>
  <c r="CP190" i="35"/>
  <c r="BR190" i="35" s="1"/>
  <c r="CT190" i="35"/>
  <c r="BV190" i="35" s="1"/>
  <c r="CX190" i="35"/>
  <c r="BZ190" i="35" s="1"/>
  <c r="G190" i="35"/>
  <c r="AE190" i="35" s="1"/>
  <c r="K190" i="35"/>
  <c r="AI190" i="35" s="1"/>
  <c r="O190" i="35"/>
  <c r="AM190" i="35" s="1"/>
  <c r="AP190" i="35"/>
  <c r="R190" i="35" s="1"/>
  <c r="AT190" i="35"/>
  <c r="V190" i="35" s="1"/>
  <c r="AX190" i="35"/>
  <c r="Z190" i="35" s="1"/>
  <c r="H190" i="35"/>
  <c r="AF190" i="35" s="1"/>
  <c r="L190" i="35"/>
  <c r="AJ190" i="35" s="1"/>
  <c r="AB190" i="35"/>
  <c r="AQ190" i="35"/>
  <c r="S190" i="35" s="1"/>
  <c r="AU190" i="35"/>
  <c r="W190" i="35" s="1"/>
  <c r="AY190" i="35"/>
  <c r="AA190" i="35" s="1"/>
  <c r="J190" i="35"/>
  <c r="AH190" i="35" s="1"/>
  <c r="AO190" i="35"/>
  <c r="Q190" i="35" s="1"/>
  <c r="AW190" i="35"/>
  <c r="Y190" i="35" s="1"/>
  <c r="E190" i="35"/>
  <c r="AC190" i="35" s="1"/>
  <c r="M190" i="35"/>
  <c r="AK190" i="35" s="1"/>
  <c r="AR190" i="35"/>
  <c r="T190" i="35" s="1"/>
  <c r="F190" i="35"/>
  <c r="AD190" i="35" s="1"/>
  <c r="N190" i="35"/>
  <c r="AL190" i="35" s="1"/>
  <c r="AS190" i="35"/>
  <c r="U190" i="35" s="1"/>
  <c r="I190" i="35"/>
  <c r="AG190" i="35" s="1"/>
  <c r="AN190" i="35"/>
  <c r="P190" i="35" s="1"/>
  <c r="AV190" i="35"/>
  <c r="X190" i="35" s="1"/>
  <c r="D186" i="35"/>
  <c r="BD186" i="35"/>
  <c r="CB186" i="35" s="1"/>
  <c r="BH186" i="35"/>
  <c r="CF186" i="35" s="1"/>
  <c r="BL186" i="35"/>
  <c r="CJ186" i="35" s="1"/>
  <c r="CN186" i="35"/>
  <c r="BP186" i="35" s="1"/>
  <c r="CR186" i="35"/>
  <c r="BT186" i="35" s="1"/>
  <c r="CV186" i="35"/>
  <c r="BX186" i="35" s="1"/>
  <c r="BE186" i="35"/>
  <c r="CC186" i="35" s="1"/>
  <c r="BI186" i="35"/>
  <c r="CG186" i="35" s="1"/>
  <c r="BM186" i="35"/>
  <c r="CK186" i="35" s="1"/>
  <c r="CO186" i="35"/>
  <c r="BQ186" i="35" s="1"/>
  <c r="CS186" i="35"/>
  <c r="BU186" i="35" s="1"/>
  <c r="CW186" i="35"/>
  <c r="BY186" i="35" s="1"/>
  <c r="BF186" i="35"/>
  <c r="CD186" i="35" s="1"/>
  <c r="BJ186" i="35"/>
  <c r="CH186" i="35" s="1"/>
  <c r="BN186" i="35"/>
  <c r="CL186" i="35" s="1"/>
  <c r="CP186" i="35"/>
  <c r="BR186" i="35" s="1"/>
  <c r="CT186" i="35"/>
  <c r="BV186" i="35" s="1"/>
  <c r="CX186" i="35"/>
  <c r="BZ186" i="35" s="1"/>
  <c r="BC186" i="35"/>
  <c r="CA186" i="35" s="1"/>
  <c r="BG186" i="35"/>
  <c r="CE186" i="35" s="1"/>
  <c r="BK186" i="35"/>
  <c r="CI186" i="35" s="1"/>
  <c r="CM186" i="35"/>
  <c r="BO186" i="35" s="1"/>
  <c r="CQ186" i="35"/>
  <c r="BS186" i="35" s="1"/>
  <c r="CU186" i="35"/>
  <c r="BW186" i="35" s="1"/>
  <c r="G186" i="35"/>
  <c r="AE186" i="35" s="1"/>
  <c r="K186" i="35"/>
  <c r="AI186" i="35" s="1"/>
  <c r="O186" i="35"/>
  <c r="AM186" i="35" s="1"/>
  <c r="AO186" i="35"/>
  <c r="Q186" i="35" s="1"/>
  <c r="AS186" i="35"/>
  <c r="U186" i="35" s="1"/>
  <c r="AW186" i="35"/>
  <c r="Y186" i="35" s="1"/>
  <c r="H186" i="35"/>
  <c r="AF186" i="35" s="1"/>
  <c r="L186" i="35"/>
  <c r="AJ186" i="35" s="1"/>
  <c r="AB186" i="35"/>
  <c r="AP186" i="35"/>
  <c r="R186" i="35" s="1"/>
  <c r="AT186" i="35"/>
  <c r="V186" i="35" s="1"/>
  <c r="AX186" i="35"/>
  <c r="Z186" i="35" s="1"/>
  <c r="E186" i="35"/>
  <c r="AC186" i="35" s="1"/>
  <c r="I186" i="35"/>
  <c r="AG186" i="35" s="1"/>
  <c r="M186" i="35"/>
  <c r="AK186" i="35" s="1"/>
  <c r="AQ186" i="35"/>
  <c r="S186" i="35" s="1"/>
  <c r="AU186" i="35"/>
  <c r="W186" i="35" s="1"/>
  <c r="AY186" i="35"/>
  <c r="AA186" i="35" s="1"/>
  <c r="F186" i="35"/>
  <c r="AD186" i="35" s="1"/>
  <c r="J186" i="35"/>
  <c r="AH186" i="35" s="1"/>
  <c r="N186" i="35"/>
  <c r="AL186" i="35" s="1"/>
  <c r="AN186" i="35"/>
  <c r="P186" i="35" s="1"/>
  <c r="AR186" i="35"/>
  <c r="T186" i="35" s="1"/>
  <c r="AV186" i="35"/>
  <c r="X186" i="35" s="1"/>
  <c r="D182" i="35"/>
  <c r="BF182" i="35"/>
  <c r="CD182" i="35" s="1"/>
  <c r="BJ182" i="35"/>
  <c r="CH182" i="35" s="1"/>
  <c r="BN182" i="35"/>
  <c r="CL182" i="35" s="1"/>
  <c r="CO182" i="35"/>
  <c r="BQ182" i="35" s="1"/>
  <c r="CS182" i="35"/>
  <c r="BU182" i="35" s="1"/>
  <c r="CW182" i="35"/>
  <c r="BY182" i="35" s="1"/>
  <c r="BC182" i="35"/>
  <c r="CA182" i="35" s="1"/>
  <c r="BG182" i="35"/>
  <c r="CE182" i="35" s="1"/>
  <c r="BK182" i="35"/>
  <c r="CI182" i="35" s="1"/>
  <c r="CP182" i="35"/>
  <c r="BR182" i="35" s="1"/>
  <c r="CT182" i="35"/>
  <c r="BV182" i="35" s="1"/>
  <c r="CX182" i="35"/>
  <c r="BZ182" i="35" s="1"/>
  <c r="BD182" i="35"/>
  <c r="CB182" i="35" s="1"/>
  <c r="BH182" i="35"/>
  <c r="CF182" i="35" s="1"/>
  <c r="BL182" i="35"/>
  <c r="CJ182" i="35" s="1"/>
  <c r="CM182" i="35"/>
  <c r="BO182" i="35" s="1"/>
  <c r="CQ182" i="35"/>
  <c r="BS182" i="35" s="1"/>
  <c r="CU182" i="35"/>
  <c r="BW182" i="35" s="1"/>
  <c r="BE182" i="35"/>
  <c r="CC182" i="35" s="1"/>
  <c r="BI182" i="35"/>
  <c r="CG182" i="35" s="1"/>
  <c r="BM182" i="35"/>
  <c r="CK182" i="35" s="1"/>
  <c r="CN182" i="35"/>
  <c r="BP182" i="35" s="1"/>
  <c r="CR182" i="35"/>
  <c r="BT182" i="35" s="1"/>
  <c r="CV182" i="35"/>
  <c r="BX182" i="35" s="1"/>
  <c r="E182" i="35"/>
  <c r="AC182" i="35" s="1"/>
  <c r="I182" i="35"/>
  <c r="AG182" i="35" s="1"/>
  <c r="M182" i="35"/>
  <c r="AK182" i="35" s="1"/>
  <c r="AQ182" i="35"/>
  <c r="S182" i="35" s="1"/>
  <c r="AU182" i="35"/>
  <c r="W182" i="35" s="1"/>
  <c r="AY182" i="35"/>
  <c r="AA182" i="35" s="1"/>
  <c r="F182" i="35"/>
  <c r="AD182" i="35" s="1"/>
  <c r="J182" i="35"/>
  <c r="AH182" i="35" s="1"/>
  <c r="N182" i="35"/>
  <c r="AL182" i="35" s="1"/>
  <c r="AN182" i="35"/>
  <c r="P182" i="35" s="1"/>
  <c r="AR182" i="35"/>
  <c r="T182" i="35" s="1"/>
  <c r="AV182" i="35"/>
  <c r="X182" i="35" s="1"/>
  <c r="G182" i="35"/>
  <c r="AE182" i="35" s="1"/>
  <c r="K182" i="35"/>
  <c r="AI182" i="35" s="1"/>
  <c r="O182" i="35"/>
  <c r="AM182" i="35" s="1"/>
  <c r="AO182" i="35"/>
  <c r="Q182" i="35" s="1"/>
  <c r="AS182" i="35"/>
  <c r="U182" i="35" s="1"/>
  <c r="AW182" i="35"/>
  <c r="Y182" i="35" s="1"/>
  <c r="H182" i="35"/>
  <c r="AF182" i="35" s="1"/>
  <c r="L182" i="35"/>
  <c r="AJ182" i="35" s="1"/>
  <c r="AB182" i="35"/>
  <c r="AP182" i="35"/>
  <c r="R182" i="35" s="1"/>
  <c r="AT182" i="35"/>
  <c r="V182" i="35" s="1"/>
  <c r="AX182" i="35"/>
  <c r="Z182" i="35" s="1"/>
  <c r="D178" i="35"/>
  <c r="BC178" i="35"/>
  <c r="CA178" i="35" s="1"/>
  <c r="BG178" i="35"/>
  <c r="CE178" i="35" s="1"/>
  <c r="BK178" i="35"/>
  <c r="CI178" i="35" s="1"/>
  <c r="CM178" i="35"/>
  <c r="BO178" i="35" s="1"/>
  <c r="CQ178" i="35"/>
  <c r="BS178" i="35" s="1"/>
  <c r="CU178" i="35"/>
  <c r="BW178" i="35" s="1"/>
  <c r="BD178" i="35"/>
  <c r="CB178" i="35" s="1"/>
  <c r="BH178" i="35"/>
  <c r="CF178" i="35" s="1"/>
  <c r="BL178" i="35"/>
  <c r="CJ178" i="35" s="1"/>
  <c r="CN178" i="35"/>
  <c r="BP178" i="35" s="1"/>
  <c r="CR178" i="35"/>
  <c r="BT178" i="35" s="1"/>
  <c r="CV178" i="35"/>
  <c r="BX178" i="35" s="1"/>
  <c r="BE178" i="35"/>
  <c r="CC178" i="35" s="1"/>
  <c r="BI178" i="35"/>
  <c r="CG178" i="35" s="1"/>
  <c r="BM178" i="35"/>
  <c r="CK178" i="35" s="1"/>
  <c r="CO178" i="35"/>
  <c r="BQ178" i="35" s="1"/>
  <c r="CS178" i="35"/>
  <c r="BU178" i="35" s="1"/>
  <c r="CW178" i="35"/>
  <c r="BY178" i="35" s="1"/>
  <c r="BF178" i="35"/>
  <c r="CD178" i="35" s="1"/>
  <c r="BJ178" i="35"/>
  <c r="CH178" i="35" s="1"/>
  <c r="BN178" i="35"/>
  <c r="CL178" i="35" s="1"/>
  <c r="CP178" i="35"/>
  <c r="BR178" i="35" s="1"/>
  <c r="CT178" i="35"/>
  <c r="BV178" i="35" s="1"/>
  <c r="CX178" i="35"/>
  <c r="BZ178" i="35" s="1"/>
  <c r="F178" i="35"/>
  <c r="AD178" i="35" s="1"/>
  <c r="J178" i="35"/>
  <c r="AH178" i="35" s="1"/>
  <c r="N178" i="35"/>
  <c r="AL178" i="35" s="1"/>
  <c r="AO178" i="35"/>
  <c r="Q178" i="35" s="1"/>
  <c r="AS178" i="35"/>
  <c r="U178" i="35" s="1"/>
  <c r="AW178" i="35"/>
  <c r="Y178" i="35" s="1"/>
  <c r="G178" i="35"/>
  <c r="AE178" i="35" s="1"/>
  <c r="K178" i="35"/>
  <c r="AI178" i="35" s="1"/>
  <c r="O178" i="35"/>
  <c r="AM178" i="35" s="1"/>
  <c r="AP178" i="35"/>
  <c r="R178" i="35" s="1"/>
  <c r="AT178" i="35"/>
  <c r="V178" i="35" s="1"/>
  <c r="AX178" i="35"/>
  <c r="Z178" i="35" s="1"/>
  <c r="H178" i="35"/>
  <c r="AF178" i="35" s="1"/>
  <c r="L178" i="35"/>
  <c r="AJ178" i="35" s="1"/>
  <c r="AB178" i="35"/>
  <c r="AQ178" i="35"/>
  <c r="S178" i="35" s="1"/>
  <c r="AU178" i="35"/>
  <c r="W178" i="35" s="1"/>
  <c r="AY178" i="35"/>
  <c r="AA178" i="35" s="1"/>
  <c r="E178" i="35"/>
  <c r="AC178" i="35" s="1"/>
  <c r="I178" i="35"/>
  <c r="AG178" i="35" s="1"/>
  <c r="M178" i="35"/>
  <c r="AK178" i="35" s="1"/>
  <c r="AN178" i="35"/>
  <c r="P178" i="35" s="1"/>
  <c r="AR178" i="35"/>
  <c r="T178" i="35" s="1"/>
  <c r="AV178" i="35"/>
  <c r="X178" i="35" s="1"/>
  <c r="D174" i="35"/>
  <c r="BF174" i="35"/>
  <c r="CD174" i="35" s="1"/>
  <c r="BJ174" i="35"/>
  <c r="CH174" i="35" s="1"/>
  <c r="BN174" i="35"/>
  <c r="CL174" i="35" s="1"/>
  <c r="CM174" i="35"/>
  <c r="BO174" i="35" s="1"/>
  <c r="CQ174" i="35"/>
  <c r="BS174" i="35" s="1"/>
  <c r="CU174" i="35"/>
  <c r="BW174" i="35" s="1"/>
  <c r="BC174" i="35"/>
  <c r="CA174" i="35" s="1"/>
  <c r="BG174" i="35"/>
  <c r="CE174" i="35" s="1"/>
  <c r="BK174" i="35"/>
  <c r="CI174" i="35" s="1"/>
  <c r="CN174" i="35"/>
  <c r="BP174" i="35" s="1"/>
  <c r="CR174" i="35"/>
  <c r="BT174" i="35" s="1"/>
  <c r="CV174" i="35"/>
  <c r="BX174" i="35" s="1"/>
  <c r="BD174" i="35"/>
  <c r="CB174" i="35" s="1"/>
  <c r="BH174" i="35"/>
  <c r="CF174" i="35" s="1"/>
  <c r="BL174" i="35"/>
  <c r="CJ174" i="35" s="1"/>
  <c r="CO174" i="35"/>
  <c r="BQ174" i="35" s="1"/>
  <c r="CS174" i="35"/>
  <c r="BU174" i="35" s="1"/>
  <c r="CW174" i="35"/>
  <c r="BY174" i="35" s="1"/>
  <c r="BE174" i="35"/>
  <c r="CC174" i="35" s="1"/>
  <c r="BI174" i="35"/>
  <c r="CG174" i="35" s="1"/>
  <c r="BM174" i="35"/>
  <c r="CK174" i="35" s="1"/>
  <c r="CP174" i="35"/>
  <c r="BR174" i="35" s="1"/>
  <c r="CT174" i="35"/>
  <c r="BV174" i="35" s="1"/>
  <c r="CX174" i="35"/>
  <c r="BZ174" i="35" s="1"/>
  <c r="G174" i="35"/>
  <c r="AE174" i="35" s="1"/>
  <c r="K174" i="35"/>
  <c r="AI174" i="35" s="1"/>
  <c r="O174" i="35"/>
  <c r="AM174" i="35" s="1"/>
  <c r="AP174" i="35"/>
  <c r="R174" i="35" s="1"/>
  <c r="AT174" i="35"/>
  <c r="V174" i="35" s="1"/>
  <c r="AX174" i="35"/>
  <c r="Z174" i="35" s="1"/>
  <c r="H174" i="35"/>
  <c r="AF174" i="35" s="1"/>
  <c r="L174" i="35"/>
  <c r="AJ174" i="35" s="1"/>
  <c r="AB174" i="35"/>
  <c r="AQ174" i="35"/>
  <c r="S174" i="35" s="1"/>
  <c r="AU174" i="35"/>
  <c r="W174" i="35" s="1"/>
  <c r="AY174" i="35"/>
  <c r="AA174" i="35" s="1"/>
  <c r="E174" i="35"/>
  <c r="AC174" i="35" s="1"/>
  <c r="I174" i="35"/>
  <c r="AG174" i="35" s="1"/>
  <c r="M174" i="35"/>
  <c r="AK174" i="35" s="1"/>
  <c r="AN174" i="35"/>
  <c r="P174" i="35" s="1"/>
  <c r="AR174" i="35"/>
  <c r="T174" i="35" s="1"/>
  <c r="AV174" i="35"/>
  <c r="X174" i="35" s="1"/>
  <c r="F174" i="35"/>
  <c r="AD174" i="35" s="1"/>
  <c r="J174" i="35"/>
  <c r="AH174" i="35" s="1"/>
  <c r="N174" i="35"/>
  <c r="AL174" i="35" s="1"/>
  <c r="AO174" i="35"/>
  <c r="Q174" i="35" s="1"/>
  <c r="AS174" i="35"/>
  <c r="U174" i="35" s="1"/>
  <c r="AW174" i="35"/>
  <c r="Y174" i="35" s="1"/>
  <c r="D170" i="35"/>
  <c r="BF170" i="35"/>
  <c r="CD170" i="35" s="1"/>
  <c r="BJ170" i="35"/>
  <c r="CH170" i="35" s="1"/>
  <c r="BN170" i="35"/>
  <c r="CL170" i="35" s="1"/>
  <c r="CO170" i="35"/>
  <c r="BQ170" i="35" s="1"/>
  <c r="CS170" i="35"/>
  <c r="BU170" i="35" s="1"/>
  <c r="CW170" i="35"/>
  <c r="BY170" i="35" s="1"/>
  <c r="BC170" i="35"/>
  <c r="CA170" i="35" s="1"/>
  <c r="BG170" i="35"/>
  <c r="CE170" i="35" s="1"/>
  <c r="BK170" i="35"/>
  <c r="CI170" i="35" s="1"/>
  <c r="CP170" i="35"/>
  <c r="BR170" i="35" s="1"/>
  <c r="CT170" i="35"/>
  <c r="BV170" i="35" s="1"/>
  <c r="CX170" i="35"/>
  <c r="BZ170" i="35" s="1"/>
  <c r="BD170" i="35"/>
  <c r="CB170" i="35" s="1"/>
  <c r="BH170" i="35"/>
  <c r="CF170" i="35" s="1"/>
  <c r="BL170" i="35"/>
  <c r="CJ170" i="35" s="1"/>
  <c r="CM170" i="35"/>
  <c r="BO170" i="35" s="1"/>
  <c r="CQ170" i="35"/>
  <c r="BS170" i="35" s="1"/>
  <c r="CU170" i="35"/>
  <c r="BW170" i="35" s="1"/>
  <c r="BE170" i="35"/>
  <c r="CC170" i="35" s="1"/>
  <c r="BI170" i="35"/>
  <c r="CG170" i="35" s="1"/>
  <c r="BM170" i="35"/>
  <c r="CK170" i="35" s="1"/>
  <c r="CN170" i="35"/>
  <c r="BP170" i="35" s="1"/>
  <c r="CR170" i="35"/>
  <c r="BT170" i="35" s="1"/>
  <c r="CV170" i="35"/>
  <c r="BX170" i="35" s="1"/>
  <c r="G170" i="35"/>
  <c r="AE170" i="35" s="1"/>
  <c r="K170" i="35"/>
  <c r="AI170" i="35" s="1"/>
  <c r="O170" i="35"/>
  <c r="AM170" i="35" s="1"/>
  <c r="AP170" i="35"/>
  <c r="R170" i="35" s="1"/>
  <c r="AT170" i="35"/>
  <c r="V170" i="35" s="1"/>
  <c r="AX170" i="35"/>
  <c r="Z170" i="35" s="1"/>
  <c r="H170" i="35"/>
  <c r="AF170" i="35" s="1"/>
  <c r="L170" i="35"/>
  <c r="AJ170" i="35" s="1"/>
  <c r="AB170" i="35"/>
  <c r="AQ170" i="35"/>
  <c r="S170" i="35" s="1"/>
  <c r="AU170" i="35"/>
  <c r="W170" i="35" s="1"/>
  <c r="AY170" i="35"/>
  <c r="AA170" i="35" s="1"/>
  <c r="E170" i="35"/>
  <c r="AC170" i="35" s="1"/>
  <c r="I170" i="35"/>
  <c r="AG170" i="35" s="1"/>
  <c r="M170" i="35"/>
  <c r="AK170" i="35" s="1"/>
  <c r="AN170" i="35"/>
  <c r="P170" i="35" s="1"/>
  <c r="AR170" i="35"/>
  <c r="T170" i="35" s="1"/>
  <c r="AV170" i="35"/>
  <c r="X170" i="35" s="1"/>
  <c r="F170" i="35"/>
  <c r="AD170" i="35" s="1"/>
  <c r="J170" i="35"/>
  <c r="AH170" i="35" s="1"/>
  <c r="N170" i="35"/>
  <c r="AL170" i="35" s="1"/>
  <c r="AO170" i="35"/>
  <c r="Q170" i="35" s="1"/>
  <c r="AS170" i="35"/>
  <c r="U170" i="35" s="1"/>
  <c r="AW170" i="35"/>
  <c r="Y170" i="35" s="1"/>
  <c r="D166" i="35"/>
  <c r="BC166" i="35"/>
  <c r="CA166" i="35" s="1"/>
  <c r="BG166" i="35"/>
  <c r="CE166" i="35" s="1"/>
  <c r="BK166" i="35"/>
  <c r="CI166" i="35" s="1"/>
  <c r="CM166" i="35"/>
  <c r="BO166" i="35" s="1"/>
  <c r="CQ166" i="35"/>
  <c r="BS166" i="35" s="1"/>
  <c r="CU166" i="35"/>
  <c r="BW166" i="35" s="1"/>
  <c r="BD166" i="35"/>
  <c r="CB166" i="35" s="1"/>
  <c r="BH166" i="35"/>
  <c r="CF166" i="35" s="1"/>
  <c r="BL166" i="35"/>
  <c r="CJ166" i="35" s="1"/>
  <c r="CN166" i="35"/>
  <c r="BP166" i="35" s="1"/>
  <c r="CR166" i="35"/>
  <c r="BT166" i="35" s="1"/>
  <c r="CV166" i="35"/>
  <c r="BX166" i="35" s="1"/>
  <c r="BE166" i="35"/>
  <c r="CC166" i="35" s="1"/>
  <c r="BI166" i="35"/>
  <c r="CG166" i="35" s="1"/>
  <c r="BM166" i="35"/>
  <c r="CK166" i="35" s="1"/>
  <c r="CO166" i="35"/>
  <c r="BQ166" i="35" s="1"/>
  <c r="CS166" i="35"/>
  <c r="BU166" i="35" s="1"/>
  <c r="CW166" i="35"/>
  <c r="BY166" i="35" s="1"/>
  <c r="BF166" i="35"/>
  <c r="CD166" i="35" s="1"/>
  <c r="BJ166" i="35"/>
  <c r="CH166" i="35" s="1"/>
  <c r="BN166" i="35"/>
  <c r="CL166" i="35" s="1"/>
  <c r="CP166" i="35"/>
  <c r="BR166" i="35" s="1"/>
  <c r="CT166" i="35"/>
  <c r="BV166" i="35" s="1"/>
  <c r="CX166" i="35"/>
  <c r="BZ166" i="35" s="1"/>
  <c r="G166" i="35"/>
  <c r="AE166" i="35" s="1"/>
  <c r="K166" i="35"/>
  <c r="AI166" i="35" s="1"/>
  <c r="O166" i="35"/>
  <c r="AM166" i="35" s="1"/>
  <c r="AP166" i="35"/>
  <c r="R166" i="35" s="1"/>
  <c r="AT166" i="35"/>
  <c r="V166" i="35" s="1"/>
  <c r="AX166" i="35"/>
  <c r="Z166" i="35" s="1"/>
  <c r="H166" i="35"/>
  <c r="AF166" i="35" s="1"/>
  <c r="L166" i="35"/>
  <c r="AJ166" i="35" s="1"/>
  <c r="AB166" i="35"/>
  <c r="AQ166" i="35"/>
  <c r="S166" i="35" s="1"/>
  <c r="AU166" i="35"/>
  <c r="W166" i="35" s="1"/>
  <c r="AY166" i="35"/>
  <c r="AA166" i="35" s="1"/>
  <c r="E166" i="35"/>
  <c r="AC166" i="35" s="1"/>
  <c r="I166" i="35"/>
  <c r="AG166" i="35" s="1"/>
  <c r="M166" i="35"/>
  <c r="AK166" i="35" s="1"/>
  <c r="AN166" i="35"/>
  <c r="P166" i="35" s="1"/>
  <c r="AR166" i="35"/>
  <c r="T166" i="35" s="1"/>
  <c r="AV166" i="35"/>
  <c r="X166" i="35" s="1"/>
  <c r="F166" i="35"/>
  <c r="AD166" i="35" s="1"/>
  <c r="J166" i="35"/>
  <c r="AH166" i="35" s="1"/>
  <c r="N166" i="35"/>
  <c r="AL166" i="35" s="1"/>
  <c r="AO166" i="35"/>
  <c r="Q166" i="35" s="1"/>
  <c r="AS166" i="35"/>
  <c r="U166" i="35" s="1"/>
  <c r="AW166" i="35"/>
  <c r="Y166" i="35" s="1"/>
  <c r="D162" i="35"/>
  <c r="BD162" i="35"/>
  <c r="CB162" i="35" s="1"/>
  <c r="BH162" i="35"/>
  <c r="CF162" i="35" s="1"/>
  <c r="BL162" i="35"/>
  <c r="CJ162" i="35" s="1"/>
  <c r="CN162" i="35"/>
  <c r="BP162" i="35" s="1"/>
  <c r="CR162" i="35"/>
  <c r="BT162" i="35" s="1"/>
  <c r="CV162" i="35"/>
  <c r="BX162" i="35" s="1"/>
  <c r="BE162" i="35"/>
  <c r="CC162" i="35" s="1"/>
  <c r="BI162" i="35"/>
  <c r="CG162" i="35" s="1"/>
  <c r="BM162" i="35"/>
  <c r="CK162" i="35" s="1"/>
  <c r="CO162" i="35"/>
  <c r="BQ162" i="35" s="1"/>
  <c r="CS162" i="35"/>
  <c r="BU162" i="35" s="1"/>
  <c r="CW162" i="35"/>
  <c r="BY162" i="35" s="1"/>
  <c r="BF162" i="35"/>
  <c r="CD162" i="35" s="1"/>
  <c r="BJ162" i="35"/>
  <c r="CH162" i="35" s="1"/>
  <c r="BN162" i="35"/>
  <c r="CL162" i="35" s="1"/>
  <c r="CP162" i="35"/>
  <c r="BR162" i="35" s="1"/>
  <c r="CT162" i="35"/>
  <c r="BV162" i="35" s="1"/>
  <c r="CX162" i="35"/>
  <c r="BZ162" i="35" s="1"/>
  <c r="BC162" i="35"/>
  <c r="CA162" i="35" s="1"/>
  <c r="BG162" i="35"/>
  <c r="CE162" i="35" s="1"/>
  <c r="BK162" i="35"/>
  <c r="CI162" i="35" s="1"/>
  <c r="CM162" i="35"/>
  <c r="BO162" i="35" s="1"/>
  <c r="CQ162" i="35"/>
  <c r="BS162" i="35" s="1"/>
  <c r="CU162" i="35"/>
  <c r="BW162" i="35" s="1"/>
  <c r="F162" i="35"/>
  <c r="AD162" i="35" s="1"/>
  <c r="J162" i="35"/>
  <c r="AH162" i="35" s="1"/>
  <c r="N162" i="35"/>
  <c r="AL162" i="35" s="1"/>
  <c r="AO162" i="35"/>
  <c r="Q162" i="35" s="1"/>
  <c r="AS162" i="35"/>
  <c r="U162" i="35" s="1"/>
  <c r="AW162" i="35"/>
  <c r="Y162" i="35" s="1"/>
  <c r="G162" i="35"/>
  <c r="AE162" i="35" s="1"/>
  <c r="K162" i="35"/>
  <c r="AI162" i="35" s="1"/>
  <c r="O162" i="35"/>
  <c r="AM162" i="35" s="1"/>
  <c r="AP162" i="35"/>
  <c r="R162" i="35" s="1"/>
  <c r="AT162" i="35"/>
  <c r="V162" i="35" s="1"/>
  <c r="AX162" i="35"/>
  <c r="Z162" i="35" s="1"/>
  <c r="H162" i="35"/>
  <c r="AF162" i="35" s="1"/>
  <c r="L162" i="35"/>
  <c r="AJ162" i="35" s="1"/>
  <c r="AB162" i="35"/>
  <c r="AQ162" i="35"/>
  <c r="S162" i="35" s="1"/>
  <c r="AU162" i="35"/>
  <c r="W162" i="35" s="1"/>
  <c r="AY162" i="35"/>
  <c r="AA162" i="35" s="1"/>
  <c r="E162" i="35"/>
  <c r="AC162" i="35" s="1"/>
  <c r="I162" i="35"/>
  <c r="AG162" i="35" s="1"/>
  <c r="M162" i="35"/>
  <c r="AK162" i="35" s="1"/>
  <c r="AN162" i="35"/>
  <c r="P162" i="35" s="1"/>
  <c r="AR162" i="35"/>
  <c r="T162" i="35" s="1"/>
  <c r="AV162" i="35"/>
  <c r="X162" i="35" s="1"/>
  <c r="BC224" i="35"/>
  <c r="CA224" i="35" s="1"/>
  <c r="BC222" i="35"/>
  <c r="CA222" i="35" s="1"/>
  <c r="CQ223" i="35"/>
  <c r="BS223" i="35" s="1"/>
  <c r="F224" i="35"/>
  <c r="AD224" i="35" s="1"/>
  <c r="AS223" i="35"/>
  <c r="U223" i="35" s="1"/>
  <c r="G222" i="35"/>
  <c r="AE222" i="35" s="1"/>
  <c r="AJ108" i="35"/>
  <c r="AG108" i="35"/>
  <c r="AD108" i="35"/>
  <c r="X9" i="35"/>
  <c r="X10" i="35"/>
  <c r="X11" i="35"/>
  <c r="X12" i="35"/>
  <c r="X13" i="35"/>
  <c r="X14" i="35"/>
  <c r="X15" i="35"/>
  <c r="X16" i="35"/>
  <c r="X17" i="35"/>
  <c r="X18" i="35"/>
  <c r="X19" i="35"/>
  <c r="X20" i="35"/>
  <c r="X21" i="35"/>
  <c r="X22" i="35"/>
  <c r="X23" i="35"/>
  <c r="X24" i="35"/>
  <c r="X25" i="35"/>
  <c r="X26" i="35"/>
  <c r="X27" i="35"/>
  <c r="X28" i="35"/>
  <c r="AI9" i="35"/>
  <c r="AI10" i="35"/>
  <c r="AI11" i="35"/>
  <c r="AI12" i="35"/>
  <c r="AI13" i="35"/>
  <c r="AI14" i="35"/>
  <c r="AI15" i="35"/>
  <c r="AI16" i="35"/>
  <c r="AI17" i="35"/>
  <c r="AI18" i="35"/>
  <c r="AI19" i="35"/>
  <c r="AI20" i="35"/>
  <c r="AI21" i="35"/>
  <c r="AI22" i="35"/>
  <c r="AI23" i="35"/>
  <c r="AI24" i="35"/>
  <c r="AI25" i="35"/>
  <c r="AI26" i="35"/>
  <c r="AI27" i="35"/>
  <c r="AI28" i="35"/>
  <c r="AH9" i="35"/>
  <c r="AH10" i="35"/>
  <c r="AH11" i="35"/>
  <c r="AH12" i="35"/>
  <c r="AH13" i="35"/>
  <c r="AH14" i="35"/>
  <c r="AH15" i="35"/>
  <c r="AH16" i="35"/>
  <c r="AH17" i="35"/>
  <c r="AH18" i="35"/>
  <c r="AH19" i="35"/>
  <c r="AH20" i="35"/>
  <c r="AH21" i="35"/>
  <c r="AH22" i="35"/>
  <c r="AH23" i="35"/>
  <c r="AH24" i="35"/>
  <c r="AH25" i="35"/>
  <c r="AH26" i="35"/>
  <c r="AH27" i="35"/>
  <c r="AH28" i="35"/>
  <c r="AF9" i="35"/>
  <c r="AF10" i="35"/>
  <c r="AF11" i="35"/>
  <c r="AF12" i="35"/>
  <c r="AF13" i="35"/>
  <c r="AF14" i="35"/>
  <c r="AF15" i="35"/>
  <c r="AF16" i="35"/>
  <c r="AF17" i="35"/>
  <c r="AF18" i="35"/>
  <c r="AF19" i="35"/>
  <c r="AF20" i="35"/>
  <c r="AF21" i="35"/>
  <c r="AF22" i="35"/>
  <c r="AF23" i="35"/>
  <c r="AF24" i="35"/>
  <c r="AF25" i="35"/>
  <c r="AF26" i="35"/>
  <c r="AF27" i="35"/>
  <c r="AF28" i="35"/>
  <c r="AE9" i="35"/>
  <c r="AE10" i="35"/>
  <c r="AE11" i="35"/>
  <c r="AE12" i="35"/>
  <c r="AE13" i="35"/>
  <c r="AE14" i="35"/>
  <c r="AE15" i="35"/>
  <c r="AE16" i="35"/>
  <c r="AE17" i="35"/>
  <c r="AE18" i="35"/>
  <c r="AE19" i="35"/>
  <c r="AE20" i="35"/>
  <c r="AE21" i="35"/>
  <c r="AE22" i="35"/>
  <c r="AE23" i="35"/>
  <c r="AE24" i="35"/>
  <c r="AE25" i="35"/>
  <c r="AE26" i="35"/>
  <c r="AE27" i="35"/>
  <c r="AE28" i="35"/>
  <c r="AC9" i="35"/>
  <c r="AC10" i="35"/>
  <c r="AC11" i="35"/>
  <c r="AC12" i="35"/>
  <c r="AC13" i="35"/>
  <c r="AC14" i="35"/>
  <c r="AC15" i="35"/>
  <c r="AC16" i="35"/>
  <c r="AC17" i="35"/>
  <c r="AC18" i="35"/>
  <c r="AC19" i="35"/>
  <c r="AC20" i="35"/>
  <c r="AC21" i="35"/>
  <c r="AC22" i="35"/>
  <c r="AC23" i="35"/>
  <c r="AC24" i="35"/>
  <c r="AC25" i="35"/>
  <c r="AC26" i="35"/>
  <c r="AC27" i="35"/>
  <c r="AC28" i="35"/>
  <c r="AB9" i="35"/>
  <c r="AB10" i="35"/>
  <c r="AB11" i="35"/>
  <c r="AB12" i="35"/>
  <c r="AB13" i="35"/>
  <c r="AB14" i="35"/>
  <c r="AB15" i="35"/>
  <c r="AB16" i="35"/>
  <c r="AB17" i="35"/>
  <c r="AB18" i="35"/>
  <c r="AB19" i="35"/>
  <c r="AB20" i="35"/>
  <c r="AB21" i="35"/>
  <c r="AB22" i="35"/>
  <c r="AB23" i="35"/>
  <c r="AB24" i="35"/>
  <c r="AB25" i="35"/>
  <c r="AB26" i="35"/>
  <c r="AB27" i="35"/>
  <c r="AB28" i="35"/>
  <c r="Z21" i="35"/>
  <c r="Z22" i="35"/>
  <c r="Z23" i="35"/>
  <c r="Z24" i="35"/>
  <c r="Z25" i="35"/>
  <c r="Z26" i="35"/>
  <c r="Z27" i="35"/>
  <c r="Z28" i="35"/>
  <c r="W9" i="35"/>
  <c r="W10" i="35"/>
  <c r="W11" i="35"/>
  <c r="W12" i="35"/>
  <c r="W13" i="35"/>
  <c r="W14" i="35"/>
  <c r="W15" i="35"/>
  <c r="W16" i="35"/>
  <c r="W17" i="35"/>
  <c r="W18" i="35"/>
  <c r="W19" i="35"/>
  <c r="W20" i="35"/>
  <c r="W21" i="35"/>
  <c r="W22" i="35"/>
  <c r="W23" i="35"/>
  <c r="W24" i="35"/>
  <c r="W25" i="35"/>
  <c r="W26" i="35"/>
  <c r="W27" i="35"/>
  <c r="W28" i="35"/>
  <c r="T9" i="35"/>
  <c r="T10" i="35"/>
  <c r="T11" i="35"/>
  <c r="T12" i="35"/>
  <c r="T13" i="35"/>
  <c r="T14" i="35"/>
  <c r="T15" i="35"/>
  <c r="T16" i="35"/>
  <c r="T17" i="35"/>
  <c r="T18" i="35"/>
  <c r="T19" i="35"/>
  <c r="T20" i="35"/>
  <c r="T21" i="35"/>
  <c r="T22" i="35"/>
  <c r="T23" i="35"/>
  <c r="T24" i="35"/>
  <c r="T25" i="35"/>
  <c r="T26" i="35"/>
  <c r="T27" i="35"/>
  <c r="T28" i="35"/>
  <c r="Y21" i="35"/>
  <c r="Y22" i="35"/>
  <c r="Y23" i="35"/>
  <c r="Y24" i="35"/>
  <c r="Y25" i="35"/>
  <c r="Y26" i="35"/>
  <c r="Y27" i="35"/>
  <c r="Y28" i="35"/>
  <c r="P92" i="7"/>
  <c r="N92" i="7"/>
  <c r="M92" i="7"/>
  <c r="E92" i="7"/>
  <c r="D92" i="7"/>
  <c r="C92" i="7"/>
  <c r="K92" i="7"/>
  <c r="F92" i="7"/>
  <c r="P72" i="7"/>
  <c r="N72" i="7"/>
  <c r="M72" i="7"/>
  <c r="E72" i="7"/>
  <c r="D72" i="7"/>
  <c r="C72" i="7"/>
  <c r="K72" i="7"/>
  <c r="F72" i="7"/>
  <c r="M52" i="7"/>
  <c r="E52" i="7"/>
  <c r="D52" i="7"/>
  <c r="C52" i="7"/>
  <c r="K52" i="7"/>
  <c r="F52" i="7"/>
  <c r="P52" i="7"/>
  <c r="N52" i="7"/>
  <c r="P32" i="7"/>
  <c r="N32" i="7"/>
  <c r="CP224" i="35" l="1"/>
  <c r="BR224" i="35" s="1"/>
  <c r="AY224" i="35"/>
  <c r="AA224" i="35" s="1"/>
  <c r="AP224" i="35"/>
  <c r="R224" i="35" s="1"/>
  <c r="K224" i="35"/>
  <c r="AI224" i="35" s="1"/>
  <c r="CX224" i="35"/>
  <c r="BZ224" i="35" s="1"/>
  <c r="CO224" i="35"/>
  <c r="BQ224" i="35" s="1"/>
  <c r="BH224" i="35"/>
  <c r="CF224" i="35" s="1"/>
  <c r="D224" i="35"/>
  <c r="CT224" i="35"/>
  <c r="BV224" i="35" s="1"/>
  <c r="BE224" i="35"/>
  <c r="CC224" i="35" s="1"/>
  <c r="CM224" i="35"/>
  <c r="BO224" i="35" s="1"/>
  <c r="E224" i="35"/>
  <c r="AC224" i="35" s="1"/>
  <c r="AS224" i="35"/>
  <c r="U224" i="35" s="1"/>
  <c r="N224" i="35"/>
  <c r="AL224" i="35" s="1"/>
  <c r="BF224" i="35"/>
  <c r="CD224" i="35" s="1"/>
  <c r="CR224" i="35"/>
  <c r="BT224" i="35" s="1"/>
  <c r="BK224" i="35"/>
  <c r="CI224" i="35" s="1"/>
  <c r="BD224" i="35"/>
  <c r="CB224" i="35" s="1"/>
  <c r="BI224" i="35"/>
  <c r="CG224" i="35" s="1"/>
  <c r="CQ224" i="35"/>
  <c r="BS224" i="35" s="1"/>
  <c r="BJ224" i="35"/>
  <c r="CH224" i="35" s="1"/>
  <c r="AX224" i="35"/>
  <c r="Z224" i="35" s="1"/>
  <c r="AO224" i="35"/>
  <c r="Q224" i="35" s="1"/>
  <c r="J224" i="35"/>
  <c r="AH224" i="35" s="1"/>
  <c r="CW224" i="35"/>
  <c r="BY224" i="35" s="1"/>
  <c r="CN224" i="35"/>
  <c r="BP224" i="35" s="1"/>
  <c r="BG224" i="35"/>
  <c r="CE224" i="35" s="1"/>
  <c r="BM224" i="35"/>
  <c r="CK224" i="35" s="1"/>
  <c r="CU224" i="35"/>
  <c r="BW224" i="35" s="1"/>
  <c r="BN224" i="35"/>
  <c r="CL224" i="35" s="1"/>
  <c r="CV224" i="35"/>
  <c r="BX224" i="35" s="1"/>
  <c r="AT224" i="35"/>
  <c r="V224" i="35" s="1"/>
  <c r="O224" i="35"/>
  <c r="AM224" i="35" s="1"/>
  <c r="CS224" i="35"/>
  <c r="BU224" i="35" s="1"/>
  <c r="BL224" i="35"/>
  <c r="CJ224" i="35" s="1"/>
  <c r="E223" i="35"/>
  <c r="AC223" i="35" s="1"/>
  <c r="N223" i="35"/>
  <c r="AL223" i="35" s="1"/>
  <c r="AX223" i="35"/>
  <c r="Z223" i="35" s="1"/>
  <c r="AT223" i="35"/>
  <c r="V223" i="35" s="1"/>
  <c r="AP223" i="35"/>
  <c r="R223" i="35" s="1"/>
  <c r="BK223" i="35"/>
  <c r="CI223" i="35" s="1"/>
  <c r="CW223" i="35"/>
  <c r="BY223" i="35" s="1"/>
  <c r="CN223" i="35"/>
  <c r="BP223" i="35" s="1"/>
  <c r="BG223" i="35"/>
  <c r="CE223" i="35" s="1"/>
  <c r="AU223" i="35"/>
  <c r="W223" i="35" s="1"/>
  <c r="O223" i="35"/>
  <c r="AM223" i="35" s="1"/>
  <c r="F223" i="35"/>
  <c r="AD223" i="35" s="1"/>
  <c r="CS223" i="35"/>
  <c r="BU223" i="35" s="1"/>
  <c r="BL223" i="35"/>
  <c r="CJ223" i="35" s="1"/>
  <c r="BC223" i="35"/>
  <c r="CA223" i="35" s="1"/>
  <c r="CV223" i="35"/>
  <c r="BX223" i="35" s="1"/>
  <c r="BF223" i="35"/>
  <c r="CD223" i="35" s="1"/>
  <c r="CX223" i="35"/>
  <c r="BZ223" i="35" s="1"/>
  <c r="BH223" i="35"/>
  <c r="CF223" i="35" s="1"/>
  <c r="AR223" i="35"/>
  <c r="T223" i="35" s="1"/>
  <c r="AB223" i="35"/>
  <c r="G223" i="35"/>
  <c r="AE223" i="35" s="1"/>
  <c r="CT223" i="35"/>
  <c r="BV223" i="35" s="1"/>
  <c r="BM223" i="35"/>
  <c r="CK223" i="35" s="1"/>
  <c r="BD223" i="35"/>
  <c r="CB223" i="35" s="1"/>
  <c r="CM223" i="35"/>
  <c r="BO223" i="35" s="1"/>
  <c r="CR223" i="35"/>
  <c r="BT223" i="35" s="1"/>
  <c r="CO223" i="35"/>
  <c r="BQ223" i="35" s="1"/>
  <c r="AN223" i="35"/>
  <c r="P223" i="35" s="1"/>
  <c r="L223" i="35"/>
  <c r="AJ223" i="35" s="1"/>
  <c r="AW223" i="35"/>
  <c r="Y223" i="35" s="1"/>
  <c r="CP223" i="35"/>
  <c r="BR223" i="35" s="1"/>
  <c r="BI223" i="35"/>
  <c r="CG223" i="35" s="1"/>
  <c r="CU223" i="35"/>
  <c r="BW223" i="35" s="1"/>
  <c r="BJ223" i="35"/>
  <c r="CH223" i="35" s="1"/>
  <c r="M223" i="35"/>
  <c r="AK223" i="35" s="1"/>
  <c r="H223" i="35"/>
  <c r="AF223" i="35" s="1"/>
  <c r="BN223" i="35"/>
  <c r="CL223" i="35" s="1"/>
  <c r="BE223" i="35"/>
  <c r="CC223" i="35" s="1"/>
  <c r="CX222" i="35"/>
  <c r="BZ222" i="35" s="1"/>
  <c r="BM222" i="35"/>
  <c r="CK222" i="35" s="1"/>
  <c r="CP222" i="35"/>
  <c r="BR222" i="35" s="1"/>
  <c r="BI222" i="35"/>
  <c r="CG222" i="35" s="1"/>
  <c r="CU222" i="35"/>
  <c r="BW222" i="35" s="1"/>
  <c r="N222" i="35"/>
  <c r="AL222" i="35" s="1"/>
  <c r="E222" i="35"/>
  <c r="AC222" i="35" s="1"/>
  <c r="AS222" i="35"/>
  <c r="U222" i="35" s="1"/>
  <c r="BN222" i="35"/>
  <c r="CL222" i="35" s="1"/>
  <c r="BE222" i="35"/>
  <c r="CC222" i="35" s="1"/>
  <c r="CQ222" i="35"/>
  <c r="BS222" i="35" s="1"/>
  <c r="CV222" i="35"/>
  <c r="BX222" i="35" s="1"/>
  <c r="F222" i="35"/>
  <c r="AD222" i="35" s="1"/>
  <c r="AT222" i="35"/>
  <c r="V222" i="35" s="1"/>
  <c r="O222" i="35"/>
  <c r="AM222" i="35" s="1"/>
  <c r="BF222" i="35"/>
  <c r="CD222" i="35" s="1"/>
  <c r="CR222" i="35"/>
  <c r="BT222" i="35" s="1"/>
  <c r="BK222" i="35"/>
  <c r="CI222" i="35" s="1"/>
  <c r="CO222" i="35"/>
  <c r="BQ222" i="35" s="1"/>
  <c r="AY222" i="35"/>
  <c r="AA222" i="35" s="1"/>
  <c r="AP222" i="35"/>
  <c r="R222" i="35" s="1"/>
  <c r="K222" i="35"/>
  <c r="AI222" i="35" s="1"/>
  <c r="CW222" i="35"/>
  <c r="BY222" i="35" s="1"/>
  <c r="CN222" i="35"/>
  <c r="BP222" i="35" s="1"/>
  <c r="BG222" i="35"/>
  <c r="CE222" i="35" s="1"/>
  <c r="BH222" i="35"/>
  <c r="CF222" i="35" s="1"/>
  <c r="CT222" i="35"/>
  <c r="BV222" i="35" s="1"/>
  <c r="BD222" i="35"/>
  <c r="CB222" i="35" s="1"/>
  <c r="BJ222" i="35"/>
  <c r="CH222" i="35" s="1"/>
  <c r="CM222" i="35"/>
  <c r="BO222" i="35" s="1"/>
  <c r="AU222" i="35"/>
  <c r="W222" i="35" s="1"/>
  <c r="AB222" i="35"/>
  <c r="CS222" i="35"/>
  <c r="BU222" i="35" s="1"/>
  <c r="BL222" i="35"/>
  <c r="CJ222" i="35" s="1"/>
  <c r="BE154" i="35"/>
  <c r="CC154" i="35" s="1"/>
  <c r="D158" i="35"/>
  <c r="BD158" i="35"/>
  <c r="CB158" i="35" s="1"/>
  <c r="BH158" i="35"/>
  <c r="CF158" i="35" s="1"/>
  <c r="BL158" i="35"/>
  <c r="CJ158" i="35" s="1"/>
  <c r="CN158" i="35"/>
  <c r="BP158" i="35" s="1"/>
  <c r="CR158" i="35"/>
  <c r="BT158" i="35" s="1"/>
  <c r="CV158" i="35"/>
  <c r="BX158" i="35" s="1"/>
  <c r="BE158" i="35"/>
  <c r="CC158" i="35" s="1"/>
  <c r="BI158" i="35"/>
  <c r="CG158" i="35" s="1"/>
  <c r="BM158" i="35"/>
  <c r="CK158" i="35" s="1"/>
  <c r="CO158" i="35"/>
  <c r="BQ158" i="35" s="1"/>
  <c r="CS158" i="35"/>
  <c r="BU158" i="35" s="1"/>
  <c r="CW158" i="35"/>
  <c r="BY158" i="35" s="1"/>
  <c r="BF158" i="35"/>
  <c r="CD158" i="35" s="1"/>
  <c r="BJ158" i="35"/>
  <c r="CH158" i="35" s="1"/>
  <c r="BN158" i="35"/>
  <c r="CL158" i="35" s="1"/>
  <c r="CP158" i="35"/>
  <c r="BR158" i="35" s="1"/>
  <c r="CT158" i="35"/>
  <c r="BV158" i="35" s="1"/>
  <c r="CX158" i="35"/>
  <c r="BZ158" i="35" s="1"/>
  <c r="BC158" i="35"/>
  <c r="CA158" i="35" s="1"/>
  <c r="BG158" i="35"/>
  <c r="CE158" i="35" s="1"/>
  <c r="BK158" i="35"/>
  <c r="CI158" i="35" s="1"/>
  <c r="CM158" i="35"/>
  <c r="BO158" i="35" s="1"/>
  <c r="CQ158" i="35"/>
  <c r="BS158" i="35" s="1"/>
  <c r="CU158" i="35"/>
  <c r="BW158" i="35" s="1"/>
  <c r="F158" i="35"/>
  <c r="AD158" i="35" s="1"/>
  <c r="J158" i="35"/>
  <c r="AH158" i="35" s="1"/>
  <c r="N158" i="35"/>
  <c r="AL158" i="35" s="1"/>
  <c r="AO158" i="35"/>
  <c r="Q158" i="35" s="1"/>
  <c r="AS158" i="35"/>
  <c r="U158" i="35" s="1"/>
  <c r="AW158" i="35"/>
  <c r="Y158" i="35" s="1"/>
  <c r="G158" i="35"/>
  <c r="AE158" i="35" s="1"/>
  <c r="K158" i="35"/>
  <c r="AI158" i="35" s="1"/>
  <c r="O158" i="35"/>
  <c r="AM158" i="35" s="1"/>
  <c r="AP158" i="35"/>
  <c r="R158" i="35" s="1"/>
  <c r="AT158" i="35"/>
  <c r="V158" i="35" s="1"/>
  <c r="AX158" i="35"/>
  <c r="Z158" i="35" s="1"/>
  <c r="H158" i="35"/>
  <c r="AF158" i="35" s="1"/>
  <c r="L158" i="35"/>
  <c r="AJ158" i="35" s="1"/>
  <c r="AB158" i="35"/>
  <c r="AQ158" i="35"/>
  <c r="S158" i="35" s="1"/>
  <c r="AU158" i="35"/>
  <c r="W158" i="35" s="1"/>
  <c r="AY158" i="35"/>
  <c r="AA158" i="35" s="1"/>
  <c r="E158" i="35"/>
  <c r="AC158" i="35" s="1"/>
  <c r="I158" i="35"/>
  <c r="AG158" i="35" s="1"/>
  <c r="M158" i="35"/>
  <c r="AK158" i="35" s="1"/>
  <c r="AN158" i="35"/>
  <c r="P158" i="35" s="1"/>
  <c r="AR158" i="35"/>
  <c r="T158" i="35" s="1"/>
  <c r="AV158" i="35"/>
  <c r="X158" i="35" s="1"/>
  <c r="BI154" i="35"/>
  <c r="CG154" i="35" s="1"/>
  <c r="BM154" i="35"/>
  <c r="CK154" i="35" s="1"/>
  <c r="CO154" i="35"/>
  <c r="BQ154" i="35" s="1"/>
  <c r="CS154" i="35"/>
  <c r="BU154" i="35" s="1"/>
  <c r="CW154" i="35"/>
  <c r="BY154" i="35" s="1"/>
  <c r="BF154" i="35"/>
  <c r="CD154" i="35" s="1"/>
  <c r="BJ154" i="35"/>
  <c r="CH154" i="35" s="1"/>
  <c r="CP154" i="35"/>
  <c r="BR154" i="35" s="1"/>
  <c r="CT154" i="35"/>
  <c r="BV154" i="35" s="1"/>
  <c r="CX154" i="35"/>
  <c r="BZ154" i="35" s="1"/>
  <c r="BC154" i="35"/>
  <c r="CA154" i="35" s="1"/>
  <c r="BG154" i="35"/>
  <c r="CE154" i="35" s="1"/>
  <c r="BK154" i="35"/>
  <c r="CI154" i="35" s="1"/>
  <c r="CM154" i="35"/>
  <c r="BO154" i="35" s="1"/>
  <c r="CU154" i="35"/>
  <c r="BW154" i="35" s="1"/>
  <c r="BD154" i="35"/>
  <c r="CB154" i="35" s="1"/>
  <c r="BH154" i="35"/>
  <c r="CF154" i="35" s="1"/>
  <c r="BL154" i="35"/>
  <c r="CJ154" i="35" s="1"/>
  <c r="CN154" i="35"/>
  <c r="BP154" i="35" s="1"/>
  <c r="CR154" i="35"/>
  <c r="BT154" i="35" s="1"/>
  <c r="CV154" i="35"/>
  <c r="BX154" i="35" s="1"/>
  <c r="BE150" i="35"/>
  <c r="CC150" i="35" s="1"/>
  <c r="BI150" i="35"/>
  <c r="CG150" i="35" s="1"/>
  <c r="BM150" i="35"/>
  <c r="CK150" i="35" s="1"/>
  <c r="CO150" i="35"/>
  <c r="BQ150" i="35" s="1"/>
  <c r="CS150" i="35"/>
  <c r="BU150" i="35" s="1"/>
  <c r="CW150" i="35"/>
  <c r="BY150" i="35" s="1"/>
  <c r="D150" i="35"/>
  <c r="BF150" i="35"/>
  <c r="CD150" i="35" s="1"/>
  <c r="BJ150" i="35"/>
  <c r="CH150" i="35" s="1"/>
  <c r="BN150" i="35"/>
  <c r="CL150" i="35" s="1"/>
  <c r="CP150" i="35"/>
  <c r="BR150" i="35" s="1"/>
  <c r="CT150" i="35"/>
  <c r="BV150" i="35" s="1"/>
  <c r="CX150" i="35"/>
  <c r="BZ150" i="35" s="1"/>
  <c r="BC150" i="35"/>
  <c r="CA150" i="35" s="1"/>
  <c r="BG150" i="35"/>
  <c r="CE150" i="35" s="1"/>
  <c r="BK150" i="35"/>
  <c r="CI150" i="35" s="1"/>
  <c r="CM150" i="35"/>
  <c r="BO150" i="35" s="1"/>
  <c r="CQ150" i="35"/>
  <c r="BS150" i="35" s="1"/>
  <c r="CU150" i="35"/>
  <c r="BW150" i="35" s="1"/>
  <c r="BD150" i="35"/>
  <c r="CB150" i="35" s="1"/>
  <c r="BH150" i="35"/>
  <c r="CF150" i="35" s="1"/>
  <c r="BL150" i="35"/>
  <c r="CJ150" i="35" s="1"/>
  <c r="CN150" i="35"/>
  <c r="BP150" i="35" s="1"/>
  <c r="CR150" i="35"/>
  <c r="BT150" i="35" s="1"/>
  <c r="CV150" i="35"/>
  <c r="BX150" i="35" s="1"/>
  <c r="E150" i="35"/>
  <c r="AC150" i="35" s="1"/>
  <c r="I150" i="35"/>
  <c r="AG150" i="35" s="1"/>
  <c r="M150" i="35"/>
  <c r="AK150" i="35" s="1"/>
  <c r="AN150" i="35"/>
  <c r="P150" i="35" s="1"/>
  <c r="AR150" i="35"/>
  <c r="T150" i="35" s="1"/>
  <c r="AV150" i="35"/>
  <c r="X150" i="35" s="1"/>
  <c r="F150" i="35"/>
  <c r="AD150" i="35" s="1"/>
  <c r="J150" i="35"/>
  <c r="AH150" i="35" s="1"/>
  <c r="N150" i="35"/>
  <c r="AL150" i="35" s="1"/>
  <c r="AO150" i="35"/>
  <c r="Q150" i="35" s="1"/>
  <c r="AS150" i="35"/>
  <c r="U150" i="35" s="1"/>
  <c r="AW150" i="35"/>
  <c r="Y150" i="35" s="1"/>
  <c r="G150" i="35"/>
  <c r="AE150" i="35" s="1"/>
  <c r="K150" i="35"/>
  <c r="AI150" i="35" s="1"/>
  <c r="O150" i="35"/>
  <c r="AM150" i="35" s="1"/>
  <c r="AP150" i="35"/>
  <c r="R150" i="35" s="1"/>
  <c r="AT150" i="35"/>
  <c r="V150" i="35" s="1"/>
  <c r="AX150" i="35"/>
  <c r="Z150" i="35" s="1"/>
  <c r="H150" i="35"/>
  <c r="AF150" i="35" s="1"/>
  <c r="L150" i="35"/>
  <c r="AJ150" i="35" s="1"/>
  <c r="AB150" i="35"/>
  <c r="AQ150" i="35"/>
  <c r="S150" i="35" s="1"/>
  <c r="AU150" i="35"/>
  <c r="W150" i="35" s="1"/>
  <c r="AY150" i="35"/>
  <c r="AA150" i="35" s="1"/>
  <c r="D161" i="35"/>
  <c r="BF161" i="35"/>
  <c r="CD161" i="35" s="1"/>
  <c r="BJ161" i="35"/>
  <c r="CH161" i="35" s="1"/>
  <c r="BN161" i="35"/>
  <c r="CL161" i="35" s="1"/>
  <c r="CN161" i="35"/>
  <c r="BP161" i="35" s="1"/>
  <c r="CR161" i="35"/>
  <c r="BT161" i="35" s="1"/>
  <c r="CV161" i="35"/>
  <c r="BX161" i="35" s="1"/>
  <c r="BC161" i="35"/>
  <c r="CA161" i="35" s="1"/>
  <c r="BG161" i="35"/>
  <c r="CE161" i="35" s="1"/>
  <c r="BK161" i="35"/>
  <c r="CI161" i="35" s="1"/>
  <c r="CO161" i="35"/>
  <c r="BQ161" i="35" s="1"/>
  <c r="CS161" i="35"/>
  <c r="BU161" i="35" s="1"/>
  <c r="CW161" i="35"/>
  <c r="BY161" i="35" s="1"/>
  <c r="BD161" i="35"/>
  <c r="CB161" i="35" s="1"/>
  <c r="BH161" i="35"/>
  <c r="CF161" i="35" s="1"/>
  <c r="BL161" i="35"/>
  <c r="CJ161" i="35" s="1"/>
  <c r="CP161" i="35"/>
  <c r="BR161" i="35" s="1"/>
  <c r="CT161" i="35"/>
  <c r="BV161" i="35" s="1"/>
  <c r="CX161" i="35"/>
  <c r="BZ161" i="35" s="1"/>
  <c r="BE161" i="35"/>
  <c r="CC161" i="35" s="1"/>
  <c r="BI161" i="35"/>
  <c r="CG161" i="35" s="1"/>
  <c r="BM161" i="35"/>
  <c r="CK161" i="35" s="1"/>
  <c r="CM161" i="35"/>
  <c r="BO161" i="35" s="1"/>
  <c r="CQ161" i="35"/>
  <c r="BS161" i="35" s="1"/>
  <c r="CU161" i="35"/>
  <c r="BW161" i="35" s="1"/>
  <c r="E161" i="35"/>
  <c r="AC161" i="35" s="1"/>
  <c r="I161" i="35"/>
  <c r="AG161" i="35" s="1"/>
  <c r="G161" i="35"/>
  <c r="AE161" i="35" s="1"/>
  <c r="K161" i="35"/>
  <c r="AI161" i="35" s="1"/>
  <c r="H161" i="35"/>
  <c r="AF161" i="35" s="1"/>
  <c r="L161" i="35"/>
  <c r="AJ161" i="35" s="1"/>
  <c r="F161" i="35"/>
  <c r="AD161" i="35" s="1"/>
  <c r="O161" i="35"/>
  <c r="AM161" i="35" s="1"/>
  <c r="AO161" i="35"/>
  <c r="Q161" i="35" s="1"/>
  <c r="AS161" i="35"/>
  <c r="U161" i="35" s="1"/>
  <c r="AW161" i="35"/>
  <c r="Y161" i="35" s="1"/>
  <c r="J161" i="35"/>
  <c r="AH161" i="35" s="1"/>
  <c r="AB161" i="35"/>
  <c r="AP161" i="35"/>
  <c r="R161" i="35" s="1"/>
  <c r="AT161" i="35"/>
  <c r="V161" i="35" s="1"/>
  <c r="AX161" i="35"/>
  <c r="Z161" i="35" s="1"/>
  <c r="M161" i="35"/>
  <c r="AK161" i="35" s="1"/>
  <c r="AQ161" i="35"/>
  <c r="S161" i="35" s="1"/>
  <c r="AU161" i="35"/>
  <c r="W161" i="35" s="1"/>
  <c r="AY161" i="35"/>
  <c r="AA161" i="35" s="1"/>
  <c r="N161" i="35"/>
  <c r="AL161" i="35" s="1"/>
  <c r="AN161" i="35"/>
  <c r="P161" i="35" s="1"/>
  <c r="AR161" i="35"/>
  <c r="T161" i="35" s="1"/>
  <c r="AV161" i="35"/>
  <c r="X161" i="35" s="1"/>
  <c r="D157" i="35"/>
  <c r="BD157" i="35"/>
  <c r="CB157" i="35" s="1"/>
  <c r="BH157" i="35"/>
  <c r="CF157" i="35" s="1"/>
  <c r="BL157" i="35"/>
  <c r="CJ157" i="35" s="1"/>
  <c r="CN157" i="35"/>
  <c r="BP157" i="35" s="1"/>
  <c r="CR157" i="35"/>
  <c r="BT157" i="35" s="1"/>
  <c r="CV157" i="35"/>
  <c r="BX157" i="35" s="1"/>
  <c r="BE157" i="35"/>
  <c r="CC157" i="35" s="1"/>
  <c r="BI157" i="35"/>
  <c r="CG157" i="35" s="1"/>
  <c r="BM157" i="35"/>
  <c r="CK157" i="35" s="1"/>
  <c r="CO157" i="35"/>
  <c r="BQ157" i="35" s="1"/>
  <c r="CS157" i="35"/>
  <c r="BU157" i="35" s="1"/>
  <c r="CW157" i="35"/>
  <c r="BY157" i="35" s="1"/>
  <c r="BF157" i="35"/>
  <c r="CD157" i="35" s="1"/>
  <c r="BJ157" i="35"/>
  <c r="CH157" i="35" s="1"/>
  <c r="BN157" i="35"/>
  <c r="CL157" i="35" s="1"/>
  <c r="CP157" i="35"/>
  <c r="BR157" i="35" s="1"/>
  <c r="CT157" i="35"/>
  <c r="BV157" i="35" s="1"/>
  <c r="CX157" i="35"/>
  <c r="BZ157" i="35" s="1"/>
  <c r="BC157" i="35"/>
  <c r="CA157" i="35" s="1"/>
  <c r="BG157" i="35"/>
  <c r="CE157" i="35" s="1"/>
  <c r="BK157" i="35"/>
  <c r="CI157" i="35" s="1"/>
  <c r="CM157" i="35"/>
  <c r="BO157" i="35" s="1"/>
  <c r="CQ157" i="35"/>
  <c r="BS157" i="35" s="1"/>
  <c r="CU157" i="35"/>
  <c r="BW157" i="35" s="1"/>
  <c r="G157" i="35"/>
  <c r="AE157" i="35" s="1"/>
  <c r="K157" i="35"/>
  <c r="AI157" i="35" s="1"/>
  <c r="O157" i="35"/>
  <c r="AM157" i="35" s="1"/>
  <c r="AO157" i="35"/>
  <c r="Q157" i="35" s="1"/>
  <c r="AS157" i="35"/>
  <c r="U157" i="35" s="1"/>
  <c r="AW157" i="35"/>
  <c r="Y157" i="35" s="1"/>
  <c r="H157" i="35"/>
  <c r="AF157" i="35" s="1"/>
  <c r="L157" i="35"/>
  <c r="AJ157" i="35" s="1"/>
  <c r="AB157" i="35"/>
  <c r="AP157" i="35"/>
  <c r="R157" i="35" s="1"/>
  <c r="AT157" i="35"/>
  <c r="V157" i="35" s="1"/>
  <c r="AX157" i="35"/>
  <c r="Z157" i="35" s="1"/>
  <c r="E157" i="35"/>
  <c r="AC157" i="35" s="1"/>
  <c r="I157" i="35"/>
  <c r="AG157" i="35" s="1"/>
  <c r="M157" i="35"/>
  <c r="AK157" i="35" s="1"/>
  <c r="AQ157" i="35"/>
  <c r="S157" i="35" s="1"/>
  <c r="AU157" i="35"/>
  <c r="W157" i="35" s="1"/>
  <c r="AY157" i="35"/>
  <c r="AA157" i="35" s="1"/>
  <c r="F157" i="35"/>
  <c r="AD157" i="35" s="1"/>
  <c r="J157" i="35"/>
  <c r="AH157" i="35" s="1"/>
  <c r="N157" i="35"/>
  <c r="AL157" i="35" s="1"/>
  <c r="AN157" i="35"/>
  <c r="P157" i="35" s="1"/>
  <c r="AR157" i="35"/>
  <c r="T157" i="35" s="1"/>
  <c r="AV157" i="35"/>
  <c r="X157" i="35" s="1"/>
  <c r="D153" i="35"/>
  <c r="BC153" i="35"/>
  <c r="CA153" i="35" s="1"/>
  <c r="BG153" i="35"/>
  <c r="CE153" i="35" s="1"/>
  <c r="BK153" i="35"/>
  <c r="CI153" i="35" s="1"/>
  <c r="CO153" i="35"/>
  <c r="BQ153" i="35" s="1"/>
  <c r="CS153" i="35"/>
  <c r="BU153" i="35" s="1"/>
  <c r="CW153" i="35"/>
  <c r="BY153" i="35" s="1"/>
  <c r="BD153" i="35"/>
  <c r="CB153" i="35" s="1"/>
  <c r="BH153" i="35"/>
  <c r="CF153" i="35" s="1"/>
  <c r="BL153" i="35"/>
  <c r="CJ153" i="35" s="1"/>
  <c r="CP153" i="35"/>
  <c r="BR153" i="35" s="1"/>
  <c r="CT153" i="35"/>
  <c r="BV153" i="35" s="1"/>
  <c r="CX153" i="35"/>
  <c r="BZ153" i="35" s="1"/>
  <c r="BE153" i="35"/>
  <c r="CC153" i="35" s="1"/>
  <c r="BI153" i="35"/>
  <c r="CG153" i="35" s="1"/>
  <c r="BM153" i="35"/>
  <c r="CK153" i="35" s="1"/>
  <c r="CM153" i="35"/>
  <c r="BO153" i="35" s="1"/>
  <c r="CQ153" i="35"/>
  <c r="BS153" i="35" s="1"/>
  <c r="CU153" i="35"/>
  <c r="BW153" i="35" s="1"/>
  <c r="BF153" i="35"/>
  <c r="CD153" i="35" s="1"/>
  <c r="BJ153" i="35"/>
  <c r="CH153" i="35" s="1"/>
  <c r="BN153" i="35"/>
  <c r="CL153" i="35" s="1"/>
  <c r="CN153" i="35"/>
  <c r="BP153" i="35" s="1"/>
  <c r="CR153" i="35"/>
  <c r="BT153" i="35" s="1"/>
  <c r="CV153" i="35"/>
  <c r="BX153" i="35" s="1"/>
  <c r="H153" i="35"/>
  <c r="AF153" i="35" s="1"/>
  <c r="L153" i="35"/>
  <c r="AJ153" i="35" s="1"/>
  <c r="AB153" i="35"/>
  <c r="AQ153" i="35"/>
  <c r="S153" i="35" s="1"/>
  <c r="AU153" i="35"/>
  <c r="W153" i="35" s="1"/>
  <c r="AY153" i="35"/>
  <c r="AA153" i="35" s="1"/>
  <c r="E153" i="35"/>
  <c r="AC153" i="35" s="1"/>
  <c r="I153" i="35"/>
  <c r="AG153" i="35" s="1"/>
  <c r="M153" i="35"/>
  <c r="AK153" i="35" s="1"/>
  <c r="AN153" i="35"/>
  <c r="P153" i="35" s="1"/>
  <c r="AR153" i="35"/>
  <c r="T153" i="35" s="1"/>
  <c r="AV153" i="35"/>
  <c r="X153" i="35" s="1"/>
  <c r="F153" i="35"/>
  <c r="AD153" i="35" s="1"/>
  <c r="J153" i="35"/>
  <c r="AH153" i="35" s="1"/>
  <c r="N153" i="35"/>
  <c r="AL153" i="35" s="1"/>
  <c r="AO153" i="35"/>
  <c r="Q153" i="35" s="1"/>
  <c r="AS153" i="35"/>
  <c r="U153" i="35" s="1"/>
  <c r="AW153" i="35"/>
  <c r="Y153" i="35" s="1"/>
  <c r="G153" i="35"/>
  <c r="AE153" i="35" s="1"/>
  <c r="K153" i="35"/>
  <c r="AI153" i="35" s="1"/>
  <c r="O153" i="35"/>
  <c r="AM153" i="35" s="1"/>
  <c r="AP153" i="35"/>
  <c r="R153" i="35" s="1"/>
  <c r="AT153" i="35"/>
  <c r="V153" i="35" s="1"/>
  <c r="AX153" i="35"/>
  <c r="Z153" i="35" s="1"/>
  <c r="D160" i="35"/>
  <c r="BF160" i="35"/>
  <c r="CD160" i="35" s="1"/>
  <c r="BJ160" i="35"/>
  <c r="CH160" i="35" s="1"/>
  <c r="BN160" i="35"/>
  <c r="CL160" i="35" s="1"/>
  <c r="CP160" i="35"/>
  <c r="BR160" i="35" s="1"/>
  <c r="CT160" i="35"/>
  <c r="BV160" i="35" s="1"/>
  <c r="CX160" i="35"/>
  <c r="BZ160" i="35" s="1"/>
  <c r="BC160" i="35"/>
  <c r="CA160" i="35" s="1"/>
  <c r="BG160" i="35"/>
  <c r="CE160" i="35" s="1"/>
  <c r="BK160" i="35"/>
  <c r="CI160" i="35" s="1"/>
  <c r="CM160" i="35"/>
  <c r="BO160" i="35" s="1"/>
  <c r="CQ160" i="35"/>
  <c r="BS160" i="35" s="1"/>
  <c r="CU160" i="35"/>
  <c r="BW160" i="35" s="1"/>
  <c r="BD160" i="35"/>
  <c r="CB160" i="35" s="1"/>
  <c r="BH160" i="35"/>
  <c r="CF160" i="35" s="1"/>
  <c r="BL160" i="35"/>
  <c r="CJ160" i="35" s="1"/>
  <c r="CN160" i="35"/>
  <c r="BP160" i="35" s="1"/>
  <c r="CR160" i="35"/>
  <c r="BT160" i="35" s="1"/>
  <c r="CV160" i="35"/>
  <c r="BX160" i="35" s="1"/>
  <c r="BE160" i="35"/>
  <c r="CC160" i="35" s="1"/>
  <c r="BI160" i="35"/>
  <c r="CG160" i="35" s="1"/>
  <c r="BM160" i="35"/>
  <c r="CK160" i="35" s="1"/>
  <c r="CO160" i="35"/>
  <c r="BQ160" i="35" s="1"/>
  <c r="CS160" i="35"/>
  <c r="BU160" i="35" s="1"/>
  <c r="CW160" i="35"/>
  <c r="BY160" i="35" s="1"/>
  <c r="E160" i="35"/>
  <c r="AC160" i="35" s="1"/>
  <c r="I160" i="35"/>
  <c r="AG160" i="35" s="1"/>
  <c r="M160" i="35"/>
  <c r="AK160" i="35" s="1"/>
  <c r="AN160" i="35"/>
  <c r="P160" i="35" s="1"/>
  <c r="AR160" i="35"/>
  <c r="T160" i="35" s="1"/>
  <c r="AV160" i="35"/>
  <c r="X160" i="35" s="1"/>
  <c r="F160" i="35"/>
  <c r="AD160" i="35" s="1"/>
  <c r="J160" i="35"/>
  <c r="AH160" i="35" s="1"/>
  <c r="N160" i="35"/>
  <c r="AL160" i="35" s="1"/>
  <c r="AO160" i="35"/>
  <c r="Q160" i="35" s="1"/>
  <c r="G160" i="35"/>
  <c r="AE160" i="35" s="1"/>
  <c r="K160" i="35"/>
  <c r="AI160" i="35" s="1"/>
  <c r="O160" i="35"/>
  <c r="AM160" i="35" s="1"/>
  <c r="AP160" i="35"/>
  <c r="R160" i="35" s="1"/>
  <c r="AT160" i="35"/>
  <c r="V160" i="35" s="1"/>
  <c r="AX160" i="35"/>
  <c r="Z160" i="35" s="1"/>
  <c r="H160" i="35"/>
  <c r="AF160" i="35" s="1"/>
  <c r="L160" i="35"/>
  <c r="AJ160" i="35" s="1"/>
  <c r="AB160" i="35"/>
  <c r="AQ160" i="35"/>
  <c r="S160" i="35" s="1"/>
  <c r="AU160" i="35"/>
  <c r="W160" i="35" s="1"/>
  <c r="AY160" i="35"/>
  <c r="AA160" i="35" s="1"/>
  <c r="AS160" i="35"/>
  <c r="U160" i="35" s="1"/>
  <c r="AW160" i="35"/>
  <c r="Y160" i="35" s="1"/>
  <c r="D156" i="35"/>
  <c r="BE156" i="35"/>
  <c r="CC156" i="35" s="1"/>
  <c r="BI156" i="35"/>
  <c r="CG156" i="35" s="1"/>
  <c r="BM156" i="35"/>
  <c r="CK156" i="35" s="1"/>
  <c r="CN156" i="35"/>
  <c r="BP156" i="35" s="1"/>
  <c r="CR156" i="35"/>
  <c r="BT156" i="35" s="1"/>
  <c r="CV156" i="35"/>
  <c r="BX156" i="35" s="1"/>
  <c r="BF156" i="35"/>
  <c r="CD156" i="35" s="1"/>
  <c r="BJ156" i="35"/>
  <c r="CH156" i="35" s="1"/>
  <c r="BN156" i="35"/>
  <c r="CL156" i="35" s="1"/>
  <c r="CO156" i="35"/>
  <c r="BQ156" i="35" s="1"/>
  <c r="CS156" i="35"/>
  <c r="BU156" i="35" s="1"/>
  <c r="CW156" i="35"/>
  <c r="BY156" i="35" s="1"/>
  <c r="BC156" i="35"/>
  <c r="CA156" i="35" s="1"/>
  <c r="BG156" i="35"/>
  <c r="CE156" i="35" s="1"/>
  <c r="BK156" i="35"/>
  <c r="CI156" i="35" s="1"/>
  <c r="CP156" i="35"/>
  <c r="BR156" i="35" s="1"/>
  <c r="CT156" i="35"/>
  <c r="BV156" i="35" s="1"/>
  <c r="CX156" i="35"/>
  <c r="BZ156" i="35" s="1"/>
  <c r="BD156" i="35"/>
  <c r="CB156" i="35" s="1"/>
  <c r="BH156" i="35"/>
  <c r="CF156" i="35" s="1"/>
  <c r="BL156" i="35"/>
  <c r="CJ156" i="35" s="1"/>
  <c r="CM156" i="35"/>
  <c r="BO156" i="35" s="1"/>
  <c r="CQ156" i="35"/>
  <c r="BS156" i="35" s="1"/>
  <c r="CU156" i="35"/>
  <c r="BW156" i="35" s="1"/>
  <c r="G156" i="35"/>
  <c r="AE156" i="35" s="1"/>
  <c r="K156" i="35"/>
  <c r="AI156" i="35" s="1"/>
  <c r="O156" i="35"/>
  <c r="AM156" i="35" s="1"/>
  <c r="AP156" i="35"/>
  <c r="R156" i="35" s="1"/>
  <c r="AT156" i="35"/>
  <c r="V156" i="35" s="1"/>
  <c r="AX156" i="35"/>
  <c r="Z156" i="35" s="1"/>
  <c r="H156" i="35"/>
  <c r="AF156" i="35" s="1"/>
  <c r="L156" i="35"/>
  <c r="AJ156" i="35" s="1"/>
  <c r="AB156" i="35"/>
  <c r="AQ156" i="35"/>
  <c r="S156" i="35" s="1"/>
  <c r="AU156" i="35"/>
  <c r="W156" i="35" s="1"/>
  <c r="AY156" i="35"/>
  <c r="AA156" i="35" s="1"/>
  <c r="E156" i="35"/>
  <c r="AC156" i="35" s="1"/>
  <c r="I156" i="35"/>
  <c r="AG156" i="35" s="1"/>
  <c r="M156" i="35"/>
  <c r="AK156" i="35" s="1"/>
  <c r="AN156" i="35"/>
  <c r="P156" i="35" s="1"/>
  <c r="AR156" i="35"/>
  <c r="T156" i="35" s="1"/>
  <c r="AV156" i="35"/>
  <c r="X156" i="35" s="1"/>
  <c r="F156" i="35"/>
  <c r="AD156" i="35" s="1"/>
  <c r="J156" i="35"/>
  <c r="AH156" i="35" s="1"/>
  <c r="N156" i="35"/>
  <c r="AL156" i="35" s="1"/>
  <c r="AO156" i="35"/>
  <c r="Q156" i="35" s="1"/>
  <c r="AS156" i="35"/>
  <c r="U156" i="35" s="1"/>
  <c r="AW156" i="35"/>
  <c r="Y156" i="35" s="1"/>
  <c r="D152" i="35"/>
  <c r="BC152" i="35"/>
  <c r="CA152" i="35" s="1"/>
  <c r="BG152" i="35"/>
  <c r="CE152" i="35" s="1"/>
  <c r="BK152" i="35"/>
  <c r="CI152" i="35" s="1"/>
  <c r="CM152" i="35"/>
  <c r="BO152" i="35" s="1"/>
  <c r="CQ152" i="35"/>
  <c r="BS152" i="35" s="1"/>
  <c r="CU152" i="35"/>
  <c r="BW152" i="35" s="1"/>
  <c r="BD152" i="35"/>
  <c r="CB152" i="35" s="1"/>
  <c r="BH152" i="35"/>
  <c r="CF152" i="35" s="1"/>
  <c r="BL152" i="35"/>
  <c r="CJ152" i="35" s="1"/>
  <c r="CN152" i="35"/>
  <c r="BP152" i="35" s="1"/>
  <c r="CR152" i="35"/>
  <c r="BT152" i="35" s="1"/>
  <c r="CV152" i="35"/>
  <c r="BX152" i="35" s="1"/>
  <c r="BE152" i="35"/>
  <c r="CC152" i="35" s="1"/>
  <c r="BI152" i="35"/>
  <c r="CG152" i="35" s="1"/>
  <c r="BM152" i="35"/>
  <c r="CK152" i="35" s="1"/>
  <c r="CO152" i="35"/>
  <c r="BQ152" i="35" s="1"/>
  <c r="CS152" i="35"/>
  <c r="BU152" i="35" s="1"/>
  <c r="CW152" i="35"/>
  <c r="BY152" i="35" s="1"/>
  <c r="BF152" i="35"/>
  <c r="CD152" i="35" s="1"/>
  <c r="BJ152" i="35"/>
  <c r="CH152" i="35" s="1"/>
  <c r="BN152" i="35"/>
  <c r="CL152" i="35" s="1"/>
  <c r="CP152" i="35"/>
  <c r="BR152" i="35" s="1"/>
  <c r="CT152" i="35"/>
  <c r="BV152" i="35" s="1"/>
  <c r="CX152" i="35"/>
  <c r="BZ152" i="35" s="1"/>
  <c r="H152" i="35"/>
  <c r="AF152" i="35" s="1"/>
  <c r="L152" i="35"/>
  <c r="AJ152" i="35" s="1"/>
  <c r="AB152" i="35"/>
  <c r="AQ152" i="35"/>
  <c r="S152" i="35" s="1"/>
  <c r="AU152" i="35"/>
  <c r="W152" i="35" s="1"/>
  <c r="AY152" i="35"/>
  <c r="AA152" i="35" s="1"/>
  <c r="E152" i="35"/>
  <c r="AC152" i="35" s="1"/>
  <c r="I152" i="35"/>
  <c r="AG152" i="35" s="1"/>
  <c r="M152" i="35"/>
  <c r="AK152" i="35" s="1"/>
  <c r="AN152" i="35"/>
  <c r="P152" i="35" s="1"/>
  <c r="AR152" i="35"/>
  <c r="T152" i="35" s="1"/>
  <c r="AV152" i="35"/>
  <c r="X152" i="35" s="1"/>
  <c r="F152" i="35"/>
  <c r="AD152" i="35" s="1"/>
  <c r="J152" i="35"/>
  <c r="AH152" i="35" s="1"/>
  <c r="N152" i="35"/>
  <c r="AL152" i="35" s="1"/>
  <c r="AO152" i="35"/>
  <c r="Q152" i="35" s="1"/>
  <c r="AS152" i="35"/>
  <c r="U152" i="35" s="1"/>
  <c r="AW152" i="35"/>
  <c r="Y152" i="35" s="1"/>
  <c r="G152" i="35"/>
  <c r="AE152" i="35" s="1"/>
  <c r="K152" i="35"/>
  <c r="AI152" i="35" s="1"/>
  <c r="O152" i="35"/>
  <c r="AM152" i="35" s="1"/>
  <c r="AP152" i="35"/>
  <c r="R152" i="35" s="1"/>
  <c r="AT152" i="35"/>
  <c r="V152" i="35" s="1"/>
  <c r="AX152" i="35"/>
  <c r="Z152" i="35" s="1"/>
  <c r="BF148" i="35"/>
  <c r="CD148" i="35" s="1"/>
  <c r="BJ148" i="35"/>
  <c r="CH148" i="35" s="1"/>
  <c r="BN148" i="35"/>
  <c r="CL148" i="35" s="1"/>
  <c r="CO148" i="35"/>
  <c r="BQ148" i="35" s="1"/>
  <c r="CS148" i="35"/>
  <c r="BU148" i="35" s="1"/>
  <c r="CW148" i="35"/>
  <c r="BY148" i="35" s="1"/>
  <c r="BC148" i="35"/>
  <c r="CA148" i="35" s="1"/>
  <c r="BG148" i="35"/>
  <c r="CE148" i="35" s="1"/>
  <c r="BK148" i="35"/>
  <c r="CI148" i="35" s="1"/>
  <c r="CP148" i="35"/>
  <c r="BR148" i="35" s="1"/>
  <c r="CT148" i="35"/>
  <c r="BV148" i="35" s="1"/>
  <c r="CX148" i="35"/>
  <c r="BZ148" i="35" s="1"/>
  <c r="BD148" i="35"/>
  <c r="CB148" i="35" s="1"/>
  <c r="BH148" i="35"/>
  <c r="CF148" i="35" s="1"/>
  <c r="BL148" i="35"/>
  <c r="CJ148" i="35" s="1"/>
  <c r="CM148" i="35"/>
  <c r="BO148" i="35" s="1"/>
  <c r="CQ148" i="35"/>
  <c r="BS148" i="35" s="1"/>
  <c r="CU148" i="35"/>
  <c r="BW148" i="35" s="1"/>
  <c r="D148" i="35"/>
  <c r="BE148" i="35"/>
  <c r="CC148" i="35" s="1"/>
  <c r="BI148" i="35"/>
  <c r="CG148" i="35" s="1"/>
  <c r="BM148" i="35"/>
  <c r="CK148" i="35" s="1"/>
  <c r="CN148" i="35"/>
  <c r="BP148" i="35" s="1"/>
  <c r="CR148" i="35"/>
  <c r="BT148" i="35" s="1"/>
  <c r="CV148" i="35"/>
  <c r="BX148" i="35" s="1"/>
  <c r="F148" i="35"/>
  <c r="AD148" i="35" s="1"/>
  <c r="J148" i="35"/>
  <c r="AH148" i="35" s="1"/>
  <c r="N148" i="35"/>
  <c r="AL148" i="35" s="1"/>
  <c r="AO148" i="35"/>
  <c r="Q148" i="35" s="1"/>
  <c r="AS148" i="35"/>
  <c r="U148" i="35" s="1"/>
  <c r="AW148" i="35"/>
  <c r="Y148" i="35" s="1"/>
  <c r="G148" i="35"/>
  <c r="AE148" i="35" s="1"/>
  <c r="K148" i="35"/>
  <c r="AI148" i="35" s="1"/>
  <c r="O148" i="35"/>
  <c r="AM148" i="35" s="1"/>
  <c r="AP148" i="35"/>
  <c r="R148" i="35" s="1"/>
  <c r="AT148" i="35"/>
  <c r="V148" i="35" s="1"/>
  <c r="AX148" i="35"/>
  <c r="Z148" i="35" s="1"/>
  <c r="H148" i="35"/>
  <c r="AF148" i="35" s="1"/>
  <c r="L148" i="35"/>
  <c r="AJ148" i="35" s="1"/>
  <c r="AB148" i="35"/>
  <c r="AQ148" i="35"/>
  <c r="S148" i="35" s="1"/>
  <c r="AU148" i="35"/>
  <c r="W148" i="35" s="1"/>
  <c r="AY148" i="35"/>
  <c r="AA148" i="35" s="1"/>
  <c r="E148" i="35"/>
  <c r="AC148" i="35" s="1"/>
  <c r="I148" i="35"/>
  <c r="AG148" i="35" s="1"/>
  <c r="M148" i="35"/>
  <c r="AK148" i="35" s="1"/>
  <c r="AN148" i="35"/>
  <c r="P148" i="35" s="1"/>
  <c r="AR148" i="35"/>
  <c r="T148" i="35" s="1"/>
  <c r="AV148" i="35"/>
  <c r="X148" i="35" s="1"/>
  <c r="D159" i="35"/>
  <c r="BD159" i="35"/>
  <c r="CB159" i="35" s="1"/>
  <c r="BH159" i="35"/>
  <c r="CF159" i="35" s="1"/>
  <c r="BL159" i="35"/>
  <c r="CJ159" i="35" s="1"/>
  <c r="CP159" i="35"/>
  <c r="BR159" i="35" s="1"/>
  <c r="CT159" i="35"/>
  <c r="BV159" i="35" s="1"/>
  <c r="CX159" i="35"/>
  <c r="BZ159" i="35" s="1"/>
  <c r="BE159" i="35"/>
  <c r="CC159" i="35" s="1"/>
  <c r="BI159" i="35"/>
  <c r="CG159" i="35" s="1"/>
  <c r="BM159" i="35"/>
  <c r="CK159" i="35" s="1"/>
  <c r="CM159" i="35"/>
  <c r="BO159" i="35" s="1"/>
  <c r="CQ159" i="35"/>
  <c r="BS159" i="35" s="1"/>
  <c r="CU159" i="35"/>
  <c r="BW159" i="35" s="1"/>
  <c r="BF159" i="35"/>
  <c r="CD159" i="35" s="1"/>
  <c r="BJ159" i="35"/>
  <c r="CH159" i="35" s="1"/>
  <c r="BN159" i="35"/>
  <c r="CL159" i="35" s="1"/>
  <c r="CN159" i="35"/>
  <c r="BP159" i="35" s="1"/>
  <c r="CR159" i="35"/>
  <c r="BT159" i="35" s="1"/>
  <c r="CV159" i="35"/>
  <c r="BX159" i="35" s="1"/>
  <c r="BC159" i="35"/>
  <c r="CA159" i="35" s="1"/>
  <c r="BG159" i="35"/>
  <c r="CE159" i="35" s="1"/>
  <c r="BK159" i="35"/>
  <c r="CI159" i="35" s="1"/>
  <c r="CO159" i="35"/>
  <c r="BQ159" i="35" s="1"/>
  <c r="CS159" i="35"/>
  <c r="BU159" i="35" s="1"/>
  <c r="CW159" i="35"/>
  <c r="BY159" i="35" s="1"/>
  <c r="F159" i="35"/>
  <c r="AD159" i="35" s="1"/>
  <c r="J159" i="35"/>
  <c r="AH159" i="35" s="1"/>
  <c r="N159" i="35"/>
  <c r="AL159" i="35" s="1"/>
  <c r="AN159" i="35"/>
  <c r="P159" i="35" s="1"/>
  <c r="AR159" i="35"/>
  <c r="T159" i="35" s="1"/>
  <c r="AV159" i="35"/>
  <c r="X159" i="35" s="1"/>
  <c r="G159" i="35"/>
  <c r="AE159" i="35" s="1"/>
  <c r="K159" i="35"/>
  <c r="AI159" i="35" s="1"/>
  <c r="O159" i="35"/>
  <c r="AM159" i="35" s="1"/>
  <c r="AO159" i="35"/>
  <c r="Q159" i="35" s="1"/>
  <c r="AS159" i="35"/>
  <c r="U159" i="35" s="1"/>
  <c r="AW159" i="35"/>
  <c r="Y159" i="35" s="1"/>
  <c r="H159" i="35"/>
  <c r="AF159" i="35" s="1"/>
  <c r="L159" i="35"/>
  <c r="AJ159" i="35" s="1"/>
  <c r="AB159" i="35"/>
  <c r="AP159" i="35"/>
  <c r="R159" i="35" s="1"/>
  <c r="AT159" i="35"/>
  <c r="V159" i="35" s="1"/>
  <c r="AX159" i="35"/>
  <c r="Z159" i="35" s="1"/>
  <c r="E159" i="35"/>
  <c r="AC159" i="35" s="1"/>
  <c r="I159" i="35"/>
  <c r="AG159" i="35" s="1"/>
  <c r="M159" i="35"/>
  <c r="AK159" i="35" s="1"/>
  <c r="AQ159" i="35"/>
  <c r="S159" i="35" s="1"/>
  <c r="AU159" i="35"/>
  <c r="W159" i="35" s="1"/>
  <c r="AY159" i="35"/>
  <c r="AA159" i="35" s="1"/>
  <c r="D155" i="35"/>
  <c r="BE155" i="35"/>
  <c r="CC155" i="35" s="1"/>
  <c r="BI155" i="35"/>
  <c r="CG155" i="35" s="1"/>
  <c r="BM155" i="35"/>
  <c r="CK155" i="35" s="1"/>
  <c r="CO155" i="35"/>
  <c r="BQ155" i="35" s="1"/>
  <c r="CS155" i="35"/>
  <c r="BU155" i="35" s="1"/>
  <c r="CW155" i="35"/>
  <c r="BY155" i="35" s="1"/>
  <c r="BF155" i="35"/>
  <c r="CD155" i="35" s="1"/>
  <c r="BJ155" i="35"/>
  <c r="CH155" i="35" s="1"/>
  <c r="BN155" i="35"/>
  <c r="CL155" i="35" s="1"/>
  <c r="CP155" i="35"/>
  <c r="BR155" i="35" s="1"/>
  <c r="CT155" i="35"/>
  <c r="BV155" i="35" s="1"/>
  <c r="CX155" i="35"/>
  <c r="BZ155" i="35" s="1"/>
  <c r="BC155" i="35"/>
  <c r="CA155" i="35" s="1"/>
  <c r="BG155" i="35"/>
  <c r="CE155" i="35" s="1"/>
  <c r="BK155" i="35"/>
  <c r="CI155" i="35" s="1"/>
  <c r="CM155" i="35"/>
  <c r="BO155" i="35" s="1"/>
  <c r="CQ155" i="35"/>
  <c r="BS155" i="35" s="1"/>
  <c r="CU155" i="35"/>
  <c r="BW155" i="35" s="1"/>
  <c r="BD155" i="35"/>
  <c r="CB155" i="35" s="1"/>
  <c r="BH155" i="35"/>
  <c r="CF155" i="35" s="1"/>
  <c r="BL155" i="35"/>
  <c r="CJ155" i="35" s="1"/>
  <c r="CN155" i="35"/>
  <c r="BP155" i="35" s="1"/>
  <c r="CR155" i="35"/>
  <c r="BT155" i="35" s="1"/>
  <c r="CV155" i="35"/>
  <c r="BX155" i="35" s="1"/>
  <c r="H155" i="35"/>
  <c r="AF155" i="35" s="1"/>
  <c r="L155" i="35"/>
  <c r="AJ155" i="35" s="1"/>
  <c r="AB155" i="35"/>
  <c r="AP155" i="35"/>
  <c r="R155" i="35" s="1"/>
  <c r="AT155" i="35"/>
  <c r="V155" i="35" s="1"/>
  <c r="AX155" i="35"/>
  <c r="Z155" i="35" s="1"/>
  <c r="E155" i="35"/>
  <c r="AC155" i="35" s="1"/>
  <c r="I155" i="35"/>
  <c r="AG155" i="35" s="1"/>
  <c r="M155" i="35"/>
  <c r="AK155" i="35" s="1"/>
  <c r="AQ155" i="35"/>
  <c r="S155" i="35" s="1"/>
  <c r="AU155" i="35"/>
  <c r="W155" i="35" s="1"/>
  <c r="AY155" i="35"/>
  <c r="AA155" i="35" s="1"/>
  <c r="F155" i="35"/>
  <c r="AD155" i="35" s="1"/>
  <c r="J155" i="35"/>
  <c r="AH155" i="35" s="1"/>
  <c r="N155" i="35"/>
  <c r="AL155" i="35" s="1"/>
  <c r="AN155" i="35"/>
  <c r="P155" i="35" s="1"/>
  <c r="AR155" i="35"/>
  <c r="T155" i="35" s="1"/>
  <c r="AV155" i="35"/>
  <c r="X155" i="35" s="1"/>
  <c r="G155" i="35"/>
  <c r="AE155" i="35" s="1"/>
  <c r="K155" i="35"/>
  <c r="AI155" i="35" s="1"/>
  <c r="O155" i="35"/>
  <c r="AM155" i="35" s="1"/>
  <c r="AO155" i="35"/>
  <c r="Q155" i="35" s="1"/>
  <c r="AS155" i="35"/>
  <c r="U155" i="35" s="1"/>
  <c r="AW155" i="35"/>
  <c r="Y155" i="35" s="1"/>
  <c r="BE151" i="35"/>
  <c r="CC151" i="35" s="1"/>
  <c r="BI151" i="35"/>
  <c r="CG151" i="35" s="1"/>
  <c r="BM151" i="35"/>
  <c r="CK151" i="35" s="1"/>
  <c r="CM151" i="35"/>
  <c r="BO151" i="35" s="1"/>
  <c r="CQ151" i="35"/>
  <c r="BS151" i="35" s="1"/>
  <c r="CU151" i="35"/>
  <c r="BW151" i="35" s="1"/>
  <c r="BF151" i="35"/>
  <c r="CD151" i="35" s="1"/>
  <c r="BJ151" i="35"/>
  <c r="CH151" i="35" s="1"/>
  <c r="BN151" i="35"/>
  <c r="CL151" i="35" s="1"/>
  <c r="CN151" i="35"/>
  <c r="BP151" i="35" s="1"/>
  <c r="CR151" i="35"/>
  <c r="BT151" i="35" s="1"/>
  <c r="CV151" i="35"/>
  <c r="BX151" i="35" s="1"/>
  <c r="D151" i="35"/>
  <c r="BC151" i="35"/>
  <c r="CA151" i="35" s="1"/>
  <c r="BG151" i="35"/>
  <c r="CE151" i="35" s="1"/>
  <c r="BK151" i="35"/>
  <c r="CI151" i="35" s="1"/>
  <c r="CO151" i="35"/>
  <c r="BQ151" i="35" s="1"/>
  <c r="CS151" i="35"/>
  <c r="BU151" i="35" s="1"/>
  <c r="BD151" i="35"/>
  <c r="CB151" i="35" s="1"/>
  <c r="BH151" i="35"/>
  <c r="CF151" i="35" s="1"/>
  <c r="BL151" i="35"/>
  <c r="CJ151" i="35" s="1"/>
  <c r="CP151" i="35"/>
  <c r="BR151" i="35" s="1"/>
  <c r="CT151" i="35"/>
  <c r="BV151" i="35" s="1"/>
  <c r="CW151" i="35"/>
  <c r="BY151" i="35" s="1"/>
  <c r="CX151" i="35"/>
  <c r="BZ151" i="35" s="1"/>
  <c r="E151" i="35"/>
  <c r="AC151" i="35" s="1"/>
  <c r="I151" i="35"/>
  <c r="AG151" i="35" s="1"/>
  <c r="M151" i="35"/>
  <c r="AK151" i="35" s="1"/>
  <c r="AQ151" i="35"/>
  <c r="S151" i="35" s="1"/>
  <c r="AU151" i="35"/>
  <c r="W151" i="35" s="1"/>
  <c r="AY151" i="35"/>
  <c r="AA151" i="35" s="1"/>
  <c r="F151" i="35"/>
  <c r="AD151" i="35" s="1"/>
  <c r="J151" i="35"/>
  <c r="AH151" i="35" s="1"/>
  <c r="N151" i="35"/>
  <c r="AL151" i="35" s="1"/>
  <c r="AN151" i="35"/>
  <c r="P151" i="35" s="1"/>
  <c r="AR151" i="35"/>
  <c r="T151" i="35" s="1"/>
  <c r="AV151" i="35"/>
  <c r="X151" i="35" s="1"/>
  <c r="G151" i="35"/>
  <c r="AE151" i="35" s="1"/>
  <c r="K151" i="35"/>
  <c r="AI151" i="35" s="1"/>
  <c r="O151" i="35"/>
  <c r="AM151" i="35" s="1"/>
  <c r="AO151" i="35"/>
  <c r="Q151" i="35" s="1"/>
  <c r="AS151" i="35"/>
  <c r="U151" i="35" s="1"/>
  <c r="AW151" i="35"/>
  <c r="Y151" i="35" s="1"/>
  <c r="H151" i="35"/>
  <c r="AF151" i="35" s="1"/>
  <c r="L151" i="35"/>
  <c r="AJ151" i="35" s="1"/>
  <c r="AB151" i="35"/>
  <c r="AP151" i="35"/>
  <c r="R151" i="35" s="1"/>
  <c r="AT151" i="35"/>
  <c r="V151" i="35" s="1"/>
  <c r="AX151" i="35"/>
  <c r="Z151" i="35" s="1"/>
  <c r="BC147" i="35"/>
  <c r="CA147" i="35" s="1"/>
  <c r="BG147" i="35"/>
  <c r="CE147" i="35" s="1"/>
  <c r="BK147" i="35"/>
  <c r="CI147" i="35" s="1"/>
  <c r="CP147" i="35"/>
  <c r="BR147" i="35" s="1"/>
  <c r="CT147" i="35"/>
  <c r="BV147" i="35" s="1"/>
  <c r="CX147" i="35"/>
  <c r="BZ147" i="35" s="1"/>
  <c r="BD147" i="35"/>
  <c r="CB147" i="35" s="1"/>
  <c r="BH147" i="35"/>
  <c r="CF147" i="35" s="1"/>
  <c r="BL147" i="35"/>
  <c r="CJ147" i="35" s="1"/>
  <c r="CM147" i="35"/>
  <c r="BO147" i="35" s="1"/>
  <c r="CQ147" i="35"/>
  <c r="BS147" i="35" s="1"/>
  <c r="CU147" i="35"/>
  <c r="BW147" i="35" s="1"/>
  <c r="D147" i="35"/>
  <c r="BE147" i="35"/>
  <c r="CC147" i="35" s="1"/>
  <c r="BI147" i="35"/>
  <c r="CG147" i="35" s="1"/>
  <c r="BM147" i="35"/>
  <c r="CK147" i="35" s="1"/>
  <c r="CN147" i="35"/>
  <c r="BP147" i="35" s="1"/>
  <c r="CR147" i="35"/>
  <c r="BT147" i="35" s="1"/>
  <c r="CV147" i="35"/>
  <c r="BX147" i="35" s="1"/>
  <c r="BF147" i="35"/>
  <c r="CD147" i="35" s="1"/>
  <c r="BJ147" i="35"/>
  <c r="CH147" i="35" s="1"/>
  <c r="BN147" i="35"/>
  <c r="CL147" i="35" s="1"/>
  <c r="CO147" i="35"/>
  <c r="BQ147" i="35" s="1"/>
  <c r="CS147" i="35"/>
  <c r="BU147" i="35" s="1"/>
  <c r="CW147" i="35"/>
  <c r="BY147" i="35" s="1"/>
  <c r="G147" i="35"/>
  <c r="AE147" i="35" s="1"/>
  <c r="K147" i="35"/>
  <c r="AI147" i="35" s="1"/>
  <c r="O147" i="35"/>
  <c r="AM147" i="35" s="1"/>
  <c r="AO147" i="35"/>
  <c r="Q147" i="35" s="1"/>
  <c r="AS147" i="35"/>
  <c r="U147" i="35" s="1"/>
  <c r="AW147" i="35"/>
  <c r="Y147" i="35" s="1"/>
  <c r="H147" i="35"/>
  <c r="AF147" i="35" s="1"/>
  <c r="L147" i="35"/>
  <c r="AJ147" i="35" s="1"/>
  <c r="AB147" i="35"/>
  <c r="AP147" i="35"/>
  <c r="R147" i="35" s="1"/>
  <c r="AT147" i="35"/>
  <c r="V147" i="35" s="1"/>
  <c r="AX147" i="35"/>
  <c r="Z147" i="35" s="1"/>
  <c r="E147" i="35"/>
  <c r="AC147" i="35" s="1"/>
  <c r="I147" i="35"/>
  <c r="AG147" i="35" s="1"/>
  <c r="M147" i="35"/>
  <c r="AK147" i="35" s="1"/>
  <c r="AQ147" i="35"/>
  <c r="S147" i="35" s="1"/>
  <c r="AU147" i="35"/>
  <c r="W147" i="35" s="1"/>
  <c r="AY147" i="35"/>
  <c r="AA147" i="35" s="1"/>
  <c r="F147" i="35"/>
  <c r="AD147" i="35" s="1"/>
  <c r="J147" i="35"/>
  <c r="AH147" i="35" s="1"/>
  <c r="N147" i="35"/>
  <c r="AL147" i="35" s="1"/>
  <c r="AN147" i="35"/>
  <c r="P147" i="35" s="1"/>
  <c r="AR147" i="35"/>
  <c r="T147" i="35" s="1"/>
  <c r="AV147" i="35"/>
  <c r="X147" i="35" s="1"/>
  <c r="W108" i="35"/>
  <c r="X108" i="35"/>
  <c r="T108" i="35"/>
  <c r="AC108" i="35"/>
  <c r="AF108" i="35"/>
  <c r="AI108" i="35"/>
  <c r="AB108" i="35"/>
  <c r="AH108" i="35"/>
  <c r="AE108" i="35"/>
  <c r="M32" i="7"/>
  <c r="K32" i="7"/>
  <c r="F32" i="7"/>
  <c r="E32" i="7"/>
  <c r="CQ154" i="35" l="1"/>
  <c r="BS154" i="35" s="1"/>
  <c r="BN154" i="35"/>
  <c r="CL154" i="35" s="1"/>
  <c r="D32" i="7"/>
  <c r="C32" i="7"/>
  <c r="B1" i="4" l="1"/>
  <c r="M79" i="7"/>
  <c r="C79" i="7"/>
  <c r="F79" i="7"/>
  <c r="K79" i="7"/>
  <c r="F42" i="4"/>
  <c r="G82" i="7" s="1"/>
  <c r="I79" i="7"/>
  <c r="M80" i="7"/>
  <c r="C80" i="7"/>
  <c r="F80" i="7"/>
  <c r="K80" i="7"/>
  <c r="I80" i="7"/>
  <c r="M82" i="7"/>
  <c r="C82" i="7"/>
  <c r="F82" i="7"/>
  <c r="K82" i="7"/>
  <c r="I82" i="7"/>
  <c r="M83" i="7"/>
  <c r="C83" i="7"/>
  <c r="F83" i="7"/>
  <c r="K83" i="7"/>
  <c r="I83" i="7"/>
  <c r="M86" i="7"/>
  <c r="C86" i="7"/>
  <c r="F86" i="7"/>
  <c r="H86" i="7"/>
  <c r="I86" i="7"/>
  <c r="M85" i="7"/>
  <c r="C85" i="7"/>
  <c r="F85" i="7"/>
  <c r="K85" i="7"/>
  <c r="H85" i="7"/>
  <c r="I85" i="7"/>
  <c r="C117" i="7"/>
  <c r="C118" i="7"/>
  <c r="M59" i="7"/>
  <c r="C59" i="7"/>
  <c r="F59" i="7"/>
  <c r="K59" i="7"/>
  <c r="C42" i="4"/>
  <c r="G68" i="7" s="1"/>
  <c r="I59" i="7"/>
  <c r="M60" i="7"/>
  <c r="C60" i="7"/>
  <c r="F60" i="7"/>
  <c r="K60" i="7"/>
  <c r="I60" i="7"/>
  <c r="M62" i="7"/>
  <c r="C62" i="7"/>
  <c r="F62" i="7"/>
  <c r="K62" i="7"/>
  <c r="I62" i="7"/>
  <c r="M63" i="7"/>
  <c r="C63" i="7"/>
  <c r="F63" i="7"/>
  <c r="K63" i="7"/>
  <c r="I63" i="7"/>
  <c r="M66" i="7"/>
  <c r="C66" i="7"/>
  <c r="F66" i="7"/>
  <c r="H66" i="7"/>
  <c r="I66" i="7"/>
  <c r="M65" i="7"/>
  <c r="C65" i="7"/>
  <c r="F65" i="7"/>
  <c r="K65" i="7"/>
  <c r="H65" i="7"/>
  <c r="I65" i="7"/>
  <c r="C111" i="7"/>
  <c r="C112" i="7"/>
  <c r="M39" i="7"/>
  <c r="C39" i="7"/>
  <c r="F39" i="7"/>
  <c r="K39" i="7"/>
  <c r="F31" i="4"/>
  <c r="G48" i="7" s="1"/>
  <c r="I39" i="7"/>
  <c r="M40" i="7"/>
  <c r="C40" i="7"/>
  <c r="F40" i="7"/>
  <c r="K40" i="7"/>
  <c r="I40" i="7"/>
  <c r="M42" i="7"/>
  <c r="C42" i="7"/>
  <c r="F42" i="7"/>
  <c r="K42" i="7"/>
  <c r="I42" i="7"/>
  <c r="M43" i="7"/>
  <c r="C43" i="7"/>
  <c r="F43" i="7"/>
  <c r="K43" i="7"/>
  <c r="I43" i="7"/>
  <c r="M46" i="7"/>
  <c r="C46" i="7"/>
  <c r="F46" i="7"/>
  <c r="H46" i="7"/>
  <c r="I46" i="7"/>
  <c r="M45" i="7"/>
  <c r="C45" i="7"/>
  <c r="F45" i="7"/>
  <c r="K45" i="7"/>
  <c r="H45" i="7"/>
  <c r="I45" i="7"/>
  <c r="C105" i="7"/>
  <c r="C106" i="7"/>
  <c r="C19" i="7"/>
  <c r="F19" i="7"/>
  <c r="I19" i="7"/>
  <c r="K19" i="7"/>
  <c r="M19" i="7"/>
  <c r="C31" i="4"/>
  <c r="H21" i="7" s="1"/>
  <c r="C30" i="7"/>
  <c r="I30" i="7"/>
  <c r="K30" i="7"/>
  <c r="L30" i="7"/>
  <c r="C20" i="7"/>
  <c r="F20" i="7"/>
  <c r="I20" i="7"/>
  <c r="K20" i="7"/>
  <c r="M20" i="7"/>
  <c r="C21" i="7"/>
  <c r="I21" i="7"/>
  <c r="K21" i="7"/>
  <c r="L21" i="7"/>
  <c r="C22" i="7"/>
  <c r="F22" i="7"/>
  <c r="I22" i="7"/>
  <c r="K22" i="7"/>
  <c r="M22" i="7"/>
  <c r="C23" i="7"/>
  <c r="F23" i="7"/>
  <c r="I23" i="7"/>
  <c r="K23" i="7"/>
  <c r="M23" i="7"/>
  <c r="C24" i="7"/>
  <c r="I24" i="7"/>
  <c r="K24" i="7"/>
  <c r="L24" i="7"/>
  <c r="H24" i="7"/>
  <c r="C26" i="7"/>
  <c r="F26" i="7"/>
  <c r="I26" i="7"/>
  <c r="M26" i="7"/>
  <c r="H26" i="7"/>
  <c r="C27" i="7"/>
  <c r="I27" i="7"/>
  <c r="L27" i="7"/>
  <c r="H27" i="7"/>
  <c r="C31" i="7"/>
  <c r="M31" i="7" s="1"/>
  <c r="I31" i="7"/>
  <c r="K31" i="7"/>
  <c r="L31" i="7"/>
  <c r="C25" i="7"/>
  <c r="F25" i="7"/>
  <c r="I25" i="7"/>
  <c r="K25" i="7"/>
  <c r="M25" i="7"/>
  <c r="H25" i="7"/>
  <c r="C29" i="7"/>
  <c r="I29" i="7"/>
  <c r="L29" i="7"/>
  <c r="C28" i="7"/>
  <c r="I28" i="7"/>
  <c r="L28" i="7"/>
  <c r="D19" i="7"/>
  <c r="E19" i="7"/>
  <c r="D30" i="7"/>
  <c r="E30" i="7"/>
  <c r="D20" i="7"/>
  <c r="E20" i="7"/>
  <c r="D21" i="7"/>
  <c r="E21" i="7"/>
  <c r="D22" i="7"/>
  <c r="E22" i="7"/>
  <c r="D23" i="7"/>
  <c r="E23" i="7"/>
  <c r="D24" i="7"/>
  <c r="E24" i="7"/>
  <c r="D26" i="7"/>
  <c r="E26" i="7"/>
  <c r="G26" i="7"/>
  <c r="D27" i="7"/>
  <c r="E27" i="7"/>
  <c r="G27" i="7"/>
  <c r="D31" i="7"/>
  <c r="E31" i="7"/>
  <c r="D25" i="7"/>
  <c r="E25" i="7"/>
  <c r="G25" i="7"/>
  <c r="D29" i="7"/>
  <c r="E29" i="7"/>
  <c r="D28" i="7"/>
  <c r="E28" i="7"/>
  <c r="C99" i="7"/>
  <c r="C100" i="7"/>
  <c r="C29" i="33"/>
  <c r="G22" i="37"/>
  <c r="B22" i="37"/>
  <c r="G4" i="37"/>
  <c r="B4" i="37"/>
  <c r="C81" i="7"/>
  <c r="I81" i="7"/>
  <c r="K81" i="7"/>
  <c r="L81" i="7"/>
  <c r="C84" i="7"/>
  <c r="I84" i="7"/>
  <c r="K84" i="7"/>
  <c r="L84" i="7"/>
  <c r="C87" i="7"/>
  <c r="I87" i="7"/>
  <c r="L87" i="7"/>
  <c r="H87" i="7"/>
  <c r="C88" i="7"/>
  <c r="I88" i="7"/>
  <c r="L88" i="7"/>
  <c r="C89" i="7"/>
  <c r="I89" i="7"/>
  <c r="L89" i="7"/>
  <c r="C90" i="7"/>
  <c r="I90" i="7"/>
  <c r="K90" i="7"/>
  <c r="L90" i="7"/>
  <c r="C91" i="7"/>
  <c r="I91" i="7"/>
  <c r="K91" i="7"/>
  <c r="L91" i="7"/>
  <c r="C61" i="7"/>
  <c r="I61" i="7"/>
  <c r="K61" i="7"/>
  <c r="L61" i="7"/>
  <c r="C64" i="7"/>
  <c r="I64" i="7"/>
  <c r="K64" i="7"/>
  <c r="L64" i="7"/>
  <c r="C67" i="7"/>
  <c r="I67" i="7"/>
  <c r="L67" i="7"/>
  <c r="H67" i="7"/>
  <c r="C68" i="7"/>
  <c r="I68" i="7"/>
  <c r="L68" i="7"/>
  <c r="C69" i="7"/>
  <c r="I69" i="7"/>
  <c r="L69" i="7"/>
  <c r="C70" i="7"/>
  <c r="M70" i="7" s="1"/>
  <c r="I70" i="7"/>
  <c r="K70" i="7"/>
  <c r="L70" i="7"/>
  <c r="C71" i="7"/>
  <c r="M71" i="7" s="1"/>
  <c r="I71" i="7"/>
  <c r="K71" i="7"/>
  <c r="L71" i="7"/>
  <c r="C41" i="7"/>
  <c r="I41" i="7"/>
  <c r="K41" i="7"/>
  <c r="L41" i="7"/>
  <c r="C44" i="7"/>
  <c r="I44" i="7"/>
  <c r="K44" i="7"/>
  <c r="L44" i="7"/>
  <c r="C47" i="7"/>
  <c r="I47" i="7"/>
  <c r="L47" i="7"/>
  <c r="H47" i="7"/>
  <c r="C48" i="7"/>
  <c r="I48" i="7"/>
  <c r="L48" i="7"/>
  <c r="C49" i="7"/>
  <c r="I49" i="7"/>
  <c r="L49" i="7"/>
  <c r="C50" i="7"/>
  <c r="I50" i="7"/>
  <c r="K50" i="7"/>
  <c r="L50" i="7"/>
  <c r="C51" i="7"/>
  <c r="I51" i="7"/>
  <c r="K51" i="7"/>
  <c r="L51" i="7"/>
  <c r="E91" i="7"/>
  <c r="E90" i="7"/>
  <c r="E89" i="7"/>
  <c r="E88" i="7"/>
  <c r="E87" i="7"/>
  <c r="E86" i="7"/>
  <c r="E85" i="7"/>
  <c r="E84" i="7"/>
  <c r="E83" i="7"/>
  <c r="E82" i="7"/>
  <c r="E81" i="7"/>
  <c r="E80" i="7"/>
  <c r="E79" i="7"/>
  <c r="E71" i="7"/>
  <c r="E70" i="7"/>
  <c r="E69" i="7"/>
  <c r="E68" i="7"/>
  <c r="E67" i="7"/>
  <c r="E66" i="7"/>
  <c r="E65" i="7"/>
  <c r="E64" i="7"/>
  <c r="E63" i="7"/>
  <c r="E62" i="7"/>
  <c r="E61" i="7"/>
  <c r="E60" i="7"/>
  <c r="E59" i="7"/>
  <c r="E51" i="7"/>
  <c r="E50" i="7"/>
  <c r="E49" i="7"/>
  <c r="E48" i="7"/>
  <c r="E47" i="7"/>
  <c r="E46" i="7"/>
  <c r="E45" i="7"/>
  <c r="E44" i="7"/>
  <c r="E43" i="7"/>
  <c r="E42" i="7"/>
  <c r="E41" i="7"/>
  <c r="E40" i="7"/>
  <c r="E39" i="7"/>
  <c r="D59" i="7"/>
  <c r="D70" i="7"/>
  <c r="D60" i="7"/>
  <c r="D61" i="7"/>
  <c r="D62" i="7"/>
  <c r="D63" i="7"/>
  <c r="D64" i="7"/>
  <c r="D66" i="7"/>
  <c r="G66" i="7"/>
  <c r="D67" i="7"/>
  <c r="G67" i="7"/>
  <c r="D71" i="7"/>
  <c r="D65" i="7"/>
  <c r="G65" i="7"/>
  <c r="D69" i="7"/>
  <c r="D68" i="7"/>
  <c r="D39" i="7"/>
  <c r="D50" i="7"/>
  <c r="D40" i="7"/>
  <c r="D41" i="7"/>
  <c r="D42" i="7"/>
  <c r="D43" i="7"/>
  <c r="D44" i="7"/>
  <c r="D46" i="7"/>
  <c r="G46" i="7"/>
  <c r="D47" i="7"/>
  <c r="G47" i="7"/>
  <c r="D51" i="7"/>
  <c r="D45" i="7"/>
  <c r="G45" i="7"/>
  <c r="D49" i="7"/>
  <c r="D48" i="7"/>
  <c r="D79" i="7"/>
  <c r="D90" i="7"/>
  <c r="D80" i="7"/>
  <c r="D81" i="7"/>
  <c r="D82" i="7"/>
  <c r="D83" i="7"/>
  <c r="D84" i="7"/>
  <c r="D86" i="7"/>
  <c r="G86" i="7"/>
  <c r="D87" i="7"/>
  <c r="G87" i="7"/>
  <c r="D91" i="7"/>
  <c r="D85" i="7"/>
  <c r="G85" i="7"/>
  <c r="D89" i="7"/>
  <c r="D88" i="7"/>
  <c r="N79" i="7"/>
  <c r="N80" i="7"/>
  <c r="N81" i="7"/>
  <c r="N82" i="7"/>
  <c r="N83" i="7"/>
  <c r="N84" i="7"/>
  <c r="N85" i="7"/>
  <c r="N86" i="7"/>
  <c r="N87" i="7"/>
  <c r="N88" i="7"/>
  <c r="N89" i="7"/>
  <c r="N90" i="7"/>
  <c r="N91" i="7"/>
  <c r="N59" i="7"/>
  <c r="N60" i="7"/>
  <c r="N61" i="7"/>
  <c r="N62" i="7"/>
  <c r="N63" i="7"/>
  <c r="N64" i="7"/>
  <c r="N65" i="7"/>
  <c r="N66" i="7"/>
  <c r="N67" i="7"/>
  <c r="N68" i="7"/>
  <c r="N69" i="7"/>
  <c r="N70" i="7"/>
  <c r="N71" i="7"/>
  <c r="N39" i="7"/>
  <c r="N40" i="7"/>
  <c r="N41" i="7"/>
  <c r="N42" i="7"/>
  <c r="N43" i="7"/>
  <c r="N44" i="7"/>
  <c r="N45" i="7"/>
  <c r="N46" i="7"/>
  <c r="N47" i="7"/>
  <c r="N48" i="7"/>
  <c r="N49" i="7"/>
  <c r="N50" i="7"/>
  <c r="N51" i="7"/>
  <c r="N31" i="7"/>
  <c r="N30" i="7"/>
  <c r="N29" i="7"/>
  <c r="N28" i="7"/>
  <c r="N27" i="7"/>
  <c r="N26" i="7"/>
  <c r="N25" i="7"/>
  <c r="N24" i="7"/>
  <c r="N23" i="7"/>
  <c r="N22" i="7"/>
  <c r="N21" i="7"/>
  <c r="N20" i="7"/>
  <c r="N19" i="7"/>
  <c r="P79" i="7"/>
  <c r="P80" i="7"/>
  <c r="P81" i="7"/>
  <c r="P82" i="7"/>
  <c r="P83" i="7"/>
  <c r="P84" i="7"/>
  <c r="P85" i="7"/>
  <c r="P86" i="7"/>
  <c r="P87" i="7"/>
  <c r="P88" i="7"/>
  <c r="P89" i="7"/>
  <c r="P90" i="7"/>
  <c r="P91" i="7"/>
  <c r="P59" i="7"/>
  <c r="P60" i="7"/>
  <c r="P61" i="7"/>
  <c r="P62" i="7"/>
  <c r="P63" i="7"/>
  <c r="P64" i="7"/>
  <c r="P65" i="7"/>
  <c r="P66" i="7"/>
  <c r="P67" i="7"/>
  <c r="P68" i="7"/>
  <c r="P69" i="7"/>
  <c r="P70" i="7"/>
  <c r="P71" i="7"/>
  <c r="P39" i="7"/>
  <c r="P40" i="7"/>
  <c r="P41" i="7"/>
  <c r="P42" i="7"/>
  <c r="P43" i="7"/>
  <c r="P44" i="7"/>
  <c r="P45" i="7"/>
  <c r="P46" i="7"/>
  <c r="P47" i="7"/>
  <c r="P48" i="7"/>
  <c r="P49" i="7"/>
  <c r="P50" i="7"/>
  <c r="P51" i="7"/>
  <c r="P19" i="7"/>
  <c r="P20" i="7"/>
  <c r="P21" i="7"/>
  <c r="P22" i="7"/>
  <c r="P23" i="7"/>
  <c r="P24" i="7"/>
  <c r="P25" i="7"/>
  <c r="P26" i="7"/>
  <c r="P27" i="7"/>
  <c r="P28" i="7"/>
  <c r="P29" i="7"/>
  <c r="P30" i="7"/>
  <c r="P31" i="7"/>
  <c r="G49" i="7" l="1"/>
  <c r="G60" i="7"/>
  <c r="Q60" i="7" s="1"/>
  <c r="G29" i="7"/>
  <c r="Q29" i="7" s="1"/>
  <c r="G23" i="7"/>
  <c r="Q23" i="7" s="1"/>
  <c r="G39" i="7"/>
  <c r="Q39" i="7" s="1"/>
  <c r="G64" i="7"/>
  <c r="Q64" i="7" s="1"/>
  <c r="G84" i="7"/>
  <c r="Q84" i="7" s="1"/>
  <c r="G81" i="7"/>
  <c r="Q81" i="7" s="1"/>
  <c r="G79" i="7"/>
  <c r="Q79" i="7" s="1"/>
  <c r="H28" i="7"/>
  <c r="O28" i="7" s="1"/>
  <c r="C15" i="37" s="1"/>
  <c r="Q70" i="7"/>
  <c r="H22" i="7"/>
  <c r="O22" i="7" s="1"/>
  <c r="C9" i="37" s="1"/>
  <c r="H19" i="7"/>
  <c r="O19" i="7" s="1"/>
  <c r="G21" i="7"/>
  <c r="Q21" i="7" s="1"/>
  <c r="H23" i="7"/>
  <c r="O23" i="7" s="1"/>
  <c r="C10" i="37" s="1"/>
  <c r="H52" i="7"/>
  <c r="O52" i="7" s="1"/>
  <c r="H19" i="37" s="1"/>
  <c r="G52" i="7"/>
  <c r="Q52" i="7" s="1"/>
  <c r="H69" i="7"/>
  <c r="O69" i="7" s="1"/>
  <c r="C34" i="37" s="1"/>
  <c r="H72" i="7"/>
  <c r="O72" i="7" s="1"/>
  <c r="C37" i="37" s="1"/>
  <c r="G72" i="7"/>
  <c r="Q72" i="7" s="1"/>
  <c r="H84" i="7"/>
  <c r="O84" i="7" s="1"/>
  <c r="H29" i="37" s="1"/>
  <c r="G92" i="7"/>
  <c r="Q92" i="7" s="1"/>
  <c r="H92" i="7"/>
  <c r="O92" i="7" s="1"/>
  <c r="H37" i="37" s="1"/>
  <c r="G88" i="7"/>
  <c r="Q88" i="7" s="1"/>
  <c r="G44" i="7"/>
  <c r="Q44" i="7" s="1"/>
  <c r="G42" i="7"/>
  <c r="Q42" i="7" s="1"/>
  <c r="G40" i="7"/>
  <c r="Q40" i="7" s="1"/>
  <c r="H49" i="7"/>
  <c r="O49" i="7" s="1"/>
  <c r="H16" i="37" s="1"/>
  <c r="H48" i="7"/>
  <c r="O48" i="7" s="1"/>
  <c r="H15" i="37" s="1"/>
  <c r="H44" i="7"/>
  <c r="O44" i="7" s="1"/>
  <c r="H11" i="37" s="1"/>
  <c r="H64" i="7"/>
  <c r="O64" i="7" s="1"/>
  <c r="C29" i="37" s="1"/>
  <c r="H29" i="7"/>
  <c r="O29" i="7" s="1"/>
  <c r="C16" i="37" s="1"/>
  <c r="H32" i="7"/>
  <c r="O32" i="7" s="1"/>
  <c r="C19" i="37" s="1"/>
  <c r="G32" i="7"/>
  <c r="Q32" i="7" s="1"/>
  <c r="H43" i="7"/>
  <c r="O43" i="7" s="1"/>
  <c r="H10" i="37" s="1"/>
  <c r="H40" i="7"/>
  <c r="O40" i="7" s="1"/>
  <c r="H7" i="37" s="1"/>
  <c r="H60" i="7"/>
  <c r="O60" i="7" s="1"/>
  <c r="C25" i="37" s="1"/>
  <c r="H80" i="7"/>
  <c r="O80" i="7" s="1"/>
  <c r="H25" i="37" s="1"/>
  <c r="H41" i="7"/>
  <c r="O41" i="7" s="1"/>
  <c r="H8" i="37" s="1"/>
  <c r="H61" i="7"/>
  <c r="O61" i="7" s="1"/>
  <c r="C26" i="37" s="1"/>
  <c r="G43" i="7"/>
  <c r="Q43" i="7" s="1"/>
  <c r="G41" i="7"/>
  <c r="Q41" i="7" s="1"/>
  <c r="G62" i="7"/>
  <c r="Q62" i="7" s="1"/>
  <c r="Q90" i="7"/>
  <c r="H89" i="7"/>
  <c r="O89" i="7" s="1"/>
  <c r="H34" i="37" s="1"/>
  <c r="H88" i="7"/>
  <c r="O88" i="7" s="1"/>
  <c r="H33" i="37" s="1"/>
  <c r="H81" i="7"/>
  <c r="O81" i="7" s="1"/>
  <c r="H26" i="37" s="1"/>
  <c r="H42" i="7"/>
  <c r="O42" i="7" s="1"/>
  <c r="H9" i="37" s="1"/>
  <c r="H39" i="7"/>
  <c r="O39" i="7" s="1"/>
  <c r="H6" i="37" s="1"/>
  <c r="H59" i="7"/>
  <c r="O59" i="7" s="1"/>
  <c r="C24" i="37" s="1"/>
  <c r="H79" i="7"/>
  <c r="O79" i="7" s="1"/>
  <c r="H24" i="37" s="1"/>
  <c r="C107" i="7"/>
  <c r="Q51" i="7"/>
  <c r="C101" i="7"/>
  <c r="Q45" i="7"/>
  <c r="Q91" i="7"/>
  <c r="O45" i="7"/>
  <c r="H12" i="37" s="1"/>
  <c r="O67" i="7"/>
  <c r="C32" i="37" s="1"/>
  <c r="Q30" i="7"/>
  <c r="C113" i="7"/>
  <c r="Q66" i="7"/>
  <c r="C119" i="7"/>
  <c r="Q26" i="7"/>
  <c r="Q65" i="7"/>
  <c r="Q31" i="7"/>
  <c r="O21" i="7"/>
  <c r="C8" i="37" s="1"/>
  <c r="O26" i="7"/>
  <c r="C13" i="37" s="1"/>
  <c r="Q46" i="7"/>
  <c r="Q49" i="7"/>
  <c r="O31" i="7"/>
  <c r="C18" i="37" s="1"/>
  <c r="Q87" i="7"/>
  <c r="Q27" i="7"/>
  <c r="O27" i="7"/>
  <c r="C14" i="37" s="1"/>
  <c r="Q86" i="7"/>
  <c r="Q47" i="7"/>
  <c r="Q85" i="7"/>
  <c r="Q48" i="7"/>
  <c r="Q71" i="7"/>
  <c r="O47" i="7"/>
  <c r="H14" i="37" s="1"/>
  <c r="O25" i="7"/>
  <c r="C12" i="37" s="1"/>
  <c r="Q68" i="7"/>
  <c r="Q50" i="7"/>
  <c r="O24" i="7"/>
  <c r="C11" i="37" s="1"/>
  <c r="O46" i="7"/>
  <c r="H13" i="37" s="1"/>
  <c r="Q67" i="7"/>
  <c r="O71" i="7"/>
  <c r="C36" i="37" s="1"/>
  <c r="O70" i="7"/>
  <c r="C35" i="37" s="1"/>
  <c r="M50" i="7"/>
  <c r="O50" i="7" s="1"/>
  <c r="H17" i="37" s="1"/>
  <c r="O65" i="7"/>
  <c r="C30" i="37" s="1"/>
  <c r="O87" i="7"/>
  <c r="H32" i="37" s="1"/>
  <c r="M30" i="7"/>
  <c r="O30" i="7" s="1"/>
  <c r="C17" i="37" s="1"/>
  <c r="Q82" i="7"/>
  <c r="M51" i="7"/>
  <c r="O51" i="7" s="1"/>
  <c r="H18" i="37" s="1"/>
  <c r="M90" i="7"/>
  <c r="O90" i="7" s="1"/>
  <c r="H35" i="37" s="1"/>
  <c r="Q25" i="7"/>
  <c r="O86" i="7"/>
  <c r="H31" i="37" s="1"/>
  <c r="M91" i="7"/>
  <c r="O91" i="7" s="1"/>
  <c r="H36" i="37" s="1"/>
  <c r="O66" i="7"/>
  <c r="C31" i="37" s="1"/>
  <c r="O85" i="7"/>
  <c r="H30" i="37" s="1"/>
  <c r="G89" i="7"/>
  <c r="Q89" i="7" s="1"/>
  <c r="G83" i="7"/>
  <c r="Q83" i="7" s="1"/>
  <c r="G61" i="7"/>
  <c r="Q61" i="7" s="1"/>
  <c r="G59" i="7"/>
  <c r="Q59" i="7" s="1"/>
  <c r="H68" i="7"/>
  <c r="O68" i="7" s="1"/>
  <c r="C33" i="37" s="1"/>
  <c r="G19" i="7"/>
  <c r="Q19" i="7" s="1"/>
  <c r="H62" i="7"/>
  <c r="O62" i="7" s="1"/>
  <c r="C27" i="37" s="1"/>
  <c r="H83" i="7"/>
  <c r="O83" i="7" s="1"/>
  <c r="H28" i="37" s="1"/>
  <c r="G80" i="7"/>
  <c r="Q80" i="7" s="1"/>
  <c r="G69" i="7"/>
  <c r="Q69" i="7" s="1"/>
  <c r="G24" i="7"/>
  <c r="Q24" i="7" s="1"/>
  <c r="G22" i="7"/>
  <c r="Q22" i="7" s="1"/>
  <c r="G20" i="7"/>
  <c r="Q20" i="7" s="1"/>
  <c r="H20" i="7"/>
  <c r="O20" i="7" s="1"/>
  <c r="C7" i="37" s="1"/>
  <c r="H63" i="7"/>
  <c r="O63" i="7" s="1"/>
  <c r="C28" i="37" s="1"/>
  <c r="H82" i="7"/>
  <c r="O82" i="7" s="1"/>
  <c r="H27" i="37" s="1"/>
  <c r="G63" i="7"/>
  <c r="Q63" i="7" s="1"/>
  <c r="G28" i="7"/>
  <c r="Q28" i="7" s="1"/>
  <c r="AY154" i="35" l="1"/>
  <c r="AA154" i="35" s="1"/>
  <c r="J154" i="35"/>
  <c r="AH154" i="35" s="1"/>
  <c r="AP154" i="35"/>
  <c r="R154" i="35" s="1"/>
  <c r="AQ154" i="35"/>
  <c r="S154" i="35" s="1"/>
  <c r="K154" i="35"/>
  <c r="AI154" i="35" s="1"/>
  <c r="F154" i="35"/>
  <c r="AD154" i="35" s="1"/>
  <c r="E154" i="35"/>
  <c r="AC154" i="35" s="1"/>
  <c r="N154" i="35"/>
  <c r="AL154" i="35" s="1"/>
  <c r="AT154" i="35"/>
  <c r="V154" i="35" s="1"/>
  <c r="L154" i="35"/>
  <c r="AJ154" i="35" s="1"/>
  <c r="G154" i="35"/>
  <c r="AE154" i="35" s="1"/>
  <c r="AU154" i="35"/>
  <c r="W154" i="35" s="1"/>
  <c r="D154" i="35"/>
  <c r="I154" i="35"/>
  <c r="AG154" i="35" s="1"/>
  <c r="AO154" i="35"/>
  <c r="Q154" i="35" s="1"/>
  <c r="AX154" i="35"/>
  <c r="Z154" i="35" s="1"/>
  <c r="AB154" i="35"/>
  <c r="AV154" i="35"/>
  <c r="X154" i="35" s="1"/>
  <c r="H154" i="35"/>
  <c r="AF154" i="35" s="1"/>
  <c r="M154" i="35"/>
  <c r="AK154" i="35" s="1"/>
  <c r="AS154" i="35"/>
  <c r="U154" i="35" s="1"/>
  <c r="AN154" i="35"/>
  <c r="P154" i="35" s="1"/>
  <c r="AW154" i="35"/>
  <c r="Y154" i="35" s="1"/>
  <c r="AR154" i="35"/>
  <c r="T154" i="35" s="1"/>
  <c r="O154" i="35"/>
  <c r="AM154" i="35" s="1"/>
  <c r="C6" i="37"/>
  <c r="Y9" i="35"/>
  <c r="Y13" i="35"/>
  <c r="Y17" i="35"/>
  <c r="Y10" i="35"/>
  <c r="Y18" i="35"/>
  <c r="Y11" i="35"/>
  <c r="Y19" i="35"/>
  <c r="Y14" i="35"/>
  <c r="Y15" i="35"/>
  <c r="Y12" i="35"/>
  <c r="Y16" i="35"/>
  <c r="Y20" i="35"/>
  <c r="AA10" i="35"/>
  <c r="AA14" i="35"/>
  <c r="AA18" i="35"/>
  <c r="AA11" i="35"/>
  <c r="AA15" i="35"/>
  <c r="AA12" i="35"/>
  <c r="AA19" i="35"/>
  <c r="AA16" i="35"/>
  <c r="AA9" i="35"/>
  <c r="AA13" i="35"/>
  <c r="AA17" i="35"/>
  <c r="AA20" i="35"/>
  <c r="Z9" i="35"/>
  <c r="Z13" i="35"/>
  <c r="Z17" i="35"/>
  <c r="Z10" i="35"/>
  <c r="Z18" i="35"/>
  <c r="Z11" i="35"/>
  <c r="Z14" i="35"/>
  <c r="Z15" i="35"/>
  <c r="Z12" i="35"/>
  <c r="Z16" i="35"/>
  <c r="V16" i="35" s="1"/>
  <c r="Z20" i="35"/>
  <c r="Z19" i="35"/>
  <c r="U16" i="35" l="1"/>
  <c r="BE149" i="35"/>
  <c r="CC149" i="35" s="1"/>
  <c r="BN149" i="35"/>
  <c r="CL149" i="35" s="1"/>
  <c r="CQ149" i="35"/>
  <c r="BS149" i="35" s="1"/>
  <c r="BF149" i="35"/>
  <c r="CD149" i="35" s="1"/>
  <c r="CR149" i="35"/>
  <c r="BT149" i="35" s="1"/>
  <c r="BI149" i="35"/>
  <c r="CG149" i="35" s="1"/>
  <c r="CP149" i="35"/>
  <c r="BR149" i="35" s="1"/>
  <c r="CU149" i="35"/>
  <c r="BW149" i="35" s="1"/>
  <c r="BK149" i="35"/>
  <c r="CI149" i="35" s="1"/>
  <c r="BJ149" i="35"/>
  <c r="CH149" i="35" s="1"/>
  <c r="BM149" i="35"/>
  <c r="CK149" i="35" s="1"/>
  <c r="CT149" i="35"/>
  <c r="BV149" i="35" s="1"/>
  <c r="BD149" i="35"/>
  <c r="CB149" i="35" s="1"/>
  <c r="CO149" i="35"/>
  <c r="BQ149" i="35" s="1"/>
  <c r="CX149" i="35"/>
  <c r="BZ149" i="35" s="1"/>
  <c r="BH149" i="35"/>
  <c r="CF149" i="35" s="1"/>
  <c r="CS149" i="35"/>
  <c r="BU149" i="35" s="1"/>
  <c r="BC149" i="35"/>
  <c r="CA149" i="35" s="1"/>
  <c r="BL149" i="35"/>
  <c r="CJ149" i="35" s="1"/>
  <c r="CW149" i="35"/>
  <c r="BY149" i="35" s="1"/>
  <c r="BG149" i="35"/>
  <c r="CE149" i="35" s="1"/>
  <c r="CN149" i="35"/>
  <c r="BP149" i="35" s="1"/>
  <c r="CM149" i="35"/>
  <c r="BO149" i="35" s="1"/>
  <c r="CV149" i="35"/>
  <c r="BX149" i="35" s="1"/>
  <c r="AA108" i="35"/>
  <c r="Z108" i="35"/>
  <c r="Y108" i="35"/>
  <c r="F149" i="35" l="1"/>
  <c r="AD149" i="35" s="1"/>
  <c r="O149" i="35"/>
  <c r="AM149" i="35" s="1"/>
  <c r="AT149" i="35"/>
  <c r="V149" i="35" s="1"/>
  <c r="J149" i="35"/>
  <c r="AH149" i="35" s="1"/>
  <c r="AO149" i="35"/>
  <c r="Q149" i="35" s="1"/>
  <c r="AX149" i="35"/>
  <c r="Z149" i="35" s="1"/>
  <c r="G149" i="35"/>
  <c r="AE149" i="35" s="1"/>
  <c r="K149" i="35"/>
  <c r="AI149" i="35" s="1"/>
  <c r="N149" i="35"/>
  <c r="AL149" i="35" s="1"/>
  <c r="AS149" i="35"/>
  <c r="U149" i="35" s="1"/>
  <c r="E149" i="35"/>
  <c r="AC149" i="35" s="1"/>
  <c r="AU149" i="35"/>
  <c r="W149" i="35" s="1"/>
  <c r="D149" i="35"/>
  <c r="AP149" i="35"/>
  <c r="R149" i="35" s="1"/>
  <c r="AN149" i="35"/>
  <c r="P149" i="35" s="1"/>
  <c r="AW149" i="35"/>
  <c r="Y149" i="35" s="1"/>
  <c r="I149" i="35"/>
  <c r="AG149" i="35" s="1"/>
  <c r="AR149" i="35"/>
  <c r="T149" i="35" s="1"/>
  <c r="H149" i="35"/>
  <c r="AF149" i="35" s="1"/>
  <c r="M149" i="35"/>
  <c r="AK149" i="35" s="1"/>
  <c r="AV149" i="35"/>
  <c r="X149" i="35" s="1"/>
  <c r="L149" i="35"/>
  <c r="AJ149" i="35" s="1"/>
  <c r="AQ149" i="35"/>
  <c r="S149" i="35" s="1"/>
  <c r="AB149" i="35"/>
  <c r="AY149" i="35"/>
  <c r="AA149" i="35" s="1"/>
  <c r="D29" i="33" l="1"/>
  <c r="V11" i="35" l="1"/>
  <c r="V10" i="35"/>
  <c r="V12" i="35"/>
  <c r="V13" i="35"/>
  <c r="U9" i="35"/>
  <c r="V9" i="35"/>
  <c r="U11" i="35"/>
  <c r="U10" i="35"/>
  <c r="U12" i="35"/>
  <c r="U13" i="35"/>
  <c r="E29" i="33"/>
  <c r="D28" i="37" s="1"/>
  <c r="E28" i="37" s="1"/>
  <c r="I24" i="37"/>
  <c r="J24" i="37" s="1"/>
  <c r="D12" i="37"/>
  <c r="E12" i="37" s="1"/>
  <c r="I19" i="37"/>
  <c r="J19" i="37" s="1"/>
  <c r="D142" i="35" l="1"/>
  <c r="I142" i="35"/>
  <c r="AQ142" i="35"/>
  <c r="AY142" i="35"/>
  <c r="O142" i="35"/>
  <c r="AM142" i="35" s="1"/>
  <c r="AN142" i="35"/>
  <c r="AV142" i="35"/>
  <c r="AO142" i="35"/>
  <c r="Q142" i="35" s="1"/>
  <c r="M142" i="35"/>
  <c r="AK142" i="35" s="1"/>
  <c r="AU142" i="35"/>
  <c r="K142" i="35"/>
  <c r="AI142" i="35" s="1"/>
  <c r="AS142" i="35"/>
  <c r="U142" i="35" s="1"/>
  <c r="G142" i="35"/>
  <c r="F142" i="35"/>
  <c r="AB142" i="35"/>
  <c r="AR142" i="35"/>
  <c r="AX142" i="35"/>
  <c r="N142" i="35"/>
  <c r="J142" i="35"/>
  <c r="AH142" i="35" s="1"/>
  <c r="L142" i="35"/>
  <c r="AJ142" i="35" s="1"/>
  <c r="AT142" i="35"/>
  <c r="E142" i="35"/>
  <c r="AW142" i="35"/>
  <c r="AP142" i="35"/>
  <c r="R142" i="35" s="1"/>
  <c r="H142" i="35"/>
  <c r="Z142" i="35"/>
  <c r="W142" i="35"/>
  <c r="T142" i="35"/>
  <c r="P142" i="35"/>
  <c r="Y142" i="35"/>
  <c r="AL142" i="35"/>
  <c r="AF142" i="35"/>
  <c r="AG142" i="35"/>
  <c r="AD142" i="35"/>
  <c r="AC142" i="35"/>
  <c r="N143" i="35"/>
  <c r="AL143" i="35" s="1"/>
  <c r="AR143" i="35"/>
  <c r="T143" i="35" s="1"/>
  <c r="AP143" i="35"/>
  <c r="R143" i="35" s="1"/>
  <c r="I143" i="35"/>
  <c r="AG143" i="35" s="1"/>
  <c r="O143" i="35"/>
  <c r="AM143" i="35" s="1"/>
  <c r="AY143" i="35"/>
  <c r="AA143" i="35" s="1"/>
  <c r="AB143" i="35"/>
  <c r="J143" i="35"/>
  <c r="AH143" i="35" s="1"/>
  <c r="AS143" i="35"/>
  <c r="U143" i="35" s="1"/>
  <c r="H143" i="35"/>
  <c r="AF143" i="35" s="1"/>
  <c r="F143" i="35"/>
  <c r="AD143" i="35" s="1"/>
  <c r="AO143" i="35"/>
  <c r="Q143" i="35" s="1"/>
  <c r="D143" i="35"/>
  <c r="AV143" i="35"/>
  <c r="X143" i="35" s="1"/>
  <c r="L143" i="35"/>
  <c r="AJ143" i="35" s="1"/>
  <c r="AT143" i="35"/>
  <c r="V143" i="35" s="1"/>
  <c r="E143" i="35"/>
  <c r="AC143" i="35" s="1"/>
  <c r="AX143" i="35"/>
  <c r="Z143" i="35" s="1"/>
  <c r="AN143" i="35"/>
  <c r="P143" i="35" s="1"/>
  <c r="AQ143" i="35"/>
  <c r="S143" i="35" s="1"/>
  <c r="K143" i="35"/>
  <c r="AI143" i="35" s="1"/>
  <c r="AW143" i="35"/>
  <c r="Y143" i="35" s="1"/>
  <c r="G143" i="35"/>
  <c r="AE143" i="35" s="1"/>
  <c r="AU143" i="35"/>
  <c r="W143" i="35" s="1"/>
  <c r="M143" i="35"/>
  <c r="AK143" i="35" s="1"/>
  <c r="AU144" i="35"/>
  <c r="W144" i="35" s="1"/>
  <c r="O144" i="35"/>
  <c r="AM144" i="35" s="1"/>
  <c r="AB144" i="35"/>
  <c r="I144" i="35"/>
  <c r="AG144" i="35" s="1"/>
  <c r="AV144" i="35"/>
  <c r="X144" i="35" s="1"/>
  <c r="K144" i="35"/>
  <c r="AI144" i="35" s="1"/>
  <c r="AQ144" i="35"/>
  <c r="S144" i="35" s="1"/>
  <c r="AX144" i="35"/>
  <c r="Z144" i="35" s="1"/>
  <c r="AY144" i="35"/>
  <c r="AA144" i="35" s="1"/>
  <c r="N144" i="35"/>
  <c r="AL144" i="35" s="1"/>
  <c r="AW144" i="35"/>
  <c r="Y144" i="35" s="1"/>
  <c r="J144" i="35"/>
  <c r="AH144" i="35" s="1"/>
  <c r="M144" i="35"/>
  <c r="AK144" i="35" s="1"/>
  <c r="AR144" i="35"/>
  <c r="T144" i="35" s="1"/>
  <c r="AT144" i="35"/>
  <c r="V144" i="35" s="1"/>
  <c r="G144" i="35"/>
  <c r="AE144" i="35" s="1"/>
  <c r="AO144" i="35"/>
  <c r="Q144" i="35" s="1"/>
  <c r="AN144" i="35"/>
  <c r="P144" i="35" s="1"/>
  <c r="L144" i="35"/>
  <c r="AJ144" i="35" s="1"/>
  <c r="E144" i="35"/>
  <c r="AC144" i="35" s="1"/>
  <c r="AP144" i="35"/>
  <c r="R144" i="35" s="1"/>
  <c r="AS144" i="35"/>
  <c r="U144" i="35" s="1"/>
  <c r="D144" i="35"/>
  <c r="F144" i="35"/>
  <c r="AD144" i="35" s="1"/>
  <c r="H144" i="35"/>
  <c r="AF144" i="35" s="1"/>
  <c r="CX142" i="35"/>
  <c r="BZ142" i="35" s="1"/>
  <c r="CR142" i="35"/>
  <c r="CW142" i="35"/>
  <c r="BY142" i="35" s="1"/>
  <c r="CN142" i="35"/>
  <c r="BN142" i="35"/>
  <c r="CL142" i="35" s="1"/>
  <c r="BD142" i="35"/>
  <c r="CB142" i="35" s="1"/>
  <c r="CQ142" i="35"/>
  <c r="CV142" i="35"/>
  <c r="BI142" i="35"/>
  <c r="CG142" i="35" s="1"/>
  <c r="BJ142" i="35"/>
  <c r="CT142" i="35"/>
  <c r="CU142" i="35"/>
  <c r="BW142" i="35" s="1"/>
  <c r="BC142" i="35"/>
  <c r="CA142" i="35" s="1"/>
  <c r="BH142" i="35"/>
  <c r="CF142" i="35" s="1"/>
  <c r="CS142" i="35"/>
  <c r="CO142" i="35"/>
  <c r="BG142" i="35"/>
  <c r="CE142" i="35" s="1"/>
  <c r="BK142" i="35"/>
  <c r="BE142" i="35"/>
  <c r="CP142" i="35"/>
  <c r="BR142" i="35" s="1"/>
  <c r="CM142" i="35"/>
  <c r="BM142" i="35"/>
  <c r="CK142" i="35" s="1"/>
  <c r="BF142" i="35"/>
  <c r="BL142" i="35"/>
  <c r="BT142" i="35"/>
  <c r="CD142" i="35"/>
  <c r="BP142" i="35"/>
  <c r="CJ142" i="35"/>
  <c r="BX142" i="35"/>
  <c r="BQ142" i="35"/>
  <c r="BS142" i="35"/>
  <c r="BU142" i="35"/>
  <c r="BG145" i="35"/>
  <c r="CE145" i="35" s="1"/>
  <c r="BN145" i="35"/>
  <c r="CL145" i="35" s="1"/>
  <c r="CW145" i="35"/>
  <c r="BY145" i="35" s="1"/>
  <c r="BD145" i="35"/>
  <c r="CB145" i="35" s="1"/>
  <c r="BE145" i="35"/>
  <c r="CC145" i="35" s="1"/>
  <c r="BL145" i="35"/>
  <c r="CJ145" i="35" s="1"/>
  <c r="BM145" i="35"/>
  <c r="CK145" i="35" s="1"/>
  <c r="CT145" i="35"/>
  <c r="BV145" i="35" s="1"/>
  <c r="BC145" i="35"/>
  <c r="CA145" i="35" s="1"/>
  <c r="CO145" i="35"/>
  <c r="BQ145" i="35" s="1"/>
  <c r="CM145" i="35"/>
  <c r="BO145" i="35" s="1"/>
  <c r="CR145" i="35"/>
  <c r="BT145" i="35" s="1"/>
  <c r="CQ145" i="35"/>
  <c r="BS145" i="35" s="1"/>
  <c r="BI145" i="35"/>
  <c r="CG145" i="35" s="1"/>
  <c r="BF145" i="35"/>
  <c r="CD145" i="35" s="1"/>
  <c r="CS145" i="35"/>
  <c r="BU145" i="35" s="1"/>
  <c r="CN145" i="35"/>
  <c r="BP145" i="35" s="1"/>
  <c r="BJ145" i="35"/>
  <c r="CH145" i="35" s="1"/>
  <c r="BK145" i="35"/>
  <c r="CI145" i="35" s="1"/>
  <c r="CX145" i="35"/>
  <c r="BZ145" i="35" s="1"/>
  <c r="BH145" i="35"/>
  <c r="CF145" i="35" s="1"/>
  <c r="CU145" i="35"/>
  <c r="BW145" i="35" s="1"/>
  <c r="CP145" i="35"/>
  <c r="BR145" i="35" s="1"/>
  <c r="CV145" i="35"/>
  <c r="BX145" i="35" s="1"/>
  <c r="AX146" i="35"/>
  <c r="Z146" i="35" s="1"/>
  <c r="M146" i="35"/>
  <c r="AK146" i="35" s="1"/>
  <c r="F146" i="35"/>
  <c r="AD146" i="35" s="1"/>
  <c r="AO146" i="35"/>
  <c r="Q146" i="35" s="1"/>
  <c r="AY146" i="35"/>
  <c r="AA146" i="35" s="1"/>
  <c r="G146" i="35"/>
  <c r="AE146" i="35" s="1"/>
  <c r="AR146" i="35"/>
  <c r="T146" i="35" s="1"/>
  <c r="O146" i="35"/>
  <c r="AM146" i="35" s="1"/>
  <c r="H146" i="35"/>
  <c r="AF146" i="35" s="1"/>
  <c r="I146" i="35"/>
  <c r="AG146" i="35" s="1"/>
  <c r="AS146" i="35"/>
  <c r="U146" i="35" s="1"/>
  <c r="AP146" i="35"/>
  <c r="R146" i="35" s="1"/>
  <c r="L146" i="35"/>
  <c r="AJ146" i="35" s="1"/>
  <c r="AB146" i="35"/>
  <c r="AV146" i="35"/>
  <c r="X146" i="35" s="1"/>
  <c r="AQ146" i="35"/>
  <c r="S146" i="35" s="1"/>
  <c r="D146" i="35"/>
  <c r="AT146" i="35"/>
  <c r="V146" i="35" s="1"/>
  <c r="AW146" i="35"/>
  <c r="Y146" i="35" s="1"/>
  <c r="AN146" i="35"/>
  <c r="P146" i="35" s="1"/>
  <c r="J146" i="35"/>
  <c r="AH146" i="35" s="1"/>
  <c r="E146" i="35"/>
  <c r="AC146" i="35" s="1"/>
  <c r="N146" i="35"/>
  <c r="AL146" i="35" s="1"/>
  <c r="K146" i="35"/>
  <c r="AI146" i="35" s="1"/>
  <c r="AU146" i="35"/>
  <c r="W146" i="35" s="1"/>
  <c r="CN143" i="35"/>
  <c r="BP143" i="35" s="1"/>
  <c r="CQ143" i="35"/>
  <c r="BS143" i="35" s="1"/>
  <c r="CO143" i="35"/>
  <c r="BQ143" i="35" s="1"/>
  <c r="CW143" i="35"/>
  <c r="BY143" i="35" s="1"/>
  <c r="CS143" i="35"/>
  <c r="BU143" i="35" s="1"/>
  <c r="BF143" i="35"/>
  <c r="CD143" i="35" s="1"/>
  <c r="BE143" i="35"/>
  <c r="CC143" i="35" s="1"/>
  <c r="BK143" i="35"/>
  <c r="CI143" i="35" s="1"/>
  <c r="CT143" i="35"/>
  <c r="BV143" i="35" s="1"/>
  <c r="BI143" i="35"/>
  <c r="CG143" i="35" s="1"/>
  <c r="BG143" i="35"/>
  <c r="CE143" i="35" s="1"/>
  <c r="CX143" i="35"/>
  <c r="BZ143" i="35" s="1"/>
  <c r="BH143" i="35"/>
  <c r="CF143" i="35" s="1"/>
  <c r="CR143" i="35"/>
  <c r="BT143" i="35" s="1"/>
  <c r="CU143" i="35"/>
  <c r="BW143" i="35" s="1"/>
  <c r="BJ143" i="35"/>
  <c r="CH143" i="35" s="1"/>
  <c r="CV143" i="35"/>
  <c r="BX143" i="35" s="1"/>
  <c r="BC143" i="35"/>
  <c r="CA143" i="35" s="1"/>
  <c r="CM143" i="35"/>
  <c r="BO143" i="35" s="1"/>
  <c r="BD143" i="35"/>
  <c r="CB143" i="35" s="1"/>
  <c r="BL143" i="35"/>
  <c r="CJ143" i="35" s="1"/>
  <c r="CP143" i="35"/>
  <c r="BR143" i="35" s="1"/>
  <c r="BN143" i="35"/>
  <c r="CL143" i="35" s="1"/>
  <c r="BM143" i="35"/>
  <c r="CK143" i="35" s="1"/>
  <c r="CN146" i="35"/>
  <c r="BP146" i="35" s="1"/>
  <c r="CT146" i="35"/>
  <c r="BV146" i="35" s="1"/>
  <c r="BE146" i="35"/>
  <c r="CC146" i="35" s="1"/>
  <c r="BD146" i="35"/>
  <c r="CB146" i="35" s="1"/>
  <c r="CW146" i="35"/>
  <c r="BY146" i="35" s="1"/>
  <c r="BN146" i="35"/>
  <c r="CL146" i="35" s="1"/>
  <c r="CR146" i="35"/>
  <c r="BT146" i="35" s="1"/>
  <c r="BI146" i="35"/>
  <c r="CG146" i="35" s="1"/>
  <c r="CP146" i="35"/>
  <c r="BR146" i="35" s="1"/>
  <c r="CO146" i="35"/>
  <c r="BQ146" i="35" s="1"/>
  <c r="CQ146" i="35"/>
  <c r="BS146" i="35" s="1"/>
  <c r="CS146" i="35"/>
  <c r="BU146" i="35" s="1"/>
  <c r="BK146" i="35"/>
  <c r="CI146" i="35" s="1"/>
  <c r="CM146" i="35"/>
  <c r="BO146" i="35" s="1"/>
  <c r="BF146" i="35"/>
  <c r="CD146" i="35" s="1"/>
  <c r="CX146" i="35"/>
  <c r="BZ146" i="35" s="1"/>
  <c r="BG146" i="35"/>
  <c r="CE146" i="35" s="1"/>
  <c r="CV146" i="35"/>
  <c r="BX146" i="35" s="1"/>
  <c r="BL146" i="35"/>
  <c r="CJ146" i="35" s="1"/>
  <c r="BJ146" i="35"/>
  <c r="CH146" i="35" s="1"/>
  <c r="CU146" i="35"/>
  <c r="BW146" i="35" s="1"/>
  <c r="BM146" i="35"/>
  <c r="CK146" i="35" s="1"/>
  <c r="BH146" i="35"/>
  <c r="CF146" i="35" s="1"/>
  <c r="BC146" i="35"/>
  <c r="CA146" i="35" s="1"/>
  <c r="AB145" i="35"/>
  <c r="K145" i="35"/>
  <c r="AI145" i="35" s="1"/>
  <c r="E145" i="35"/>
  <c r="AC145" i="35" s="1"/>
  <c r="AV145" i="35"/>
  <c r="X145" i="35" s="1"/>
  <c r="AO145" i="35"/>
  <c r="Q145" i="35" s="1"/>
  <c r="AY145" i="35"/>
  <c r="AA145" i="35" s="1"/>
  <c r="AU145" i="35"/>
  <c r="W145" i="35" s="1"/>
  <c r="M145" i="35"/>
  <c r="AK145" i="35" s="1"/>
  <c r="N145" i="35"/>
  <c r="AL145" i="35" s="1"/>
  <c r="F145" i="35"/>
  <c r="AD145" i="35" s="1"/>
  <c r="AQ145" i="35"/>
  <c r="S145" i="35" s="1"/>
  <c r="G145" i="35"/>
  <c r="AE145" i="35" s="1"/>
  <c r="AT145" i="35"/>
  <c r="V145" i="35" s="1"/>
  <c r="AS145" i="35"/>
  <c r="U145" i="35" s="1"/>
  <c r="J145" i="35"/>
  <c r="AH145" i="35" s="1"/>
  <c r="D145" i="35"/>
  <c r="AW145" i="35"/>
  <c r="Y145" i="35" s="1"/>
  <c r="AR145" i="35"/>
  <c r="T145" i="35" s="1"/>
  <c r="H145" i="35"/>
  <c r="AF145" i="35" s="1"/>
  <c r="O145" i="35"/>
  <c r="AM145" i="35" s="1"/>
  <c r="I145" i="35"/>
  <c r="AG145" i="35" s="1"/>
  <c r="L145" i="35"/>
  <c r="AJ145" i="35" s="1"/>
  <c r="AX145" i="35"/>
  <c r="Z145" i="35" s="1"/>
  <c r="AN145" i="35"/>
  <c r="P145" i="35" s="1"/>
  <c r="AP145" i="35"/>
  <c r="R145" i="35" s="1"/>
  <c r="BM144" i="35"/>
  <c r="CK144" i="35" s="1"/>
  <c r="CN144" i="35"/>
  <c r="BP144" i="35" s="1"/>
  <c r="CT144" i="35"/>
  <c r="BV144" i="35" s="1"/>
  <c r="BK144" i="35"/>
  <c r="CI144" i="35" s="1"/>
  <c r="BG144" i="35"/>
  <c r="CE144" i="35" s="1"/>
  <c r="CX144" i="35"/>
  <c r="BZ144" i="35" s="1"/>
  <c r="BD144" i="35"/>
  <c r="CB144" i="35" s="1"/>
  <c r="CP144" i="35"/>
  <c r="BR144" i="35" s="1"/>
  <c r="BN144" i="35"/>
  <c r="CL144" i="35" s="1"/>
  <c r="BC144" i="35"/>
  <c r="CA144" i="35" s="1"/>
  <c r="BE144" i="35"/>
  <c r="CC144" i="35" s="1"/>
  <c r="CM144" i="35"/>
  <c r="BO144" i="35" s="1"/>
  <c r="CW144" i="35"/>
  <c r="BY144" i="35" s="1"/>
  <c r="CR144" i="35"/>
  <c r="BT144" i="35" s="1"/>
  <c r="BH144" i="35"/>
  <c r="CF144" i="35" s="1"/>
  <c r="BJ144" i="35"/>
  <c r="CH144" i="35" s="1"/>
  <c r="CO144" i="35"/>
  <c r="BQ144" i="35" s="1"/>
  <c r="CS144" i="35"/>
  <c r="BU144" i="35" s="1"/>
  <c r="BL144" i="35"/>
  <c r="CJ144" i="35" s="1"/>
  <c r="CV144" i="35"/>
  <c r="BX144" i="35" s="1"/>
  <c r="BF144" i="35"/>
  <c r="CD144" i="35" s="1"/>
  <c r="BI144" i="35"/>
  <c r="CG144" i="35" s="1"/>
  <c r="CU144" i="35"/>
  <c r="BW144" i="35" s="1"/>
  <c r="CQ144" i="35"/>
  <c r="BS144" i="35" s="1"/>
  <c r="I30" i="37"/>
  <c r="J30" i="37" s="1"/>
  <c r="D16" i="37"/>
  <c r="E16" i="37" s="1"/>
  <c r="I29" i="37"/>
  <c r="J29" i="37" s="1"/>
  <c r="D35" i="37"/>
  <c r="E35" i="37" s="1"/>
  <c r="D15" i="37"/>
  <c r="E15" i="37" s="1"/>
  <c r="I11" i="37"/>
  <c r="J11" i="37" s="1"/>
  <c r="D10" i="37"/>
  <c r="E10" i="37" s="1"/>
  <c r="D26" i="37"/>
  <c r="E26" i="37" s="1"/>
  <c r="D31" i="37"/>
  <c r="E31" i="37" s="1"/>
  <c r="D18" i="37"/>
  <c r="E18" i="37" s="1"/>
  <c r="I13" i="37"/>
  <c r="J13" i="37" s="1"/>
  <c r="D24" i="37"/>
  <c r="E24" i="37" s="1"/>
  <c r="I14" i="37"/>
  <c r="J14" i="37" s="1"/>
  <c r="D14" i="37"/>
  <c r="E14" i="37" s="1"/>
  <c r="D19" i="37"/>
  <c r="E19" i="37" s="1"/>
  <c r="I26" i="37"/>
  <c r="J26" i="37" s="1"/>
  <c r="D6" i="37"/>
  <c r="E6" i="37" s="1"/>
  <c r="I36" i="37"/>
  <c r="J36" i="37" s="1"/>
  <c r="D33" i="37"/>
  <c r="E33" i="37" s="1"/>
  <c r="D34" i="37"/>
  <c r="E34" i="37" s="1"/>
  <c r="I28" i="37"/>
  <c r="J28" i="37" s="1"/>
  <c r="I33" i="37"/>
  <c r="J33" i="37" s="1"/>
  <c r="I12" i="37"/>
  <c r="J12" i="37" s="1"/>
  <c r="D11" i="37"/>
  <c r="E11" i="37" s="1"/>
  <c r="I17" i="37"/>
  <c r="J17" i="37" s="1"/>
  <c r="D8" i="37"/>
  <c r="E8" i="37" s="1"/>
  <c r="I7" i="37"/>
  <c r="J7" i="37" s="1"/>
  <c r="I34" i="37"/>
  <c r="J34" i="37" s="1"/>
  <c r="I18" i="37"/>
  <c r="J18" i="37" s="1"/>
  <c r="I16" i="37"/>
  <c r="J16" i="37" s="1"/>
  <c r="I8" i="37"/>
  <c r="J8" i="37" s="1"/>
  <c r="D13" i="37"/>
  <c r="E13" i="37" s="1"/>
  <c r="I35" i="37"/>
  <c r="J35" i="37" s="1"/>
  <c r="I10" i="37"/>
  <c r="J10" i="37" s="1"/>
  <c r="D7" i="37"/>
  <c r="E7" i="37" s="1"/>
  <c r="D9" i="37"/>
  <c r="E9" i="37" s="1"/>
  <c r="I25" i="37"/>
  <c r="J25" i="37" s="1"/>
  <c r="D25" i="37"/>
  <c r="E25" i="37" s="1"/>
  <c r="I27" i="37"/>
  <c r="J27" i="37" s="1"/>
  <c r="D17" i="37"/>
  <c r="E17" i="37" s="1"/>
  <c r="D32" i="37"/>
  <c r="E32" i="37" s="1"/>
  <c r="I37" i="37"/>
  <c r="J37" i="37" s="1"/>
  <c r="I6" i="37"/>
  <c r="J6" i="37" s="1"/>
  <c r="I15" i="37"/>
  <c r="J15" i="37" s="1"/>
  <c r="D29" i="37"/>
  <c r="E29" i="37" s="1"/>
  <c r="D37" i="37"/>
  <c r="E37" i="37" s="1"/>
  <c r="I31" i="37"/>
  <c r="J31" i="37" s="1"/>
  <c r="I9" i="37"/>
  <c r="J9" i="37" s="1"/>
  <c r="D30" i="37"/>
  <c r="E30" i="37" s="1"/>
  <c r="D27" i="37"/>
  <c r="E27" i="37" s="1"/>
  <c r="D36" i="37"/>
  <c r="E36" i="37" s="1"/>
  <c r="I32" i="37"/>
  <c r="J32" i="37" s="1"/>
  <c r="BT241" i="35" l="1"/>
  <c r="BE241" i="35"/>
  <c r="BY241" i="35"/>
  <c r="AT241" i="35"/>
  <c r="CR241" i="35"/>
  <c r="AJ241" i="35"/>
  <c r="CA241" i="35"/>
  <c r="AM241" i="35"/>
  <c r="CG241" i="35"/>
  <c r="W241" i="35"/>
  <c r="AH241" i="35"/>
  <c r="AQ241" i="35"/>
  <c r="CD241" i="35"/>
  <c r="Z241" i="35"/>
  <c r="CT241" i="35"/>
  <c r="U241" i="35"/>
  <c r="G241" i="35"/>
  <c r="CE241" i="35"/>
  <c r="BJ241" i="35"/>
  <c r="AE142" i="35"/>
  <c r="AE241" i="35" s="1"/>
  <c r="AY241" i="35"/>
  <c r="BR241" i="35"/>
  <c r="BV142" i="35"/>
  <c r="BV241" i="35" s="1"/>
  <c r="BM241" i="35"/>
  <c r="BH241" i="35"/>
  <c r="BD241" i="35"/>
  <c r="AA142" i="35"/>
  <c r="AA241" i="35" s="1"/>
  <c r="AF241" i="35"/>
  <c r="P241" i="35"/>
  <c r="AP241" i="35"/>
  <c r="AR241" i="35"/>
  <c r="AO241" i="35"/>
  <c r="BZ241" i="35"/>
  <c r="BP241" i="35"/>
  <c r="CK241" i="35"/>
  <c r="CM241" i="35"/>
  <c r="BC241" i="35"/>
  <c r="BN241" i="35"/>
  <c r="S142" i="35"/>
  <c r="S241" i="35" s="1"/>
  <c r="AL241" i="35"/>
  <c r="T241" i="35"/>
  <c r="AW241" i="35"/>
  <c r="AB241" i="35"/>
  <c r="AV241" i="35"/>
  <c r="BW241" i="35"/>
  <c r="CC142" i="35"/>
  <c r="CC241" i="35" s="1"/>
  <c r="CH142" i="35"/>
  <c r="CH241" i="35" s="1"/>
  <c r="CP241" i="35"/>
  <c r="CU241" i="35"/>
  <c r="CN241" i="35"/>
  <c r="AC241" i="35"/>
  <c r="AK241" i="35"/>
  <c r="X142" i="35"/>
  <c r="X241" i="35" s="1"/>
  <c r="E241" i="35"/>
  <c r="F241" i="35"/>
  <c r="AN241" i="35"/>
  <c r="BQ241" i="35"/>
  <c r="AI241" i="35"/>
  <c r="BX241" i="35"/>
  <c r="BK241" i="35"/>
  <c r="Y241" i="35"/>
  <c r="AS241" i="35"/>
  <c r="D241" i="35"/>
  <c r="CB241" i="35"/>
  <c r="BI241" i="35"/>
  <c r="AD241" i="35"/>
  <c r="K241" i="35"/>
  <c r="BU241" i="35"/>
  <c r="CJ241" i="35"/>
  <c r="BL241" i="35"/>
  <c r="CO241" i="35"/>
  <c r="CV241" i="35"/>
  <c r="AG241" i="35"/>
  <c r="N241" i="35"/>
  <c r="AU241" i="35"/>
  <c r="I241" i="35"/>
  <c r="CW241" i="35"/>
  <c r="O241" i="35"/>
  <c r="CL241" i="35"/>
  <c r="L241" i="35"/>
  <c r="BO142" i="35"/>
  <c r="BO241" i="35" s="1"/>
  <c r="BG241" i="35"/>
  <c r="CX241" i="35"/>
  <c r="R241" i="35"/>
  <c r="J241" i="35"/>
  <c r="BS241" i="35"/>
  <c r="CI142" i="35"/>
  <c r="CI241" i="35" s="1"/>
  <c r="CF241" i="35"/>
  <c r="BF241" i="35"/>
  <c r="CS241" i="35"/>
  <c r="CQ241" i="35"/>
  <c r="Q241" i="35"/>
  <c r="V142" i="35"/>
  <c r="V241" i="35" s="1"/>
  <c r="H241" i="35"/>
  <c r="AX241" i="35"/>
  <c r="M241" i="35"/>
  <c r="CY241" i="35" l="1"/>
  <c r="V108" i="35" s="1"/>
  <c r="AM129" i="35"/>
  <c r="AM111" i="35"/>
  <c r="AM124" i="35"/>
  <c r="AM121" i="35"/>
  <c r="AM134" i="35"/>
  <c r="AM116" i="35"/>
  <c r="AM118" i="35"/>
  <c r="AM120" i="35"/>
  <c r="AM133" i="35"/>
  <c r="AM119" i="35"/>
  <c r="AM113" i="35"/>
  <c r="AM126" i="35"/>
  <c r="AM131" i="35"/>
  <c r="AM128" i="35"/>
  <c r="AM123" i="35"/>
  <c r="AM115" i="35"/>
  <c r="AM132" i="35"/>
  <c r="AM112" i="35"/>
  <c r="AM125" i="35"/>
  <c r="AM130" i="35"/>
  <c r="AM127" i="35"/>
  <c r="AM117" i="35"/>
  <c r="AM122" i="35"/>
  <c r="AM114" i="35"/>
  <c r="AZ241" i="35"/>
  <c r="U108" i="35" s="1"/>
</calcChain>
</file>

<file path=xl/comments1.xml><?xml version="1.0" encoding="utf-8"?>
<comments xmlns="http://schemas.openxmlformats.org/spreadsheetml/2006/main">
  <authors>
    <author>Neil Johnson</author>
    <author>jonno</author>
  </authors>
  <commentList>
    <comment ref="B15" authorId="0">
      <text>
        <r>
          <rPr>
            <b/>
            <sz val="9"/>
            <color indexed="81"/>
            <rFont val="Tahoma"/>
            <family val="2"/>
          </rPr>
          <t>Neil Johnson:</t>
        </r>
        <r>
          <rPr>
            <sz val="9"/>
            <color indexed="81"/>
            <rFont val="Tahoma"/>
            <family val="2"/>
          </rPr>
          <t xml:space="preserve">
When configured as "Office 365" settings and clients are checked to ensure supportability with Exchange Online.</t>
        </r>
      </text>
    </comment>
    <comment ref="B16" authorId="0">
      <text>
        <r>
          <rPr>
            <b/>
            <sz val="9"/>
            <color indexed="81"/>
            <rFont val="Tahoma"/>
            <family val="2"/>
          </rPr>
          <t>Neil Johnson:</t>
        </r>
        <r>
          <rPr>
            <sz val="9"/>
            <color indexed="81"/>
            <rFont val="Tahoma"/>
            <family val="2"/>
          </rPr>
          <t xml:space="preserve">
Set this value to be the extended work day.
This value is used to determine how many hours we have to resynchronise OST content down to the client per day.</t>
        </r>
      </text>
    </comment>
    <comment ref="B17" authorId="0">
      <text>
        <r>
          <rPr>
            <b/>
            <sz val="9"/>
            <color indexed="81"/>
            <rFont val="Tahoma"/>
            <family val="2"/>
          </rPr>
          <t>Neil Johnson:</t>
        </r>
        <r>
          <rPr>
            <sz val="9"/>
            <color indexed="81"/>
            <rFont val="Tahoma"/>
            <family val="2"/>
          </rPr>
          <t xml:space="preserve">
This value allows contol over the "factor of safety".
If your organisation suffers from message storms to large distribution lists or user send large attachments to many recipients, consider increasing this value.
</t>
        </r>
      </text>
    </comment>
    <comment ref="E18" authorId="0">
      <text>
        <r>
          <rPr>
            <b/>
            <sz val="9"/>
            <color indexed="81"/>
            <rFont val="Tahoma"/>
            <family val="2"/>
          </rPr>
          <t>When is the morning peak in local time for most users in your organisatoin?</t>
        </r>
        <r>
          <rPr>
            <sz val="9"/>
            <color indexed="81"/>
            <rFont val="Tahoma"/>
            <family val="2"/>
          </rPr>
          <t xml:space="preserve">
</t>
        </r>
      </text>
    </comment>
    <comment ref="B19" authorId="0">
      <text>
        <r>
          <rPr>
            <b/>
            <sz val="9"/>
            <color indexed="81"/>
            <rFont val="Tahoma"/>
            <family val="2"/>
          </rPr>
          <t>Neil Johnson:</t>
        </r>
        <r>
          <rPr>
            <sz val="9"/>
            <color indexed="81"/>
            <rFont val="Tahoma"/>
            <family val="2"/>
          </rPr>
          <t xml:space="preserve">
This setting should be set to the number of days that most users choose to synchronise with their Exchange ActiveSync connected mobile device.
Each device type has different defaults, so it is important to check the correct value that represents the majority of your mobile devices.</t>
        </r>
      </text>
    </comment>
    <comment ref="E19" authorId="0">
      <text>
        <r>
          <rPr>
            <b/>
            <sz val="9"/>
            <color indexed="81"/>
            <rFont val="Tahoma"/>
            <family val="2"/>
          </rPr>
          <t>How long does the morning peak last in your organisation?</t>
        </r>
        <r>
          <rPr>
            <sz val="9"/>
            <color indexed="81"/>
            <rFont val="Tahoma"/>
            <family val="2"/>
          </rPr>
          <t xml:space="preserve">
</t>
        </r>
      </text>
    </comment>
    <comment ref="B20" authorId="0">
      <text>
        <r>
          <rPr>
            <b/>
            <sz val="9"/>
            <color indexed="81"/>
            <rFont val="Tahoma"/>
            <family val="2"/>
          </rPr>
          <t>Neil Johnson:</t>
        </r>
        <r>
          <rPr>
            <sz val="9"/>
            <color indexed="81"/>
            <rFont val="Tahoma"/>
            <family val="2"/>
          </rPr>
          <t xml:space="preserve">
Offline Address Book size is important for cached mode clients since it is downloaded to the client in certain circumstances.
For Exchange 2007+
Locate the *-data-*.lzx file in your ExchangeOAB directory, the size of this file represents the size of your OAB.
For Exchange 2003
See Dave Goldmans Blog: http://blogs.msdn.com/b/dgoldman/archive/2009/10/21/how-can-we-try-to-control-the-network-consumption-by-using-oab-throttling.aspx
</t>
        </r>
      </text>
    </comment>
    <comment ref="E20" authorId="0">
      <text>
        <r>
          <rPr>
            <b/>
            <sz val="9"/>
            <color indexed="81"/>
            <rFont val="Tahoma"/>
            <family val="2"/>
          </rPr>
          <t>When is the afternoon peak in local time for most users in your organisatoin?</t>
        </r>
        <r>
          <rPr>
            <sz val="9"/>
            <color indexed="81"/>
            <rFont val="Tahoma"/>
            <family val="2"/>
          </rPr>
          <t xml:space="preserve">
</t>
        </r>
      </text>
    </comment>
    <comment ref="B21" authorId="1">
      <text>
        <r>
          <rPr>
            <b/>
            <sz val="9"/>
            <color indexed="81"/>
            <rFont val="Tahoma"/>
            <family val="2"/>
          </rPr>
          <t>Neil Johnson:</t>
        </r>
        <r>
          <rPr>
            <sz val="9"/>
            <color indexed="81"/>
            <rFont val="Tahoma"/>
            <family val="2"/>
          </rPr>
          <t xml:space="preserve">
This value represents the number of changes that are made to the GAL on a daily basis.
This impacts the amount of OAB change data that cached mode clients must download to maintain an up to date global address.
For Exchange 2007+
Look at the *-binpatch-*.lzx files in your ExchangeOAB directory on your Exchange server.  These files represent the differential changes to the OAB.  Find the average size of your *-binpatch-*.lzx and enter the value as a percentage of your full OAB size.
For Exchange 2003
Browse the contents of your system Public Folder OFFLINE ADDRESS BOOK for OAB Version 4 and find the average size of your binpatch files.
For example,
If your OAB is 50MB (51200KB) in size and the average size of your *-binpatch-*.lzx files was 500KB, then the %GAL changes per day value would be...
( 500KB / 51200KB ) * 100 = 0.97%</t>
        </r>
      </text>
    </comment>
    <comment ref="E21" authorId="0">
      <text>
        <r>
          <rPr>
            <b/>
            <sz val="9"/>
            <color indexed="81"/>
            <rFont val="Tahoma"/>
            <family val="2"/>
          </rPr>
          <t>How long does the morning peak last in your organisation?</t>
        </r>
      </text>
    </comment>
    <comment ref="B22" authorId="0">
      <text>
        <r>
          <rPr>
            <sz val="9"/>
            <color indexed="81"/>
            <rFont val="Tahoma"/>
            <family val="2"/>
          </rPr>
          <t xml:space="preserve">Use this parameter to specify the most common form of availability request within your organisation.  The two types of availability protocol are the Availability service and Schedule+ Free Busy and it is important to understand which mechanism is being used within your organisation.  
The Availability service is used in Exchange Server 2007 or later, and is available to clients running Outlook 2007 or later.  Schedule+ Free Busy is the legacy mechanism for storing availability data within system public folders and is used by Outlook 2003 regardless of the version of Exchange Server that Outlook 2003 is connected to.  Additionally, Schedule+ Free Busy is used by Exchange Server 2003 regardless of the Outlook client version.  
</t>
        </r>
        <r>
          <rPr>
            <b/>
            <u/>
            <sz val="9"/>
            <color indexed="81"/>
            <rFont val="Tahoma"/>
            <family val="2"/>
          </rPr>
          <t xml:space="preserve">
Note that in Office 365, Exchange Online uses the Availability service.</t>
        </r>
        <r>
          <rPr>
            <sz val="9"/>
            <color indexed="81"/>
            <rFont val="Tahoma"/>
            <family val="2"/>
          </rPr>
          <t xml:space="preserve">
If both Schedule+ FREE BUSY and the Availability service are in use in the same organisation, choose the Availability Service option in the calculator.
Obtaining the data:
Compare your organisation’s deployment configuration against the table titled Methods Used to Retrieve Free/Busy Information at the topic titled Understanding the Availability Service (http://technet.microsoft.com/en-us/library/bb232134.aspx#methodstoretrivefbinfo)</t>
        </r>
        <r>
          <rPr>
            <b/>
            <sz val="9"/>
            <color indexed="81"/>
            <rFont val="Tahoma"/>
            <family val="2"/>
          </rPr>
          <t xml:space="preserve">
</t>
        </r>
      </text>
    </comment>
    <comment ref="B23" authorId="0">
      <text>
        <r>
          <rPr>
            <b/>
            <sz val="9"/>
            <color indexed="81"/>
            <rFont val="Tahoma"/>
            <family val="2"/>
          </rPr>
          <t>Neil Johnson:</t>
        </r>
        <r>
          <rPr>
            <sz val="9"/>
            <color indexed="81"/>
            <rFont val="Tahoma"/>
            <family val="2"/>
          </rPr>
          <t xml:space="preserve">
What percentage of the mailbox population will require a full OST file resync per month.
This is used to derive the network bandwidth required to support OST file resyncs.
Full OST file resync's are required for support troubleshooting and in the event of a desktop OS upgrade/rebuild or local HDD failure.</t>
        </r>
      </text>
    </comment>
    <comment ref="B26" authorId="0">
      <text>
        <r>
          <rPr>
            <b/>
            <sz val="9"/>
            <color indexed="81"/>
            <rFont val="Tahoma"/>
            <family val="2"/>
          </rPr>
          <t>Neil Johnson:</t>
        </r>
        <r>
          <rPr>
            <sz val="9"/>
            <color indexed="81"/>
            <rFont val="Tahoma"/>
            <family val="2"/>
          </rPr>
          <t xml:space="preserve">
Average Message Size is best determined via the Exchange Server Profile Analyzer.
http://technet.microsoft.com/en-us/library/bb508856(EXCHG.65).aspx
It is important in bandwidth scaling since we use this value to determine how many network bytes are required to transmit each message.</t>
        </r>
      </text>
    </comment>
    <comment ref="E26" authorId="0">
      <text>
        <r>
          <rPr>
            <b/>
            <sz val="9"/>
            <color indexed="81"/>
            <rFont val="Tahoma"/>
            <family val="2"/>
          </rPr>
          <t>Neil Johnson:</t>
        </r>
        <r>
          <rPr>
            <sz val="9"/>
            <color indexed="81"/>
            <rFont val="Tahoma"/>
            <family val="2"/>
          </rPr>
          <t xml:space="preserve">
Average Message Size is best determined via the Exchange Server Profile Analyzer.
http://technet.microsoft.com/en-us/library/bb508856(EXCHG.65).aspx
It is important in bandwidth scaling since we use this value to determine how many network bytes are required to transmit each message.</t>
        </r>
      </text>
    </comment>
    <comment ref="B27" authorId="0">
      <text>
        <r>
          <rPr>
            <b/>
            <sz val="9"/>
            <color indexed="81"/>
            <rFont val="Tahoma"/>
            <family val="2"/>
          </rPr>
          <t>Neil Johnson:</t>
        </r>
        <r>
          <rPr>
            <sz val="9"/>
            <color indexed="81"/>
            <rFont val="Tahoma"/>
            <family val="2"/>
          </rPr>
          <t xml:space="preserve">
This value represents the number of messages sent per mailbox per day on average over the organisation.
This data is available via the Exchange Server Profile Analyser.
http://technet.microsoft.com/en-us/library/bb508856(EXCHG.65).aspx</t>
        </r>
      </text>
    </comment>
    <comment ref="E27" authorId="0">
      <text>
        <r>
          <rPr>
            <b/>
            <sz val="9"/>
            <color indexed="81"/>
            <rFont val="Tahoma"/>
            <family val="2"/>
          </rPr>
          <t>Neil Johnson:</t>
        </r>
        <r>
          <rPr>
            <sz val="9"/>
            <color indexed="81"/>
            <rFont val="Tahoma"/>
            <family val="2"/>
          </rPr>
          <t xml:space="preserve">
This value represents the number of messages sent per mailbox per day on average over the organisation.
This data is available via the Exchange Server Profile Analyser.
http://technet.microsoft.com/en-us/library/bb508856(EXCHG.65).aspx</t>
        </r>
      </text>
    </comment>
    <comment ref="B28" authorId="0">
      <text>
        <r>
          <rPr>
            <b/>
            <sz val="9"/>
            <color indexed="81"/>
            <rFont val="Tahoma"/>
            <family val="2"/>
          </rPr>
          <t>Neil Johnson:</t>
        </r>
        <r>
          <rPr>
            <sz val="9"/>
            <color indexed="81"/>
            <rFont val="Tahoma"/>
            <family val="2"/>
          </rPr>
          <t xml:space="preserve">
This value represents the number of messages received per mailbox per day on average over the organisation.
This data is available via the Exchange Server Profile Analyser.
http://technet.microsoft.com/en-us/library/bb508856(EXCHG.65).aspx</t>
        </r>
      </text>
    </comment>
    <comment ref="E28" authorId="0">
      <text>
        <r>
          <rPr>
            <b/>
            <sz val="9"/>
            <color indexed="81"/>
            <rFont val="Tahoma"/>
            <family val="2"/>
          </rPr>
          <t>Neil Johnson:</t>
        </r>
        <r>
          <rPr>
            <sz val="9"/>
            <color indexed="81"/>
            <rFont val="Tahoma"/>
            <family val="2"/>
          </rPr>
          <t xml:space="preserve">
This value represents the number of messages received per mailbox per day on average over the organisation.
This data is available via the Exchange Server Profile Analyser.
http://technet.microsoft.com/en-us/library/bb508856(EXCHG.65).aspx</t>
        </r>
      </text>
    </comment>
    <comment ref="B29" authorId="0">
      <text>
        <r>
          <rPr>
            <b/>
            <sz val="9"/>
            <color indexed="81"/>
            <rFont val="Tahoma"/>
            <family val="2"/>
          </rPr>
          <t>Neil Johnson:</t>
        </r>
        <r>
          <rPr>
            <sz val="9"/>
            <color indexed="81"/>
            <rFont val="Tahoma"/>
            <family val="2"/>
          </rPr>
          <t xml:space="preserve">
This value is used to derive the amount of network traffic that will be required due to OST file resyncs.
Ideally this should be set to the average quota size within the organisation to account for the worst case scenario.</t>
        </r>
      </text>
    </comment>
    <comment ref="E29" authorId="0">
      <text>
        <r>
          <rPr>
            <b/>
            <sz val="9"/>
            <color indexed="81"/>
            <rFont val="Tahoma"/>
            <family val="2"/>
          </rPr>
          <t>Neil Johnson:</t>
        </r>
        <r>
          <rPr>
            <sz val="9"/>
            <color indexed="81"/>
            <rFont val="Tahoma"/>
            <family val="2"/>
          </rPr>
          <t xml:space="preserve">
This value is used to derive the amount of network traffic that will be required due to OST file resyncs.
Ideally this should be set to the average quota size within the organisation to account for the worst case scenario.</t>
        </r>
      </text>
    </comment>
    <comment ref="B30" authorId="0">
      <text>
        <r>
          <rPr>
            <b/>
            <sz val="9"/>
            <color indexed="81"/>
            <rFont val="Tahoma"/>
            <family val="2"/>
          </rPr>
          <t>Neil Johnson:</t>
        </r>
        <r>
          <rPr>
            <sz val="9"/>
            <color indexed="81"/>
            <rFont val="Tahoma"/>
            <family val="2"/>
          </rPr>
          <t xml:space="preserve">
This value represents the numbers of recipients each meeting will have, on average, in the orgnisation.
It is used to determine the network bandwidth requirements for availability requests.
</t>
        </r>
      </text>
    </comment>
    <comment ref="E30" authorId="0">
      <text>
        <r>
          <rPr>
            <b/>
            <sz val="9"/>
            <color indexed="81"/>
            <rFont val="Tahoma"/>
            <family val="2"/>
          </rPr>
          <t>Neil Johnson:</t>
        </r>
        <r>
          <rPr>
            <sz val="9"/>
            <color indexed="81"/>
            <rFont val="Tahoma"/>
            <family val="2"/>
          </rPr>
          <t xml:space="preserve">
This value represents the numbers of recipients each meeting will have, on average, in the orgnisation.
It is used to determine the network bandwidth requirements for availability requests.
</t>
        </r>
      </text>
    </comment>
    <comment ref="B31" authorId="0">
      <text>
        <r>
          <rPr>
            <b/>
            <sz val="9"/>
            <color indexed="81"/>
            <rFont val="Tahoma"/>
            <family val="2"/>
          </rPr>
          <t>Neil Johnson:</t>
        </r>
        <r>
          <rPr>
            <sz val="9"/>
            <color indexed="81"/>
            <rFont val="Tahoma"/>
            <family val="2"/>
          </rPr>
          <t xml:space="preserve">
When combined with the Avg Recipients Per Meeting this value is used to determine the network bandwidth requirments for availability requests.</t>
        </r>
      </text>
    </comment>
    <comment ref="E31" authorId="0">
      <text>
        <r>
          <rPr>
            <b/>
            <sz val="9"/>
            <color indexed="81"/>
            <rFont val="Tahoma"/>
            <family val="2"/>
          </rPr>
          <t>Neil Johnson:</t>
        </r>
        <r>
          <rPr>
            <sz val="9"/>
            <color indexed="81"/>
            <rFont val="Tahoma"/>
            <family val="2"/>
          </rPr>
          <t xml:space="preserve">
When combined with the Avg Recipients Per Meeting this value is used to determine the network bandwidth requirments for availability requests.</t>
        </r>
      </text>
    </comment>
    <comment ref="B32" authorId="0">
      <text>
        <r>
          <rPr>
            <b/>
            <sz val="9"/>
            <color indexed="81"/>
            <rFont val="Tahoma"/>
            <family val="2"/>
          </rPr>
          <t>Neil Johnson:</t>
        </r>
        <r>
          <rPr>
            <sz val="9"/>
            <color indexed="81"/>
            <rFont val="Tahoma"/>
            <family val="2"/>
          </rPr>
          <t xml:space="preserve">
Since Web clients or online mode clients only download the mail items that are actually read, the bandwidth requirement is directly proportional to the number of items that each user actually reads.
Modify this value to express the percentage of email items that users are expected to read.</t>
        </r>
      </text>
    </comment>
    <comment ref="E32" authorId="0">
      <text>
        <r>
          <rPr>
            <b/>
            <sz val="9"/>
            <color indexed="81"/>
            <rFont val="Tahoma"/>
            <family val="2"/>
          </rPr>
          <t>Neil Johnson:</t>
        </r>
        <r>
          <rPr>
            <sz val="9"/>
            <color indexed="81"/>
            <rFont val="Tahoma"/>
            <family val="2"/>
          </rPr>
          <t xml:space="preserve">
Since Web clients or online mode clients only download the mail items that are actually read, the bandwidth requirement is directly proportional to the number of items that each user actually reads.
Modify this value to express the percentage of email items that users are expected to read.</t>
        </r>
      </text>
    </comment>
    <comment ref="B33" authorId="0">
      <text>
        <r>
          <rPr>
            <b/>
            <sz val="9"/>
            <color indexed="81"/>
            <rFont val="Tahoma"/>
            <family val="2"/>
          </rPr>
          <t>Neil Johnson:</t>
        </r>
        <r>
          <rPr>
            <sz val="9"/>
            <color indexed="81"/>
            <rFont val="Tahoma"/>
            <family val="2"/>
          </rPr>
          <t xml:space="preserve">
This value represents the percentage of attachments that are delivered to mobile devices that will be downloaded.
Some Mobile devices only download attachments when requested by the end-user.  Frequently users tend to action or reply to E-mail messages via a mobile device but prefer to work with attachments on a larger platform.</t>
        </r>
      </text>
    </comment>
    <comment ref="E33" authorId="0">
      <text>
        <r>
          <rPr>
            <b/>
            <sz val="9"/>
            <color indexed="81"/>
            <rFont val="Tahoma"/>
            <family val="2"/>
          </rPr>
          <t>Neil Johnson:</t>
        </r>
        <r>
          <rPr>
            <sz val="9"/>
            <color indexed="81"/>
            <rFont val="Tahoma"/>
            <family val="2"/>
          </rPr>
          <t xml:space="preserve">
This value represents the percentage of attachments that are delivered to mobile devices that will be downloaded.
Some Mobile devices only download attachments when requested by the end-user.  Frequently users tend to action or reply to E-mail messages via a mobile device but prefer to work with attachments on a larger platform.</t>
        </r>
      </text>
    </comment>
    <comment ref="B34" authorId="0">
      <text>
        <r>
          <rPr>
            <b/>
            <sz val="9"/>
            <color indexed="81"/>
            <rFont val="Tahoma"/>
            <family val="2"/>
          </rPr>
          <t>Neil Johnson:</t>
        </r>
        <r>
          <rPr>
            <sz val="9"/>
            <color indexed="81"/>
            <rFont val="Tahoma"/>
            <family val="2"/>
          </rPr>
          <t xml:space="preserve">
Enabling this option causes the calculator to determine how much bandwidth is needed to allow a full OST file resync within a working day.
This requirement is then added on top of the predicted requirements for the rest of the clients to ensure that there is sufficient bandwidth headroom.
This value is most useful where you have many small regional sites with a small number of users.  Without this option enabled the calculator will recommend the steady state bandwidth requirements for the users, this may be a very low number for some small sites and as such full OST resync may take a prolonged period of time.</t>
        </r>
      </text>
    </comment>
    <comment ref="E34" authorId="0">
      <text>
        <r>
          <rPr>
            <b/>
            <sz val="9"/>
            <color indexed="81"/>
            <rFont val="Tahoma"/>
            <family val="2"/>
          </rPr>
          <t>Neil Johnson:</t>
        </r>
        <r>
          <rPr>
            <sz val="9"/>
            <color indexed="81"/>
            <rFont val="Tahoma"/>
            <family val="2"/>
          </rPr>
          <t xml:space="preserve">
Enabling this option causes the calculator to determine how much bandwidth is needed to allow a full OST file resync within a working day.
This requirement is then added on top of the predicted requirements for the rest of the clients to ensure that there is sufficient bandwidth headroom.
This value is most useful where you have many small regional sites with a small number of users.  Without this option enabled the calculator will recommend the steady state bandwidth requirements for the users, this may be a very low number for some small sites and as such full OST resync may take a prolonged period of time.</t>
        </r>
      </text>
    </comment>
    <comment ref="B37" authorId="0">
      <text>
        <r>
          <rPr>
            <b/>
            <sz val="9"/>
            <color indexed="81"/>
            <rFont val="Tahoma"/>
            <family val="2"/>
          </rPr>
          <t>Neil Johnson:</t>
        </r>
        <r>
          <rPr>
            <sz val="9"/>
            <color indexed="81"/>
            <rFont val="Tahoma"/>
            <family val="2"/>
          </rPr>
          <t xml:space="preserve">
Average Message Size is best determined via the Exchange Server Profile Analyzer.
http://technet.microsoft.com/en-us/library/bb508856(EXCHG.65).aspx
It is important in bandwidth scaling since we use this value to determine how many network bytes are required to transmit each message.</t>
        </r>
      </text>
    </comment>
    <comment ref="E37" authorId="0">
      <text>
        <r>
          <rPr>
            <b/>
            <sz val="9"/>
            <color indexed="81"/>
            <rFont val="Tahoma"/>
            <family val="2"/>
          </rPr>
          <t>Neil Johnson:</t>
        </r>
        <r>
          <rPr>
            <sz val="9"/>
            <color indexed="81"/>
            <rFont val="Tahoma"/>
            <family val="2"/>
          </rPr>
          <t xml:space="preserve">
Average Message Size is best determined via the Exchange Server Profile Analyzer.
http://technet.microsoft.com/en-us/library/bb508856(EXCHG.65).aspx
It is important in bandwidth scaling since we use this value to determine how many network bytes are required to transmit each message.</t>
        </r>
      </text>
    </comment>
    <comment ref="B38" authorId="0">
      <text>
        <r>
          <rPr>
            <b/>
            <sz val="9"/>
            <color indexed="81"/>
            <rFont val="Tahoma"/>
            <family val="2"/>
          </rPr>
          <t>Neil Johnson:</t>
        </r>
        <r>
          <rPr>
            <sz val="9"/>
            <color indexed="81"/>
            <rFont val="Tahoma"/>
            <family val="2"/>
          </rPr>
          <t xml:space="preserve">
This value represents the number of messages sent per mailbox per day on average over the organisation.
This data is available via the Exchange Server Profile Analyser.
http://technet.microsoft.com/en-us/library/bb508856(EXCHG.65).aspx</t>
        </r>
      </text>
    </comment>
    <comment ref="E38" authorId="0">
      <text>
        <r>
          <rPr>
            <b/>
            <sz val="9"/>
            <color indexed="81"/>
            <rFont val="Tahoma"/>
            <family val="2"/>
          </rPr>
          <t>Neil Johnson:</t>
        </r>
        <r>
          <rPr>
            <sz val="9"/>
            <color indexed="81"/>
            <rFont val="Tahoma"/>
            <family val="2"/>
          </rPr>
          <t xml:space="preserve">
This value represents the number of messages sent per mailbox per day on average over the organisation.
This data is available via the Exchange Server Profile Analyser.
http://technet.microsoft.com/en-us/library/bb508856(EXCHG.65).aspx</t>
        </r>
      </text>
    </comment>
    <comment ref="B39" authorId="0">
      <text>
        <r>
          <rPr>
            <b/>
            <sz val="9"/>
            <color indexed="81"/>
            <rFont val="Tahoma"/>
            <family val="2"/>
          </rPr>
          <t>Neil Johnson:</t>
        </r>
        <r>
          <rPr>
            <sz val="9"/>
            <color indexed="81"/>
            <rFont val="Tahoma"/>
            <family val="2"/>
          </rPr>
          <t xml:space="preserve">
This value represents the number of messages received per mailbox per day on average over the organisation.
This data is available via the Exchange Server Profile Analyser.
http://technet.microsoft.com/en-us/library/bb508856(EXCHG.65).aspx</t>
        </r>
      </text>
    </comment>
    <comment ref="E39" authorId="0">
      <text>
        <r>
          <rPr>
            <b/>
            <sz val="9"/>
            <color indexed="81"/>
            <rFont val="Tahoma"/>
            <family val="2"/>
          </rPr>
          <t>Neil Johnson:</t>
        </r>
        <r>
          <rPr>
            <sz val="9"/>
            <color indexed="81"/>
            <rFont val="Tahoma"/>
            <family val="2"/>
          </rPr>
          <t xml:space="preserve">
This value represents the number of messages received per mailbox per day on average over the organisation.
This data is available via the Exchange Server Profile Analyser.
http://technet.microsoft.com/en-us/library/bb508856(EXCHG.65).aspx</t>
        </r>
      </text>
    </comment>
    <comment ref="B40" authorId="0">
      <text>
        <r>
          <rPr>
            <b/>
            <sz val="9"/>
            <color indexed="81"/>
            <rFont val="Tahoma"/>
            <family val="2"/>
          </rPr>
          <t>Neil Johnson:</t>
        </r>
        <r>
          <rPr>
            <sz val="9"/>
            <color indexed="81"/>
            <rFont val="Tahoma"/>
            <family val="2"/>
          </rPr>
          <t xml:space="preserve">
This value is used to derive the amount of network traffic that will be required due to OST file resyncs.
Ideally this should be set to the average quota size within the organisation to account for the worst case scenario.</t>
        </r>
      </text>
    </comment>
    <comment ref="E40" authorId="0">
      <text>
        <r>
          <rPr>
            <b/>
            <sz val="9"/>
            <color indexed="81"/>
            <rFont val="Tahoma"/>
            <family val="2"/>
          </rPr>
          <t>Neil Johnson:</t>
        </r>
        <r>
          <rPr>
            <sz val="9"/>
            <color indexed="81"/>
            <rFont val="Tahoma"/>
            <family val="2"/>
          </rPr>
          <t xml:space="preserve">
This value is used to derive the amount of network traffic that will be required due to OST file resyncs.
Ideally this should be set to the average quota size within the organisation to account for the worst case scenario.</t>
        </r>
      </text>
    </comment>
    <comment ref="B41" authorId="0">
      <text>
        <r>
          <rPr>
            <b/>
            <sz val="9"/>
            <color indexed="81"/>
            <rFont val="Tahoma"/>
            <family val="2"/>
          </rPr>
          <t>Neil Johnson:</t>
        </r>
        <r>
          <rPr>
            <sz val="9"/>
            <color indexed="81"/>
            <rFont val="Tahoma"/>
            <family val="2"/>
          </rPr>
          <t xml:space="preserve">
This value represents the numbers of recipients each meeting will have, on average, in the orgnisation.
It is used to determine the network bandwidth requirements for availability requests.
</t>
        </r>
      </text>
    </comment>
    <comment ref="E41" authorId="0">
      <text>
        <r>
          <rPr>
            <b/>
            <sz val="9"/>
            <color indexed="81"/>
            <rFont val="Tahoma"/>
            <family val="2"/>
          </rPr>
          <t>Neil Johnson:</t>
        </r>
        <r>
          <rPr>
            <sz val="9"/>
            <color indexed="81"/>
            <rFont val="Tahoma"/>
            <family val="2"/>
          </rPr>
          <t xml:space="preserve">
This value represents the numbers of recipients each meeting will have, on average, in the orgnisation.
It is used to determine the network bandwidth requirements for availability requests.
</t>
        </r>
      </text>
    </comment>
    <comment ref="B42" authorId="0">
      <text>
        <r>
          <rPr>
            <b/>
            <sz val="9"/>
            <color indexed="81"/>
            <rFont val="Tahoma"/>
            <family val="2"/>
          </rPr>
          <t>Neil Johnson:</t>
        </r>
        <r>
          <rPr>
            <sz val="9"/>
            <color indexed="81"/>
            <rFont val="Tahoma"/>
            <family val="2"/>
          </rPr>
          <t xml:space="preserve">
When combined with the Avg Recipients Per Meeting this value is used to determine the network bandwidth requirments for availability requests.</t>
        </r>
      </text>
    </comment>
    <comment ref="E42" authorId="0">
      <text>
        <r>
          <rPr>
            <b/>
            <sz val="9"/>
            <color indexed="81"/>
            <rFont val="Tahoma"/>
            <family val="2"/>
          </rPr>
          <t>Neil Johnson:</t>
        </r>
        <r>
          <rPr>
            <sz val="9"/>
            <color indexed="81"/>
            <rFont val="Tahoma"/>
            <family val="2"/>
          </rPr>
          <t xml:space="preserve">
When combined with the Avg Recipients Per Meeting this value is used to determine the network bandwidth requirments for availability requests.</t>
        </r>
      </text>
    </comment>
    <comment ref="B43" authorId="0">
      <text>
        <r>
          <rPr>
            <b/>
            <sz val="9"/>
            <color indexed="81"/>
            <rFont val="Tahoma"/>
            <family val="2"/>
          </rPr>
          <t>Neil Johnson:</t>
        </r>
        <r>
          <rPr>
            <sz val="9"/>
            <color indexed="81"/>
            <rFont val="Tahoma"/>
            <family val="2"/>
          </rPr>
          <t xml:space="preserve">
Since Web clients or online mode clients only download the mail items that are actually read, the bandwidth requirement is directly proportional to the number of items that each user actually reads.
Modify this value to express the percentage of email items that users are expected to read.</t>
        </r>
      </text>
    </comment>
    <comment ref="E43" authorId="0">
      <text>
        <r>
          <rPr>
            <b/>
            <sz val="9"/>
            <color indexed="81"/>
            <rFont val="Tahoma"/>
            <family val="2"/>
          </rPr>
          <t>Neil Johnson:</t>
        </r>
        <r>
          <rPr>
            <sz val="9"/>
            <color indexed="81"/>
            <rFont val="Tahoma"/>
            <family val="2"/>
          </rPr>
          <t xml:space="preserve">
Since Web clients or online mode clients only download the mail items that are actually read, the bandwidth requirement is directly proportional to the number of items that each user actually reads.
Modify this value to express the percentage of email items that users are expected to read.</t>
        </r>
      </text>
    </comment>
    <comment ref="B44" authorId="0">
      <text>
        <r>
          <rPr>
            <b/>
            <sz val="9"/>
            <color indexed="81"/>
            <rFont val="Tahoma"/>
            <family val="2"/>
          </rPr>
          <t>Neil Johnson:</t>
        </r>
        <r>
          <rPr>
            <sz val="9"/>
            <color indexed="81"/>
            <rFont val="Tahoma"/>
            <family val="2"/>
          </rPr>
          <t xml:space="preserve">
This value represents the percentage of attachments that are delivered to mobile devices that will be downloaded.
Some Mobile devices only download attachments when requested by the end-user.  Frequently users tend to action or reply to E-mail messages via a mobile device but prefer to work with attachments on a larger platform.</t>
        </r>
      </text>
    </comment>
    <comment ref="E44" authorId="0">
      <text>
        <r>
          <rPr>
            <b/>
            <sz val="9"/>
            <color indexed="81"/>
            <rFont val="Tahoma"/>
            <family val="2"/>
          </rPr>
          <t>Neil Johnson:</t>
        </r>
        <r>
          <rPr>
            <sz val="9"/>
            <color indexed="81"/>
            <rFont val="Tahoma"/>
            <family val="2"/>
          </rPr>
          <t xml:space="preserve">
This value represents the percentage of attachments that are delivered to mobile devices that will be downloaded.
Some Mobile devices only download attachments when requested by the end-user.  Frequently users tend to action or reply to E-mail messages via a mobile device but prefer to work with attachments on a larger platform.</t>
        </r>
      </text>
    </comment>
    <comment ref="B45" authorId="0">
      <text>
        <r>
          <rPr>
            <b/>
            <sz val="9"/>
            <color indexed="81"/>
            <rFont val="Tahoma"/>
            <family val="2"/>
          </rPr>
          <t>Neil Johnson:</t>
        </r>
        <r>
          <rPr>
            <sz val="9"/>
            <color indexed="81"/>
            <rFont val="Tahoma"/>
            <family val="2"/>
          </rPr>
          <t xml:space="preserve">
Enabling this option causes the calculator to determine how much bandwidth is needed to allow a full OST file resync within a working day.
This requirement is then added on top of the predicted requirements for the rest of the clients to ensure that there is sufficient bandwidth headroom.
This value is most useful where you have many small regional sites with a small number of users.  Without this option enabled the calculator will recommend the steady state bandwidth requirements for the users, this may be a very low number for some small sites and as such full OST resync may take a prolonged period of time.</t>
        </r>
      </text>
    </comment>
    <comment ref="E45" authorId="0">
      <text>
        <r>
          <rPr>
            <b/>
            <sz val="9"/>
            <color indexed="81"/>
            <rFont val="Tahoma"/>
            <family val="2"/>
          </rPr>
          <t>Neil Johnson:</t>
        </r>
        <r>
          <rPr>
            <sz val="9"/>
            <color indexed="81"/>
            <rFont val="Tahoma"/>
            <family val="2"/>
          </rPr>
          <t xml:space="preserve">
Enabling this option causes the calculator to determine how much bandwidth is needed to allow a full OST file resync within a working day.
This requirement is then added on top of the predicted requirements for the rest of the clients to ensure that there is sufficient bandwidth headroom.
This value is most useful where you have many small regional sites with a small number of users.  Without this option enabled the calculator will recommend the steady state bandwidth requirements for the users, this may be a very low number for some small sites and as such full OST resync may take a prolonged period of time.</t>
        </r>
      </text>
    </comment>
  </commentList>
</comments>
</file>

<file path=xl/comments2.xml><?xml version="1.0" encoding="utf-8"?>
<comments xmlns="http://schemas.openxmlformats.org/spreadsheetml/2006/main">
  <authors>
    <author>Neil Johnson</author>
  </authors>
  <commentList>
    <comment ref="C4" authorId="0">
      <text>
        <r>
          <rPr>
            <b/>
            <sz val="9"/>
            <color indexed="81"/>
            <rFont val="Tahoma"/>
            <family val="2"/>
          </rPr>
          <t>This box allows you to set the timezone for this group of sites;
For example, if you were modelling a datacentre consolidation for a DC based in North America you would set this to GMT-8.</t>
        </r>
        <r>
          <rPr>
            <sz val="9"/>
            <color indexed="81"/>
            <rFont val="Tahoma"/>
            <family val="2"/>
          </rPr>
          <t xml:space="preserve">
</t>
        </r>
      </text>
    </comment>
    <comment ref="D8" authorId="0">
      <text>
        <r>
          <rPr>
            <b/>
            <sz val="9"/>
            <color indexed="81"/>
            <rFont val="Tahoma"/>
            <family val="2"/>
          </rPr>
          <t>This column represents the local timezone of the site being modelled.</t>
        </r>
      </text>
    </comment>
    <comment ref="W8" authorId="0">
      <text>
        <r>
          <rPr>
            <b/>
            <sz val="9"/>
            <color indexed="81"/>
            <rFont val="Tahoma"/>
            <family val="2"/>
          </rPr>
          <t>Neil Johnson:</t>
        </r>
        <r>
          <rPr>
            <sz val="9"/>
            <color indexed="81"/>
            <rFont val="Tahoma"/>
            <family val="2"/>
          </rPr>
          <t xml:space="preserve">
This column represents that absolute maximum network latency that the clients will tolerate before causing end-user delays.
If your network links have high latency values, verify that they are able to meet the throughput values at the latency that is observed.
Recommended Latency values were taken from here:
http://blogs.technet.com/b/neiljohn/archive/2011/06/15/outlook-2010-network-latency-test-results.aspx </t>
        </r>
      </text>
    </comment>
    <comment ref="X8" authorId="0">
      <text>
        <r>
          <rPr>
            <b/>
            <sz val="9"/>
            <color indexed="81"/>
            <rFont val="Tahoma"/>
            <family val="2"/>
          </rPr>
          <t>This column represents an approximate number of steady state TCP connections that the clients will generate…
WARNING:  TCP connection usage from clients varies depending on a large number of factors and can extremeley difficult to predict.  These values are provided here as a "ball park" estimate only.</t>
        </r>
        <r>
          <rPr>
            <sz val="9"/>
            <color indexed="81"/>
            <rFont val="Tahoma"/>
            <family val="2"/>
          </rPr>
          <t xml:space="preserve">
</t>
        </r>
      </text>
    </comment>
  </commentList>
</comments>
</file>

<file path=xl/comments3.xml><?xml version="1.0" encoding="utf-8"?>
<comments xmlns="http://schemas.openxmlformats.org/spreadsheetml/2006/main">
  <authors>
    <author>Neil Johnson</author>
  </authors>
  <commentList>
    <comment ref="C18" authorId="0">
      <text>
        <r>
          <rPr>
            <b/>
            <sz val="9"/>
            <color indexed="81"/>
            <rFont val="Tahoma"/>
            <family val="2"/>
          </rPr>
          <t>Neil Johnson:</t>
        </r>
        <r>
          <rPr>
            <sz val="9"/>
            <color indexed="81"/>
            <rFont val="Tahoma"/>
            <family val="2"/>
          </rPr>
          <t xml:space="preserve">
This column represents the network bandwidth required just to have the client open and sending/receiving the average number of messages per day as per the profile.
Note:  for online/web clients this does not include message opens or attachment downloads.  That data is displayed elsewhere.</t>
        </r>
      </text>
    </comment>
    <comment ref="E18" authorId="0">
      <text>
        <r>
          <rPr>
            <b/>
            <sz val="9"/>
            <color indexed="81"/>
            <rFont val="Tahoma"/>
            <family val="2"/>
          </rPr>
          <t>Neil Johnson:</t>
        </r>
        <r>
          <rPr>
            <sz val="9"/>
            <color indexed="81"/>
            <rFont val="Tahoma"/>
            <family val="2"/>
          </rPr>
          <t xml:space="preserve">
This column represents the bandwidth required for item deletions.
This is approximated based on the assumption that at some point the mailbox will become full and so considered over a period of time the number of deletions should equal the number of messages received.</t>
        </r>
      </text>
    </comment>
    <comment ref="F18" authorId="0">
      <text>
        <r>
          <rPr>
            <b/>
            <sz val="9"/>
            <color indexed="81"/>
            <rFont val="Tahoma"/>
            <family val="2"/>
          </rPr>
          <t>Neil Johnson:</t>
        </r>
        <r>
          <rPr>
            <sz val="9"/>
            <color indexed="81"/>
            <rFont val="Tahoma"/>
            <family val="2"/>
          </rPr>
          <t xml:space="preserve">
For clients that make use of OAB (Cached Mode)  this column calculates the OAB download bandwidth.
NOTE:  This data is approximated as 1% OAB size per day - need to perform network trace analysis before release.
</t>
        </r>
      </text>
    </comment>
    <comment ref="I18" authorId="0">
      <text>
        <r>
          <rPr>
            <b/>
            <sz val="9"/>
            <color indexed="81"/>
            <rFont val="Tahoma"/>
            <family val="2"/>
          </rPr>
          <t>Neil Johnson:</t>
        </r>
        <r>
          <rPr>
            <sz val="9"/>
            <color indexed="81"/>
            <rFont val="Tahoma"/>
            <family val="2"/>
          </rPr>
          <t xml:space="preserve">
This value was generated for a mailbox with 50 items in the inbox at the time of first open.  
Note: Traffic is between Client and Exchange server only, this does not include DC authentication or ADFS traffic.</t>
        </r>
      </text>
    </comment>
    <comment ref="K18" authorId="0">
      <text>
        <r>
          <rPr>
            <b/>
            <sz val="9"/>
            <color indexed="81"/>
            <rFont val="Tahoma"/>
            <family val="2"/>
          </rPr>
          <t>Neil Johnson:</t>
        </r>
        <r>
          <rPr>
            <sz val="9"/>
            <color indexed="81"/>
            <rFont val="Tahoma"/>
            <family val="2"/>
          </rPr>
          <t xml:space="preserve">
For Outlook 2007/2010:
Assumes 13Kb Autodiscover request at logon + once per hour for the working day.
</t>
        </r>
      </text>
    </comment>
    <comment ref="L18" authorId="0">
      <text>
        <r>
          <rPr>
            <b/>
            <sz val="9"/>
            <color indexed="81"/>
            <rFont val="Tahoma"/>
            <family val="2"/>
          </rPr>
          <t>Neil Johnson:</t>
        </r>
        <r>
          <rPr>
            <sz val="9"/>
            <color indexed="81"/>
            <rFont val="Tahoma"/>
            <family val="2"/>
          </rPr>
          <t xml:space="preserve">
This column represents the amount of data required when online or web clients read messages.
With online mode clients network data is mostly generated when items are read, if they are left unread there is very little data sent across the network.</t>
        </r>
      </text>
    </comment>
    <comment ref="C38" authorId="0">
      <text>
        <r>
          <rPr>
            <b/>
            <sz val="9"/>
            <color indexed="81"/>
            <rFont val="Tahoma"/>
            <family val="2"/>
          </rPr>
          <t>Neil Johnson:</t>
        </r>
        <r>
          <rPr>
            <sz val="9"/>
            <color indexed="81"/>
            <rFont val="Tahoma"/>
            <family val="2"/>
          </rPr>
          <t xml:space="preserve">
This column represents the network bandwidth required just to have the client open and sending/receiving the average number of messages per day as per the profile.
Note:  for online/web clients this does not include message opens or attachment downloads.  That data is displayed elsewhere.</t>
        </r>
      </text>
    </comment>
    <comment ref="E38" authorId="0">
      <text>
        <r>
          <rPr>
            <b/>
            <sz val="9"/>
            <color indexed="81"/>
            <rFont val="Tahoma"/>
            <family val="2"/>
          </rPr>
          <t>Neil Johnson:</t>
        </r>
        <r>
          <rPr>
            <sz val="9"/>
            <color indexed="81"/>
            <rFont val="Tahoma"/>
            <family val="2"/>
          </rPr>
          <t xml:space="preserve">
This column represents the bandwidth required for item deletions.
This is approximated based on the assumption that at some point the mailbox will become full and so considered over a period of time the number of deletions should equal the number of messages received.</t>
        </r>
      </text>
    </comment>
    <comment ref="F38" authorId="0">
      <text>
        <r>
          <rPr>
            <b/>
            <sz val="9"/>
            <color indexed="81"/>
            <rFont val="Tahoma"/>
            <family val="2"/>
          </rPr>
          <t>Neil Johnson:</t>
        </r>
        <r>
          <rPr>
            <sz val="9"/>
            <color indexed="81"/>
            <rFont val="Tahoma"/>
            <family val="2"/>
          </rPr>
          <t xml:space="preserve">
For clients that make use of OAB (Cached Mode)  this column calculates the OAB download bandwidth.
NOTE:  This data is approximated as 1% OAB size per day - need to perform network trace analysis before release.
</t>
        </r>
      </text>
    </comment>
    <comment ref="I38" authorId="0">
      <text>
        <r>
          <rPr>
            <b/>
            <sz val="9"/>
            <color indexed="81"/>
            <rFont val="Tahoma"/>
            <family val="2"/>
          </rPr>
          <t>Neil Johnson:</t>
        </r>
        <r>
          <rPr>
            <sz val="9"/>
            <color indexed="81"/>
            <rFont val="Tahoma"/>
            <family val="2"/>
          </rPr>
          <t xml:space="preserve">
This value was generated for a mailbox with 50 items in the inbox at the time of first open.  
Note: Traffic is between Client and Exchange server only, this does not include DC authentication or ADFS traffic.</t>
        </r>
      </text>
    </comment>
    <comment ref="K38" authorId="0">
      <text>
        <r>
          <rPr>
            <b/>
            <sz val="9"/>
            <color indexed="81"/>
            <rFont val="Tahoma"/>
            <family val="2"/>
          </rPr>
          <t>Neil Johnson:</t>
        </r>
        <r>
          <rPr>
            <sz val="9"/>
            <color indexed="81"/>
            <rFont val="Tahoma"/>
            <family val="2"/>
          </rPr>
          <t xml:space="preserve">
For Outlook 2007/2010:
Assumes 13Kb Autodiscover request at logon + once per hour for the working day.
</t>
        </r>
      </text>
    </comment>
    <comment ref="L38" authorId="0">
      <text>
        <r>
          <rPr>
            <b/>
            <sz val="9"/>
            <color indexed="81"/>
            <rFont val="Tahoma"/>
            <family val="2"/>
          </rPr>
          <t>Neil Johnson:</t>
        </r>
        <r>
          <rPr>
            <sz val="9"/>
            <color indexed="81"/>
            <rFont val="Tahoma"/>
            <family val="2"/>
          </rPr>
          <t xml:space="preserve">
This column represents the amount of data required when online or web clients read messages.
With online mode clients network data is mostly generated when items are read, if they are left unread there is very little data sent across the network.</t>
        </r>
      </text>
    </comment>
    <comment ref="C58" authorId="0">
      <text>
        <r>
          <rPr>
            <b/>
            <sz val="9"/>
            <color indexed="81"/>
            <rFont val="Tahoma"/>
            <family val="2"/>
          </rPr>
          <t>Neil Johnson:</t>
        </r>
        <r>
          <rPr>
            <sz val="9"/>
            <color indexed="81"/>
            <rFont val="Tahoma"/>
            <family val="2"/>
          </rPr>
          <t xml:space="preserve">
This column represents the network bandwidth required just to have the client open and sending/receiving the average number of messages per day as per the profile.
Note:  for online/web clients this does not include message opens or attachment downloads.  That data is displayed elsewhere.</t>
        </r>
      </text>
    </comment>
    <comment ref="E58" authorId="0">
      <text>
        <r>
          <rPr>
            <b/>
            <sz val="9"/>
            <color indexed="81"/>
            <rFont val="Tahoma"/>
            <family val="2"/>
          </rPr>
          <t>Neil Johnson:</t>
        </r>
        <r>
          <rPr>
            <sz val="9"/>
            <color indexed="81"/>
            <rFont val="Tahoma"/>
            <family val="2"/>
          </rPr>
          <t xml:space="preserve">
This column represents the bandwidth required for item deletions.
This is approximated based on the assumption that at some point the mailbox will become full and so considered over a period of time the number of deletions should equal the number of messages received.</t>
        </r>
      </text>
    </comment>
    <comment ref="F58" authorId="0">
      <text>
        <r>
          <rPr>
            <b/>
            <sz val="9"/>
            <color indexed="81"/>
            <rFont val="Tahoma"/>
            <family val="2"/>
          </rPr>
          <t>Neil Johnson:</t>
        </r>
        <r>
          <rPr>
            <sz val="9"/>
            <color indexed="81"/>
            <rFont val="Tahoma"/>
            <family val="2"/>
          </rPr>
          <t xml:space="preserve">
For clients that make use of OAB (Cached Mode)  this column calculates the OAB download bandwidth.
NOTE:  This data is approximated as 1% OAB size per day - need to perform network trace analysis before release.
</t>
        </r>
      </text>
    </comment>
    <comment ref="I58" authorId="0">
      <text>
        <r>
          <rPr>
            <b/>
            <sz val="9"/>
            <color indexed="81"/>
            <rFont val="Tahoma"/>
            <family val="2"/>
          </rPr>
          <t>Neil Johnson:</t>
        </r>
        <r>
          <rPr>
            <sz val="9"/>
            <color indexed="81"/>
            <rFont val="Tahoma"/>
            <family val="2"/>
          </rPr>
          <t xml:space="preserve">
This value was generated for a mailbox with 50 items in the inbox at the time of first open.  
Note: Traffic is between Client and Exchange server only, this does not include DC authentication or ADFS traffic.</t>
        </r>
      </text>
    </comment>
    <comment ref="K58" authorId="0">
      <text>
        <r>
          <rPr>
            <b/>
            <sz val="9"/>
            <color indexed="81"/>
            <rFont val="Tahoma"/>
            <family val="2"/>
          </rPr>
          <t>Neil Johnson:</t>
        </r>
        <r>
          <rPr>
            <sz val="9"/>
            <color indexed="81"/>
            <rFont val="Tahoma"/>
            <family val="2"/>
          </rPr>
          <t xml:space="preserve">
For Outlook 2007/2010:
Assumes 13Kb Autodiscover request at logon + once per hour for the working day.
</t>
        </r>
      </text>
    </comment>
    <comment ref="L58" authorId="0">
      <text>
        <r>
          <rPr>
            <b/>
            <sz val="9"/>
            <color indexed="81"/>
            <rFont val="Tahoma"/>
            <family val="2"/>
          </rPr>
          <t>Neil Johnson:</t>
        </r>
        <r>
          <rPr>
            <sz val="9"/>
            <color indexed="81"/>
            <rFont val="Tahoma"/>
            <family val="2"/>
          </rPr>
          <t xml:space="preserve">
This column represents the amount of data required when online or web clients read messages.
With online mode clients network data is mostly generated when items are read, if they are left unread there is very little data sent across the network.</t>
        </r>
      </text>
    </comment>
    <comment ref="C78" authorId="0">
      <text>
        <r>
          <rPr>
            <b/>
            <sz val="9"/>
            <color indexed="81"/>
            <rFont val="Tahoma"/>
            <family val="2"/>
          </rPr>
          <t>Neil Johnson:</t>
        </r>
        <r>
          <rPr>
            <sz val="9"/>
            <color indexed="81"/>
            <rFont val="Tahoma"/>
            <family val="2"/>
          </rPr>
          <t xml:space="preserve">
This column represents the network bandwidth required just to have the client open and sending/receiving the average number of messages per day as per the profile.
Note:  for online/web clients this does not include message opens or attachment downloads.  That data is displayed elsewhere.</t>
        </r>
      </text>
    </comment>
    <comment ref="E78" authorId="0">
      <text>
        <r>
          <rPr>
            <b/>
            <sz val="9"/>
            <color indexed="81"/>
            <rFont val="Tahoma"/>
            <family val="2"/>
          </rPr>
          <t>Neil Johnson:</t>
        </r>
        <r>
          <rPr>
            <sz val="9"/>
            <color indexed="81"/>
            <rFont val="Tahoma"/>
            <family val="2"/>
          </rPr>
          <t xml:space="preserve">
This column represents the bandwidth required for item deletions.
This is approximated based on the assumption that at some point the mailbox will become full and so considered over a period of time the number of deletions should equal the number of messages received.</t>
        </r>
      </text>
    </comment>
    <comment ref="F78" authorId="0">
      <text>
        <r>
          <rPr>
            <b/>
            <sz val="9"/>
            <color indexed="81"/>
            <rFont val="Tahoma"/>
            <family val="2"/>
          </rPr>
          <t>Neil Johnson:</t>
        </r>
        <r>
          <rPr>
            <sz val="9"/>
            <color indexed="81"/>
            <rFont val="Tahoma"/>
            <family val="2"/>
          </rPr>
          <t xml:space="preserve">
For clients that make use of OAB (Cached Mode)  this column calculates the OAB download bandwidth.
NOTE:  This data is approximated as 1% OAB size per day - need to perform network trace analysis before release.
</t>
        </r>
      </text>
    </comment>
    <comment ref="I78" authorId="0">
      <text>
        <r>
          <rPr>
            <b/>
            <sz val="9"/>
            <color indexed="81"/>
            <rFont val="Tahoma"/>
            <family val="2"/>
          </rPr>
          <t>Neil Johnson:</t>
        </r>
        <r>
          <rPr>
            <sz val="9"/>
            <color indexed="81"/>
            <rFont val="Tahoma"/>
            <family val="2"/>
          </rPr>
          <t xml:space="preserve">
This value was generated for a mailbox with 50 items in the inbox at the time of first open.  
Note: Traffic is between Client and Exchange server only, this does not include DC authentication or ADFS traffic.</t>
        </r>
      </text>
    </comment>
    <comment ref="K78" authorId="0">
      <text>
        <r>
          <rPr>
            <b/>
            <sz val="9"/>
            <color indexed="81"/>
            <rFont val="Tahoma"/>
            <family val="2"/>
          </rPr>
          <t>Neil Johnson:</t>
        </r>
        <r>
          <rPr>
            <sz val="9"/>
            <color indexed="81"/>
            <rFont val="Tahoma"/>
            <family val="2"/>
          </rPr>
          <t xml:space="preserve">
For Outlook 2007/2010:
Assumes 13Kb Autodiscover request at logon + once per hour for the working day.
</t>
        </r>
      </text>
    </comment>
    <comment ref="L78" authorId="0">
      <text>
        <r>
          <rPr>
            <b/>
            <sz val="9"/>
            <color indexed="81"/>
            <rFont val="Tahoma"/>
            <family val="2"/>
          </rPr>
          <t>Neil Johnson:</t>
        </r>
        <r>
          <rPr>
            <sz val="9"/>
            <color indexed="81"/>
            <rFont val="Tahoma"/>
            <family val="2"/>
          </rPr>
          <t xml:space="preserve">
This column represents the amount of data required when online or web clients read messages.
With online mode clients network data is mostly generated when items are read, if they are left unread there is very little data sent across the network.</t>
        </r>
      </text>
    </comment>
  </commentList>
</comments>
</file>

<file path=xl/sharedStrings.xml><?xml version="1.0" encoding="utf-8"?>
<sst xmlns="http://schemas.openxmlformats.org/spreadsheetml/2006/main" count="938" uniqueCount="371">
  <si>
    <t>Client</t>
  </si>
  <si>
    <t>Messages Sent Per Mailbox Per Day</t>
  </si>
  <si>
    <t>Working Day (Hours)</t>
  </si>
  <si>
    <t>Client Type</t>
  </si>
  <si>
    <t>% OST Resync Per Month</t>
  </si>
  <si>
    <t>Total</t>
  </si>
  <si>
    <t>?</t>
  </si>
  <si>
    <t>Avg Mailbox Size (GB)</t>
  </si>
  <si>
    <t>Outlook 2010 (MAPI-Online)</t>
  </si>
  <si>
    <t>Outlook 2010 (OA-Cached)</t>
  </si>
  <si>
    <t>Outlook 2010 (MAPI-Cached)</t>
  </si>
  <si>
    <t>Outlook 2007 (OA-Cached)</t>
  </si>
  <si>
    <t>Outlook 2007 (MAPI-Cached)</t>
  </si>
  <si>
    <t>Outlook 2007 (MAPI-Online)</t>
  </si>
  <si>
    <t>Item Deletions</t>
  </si>
  <si>
    <t>OWA 2007</t>
  </si>
  <si>
    <t>OWA 2010</t>
  </si>
  <si>
    <t>OAB Downloads</t>
  </si>
  <si>
    <t>Item Reads</t>
  </si>
  <si>
    <t>Bandwidth Headroom</t>
  </si>
  <si>
    <t>Logon Traffic</t>
  </si>
  <si>
    <t>Yes</t>
  </si>
  <si>
    <t>No</t>
  </si>
  <si>
    <t>Online Archive</t>
  </si>
  <si>
    <t>Autodiscover</t>
  </si>
  <si>
    <t>Site</t>
  </si>
  <si>
    <t>Outlook 2003 (OA-Cached)</t>
  </si>
  <si>
    <t>Outlook 2003 (MAPI-Cached)</t>
  </si>
  <si>
    <t>Outlook 2003 (MAPI-Online)</t>
  </si>
  <si>
    <t>Windows Mobile 6.x</t>
  </si>
  <si>
    <t>Windows Phone 7.x</t>
  </si>
  <si>
    <t>WP7</t>
  </si>
  <si>
    <t>Web Client/Online Mode Attachment Read %</t>
  </si>
  <si>
    <t>OA-Cached</t>
  </si>
  <si>
    <t>WinMo 6.x</t>
  </si>
  <si>
    <t>Mobile Device Days to Sync</t>
  </si>
  <si>
    <t>Mobile Client Attachment Read %</t>
  </si>
  <si>
    <t>OST Resync
(Cached Mode/Mobile Devices Only)</t>
  </si>
  <si>
    <t>Neil Johnson</t>
  </si>
  <si>
    <t>Options</t>
  </si>
  <si>
    <t>This values on this sheet are not to be modified!</t>
  </si>
  <si>
    <t>Exchange Organisation Data</t>
  </si>
  <si>
    <t>Client Traffic (Messages Received)</t>
  </si>
  <si>
    <t>Client Traffic (Messages Sent)</t>
  </si>
  <si>
    <t>Total Client Traffic (Received by Client)</t>
  </si>
  <si>
    <t>Total Client Traffic (Sent by Client)</t>
  </si>
  <si>
    <t>Cached</t>
  </si>
  <si>
    <t>Online</t>
  </si>
  <si>
    <t>Offline Address Book Size</t>
  </si>
  <si>
    <t>OWA</t>
  </si>
  <si>
    <t>Network Client Bandwidth Requirements</t>
  </si>
  <si>
    <t>KB/Day 
(outbound from CAS)</t>
  </si>
  <si>
    <t>KB/Day 
(inbound to CAS)</t>
  </si>
  <si>
    <t>Outlook 2010 (OA-Cached)_TCP</t>
  </si>
  <si>
    <t>Outlook 2010 (MAPI-Cached)_TCP</t>
  </si>
  <si>
    <t>Outlook 2010 (MAPI-Online)_TCP</t>
  </si>
  <si>
    <t>Outlook 2007 (OA-Cached)_TCP</t>
  </si>
  <si>
    <t>Outlook 2007 (MAPI-Cached)_TCP</t>
  </si>
  <si>
    <t>Outlook 2007 (MAPI-Online)_TCP</t>
  </si>
  <si>
    <t>Outlook 2003 (OA-Cached)_TCP</t>
  </si>
  <si>
    <t>Outlook 2003 (MAPI-Cached)_TCP</t>
  </si>
  <si>
    <t>Outlook 2003 (MAPI-Online)_TCP</t>
  </si>
  <si>
    <t>OWA 2007_TCP</t>
  </si>
  <si>
    <t>OWA 2010_TCP</t>
  </si>
  <si>
    <t>Windows Mobile 6.x_TCP</t>
  </si>
  <si>
    <t>Windows Phone 7.x_TCP</t>
  </si>
  <si>
    <t>TCP Connections Per Client</t>
  </si>
  <si>
    <t>Exchange Versions</t>
  </si>
  <si>
    <t>Exchange 2003</t>
  </si>
  <si>
    <t>Exchange 2007</t>
  </si>
  <si>
    <t>Exchange 2010</t>
  </si>
  <si>
    <t>Office 365</t>
  </si>
  <si>
    <t>Change Log:</t>
  </si>
  <si>
    <t>Issued as first draft for community review.</t>
  </si>
  <si>
    <t>DATE</t>
  </si>
  <si>
    <t>AUTHOR</t>
  </si>
  <si>
    <t>VERSION</t>
  </si>
  <si>
    <t>DETAIL</t>
  </si>
  <si>
    <t>HOUR</t>
  </si>
  <si>
    <t>LOGS/Hour</t>
  </si>
  <si>
    <t>PEAK</t>
  </si>
  <si>
    <t>Network Load Map Calculator</t>
  </si>
  <si>
    <t>% GAL Changes per Day</t>
  </si>
  <si>
    <t>% Mobile Device Full Syncs Per Month</t>
  </si>
  <si>
    <t>Avg Recipients Per Meeting</t>
  </si>
  <si>
    <t>Average Meetings Per Mailbox Per Day</t>
  </si>
  <si>
    <t>Availability Lookups (Data Sent)</t>
  </si>
  <si>
    <t>Availability Lookups (Data Received)</t>
  </si>
  <si>
    <t>Meeting FB</t>
  </si>
  <si>
    <t>Schedule+ FREE BUSY</t>
  </si>
  <si>
    <t>Availability Service</t>
  </si>
  <si>
    <t>Availability Protocol Type</t>
  </si>
  <si>
    <t>Added Availability
Fixed Network Load Map</t>
  </si>
  <si>
    <t>Updated Flow Chart</t>
  </si>
  <si>
    <t>Value</t>
  </si>
  <si>
    <t>Ensure OST download in 1 Working Day</t>
  </si>
  <si>
    <t>Average Mailbox Size</t>
  </si>
  <si>
    <t>Working Day</t>
  </si>
  <si>
    <t>Min OST Throughput Requirements</t>
  </si>
  <si>
    <t>Metric</t>
  </si>
  <si>
    <t>Added "Ensure OST Download in 1 Working Day"</t>
  </si>
  <si>
    <t>Messages Received Per Mailbox Per Day</t>
  </si>
  <si>
    <t>Average Message Size (KB)</t>
  </si>
  <si>
    <t>Network Requirements (KB/Day/Mailbox)</t>
  </si>
  <si>
    <t>Totals (KB/Mailbox/Day)</t>
  </si>
  <si>
    <t>Concurrency</t>
  </si>
  <si>
    <t>Fixed Bug in Ensure OST Download in 1 Working Day</t>
  </si>
  <si>
    <t>Added Concurrency option in sites</t>
  </si>
  <si>
    <t>Ramon Infante</t>
  </si>
  <si>
    <t>Moved Change Log to separate sheet</t>
  </si>
  <si>
    <t>User Profile 1</t>
  </si>
  <si>
    <t>User Profile 2</t>
  </si>
  <si>
    <t>User Profile 3</t>
  </si>
  <si>
    <t>User Profile 4</t>
  </si>
  <si>
    <t>User Profile 1 (Light)</t>
  </si>
  <si>
    <t>User Profile 2 (Medium)</t>
  </si>
  <si>
    <t>User Profile 3 (Heavy)</t>
  </si>
  <si>
    <t>Added Multiple User Profiles  Mixer</t>
  </si>
  <si>
    <t>User Profile 4 (Very Heavy)</t>
  </si>
  <si>
    <t>Name_Def</t>
  </si>
  <si>
    <t>Profile Choices</t>
  </si>
  <si>
    <t>Light</t>
  </si>
  <si>
    <t>Medium</t>
  </si>
  <si>
    <t>Heavy</t>
  </si>
  <si>
    <t>Very Heavy</t>
  </si>
  <si>
    <t>P1_OST Minimum Requirements</t>
  </si>
  <si>
    <t>P2_OST Minimum Requirements</t>
  </si>
  <si>
    <t>P3_OST Minimum Requirements</t>
  </si>
  <si>
    <t>P4_OST Minimum Requirements</t>
  </si>
  <si>
    <t>Min_OST</t>
  </si>
  <si>
    <t>Site 
User
 Profile</t>
  </si>
  <si>
    <t>Network Bandwidth 
(Exchange to Client)</t>
  </si>
  <si>
    <t>Network Bandwidth 
(Client to Exchange)</t>
  </si>
  <si>
    <t>Added Outlook 2011 Data</t>
  </si>
  <si>
    <t>Cosmetic updates for clarity and comments</t>
  </si>
  <si>
    <t>18/7/2011</t>
  </si>
  <si>
    <t>Updated messaging platform usage profile chart</t>
  </si>
  <si>
    <t>Recommended Maximum Network Latency</t>
  </si>
  <si>
    <t>22/07/2011</t>
  </si>
  <si>
    <t>Fixed bug in deletion formula</t>
  </si>
  <si>
    <t>Corrected meeting defaults in profiles</t>
  </si>
  <si>
    <t>kB/Day</t>
  </si>
  <si>
    <t>Site Definition</t>
  </si>
  <si>
    <t>Network Predictions</t>
  </si>
  <si>
    <t>Corrected OAB formula
Backported changes from O365 trial</t>
  </si>
  <si>
    <t>kB/s (Peak)</t>
  </si>
  <si>
    <t>kbps (Peak)</t>
  </si>
  <si>
    <t>Author: Neil Johnson</t>
  </si>
  <si>
    <t>Questions: E-mail netcalc@microsoft.com</t>
  </si>
  <si>
    <r>
      <t>Instructions</t>
    </r>
    <r>
      <rPr>
        <sz val="11"/>
        <rFont val="Calibri"/>
        <family val="2"/>
      </rPr>
      <t xml:space="preserve">: Fill in the </t>
    </r>
    <r>
      <rPr>
        <sz val="11"/>
        <color indexed="12"/>
        <rFont val="Calibri"/>
        <family val="2"/>
      </rPr>
      <t>blue variables</t>
    </r>
    <r>
      <rPr>
        <sz val="11"/>
        <rFont val="Calibri"/>
        <family val="2"/>
      </rPr>
      <t xml:space="preserve">.  Choose the appropriate drop-downs for the </t>
    </r>
    <r>
      <rPr>
        <sz val="11"/>
        <color indexed="10"/>
        <rFont val="Calibri"/>
        <family val="2"/>
      </rPr>
      <t>red variables</t>
    </r>
    <r>
      <rPr>
        <sz val="11"/>
        <rFont val="Calibri"/>
        <family val="2"/>
      </rPr>
      <t xml:space="preserve">.  Change to the </t>
    </r>
    <r>
      <rPr>
        <b/>
        <sz val="11"/>
        <rFont val="Calibri"/>
        <family val="2"/>
      </rPr>
      <t>Client Mix sheet</t>
    </r>
    <r>
      <rPr>
        <sz val="11"/>
        <rFont val="Calibri"/>
        <family val="2"/>
      </rPr>
      <t xml:space="preserve"> to enter details of user numbers, client types and to obtain bandwidth predictions.</t>
    </r>
  </si>
  <si>
    <t>Legal Information: This is provided "AS IS" with no warranties, and confers no rights. 
Use of this application is subject to the Terms of Use - http://technet.microsoft.com/en-us/library/ee221168(EXCHG.80).aspx.</t>
  </si>
  <si>
    <t>Site 6</t>
  </si>
  <si>
    <t>Site 7</t>
  </si>
  <si>
    <t>Site 8</t>
  </si>
  <si>
    <t>Site 9</t>
  </si>
  <si>
    <t>Site 10</t>
  </si>
  <si>
    <t>Site 11</t>
  </si>
  <si>
    <t>Site 12</t>
  </si>
  <si>
    <t>Site 13</t>
  </si>
  <si>
    <t>Site 14</t>
  </si>
  <si>
    <t>Site 15</t>
  </si>
  <si>
    <t>Site 16</t>
  </si>
  <si>
    <t>Site 17</t>
  </si>
  <si>
    <t>Site 18</t>
  </si>
  <si>
    <t>Site 19</t>
  </si>
  <si>
    <t>Site 20</t>
  </si>
  <si>
    <t>Prepared for public beta release</t>
  </si>
  <si>
    <t>Important: This tool is designed to provide network bandwidth approximations based on user usage profile data.  The approximtions provided are only as good as the user usage profile data provided.  All approximations are based on the assumption that the user usage pattern is similar to a 9am-5pm normal distribution profile.</t>
  </si>
  <si>
    <t>READ-ONLY</t>
  </si>
  <si>
    <t>Removed non-microsoft clients from prediction table.
Fixed user profile default mailbox quota size to 2GB</t>
  </si>
  <si>
    <t>Feedback from internal Beta</t>
  </si>
  <si>
    <t>Fixed Excel 2007 bug (Thx. Simon Butler! )</t>
  </si>
  <si>
    <t>Fixed another Excel 2007 bug</t>
  </si>
  <si>
    <t>Exchange Service</t>
  </si>
  <si>
    <t>On-premises</t>
  </si>
  <si>
    <t>Improved Office 365 context help</t>
  </si>
  <si>
    <t>Corrected Outlook 2003 Latency values</t>
  </si>
  <si>
    <t>Latest version available at: 
http://gallery.technet.microsoft.com/Exchange-Client-Network-8af1bf00</t>
  </si>
  <si>
    <t>Outlook 2011 (EWS)</t>
  </si>
  <si>
    <t>Outlook</t>
  </si>
  <si>
    <t>Added Outlook 2011 for Mac (Huge thanks to Albert Andersen!)</t>
  </si>
  <si>
    <t>Exchange Clients Data Usage Per Client (Exchange to Client)</t>
  </si>
  <si>
    <t xml:space="preserve"> </t>
  </si>
  <si>
    <t>Outlook 2011 (EWS)_TCP</t>
  </si>
  <si>
    <t>UDP Connections</t>
  </si>
  <si>
    <t>TCP Connections</t>
  </si>
  <si>
    <t>MAC (EWS)</t>
  </si>
  <si>
    <t>Mobile</t>
  </si>
  <si>
    <t>Added first draft for TCP Connection Prediction</t>
  </si>
  <si>
    <t>Site 21</t>
  </si>
  <si>
    <t>Site 22</t>
  </si>
  <si>
    <t>Site 23</t>
  </si>
  <si>
    <t>Site 24</t>
  </si>
  <si>
    <t>Site 25</t>
  </si>
  <si>
    <t>Site 26</t>
  </si>
  <si>
    <t>Site 27</t>
  </si>
  <si>
    <t>Site 28</t>
  </si>
  <si>
    <t>Site 29</t>
  </si>
  <si>
    <t>Site 30</t>
  </si>
  <si>
    <t>Site 31</t>
  </si>
  <si>
    <t>Site 32</t>
  </si>
  <si>
    <t>Site 33</t>
  </si>
  <si>
    <t>Site 34</t>
  </si>
  <si>
    <t>Site 35</t>
  </si>
  <si>
    <t>Site 36</t>
  </si>
  <si>
    <t>Site 37</t>
  </si>
  <si>
    <t>Site 38</t>
  </si>
  <si>
    <t>Site 39</t>
  </si>
  <si>
    <t>Site 40</t>
  </si>
  <si>
    <t>Site 41</t>
  </si>
  <si>
    <t>Site 42</t>
  </si>
  <si>
    <t>Site 43</t>
  </si>
  <si>
    <t>Site 44</t>
  </si>
  <si>
    <t>Site 45</t>
  </si>
  <si>
    <t>Site 46</t>
  </si>
  <si>
    <t>Site 47</t>
  </si>
  <si>
    <t>Site 48</t>
  </si>
  <si>
    <t>Site 49</t>
  </si>
  <si>
    <t>Site 50</t>
  </si>
  <si>
    <t>Site 51</t>
  </si>
  <si>
    <t>Site 52</t>
  </si>
  <si>
    <t>Site 53</t>
  </si>
  <si>
    <t>Site 54</t>
  </si>
  <si>
    <t>Site 55</t>
  </si>
  <si>
    <t>Site 56</t>
  </si>
  <si>
    <t>Site 57</t>
  </si>
  <si>
    <t>Site 58</t>
  </si>
  <si>
    <t>Site 59</t>
  </si>
  <si>
    <t>Site 60</t>
  </si>
  <si>
    <t>Site 61</t>
  </si>
  <si>
    <t>Site 62</t>
  </si>
  <si>
    <t>Site 63</t>
  </si>
  <si>
    <t>Site 64</t>
  </si>
  <si>
    <t>Site 65</t>
  </si>
  <si>
    <t>Site 66</t>
  </si>
  <si>
    <t>Site 67</t>
  </si>
  <si>
    <t>Site 68</t>
  </si>
  <si>
    <t>Site 69</t>
  </si>
  <si>
    <t>Site 70</t>
  </si>
  <si>
    <t>Site 71</t>
  </si>
  <si>
    <t>Site 72</t>
  </si>
  <si>
    <t>Site 73</t>
  </si>
  <si>
    <t>Site 74</t>
  </si>
  <si>
    <t>Site 75</t>
  </si>
  <si>
    <t>Site 76</t>
  </si>
  <si>
    <t>Site 77</t>
  </si>
  <si>
    <t>Site 78</t>
  </si>
  <si>
    <t>Site 79</t>
  </si>
  <si>
    <t>Site 80</t>
  </si>
  <si>
    <t>Site 81</t>
  </si>
  <si>
    <t>Site 82</t>
  </si>
  <si>
    <t>Site 83</t>
  </si>
  <si>
    <t>Site 84</t>
  </si>
  <si>
    <t>Site 85</t>
  </si>
  <si>
    <t>Site 86</t>
  </si>
  <si>
    <t>Site 87</t>
  </si>
  <si>
    <t>Site 88</t>
  </si>
  <si>
    <t>Site 89</t>
  </si>
  <si>
    <t>Site 90</t>
  </si>
  <si>
    <t>Site 91</t>
  </si>
  <si>
    <t>Site 92</t>
  </si>
  <si>
    <t>Site 93</t>
  </si>
  <si>
    <t>Site 94</t>
  </si>
  <si>
    <t>Site 95</t>
  </si>
  <si>
    <t>Site 96</t>
  </si>
  <si>
    <t>Site 97</t>
  </si>
  <si>
    <t>Site 98</t>
  </si>
  <si>
    <t>Site 99</t>
  </si>
  <si>
    <t>Fixed OST download bug for clients without an OST file
Increased mix sheet to 99 rows (21-99 are hidden)</t>
  </si>
  <si>
    <t>The following values represent vanilla client installations - only use these for rough figures, to scale hardware it is recommended to use TCPview on a sample of your clients and update this table with recorded values.</t>
  </si>
  <si>
    <t>TCP Connections
(Aproximation)</t>
  </si>
  <si>
    <t>Morning Peak Time (24hr clock)</t>
  </si>
  <si>
    <t>Morning Peak Duration (hours)</t>
  </si>
  <si>
    <t>Afternoon Peak Time (24hr clock)</t>
  </si>
  <si>
    <t>Afternoon Peak Duration (hours)</t>
  </si>
  <si>
    <t>Site Name</t>
  </si>
  <si>
    <t>TimeZone</t>
  </si>
  <si>
    <t>Hour of the Day</t>
  </si>
  <si>
    <t>1</t>
  </si>
  <si>
    <t>2</t>
  </si>
  <si>
    <t>3</t>
  </si>
  <si>
    <t>4</t>
  </si>
  <si>
    <t>5</t>
  </si>
  <si>
    <t>6</t>
  </si>
  <si>
    <t>7</t>
  </si>
  <si>
    <t>8</t>
  </si>
  <si>
    <t>9</t>
  </si>
  <si>
    <t>10</t>
  </si>
  <si>
    <t>11</t>
  </si>
  <si>
    <t>12</t>
  </si>
  <si>
    <t>13</t>
  </si>
  <si>
    <t>14</t>
  </si>
  <si>
    <t>15</t>
  </si>
  <si>
    <t>16</t>
  </si>
  <si>
    <t>17</t>
  </si>
  <si>
    <t>18</t>
  </si>
  <si>
    <t>19</t>
  </si>
  <si>
    <t>20</t>
  </si>
  <si>
    <t>21</t>
  </si>
  <si>
    <t>22</t>
  </si>
  <si>
    <t>23</t>
  </si>
  <si>
    <t>Added ability to set Timezone</t>
  </si>
  <si>
    <t>Bandwidth Table - Exchange to Client</t>
  </si>
  <si>
    <t>GMT</t>
  </si>
  <si>
    <t>GMT+1</t>
  </si>
  <si>
    <t>GMT-1</t>
  </si>
  <si>
    <t>GMT-2</t>
  </si>
  <si>
    <t>GMT-10</t>
  </si>
  <si>
    <t>GMT-9</t>
  </si>
  <si>
    <t>GMT-8</t>
  </si>
  <si>
    <t>GMT-7</t>
  </si>
  <si>
    <t>GMT-6</t>
  </si>
  <si>
    <t>GMT-5</t>
  </si>
  <si>
    <t>GMT-4</t>
  </si>
  <si>
    <t>GMT-3</t>
  </si>
  <si>
    <t>GMT-13</t>
  </si>
  <si>
    <t>GMT-12</t>
  </si>
  <si>
    <t>GMT-11</t>
  </si>
  <si>
    <t>GMT+2</t>
  </si>
  <si>
    <t>GMT+3</t>
  </si>
  <si>
    <t>GMT+4</t>
  </si>
  <si>
    <t>GMT+5</t>
  </si>
  <si>
    <t>GMT+6</t>
  </si>
  <si>
    <t>GMT+7</t>
  </si>
  <si>
    <t>GMT+8</t>
  </si>
  <si>
    <t>GMT+9</t>
  </si>
  <si>
    <t>GMT+10</t>
  </si>
  <si>
    <t>GMT+11</t>
  </si>
  <si>
    <t>GMT+12</t>
  </si>
  <si>
    <t>GMT+13</t>
  </si>
  <si>
    <t>Offset</t>
  </si>
  <si>
    <t>24</t>
  </si>
  <si>
    <t>25</t>
  </si>
  <si>
    <t>26</t>
  </si>
  <si>
    <t>27</t>
  </si>
  <si>
    <t>28</t>
  </si>
  <si>
    <t>29</t>
  </si>
  <si>
    <t>30</t>
  </si>
  <si>
    <t>31</t>
  </si>
  <si>
    <t>32</t>
  </si>
  <si>
    <t>33</t>
  </si>
  <si>
    <t>34</t>
  </si>
  <si>
    <t>35</t>
  </si>
  <si>
    <t>-1</t>
  </si>
  <si>
    <t>-2</t>
  </si>
  <si>
    <t>-3</t>
  </si>
  <si>
    <t>-4</t>
  </si>
  <si>
    <t>-5</t>
  </si>
  <si>
    <t>-6</t>
  </si>
  <si>
    <t>-7</t>
  </si>
  <si>
    <t>-8</t>
  </si>
  <si>
    <t>-9</t>
  </si>
  <si>
    <t>-10</t>
  </si>
  <si>
    <t>-11</t>
  </si>
  <si>
    <t>-12</t>
  </si>
  <si>
    <t>0</t>
  </si>
  <si>
    <t>Setting</t>
  </si>
  <si>
    <t>TimeZone Configuration</t>
  </si>
  <si>
    <t xml:space="preserve">Model Timezone : </t>
  </si>
  <si>
    <t>Contributors: Ramon Infante, Nitin Bhatia, Neil Hobson, Boris Lokhvitsky</t>
  </si>
  <si>
    <t>timeZone Calibration Data (Do NOT Change This)</t>
  </si>
  <si>
    <t>%</t>
  </si>
  <si>
    <t>Hour of Day</t>
  </si>
  <si>
    <t>Usage Profile</t>
  </si>
  <si>
    <t>% Usage Profile</t>
  </si>
  <si>
    <t>Site 1</t>
  </si>
  <si>
    <t>Site 2</t>
  </si>
  <si>
    <t>Site 3</t>
  </si>
  <si>
    <t>Site 4</t>
  </si>
  <si>
    <t>Site 5</t>
  </si>
  <si>
    <t>Fixed table bug for timezone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</si>
</sst>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 &quot;KB&quot;"/>
    <numFmt numFmtId="165" formatCode="0\ &quot;KB&quot;"/>
    <numFmt numFmtId="166" formatCode="0.0%"/>
    <numFmt numFmtId="167" formatCode="###\ &quot;Hours&quot;"/>
    <numFmt numFmtId="168" formatCode="0.000\ &quot;Mbits/sec&quot;"/>
    <numFmt numFmtId="169" formatCode="0.00000\ &quot;KB&quot;"/>
    <numFmt numFmtId="170" formatCode="####0"/>
    <numFmt numFmtId="171" formatCode="0\ &quot;ms&quot;"/>
    <numFmt numFmtId="172" formatCode="0.000"/>
    <numFmt numFmtId="173" formatCode="###\ &quot;MB&quot;"/>
    <numFmt numFmtId="174" formatCode="0.00\ &quot;GB&quot;"/>
    <numFmt numFmtId="175" formatCode="0.00\ &quot;Mbits/sec&quot;"/>
    <numFmt numFmtId="176" formatCode="0.00\ &quot;KB&quot;"/>
    <numFmt numFmtId="177" formatCode="0.0"/>
  </numFmts>
  <fonts count="54">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b/>
      <sz val="11"/>
      <color rgb="FFFA7D00"/>
      <name val="Calibri"/>
      <family val="2"/>
      <scheme val="minor"/>
    </font>
    <font>
      <sz val="9"/>
      <color indexed="81"/>
      <name val="Tahoma"/>
      <family val="2"/>
    </font>
    <font>
      <b/>
      <sz val="9"/>
      <color indexed="81"/>
      <name val="Tahoma"/>
      <family val="2"/>
    </font>
    <font>
      <b/>
      <sz val="11"/>
      <color theme="0"/>
      <name val="Calibri"/>
      <family val="2"/>
      <scheme val="minor"/>
    </font>
    <font>
      <i/>
      <sz val="11"/>
      <color theme="0"/>
      <name val="Calibri"/>
      <family val="2"/>
      <scheme val="minor"/>
    </font>
    <font>
      <i/>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8000"/>
      <name val="Calibri"/>
      <family val="2"/>
    </font>
    <font>
      <i/>
      <sz val="18"/>
      <color rgb="FFFF0000"/>
      <name val="Calibri"/>
      <family val="2"/>
      <scheme val="minor"/>
    </font>
    <font>
      <sz val="11"/>
      <name val="Calibri"/>
      <family val="2"/>
      <scheme val="minor"/>
    </font>
    <font>
      <b/>
      <sz val="11"/>
      <name val="Calibri"/>
      <family val="2"/>
      <scheme val="minor"/>
    </font>
    <font>
      <b/>
      <sz val="11"/>
      <name val="Calibri"/>
      <family val="2"/>
      <scheme val="minor"/>
    </font>
    <font>
      <sz val="11"/>
      <color theme="1"/>
      <name val="Calibri"/>
      <family val="2"/>
      <scheme val="minor"/>
    </font>
    <font>
      <i/>
      <sz val="11"/>
      <color theme="1" tint="0.499984740745262"/>
      <name val="Calibri"/>
      <family val="2"/>
      <scheme val="minor"/>
    </font>
    <font>
      <b/>
      <sz val="11"/>
      <color theme="1"/>
      <name val="Calibri"/>
      <family val="2"/>
      <scheme val="minor"/>
    </font>
    <font>
      <sz val="26"/>
      <color theme="1"/>
      <name val="Calibri"/>
      <family val="2"/>
      <scheme val="minor"/>
    </font>
    <font>
      <sz val="11"/>
      <color rgb="FFFF0000"/>
      <name val="Calibri"/>
      <family val="2"/>
      <scheme val="minor"/>
    </font>
    <font>
      <i/>
      <sz val="11"/>
      <name val="Calibri"/>
      <family val="2"/>
      <scheme val="minor"/>
    </font>
    <font>
      <sz val="11"/>
      <color theme="3"/>
      <name val="Calibri"/>
      <family val="2"/>
      <scheme val="minor"/>
    </font>
    <font>
      <sz val="11"/>
      <color rgb="FF0000FF"/>
      <name val="Calibri"/>
      <family val="2"/>
      <scheme val="minor"/>
    </font>
    <font>
      <sz val="16"/>
      <color theme="3"/>
      <name val="Calibri"/>
      <family val="2"/>
      <scheme val="minor"/>
    </font>
    <font>
      <sz val="10"/>
      <name val="Calibri"/>
      <family val="2"/>
    </font>
    <font>
      <b/>
      <sz val="18"/>
      <color indexed="62"/>
      <name val="Cambria"/>
      <family val="1"/>
    </font>
    <font>
      <b/>
      <sz val="15"/>
      <color indexed="62"/>
      <name val="Calibri"/>
      <family val="2"/>
    </font>
    <font>
      <b/>
      <sz val="13"/>
      <color indexed="62"/>
      <name val="Calibri"/>
      <family val="2"/>
    </font>
    <font>
      <b/>
      <sz val="11"/>
      <color indexed="62"/>
      <name val="Calibri"/>
      <family val="2"/>
    </font>
    <font>
      <sz val="11"/>
      <color indexed="17"/>
      <name val="Calibri"/>
      <family val="2"/>
    </font>
    <font>
      <sz val="11"/>
      <color indexed="16"/>
      <name val="Calibri"/>
      <family val="2"/>
    </font>
    <font>
      <sz val="11"/>
      <color indexed="60"/>
      <name val="Calibri"/>
      <family val="2"/>
    </font>
    <font>
      <b/>
      <sz val="11"/>
      <color indexed="8"/>
      <name val="Calibri"/>
      <family val="2"/>
    </font>
    <font>
      <sz val="11"/>
      <color indexed="18"/>
      <name val="Calibri"/>
      <family val="2"/>
    </font>
    <font>
      <b/>
      <sz val="11"/>
      <color indexed="9"/>
      <name val="Calibri"/>
      <family val="2"/>
    </font>
    <font>
      <sz val="11"/>
      <color indexed="9"/>
      <name val="Calibri"/>
      <family val="2"/>
    </font>
    <font>
      <b/>
      <sz val="11"/>
      <color indexed="10"/>
      <name val="Calibri"/>
      <family val="2"/>
    </font>
    <font>
      <sz val="11"/>
      <color indexed="10"/>
      <name val="Calibri"/>
      <family val="2"/>
    </font>
    <font>
      <sz val="11"/>
      <color indexed="8"/>
      <name val="Calibri"/>
      <family val="2"/>
    </font>
    <font>
      <sz val="11"/>
      <name val="Calibri"/>
      <family val="2"/>
    </font>
    <font>
      <b/>
      <sz val="11"/>
      <name val="Calibri"/>
      <family val="2"/>
    </font>
    <font>
      <sz val="11"/>
      <color indexed="12"/>
      <name val="Calibri"/>
      <family val="2"/>
    </font>
    <font>
      <sz val="11"/>
      <color theme="3"/>
      <name val="Calibri"/>
      <family val="2"/>
    </font>
    <font>
      <b/>
      <sz val="11"/>
      <color rgb="FF00B050"/>
      <name val="Calibri"/>
      <family val="2"/>
    </font>
    <font>
      <b/>
      <u/>
      <sz val="9"/>
      <color indexed="81"/>
      <name val="Tahoma"/>
      <family val="2"/>
    </font>
    <font>
      <sz val="12"/>
      <color theme="0"/>
      <name val="Calibri"/>
      <family val="2"/>
      <scheme val="minor"/>
    </font>
    <font>
      <sz val="10"/>
      <color rgb="FFFF0000"/>
      <name val="Calibri"/>
      <family val="2"/>
    </font>
    <font>
      <sz val="10"/>
      <color theme="0"/>
      <name val="Calibri"/>
      <family val="2"/>
    </font>
    <font>
      <b/>
      <sz val="11"/>
      <color rgb="FFFA7D00"/>
      <name val="Calibri"/>
      <scheme val="minor"/>
    </font>
    <font>
      <b/>
      <sz val="11"/>
      <name val="Calibri"/>
      <scheme val="minor"/>
    </font>
    <font>
      <sz val="11"/>
      <color theme="1"/>
      <name val="Calibri"/>
      <scheme val="minor"/>
    </font>
  </fonts>
  <fills count="57">
    <fill>
      <patternFill patternType="none"/>
    </fill>
    <fill>
      <patternFill patternType="gray125"/>
    </fill>
    <fill>
      <patternFill patternType="solid">
        <fgColor theme="4"/>
      </patternFill>
    </fill>
    <fill>
      <patternFill patternType="solid">
        <fgColor theme="5"/>
      </patternFill>
    </fill>
    <fill>
      <patternFill patternType="solid">
        <fgColor rgb="FFF2F2F2"/>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patternFill>
    </fill>
    <fill>
      <patternFill patternType="solid">
        <fgColor theme="4" tint="-0.49998474074526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9" tint="-0.499984740745262"/>
        <bgColor indexed="64"/>
      </patternFill>
    </fill>
    <fill>
      <patternFill patternType="solid">
        <fgColor theme="3"/>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00B0F0"/>
        <bgColor indexed="64"/>
      </patternFill>
    </fill>
    <fill>
      <patternFill patternType="solid">
        <fgColor theme="3" tint="-0.249977111117893"/>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1" tint="0.499984740745262"/>
        <bgColor indexed="64"/>
      </patternFill>
    </fill>
    <fill>
      <patternFill patternType="solid">
        <fgColor theme="0"/>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1"/>
        <bgColor indexed="64"/>
      </patternFill>
    </fill>
    <fill>
      <patternFill patternType="solid">
        <fgColor rgb="FFFF0000"/>
        <bgColor indexed="64"/>
      </patternFill>
    </fill>
    <fill>
      <patternFill patternType="solid">
        <fgColor indexed="44"/>
      </patternFill>
    </fill>
    <fill>
      <patternFill patternType="solid">
        <fgColor indexed="49"/>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8"/>
        <bgColor indexed="8"/>
      </patternFill>
    </fill>
    <fill>
      <patternFill patternType="solid">
        <fgColor indexed="9"/>
        <bgColor indexed="64"/>
      </patternFill>
    </fill>
    <fill>
      <patternFill patternType="solid">
        <fgColor rgb="FF7030A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4.9989318521683403E-2"/>
        <bgColor indexed="64"/>
      </patternFill>
    </fill>
  </fills>
  <borders count="92">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n">
        <color theme="0"/>
      </bottom>
      <diagonal/>
    </border>
    <border>
      <left/>
      <right/>
      <top style="thin">
        <color theme="0"/>
      </top>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bottom/>
      <diagonal/>
    </border>
    <border>
      <left/>
      <right style="thin">
        <color theme="0"/>
      </right>
      <top/>
      <bottom style="thin">
        <color theme="0"/>
      </bottom>
      <diagonal/>
    </border>
    <border>
      <left style="thin">
        <color theme="0"/>
      </left>
      <right style="thin">
        <color theme="0"/>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0"/>
      </left>
      <right/>
      <top/>
      <bottom style="thin">
        <color theme="0"/>
      </bottom>
      <diagonal/>
    </border>
    <border>
      <left/>
      <right/>
      <top/>
      <bottom style="thin">
        <color theme="0"/>
      </bottom>
      <diagonal/>
    </border>
    <border>
      <left/>
      <right/>
      <top style="thin">
        <color auto="1"/>
      </top>
      <bottom style="thin">
        <color auto="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medium">
        <color theme="1"/>
      </left>
      <right/>
      <top/>
      <bottom/>
      <diagonal/>
    </border>
    <border>
      <left/>
      <right style="medium">
        <color theme="1"/>
      </right>
      <top/>
      <bottom/>
      <diagonal/>
    </border>
    <border>
      <left style="thin">
        <color theme="1"/>
      </left>
      <right style="thin">
        <color theme="1"/>
      </right>
      <top style="thin">
        <color theme="1"/>
      </top>
      <bottom/>
      <diagonal/>
    </border>
    <border>
      <left style="thin">
        <color indexed="62"/>
      </left>
      <right style="thin">
        <color indexed="62"/>
      </right>
      <top style="thin">
        <color indexed="62"/>
      </top>
      <bottom style="thin">
        <color indexed="62"/>
      </bottom>
      <diagonal/>
    </border>
    <border>
      <left/>
      <right/>
      <top/>
      <bottom style="thick">
        <color indexed="54"/>
      </bottom>
      <diagonal/>
    </border>
    <border>
      <left/>
      <right/>
      <top/>
      <bottom style="thick">
        <color indexed="22"/>
      </bottom>
      <diagonal/>
    </border>
    <border>
      <left/>
      <right/>
      <top/>
      <bottom style="medium">
        <color indexed="44"/>
      </bottom>
      <diagonal/>
    </border>
    <border>
      <left style="thin">
        <color indexed="31"/>
      </left>
      <right style="thin">
        <color indexed="62"/>
      </right>
      <top style="thin">
        <color indexed="31"/>
      </top>
      <bottom style="thin">
        <color indexed="62"/>
      </bottom>
      <diagonal/>
    </border>
    <border>
      <left style="double">
        <color indexed="11"/>
      </left>
      <right style="double">
        <color indexed="11"/>
      </right>
      <top style="double">
        <color indexed="11"/>
      </top>
      <bottom style="double">
        <color indexed="11"/>
      </bottom>
      <diagonal/>
    </border>
    <border>
      <left style="thin">
        <color indexed="22"/>
      </left>
      <right style="thin">
        <color indexed="22"/>
      </right>
      <top style="thin">
        <color indexed="22"/>
      </top>
      <bottom style="thin">
        <color indexed="22"/>
      </bottom>
      <diagonal/>
    </border>
    <border>
      <left style="thin">
        <color indexed="30"/>
      </left>
      <right style="thin">
        <color indexed="30"/>
      </right>
      <top style="thin">
        <color indexed="30"/>
      </top>
      <bottom style="thin">
        <color indexed="30"/>
      </bottom>
      <diagonal/>
    </border>
    <border>
      <left/>
      <right/>
      <top style="thin">
        <color indexed="54"/>
      </top>
      <bottom style="double">
        <color indexed="54"/>
      </bottom>
      <diagonal/>
    </border>
    <border>
      <left/>
      <right style="medium">
        <color indexed="64"/>
      </right>
      <top/>
      <bottom/>
      <diagonal/>
    </border>
    <border>
      <left style="medium">
        <color indexed="64"/>
      </left>
      <right/>
      <top/>
      <bottom/>
      <diagonal/>
    </border>
    <border>
      <left/>
      <right/>
      <top/>
      <bottom style="medium">
        <color theme="1"/>
      </bottom>
      <diagonal/>
    </border>
    <border>
      <left style="medium">
        <color indexed="64"/>
      </left>
      <right style="thin">
        <color theme="1"/>
      </right>
      <top style="medium">
        <color indexed="64"/>
      </top>
      <bottom style="medium">
        <color indexed="64"/>
      </bottom>
      <diagonal/>
    </border>
    <border>
      <left style="thin">
        <color theme="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64"/>
      </right>
      <top style="thin">
        <color indexed="64"/>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thin">
        <color theme="1"/>
      </right>
      <top style="medium">
        <color indexed="64"/>
      </top>
      <bottom/>
      <diagonal/>
    </border>
    <border>
      <left style="thin">
        <color theme="1"/>
      </left>
      <right style="thin">
        <color theme="1"/>
      </right>
      <top style="medium">
        <color indexed="64"/>
      </top>
      <bottom/>
      <diagonal/>
    </border>
    <border>
      <left style="thin">
        <color theme="1"/>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diagonal/>
    </border>
    <border>
      <left style="medium">
        <color indexed="64"/>
      </left>
      <right style="thin">
        <color theme="1"/>
      </right>
      <top/>
      <bottom style="thin">
        <color theme="1"/>
      </bottom>
      <diagonal/>
    </border>
    <border>
      <left style="thin">
        <color theme="1"/>
      </left>
      <right style="medium">
        <color indexed="64"/>
      </right>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thin">
        <color theme="1"/>
      </left>
      <right style="medium">
        <color indexed="64"/>
      </right>
      <top style="thin">
        <color theme="1"/>
      </top>
      <bottom/>
      <diagonal/>
    </border>
    <border>
      <left style="medium">
        <color indexed="64"/>
      </left>
      <right style="thin">
        <color theme="1"/>
      </right>
      <top style="thin">
        <color theme="1"/>
      </top>
      <bottom style="medium">
        <color indexed="64"/>
      </bottom>
      <diagonal/>
    </border>
    <border>
      <left style="thin">
        <color theme="1"/>
      </left>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right/>
      <top style="thin">
        <color theme="6" tint="0.39997558519241921"/>
      </top>
      <bottom style="thin">
        <color theme="6" tint="0.39997558519241921"/>
      </bottom>
      <diagonal/>
    </border>
    <border>
      <left/>
      <right/>
      <top/>
      <bottom style="thin">
        <color theme="6" tint="0.39997558519241921"/>
      </bottom>
      <diagonal/>
    </border>
    <border>
      <left/>
      <right/>
      <top style="thin">
        <color theme="6" tint="0.39997558519241921"/>
      </top>
      <bottom/>
      <diagonal/>
    </border>
  </borders>
  <cellStyleXfs count="79">
    <xf numFmtId="0" fontId="0" fillId="0" borderId="0"/>
    <xf numFmtId="9"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4" fillId="4" borderId="1" applyNumberFormat="0" applyAlignment="0" applyProtection="0"/>
    <xf numFmtId="0" fontId="1" fillId="7" borderId="2" applyNumberFormat="0" applyFon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27" fillId="0" borderId="0"/>
    <xf numFmtId="0" fontId="38" fillId="33"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41" fillId="37" borderId="0" applyNumberFormat="0" applyBorder="0" applyAlignment="0" applyProtection="0"/>
    <xf numFmtId="0" fontId="41" fillId="38"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41" fillId="37" borderId="0" applyNumberFormat="0" applyBorder="0" applyAlignment="0" applyProtection="0"/>
    <xf numFmtId="0" fontId="41" fillId="40" borderId="0" applyNumberFormat="0" applyBorder="0" applyAlignment="0" applyProtection="0"/>
    <xf numFmtId="0" fontId="38" fillId="38" borderId="0" applyNumberFormat="0" applyBorder="0" applyAlignment="0" applyProtection="0"/>
    <xf numFmtId="0" fontId="38" fillId="33" borderId="0" applyNumberFormat="0" applyBorder="0" applyAlignment="0" applyProtection="0"/>
    <xf numFmtId="0" fontId="41" fillId="34" borderId="0" applyNumberFormat="0" applyBorder="0" applyAlignment="0" applyProtection="0"/>
    <xf numFmtId="0" fontId="41" fillId="38" borderId="0" applyNumberFormat="0" applyBorder="0" applyAlignment="0" applyProtection="0"/>
    <xf numFmtId="0" fontId="38" fillId="38" borderId="0" applyNumberFormat="0" applyBorder="0" applyAlignment="0" applyProtection="0"/>
    <xf numFmtId="0" fontId="38" fillId="41" borderId="0" applyNumberFormat="0" applyBorder="0" applyAlignment="0" applyProtection="0"/>
    <xf numFmtId="0" fontId="41" fillId="42" borderId="0" applyNumberFormat="0" applyBorder="0" applyAlignment="0" applyProtection="0"/>
    <xf numFmtId="0" fontId="41" fillId="34" borderId="0" applyNumberFormat="0" applyBorder="0" applyAlignment="0" applyProtection="0"/>
    <xf numFmtId="0" fontId="38" fillId="35" borderId="0" applyNumberFormat="0" applyBorder="0" applyAlignment="0" applyProtection="0"/>
    <xf numFmtId="0" fontId="38" fillId="43" borderId="0" applyNumberFormat="0" applyBorder="0" applyAlignment="0" applyProtection="0"/>
    <xf numFmtId="0" fontId="41" fillId="37" borderId="0" applyNumberFormat="0" applyBorder="0" applyAlignment="0" applyProtection="0"/>
    <xf numFmtId="0" fontId="41" fillId="44" borderId="0" applyNumberFormat="0" applyBorder="0" applyAlignment="0" applyProtection="0"/>
    <xf numFmtId="0" fontId="38" fillId="44" borderId="0" applyNumberFormat="0" applyBorder="0" applyAlignment="0" applyProtection="0"/>
    <xf numFmtId="0" fontId="33" fillId="45" borderId="0" applyNumberFormat="0" applyBorder="0" applyAlignment="0" applyProtection="0"/>
    <xf numFmtId="0" fontId="38" fillId="32" borderId="47" applyNumberFormat="0" applyAlignment="0" applyProtection="0"/>
    <xf numFmtId="0" fontId="39" fillId="0" borderId="0" applyNumberFormat="0" applyFill="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32" fillId="40" borderId="0" applyNumberFormat="0" applyBorder="0" applyAlignment="0" applyProtection="0"/>
    <xf numFmtId="0" fontId="29" fillId="0" borderId="48" applyNumberFormat="0" applyFill="0" applyAlignment="0" applyProtection="0"/>
    <xf numFmtId="0" fontId="30" fillId="0" borderId="49" applyNumberFormat="0" applyFill="0" applyAlignment="0" applyProtection="0"/>
    <xf numFmtId="0" fontId="31" fillId="0" borderId="50" applyNumberFormat="0" applyFill="0" applyAlignment="0" applyProtection="0"/>
    <xf numFmtId="0" fontId="31" fillId="0" borderId="0" applyNumberFormat="0" applyFill="0" applyBorder="0" applyAlignment="0" applyProtection="0"/>
    <xf numFmtId="0" fontId="36" fillId="31" borderId="51" applyNumberFormat="0" applyAlignment="0" applyProtection="0"/>
    <xf numFmtId="0" fontId="27" fillId="49" borderId="52" applyNumberFormat="0" applyFont="0" applyAlignment="0" applyProtection="0"/>
    <xf numFmtId="0" fontId="34" fillId="49" borderId="0" applyNumberFormat="0" applyBorder="0" applyAlignment="0" applyProtection="0"/>
    <xf numFmtId="0" fontId="27" fillId="37" borderId="53" applyNumberFormat="0" applyFont="0" applyAlignment="0" applyProtection="0"/>
    <xf numFmtId="0" fontId="37" fillId="50" borderId="54" applyNumberFormat="0" applyAlignment="0" applyProtection="0"/>
    <xf numFmtId="0" fontId="28" fillId="0" borderId="0" applyNumberFormat="0" applyFill="0" applyBorder="0" applyAlignment="0" applyProtection="0"/>
    <xf numFmtId="0" fontId="35" fillId="0" borderId="55" applyNumberFormat="0" applyFill="0" applyAlignment="0" applyProtection="0"/>
    <xf numFmtId="0" fontId="40" fillId="0" borderId="0" applyNumberForma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9" borderId="0" applyNumberFormat="0" applyBorder="0" applyAlignment="0" applyProtection="0"/>
    <xf numFmtId="0" fontId="38" fillId="33" borderId="0" applyNumberFormat="0" applyBorder="0" applyAlignment="0" applyProtection="0"/>
    <xf numFmtId="0" fontId="38" fillId="33" borderId="0" applyNumberFormat="0" applyBorder="0" applyAlignment="0" applyProtection="0"/>
    <xf numFmtId="0" fontId="38" fillId="41" borderId="0" applyNumberFormat="0" applyBorder="0" applyAlignment="0" applyProtection="0"/>
    <xf numFmtId="0" fontId="38" fillId="43" borderId="0" applyNumberFormat="0" applyBorder="0" applyAlignment="0" applyProtection="0"/>
    <xf numFmtId="0" fontId="38" fillId="39" borderId="0" applyNumberFormat="0" applyBorder="0" applyAlignment="0" applyProtection="0"/>
    <xf numFmtId="0" fontId="38" fillId="33" borderId="0" applyNumberFormat="0" applyBorder="0" applyAlignment="0" applyProtection="0"/>
    <xf numFmtId="0" fontId="38" fillId="41" borderId="0" applyNumberFormat="0" applyBorder="0" applyAlignment="0" applyProtection="0"/>
    <xf numFmtId="0" fontId="38" fillId="43" borderId="0" applyNumberFormat="0" applyBorder="0" applyAlignment="0" applyProtection="0"/>
  </cellStyleXfs>
  <cellXfs count="350">
    <xf numFmtId="0" fontId="0" fillId="0" borderId="0" xfId="0"/>
    <xf numFmtId="0" fontId="0" fillId="0" borderId="0" xfId="0" applyFill="1" applyBorder="1"/>
    <xf numFmtId="0" fontId="9" fillId="0" borderId="0" xfId="0" applyFont="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0" fontId="0" fillId="0" borderId="7" xfId="0" applyBorder="1"/>
    <xf numFmtId="165" fontId="3" fillId="0" borderId="7" xfId="0" applyNumberFormat="1" applyFont="1" applyBorder="1" applyAlignment="1">
      <alignment horizontal="center"/>
    </xf>
    <xf numFmtId="165" fontId="3" fillId="0" borderId="7" xfId="0" applyNumberFormat="1" applyFont="1" applyFill="1" applyBorder="1" applyAlignment="1">
      <alignment horizontal="center"/>
    </xf>
    <xf numFmtId="0" fontId="0" fillId="0" borderId="6" xfId="0" applyBorder="1"/>
    <xf numFmtId="0" fontId="0" fillId="0" borderId="10" xfId="0" applyBorder="1"/>
    <xf numFmtId="169" fontId="3" fillId="10" borderId="7" xfId="0" applyNumberFormat="1" applyFont="1" applyFill="1" applyBorder="1" applyAlignment="1">
      <alignment horizontal="center"/>
    </xf>
    <xf numFmtId="0" fontId="0" fillId="0" borderId="11" xfId="0" applyBorder="1"/>
    <xf numFmtId="0" fontId="0" fillId="0" borderId="14" xfId="0" applyBorder="1"/>
    <xf numFmtId="0" fontId="2" fillId="12" borderId="7" xfId="0" applyFont="1" applyFill="1" applyBorder="1"/>
    <xf numFmtId="0" fontId="0" fillId="0" borderId="0" xfId="0"/>
    <xf numFmtId="0" fontId="0" fillId="0" borderId="7" xfId="0" applyBorder="1" applyAlignment="1">
      <alignment horizontal="center"/>
    </xf>
    <xf numFmtId="0" fontId="0" fillId="0" borderId="15" xfId="0" applyBorder="1" applyAlignment="1"/>
    <xf numFmtId="0" fontId="0" fillId="0" borderId="24" xfId="0" applyBorder="1"/>
    <xf numFmtId="0" fontId="0" fillId="12" borderId="0" xfId="0" applyFill="1" applyBorder="1" applyAlignment="1"/>
    <xf numFmtId="0" fontId="0" fillId="9" borderId="31" xfId="5" applyFont="1" applyFill="1" applyBorder="1"/>
    <xf numFmtId="14" fontId="0" fillId="0" borderId="0" xfId="0" applyNumberFormat="1" applyAlignment="1">
      <alignment horizontal="center"/>
    </xf>
    <xf numFmtId="0" fontId="0" fillId="5" borderId="33" xfId="5" applyFont="1" applyFill="1" applyBorder="1" applyAlignment="1">
      <alignment horizontal="center"/>
    </xf>
    <xf numFmtId="0" fontId="0" fillId="0" borderId="0" xfId="0" applyAlignment="1">
      <alignment horizontal="center"/>
    </xf>
    <xf numFmtId="0" fontId="0" fillId="5" borderId="26" xfId="5" applyFont="1" applyFill="1" applyBorder="1" applyAlignment="1">
      <alignment horizontal="left" vertical="top" wrapText="1"/>
    </xf>
    <xf numFmtId="0" fontId="0" fillId="0" borderId="0" xfId="0"/>
    <xf numFmtId="168" fontId="0" fillId="0" borderId="0" xfId="0" applyNumberFormat="1"/>
    <xf numFmtId="174" fontId="0" fillId="0" borderId="0" xfId="0" applyNumberFormat="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0" fontId="0" fillId="9" borderId="29" xfId="5" applyFont="1" applyFill="1" applyBorder="1" applyAlignment="1">
      <alignment horizontal="center"/>
    </xf>
    <xf numFmtId="0" fontId="0" fillId="9" borderId="30" xfId="5" applyFont="1" applyFill="1" applyBorder="1" applyAlignment="1">
      <alignment horizontal="center"/>
    </xf>
    <xf numFmtId="0" fontId="0" fillId="0" borderId="0" xfId="0"/>
    <xf numFmtId="0" fontId="2" fillId="13" borderId="7" xfId="2" applyFill="1" applyBorder="1" applyAlignment="1">
      <alignment vertical="center"/>
    </xf>
    <xf numFmtId="0" fontId="2" fillId="13" borderId="7" xfId="2" applyFill="1" applyBorder="1" applyAlignment="1">
      <alignment horizontal="center" vertical="center" wrapText="1"/>
    </xf>
    <xf numFmtId="0" fontId="3" fillId="9" borderId="7" xfId="0" applyFont="1" applyFill="1" applyBorder="1"/>
    <xf numFmtId="164" fontId="16" fillId="0" borderId="7" xfId="0" applyNumberFormat="1" applyFont="1" applyBorder="1" applyAlignment="1">
      <alignment horizontal="center"/>
    </xf>
    <xf numFmtId="165" fontId="16" fillId="0" borderId="7" xfId="0" applyNumberFormat="1" applyFont="1" applyBorder="1" applyAlignment="1">
      <alignment horizontal="center"/>
    </xf>
    <xf numFmtId="0" fontId="0" fillId="0" borderId="0" xfId="0"/>
    <xf numFmtId="0" fontId="0" fillId="0" borderId="0" xfId="0"/>
    <xf numFmtId="165" fontId="3" fillId="0" borderId="7" xfId="0" applyNumberFormat="1" applyFont="1" applyBorder="1" applyAlignment="1">
      <alignment horizontal="left"/>
    </xf>
    <xf numFmtId="165" fontId="3" fillId="0" borderId="7" xfId="0" applyNumberFormat="1" applyFont="1" applyFill="1" applyBorder="1" applyAlignment="1">
      <alignment horizontal="left"/>
    </xf>
    <xf numFmtId="0" fontId="0" fillId="0" borderId="0" xfId="0" applyAlignment="1">
      <alignment horizontal="left"/>
    </xf>
    <xf numFmtId="0" fontId="0" fillId="0" borderId="7" xfId="0" applyBorder="1" applyAlignment="1">
      <alignment horizontal="left"/>
    </xf>
    <xf numFmtId="0" fontId="0" fillId="0" borderId="10" xfId="0" applyBorder="1" applyAlignment="1">
      <alignment horizontal="left"/>
    </xf>
    <xf numFmtId="0" fontId="2" fillId="15" borderId="7" xfId="2" applyFill="1" applyBorder="1" applyAlignment="1">
      <alignment horizontal="center" vertical="center" wrapText="1"/>
    </xf>
    <xf numFmtId="0" fontId="2" fillId="15" borderId="7" xfId="2" applyFill="1" applyBorder="1" applyAlignment="1">
      <alignment horizontal="left" vertical="center" wrapText="1"/>
    </xf>
    <xf numFmtId="0" fontId="2" fillId="16" borderId="7" xfId="2" applyFill="1" applyBorder="1" applyAlignment="1">
      <alignment horizontal="center" vertical="center" wrapText="1"/>
    </xf>
    <xf numFmtId="0" fontId="2" fillId="16" borderId="7" xfId="2" applyFill="1" applyBorder="1" applyAlignment="1">
      <alignment horizontal="left" vertical="center" wrapText="1"/>
    </xf>
    <xf numFmtId="0" fontId="2" fillId="17" borderId="14" xfId="2" applyFill="1" applyBorder="1" applyAlignment="1">
      <alignment horizontal="left" vertical="center" wrapText="1"/>
    </xf>
    <xf numFmtId="0" fontId="2" fillId="17" borderId="7" xfId="2" applyFill="1" applyBorder="1" applyAlignment="1">
      <alignment horizontal="center" vertical="center" wrapText="1"/>
    </xf>
    <xf numFmtId="0" fontId="2" fillId="17" borderId="7" xfId="2" applyFill="1" applyBorder="1" applyAlignment="1">
      <alignment horizontal="left" vertical="center" wrapText="1"/>
    </xf>
    <xf numFmtId="165" fontId="3" fillId="0" borderId="6" xfId="0" applyNumberFormat="1" applyFont="1" applyBorder="1" applyAlignment="1">
      <alignment horizontal="center"/>
    </xf>
    <xf numFmtId="165" fontId="3" fillId="0" borderId="6" xfId="0" applyNumberFormat="1" applyFont="1" applyFill="1" applyBorder="1" applyAlignment="1">
      <alignment horizontal="center"/>
    </xf>
    <xf numFmtId="0" fontId="2" fillId="20" borderId="10" xfId="2" applyFill="1" applyBorder="1" applyAlignment="1">
      <alignment horizontal="left" vertical="center" wrapText="1"/>
    </xf>
    <xf numFmtId="0" fontId="2" fillId="20" borderId="10" xfId="2" applyFill="1" applyBorder="1" applyAlignment="1">
      <alignment horizontal="center" vertical="center" wrapText="1"/>
    </xf>
    <xf numFmtId="165" fontId="3" fillId="0" borderId="23" xfId="0" applyNumberFormat="1" applyFont="1" applyBorder="1" applyAlignment="1">
      <alignment horizontal="left"/>
    </xf>
    <xf numFmtId="164" fontId="16" fillId="0" borderId="14" xfId="0" applyNumberFormat="1" applyFont="1" applyBorder="1" applyAlignment="1">
      <alignment horizontal="center"/>
    </xf>
    <xf numFmtId="0" fontId="0" fillId="0" borderId="14" xfId="0" applyBorder="1" applyAlignment="1">
      <alignment horizontal="left"/>
    </xf>
    <xf numFmtId="165" fontId="16" fillId="0" borderId="35" xfId="0" applyNumberFormat="1" applyFont="1" applyBorder="1" applyAlignment="1">
      <alignment horizontal="center"/>
    </xf>
    <xf numFmtId="165" fontId="3" fillId="0" borderId="11" xfId="0" applyNumberFormat="1" applyFont="1" applyBorder="1" applyAlignment="1">
      <alignment horizontal="left"/>
    </xf>
    <xf numFmtId="165" fontId="16" fillId="0" borderId="6" xfId="0" applyNumberFormat="1" applyFont="1" applyBorder="1" applyAlignment="1">
      <alignment horizontal="center"/>
    </xf>
    <xf numFmtId="165" fontId="3" fillId="0" borderId="11" xfId="0" applyNumberFormat="1" applyFont="1" applyFill="1" applyBorder="1" applyAlignment="1">
      <alignment horizontal="left"/>
    </xf>
    <xf numFmtId="165" fontId="3" fillId="0" borderId="12" xfId="0" applyNumberFormat="1" applyFont="1" applyFill="1" applyBorder="1" applyAlignment="1">
      <alignment horizontal="left"/>
    </xf>
    <xf numFmtId="164" fontId="16" fillId="0" borderId="10" xfId="0" applyNumberFormat="1" applyFont="1" applyBorder="1" applyAlignment="1">
      <alignment horizontal="center"/>
    </xf>
    <xf numFmtId="165" fontId="16" fillId="0" borderId="13" xfId="0" applyNumberFormat="1" applyFont="1" applyBorder="1" applyAlignment="1">
      <alignment horizontal="center"/>
    </xf>
    <xf numFmtId="0" fontId="0" fillId="0" borderId="0" xfId="0"/>
    <xf numFmtId="176" fontId="3" fillId="0" borderId="6" xfId="0" applyNumberFormat="1" applyFont="1" applyFill="1" applyBorder="1" applyAlignment="1">
      <alignment horizontal="center"/>
    </xf>
    <xf numFmtId="165" fontId="17" fillId="0" borderId="10" xfId="0" applyNumberFormat="1" applyFont="1" applyBorder="1" applyAlignment="1">
      <alignment horizontal="left"/>
    </xf>
    <xf numFmtId="165" fontId="17" fillId="0" borderId="13" xfId="0" applyNumberFormat="1" applyFont="1" applyBorder="1" applyAlignment="1">
      <alignment horizontal="center"/>
    </xf>
    <xf numFmtId="0" fontId="15" fillId="9" borderId="12" xfId="0" applyFont="1" applyFill="1" applyBorder="1"/>
    <xf numFmtId="165" fontId="15" fillId="0" borderId="10" xfId="0" applyNumberFormat="1" applyFont="1" applyFill="1" applyBorder="1" applyAlignment="1">
      <alignment horizontal="center"/>
    </xf>
    <xf numFmtId="165" fontId="15" fillId="0" borderId="10" xfId="0" applyNumberFormat="1" applyFont="1" applyBorder="1" applyAlignment="1">
      <alignment horizontal="center"/>
    </xf>
    <xf numFmtId="169" fontId="15" fillId="0" borderId="10" xfId="0" applyNumberFormat="1" applyFont="1" applyFill="1" applyBorder="1" applyAlignment="1">
      <alignment horizontal="center"/>
    </xf>
    <xf numFmtId="169" fontId="15" fillId="10" borderId="10" xfId="0" applyNumberFormat="1" applyFont="1" applyFill="1" applyBorder="1" applyAlignment="1">
      <alignment horizontal="center"/>
    </xf>
    <xf numFmtId="0" fontId="0" fillId="0" borderId="0" xfId="0"/>
    <xf numFmtId="0" fontId="2" fillId="0" borderId="0" xfId="2" applyFill="1" applyBorder="1" applyAlignment="1">
      <alignment horizontal="center"/>
    </xf>
    <xf numFmtId="0" fontId="0" fillId="0" borderId="0" xfId="0" applyFill="1" applyBorder="1" applyAlignment="1">
      <alignment horizontal="center"/>
    </xf>
    <xf numFmtId="10" fontId="0" fillId="0" borderId="0" xfId="0" applyNumberFormat="1" applyFill="1" applyBorder="1" applyAlignment="1">
      <alignment horizontal="center"/>
    </xf>
    <xf numFmtId="20" fontId="2" fillId="3" borderId="0" xfId="3" applyNumberFormat="1" applyBorder="1" applyAlignment="1">
      <alignment horizontal="center"/>
    </xf>
    <xf numFmtId="0" fontId="2" fillId="3" borderId="0" xfId="3" applyBorder="1" applyAlignment="1">
      <alignment horizontal="center"/>
    </xf>
    <xf numFmtId="10" fontId="2" fillId="3" borderId="0" xfId="3" applyNumberFormat="1" applyBorder="1" applyAlignment="1">
      <alignment horizontal="center"/>
    </xf>
    <xf numFmtId="0" fontId="0" fillId="0" borderId="0" xfId="0"/>
    <xf numFmtId="0" fontId="0" fillId="0" borderId="0" xfId="0" applyBorder="1"/>
    <xf numFmtId="0" fontId="0" fillId="0" borderId="7" xfId="0" applyFill="1" applyBorder="1"/>
    <xf numFmtId="0" fontId="0" fillId="0" borderId="7" xfId="0" applyFill="1" applyBorder="1" applyAlignment="1">
      <alignment horizontal="center"/>
    </xf>
    <xf numFmtId="9" fontId="0" fillId="0" borderId="7" xfId="1" applyFont="1" applyFill="1" applyBorder="1" applyAlignment="1">
      <alignment horizontal="center" vertical="center"/>
    </xf>
    <xf numFmtId="0" fontId="0" fillId="0" borderId="0" xfId="0"/>
    <xf numFmtId="2" fontId="0" fillId="0" borderId="0" xfId="0" applyNumberFormat="1" applyAlignment="1">
      <alignment horizontal="center"/>
    </xf>
    <xf numFmtId="177" fontId="0" fillId="0" borderId="0" xfId="0" applyNumberFormat="1" applyAlignment="1">
      <alignment horizontal="center"/>
    </xf>
    <xf numFmtId="0" fontId="21" fillId="0" borderId="0" xfId="0" applyFont="1"/>
    <xf numFmtId="175" fontId="16" fillId="0" borderId="11" xfId="4" applyNumberFormat="1" applyFont="1" applyFill="1" applyBorder="1" applyAlignment="1">
      <alignment horizontal="center" vertical="center"/>
    </xf>
    <xf numFmtId="175" fontId="16" fillId="0" borderId="7" xfId="4" applyNumberFormat="1" applyFont="1" applyFill="1" applyBorder="1" applyAlignment="1">
      <alignment horizontal="center" vertical="center"/>
    </xf>
    <xf numFmtId="175" fontId="16" fillId="0" borderId="12" xfId="4" applyNumberFormat="1" applyFont="1" applyFill="1" applyBorder="1" applyAlignment="1">
      <alignment horizontal="center" vertical="center"/>
    </xf>
    <xf numFmtId="175" fontId="16" fillId="0" borderId="10" xfId="4" applyNumberFormat="1" applyFont="1" applyFill="1" applyBorder="1" applyAlignment="1">
      <alignment horizontal="center" vertical="center"/>
    </xf>
    <xf numFmtId="0" fontId="2" fillId="24" borderId="7" xfId="0" applyFont="1" applyFill="1" applyBorder="1" applyAlignment="1">
      <alignment horizontal="center" vertical="center" textRotation="180" wrapText="1"/>
    </xf>
    <xf numFmtId="0" fontId="0" fillId="0" borderId="0" xfId="0"/>
    <xf numFmtId="0" fontId="2" fillId="15" borderId="0" xfId="0" applyFont="1" applyFill="1" applyBorder="1" applyAlignment="1">
      <alignment horizontal="center" vertical="center" wrapText="1"/>
    </xf>
    <xf numFmtId="0" fontId="2" fillId="15" borderId="23" xfId="0" applyFont="1" applyFill="1" applyBorder="1" applyAlignment="1">
      <alignment horizontal="center" vertical="center" wrapText="1"/>
    </xf>
    <xf numFmtId="0" fontId="2" fillId="15" borderId="14" xfId="0" applyFont="1" applyFill="1" applyBorder="1" applyAlignment="1">
      <alignment horizontal="center" vertical="center" wrapText="1"/>
    </xf>
    <xf numFmtId="0" fontId="2" fillId="15" borderId="35" xfId="0" applyFont="1" applyFill="1" applyBorder="1" applyAlignment="1">
      <alignment horizontal="center" vertical="center" wrapText="1"/>
    </xf>
    <xf numFmtId="0" fontId="0" fillId="0" borderId="0" xfId="0" applyFont="1" applyFill="1" applyBorder="1" applyAlignment="1"/>
    <xf numFmtId="0" fontId="0" fillId="0" borderId="5" xfId="0" applyBorder="1"/>
    <xf numFmtId="0" fontId="0" fillId="0" borderId="45" xfId="0" applyBorder="1"/>
    <xf numFmtId="0" fontId="0" fillId="0" borderId="41" xfId="0" applyBorder="1" applyAlignment="1"/>
    <xf numFmtId="0" fontId="0" fillId="0" borderId="43" xfId="0" applyBorder="1" applyAlignment="1"/>
    <xf numFmtId="0" fontId="0" fillId="0" borderId="43" xfId="0" applyFont="1" applyBorder="1" applyAlignment="1"/>
    <xf numFmtId="0" fontId="0" fillId="0" borderId="43" xfId="0" applyFont="1" applyFill="1" applyBorder="1" applyAlignment="1"/>
    <xf numFmtId="0" fontId="0" fillId="0" borderId="39" xfId="0" applyFont="1" applyFill="1" applyBorder="1" applyAlignment="1"/>
    <xf numFmtId="164" fontId="25" fillId="0" borderId="40" xfId="0" applyNumberFormat="1" applyFont="1" applyBorder="1" applyAlignment="1">
      <alignment horizontal="right"/>
    </xf>
    <xf numFmtId="0" fontId="25" fillId="0" borderId="42" xfId="0" applyFont="1" applyBorder="1" applyAlignment="1">
      <alignment horizontal="right"/>
    </xf>
    <xf numFmtId="174" fontId="25" fillId="0" borderId="42" xfId="1" applyNumberFormat="1" applyFont="1" applyBorder="1" applyAlignment="1">
      <alignment horizontal="right"/>
    </xf>
    <xf numFmtId="177" fontId="25" fillId="0" borderId="42" xfId="0" applyNumberFormat="1" applyFont="1" applyBorder="1" applyAlignment="1">
      <alignment horizontal="right"/>
    </xf>
    <xf numFmtId="9" fontId="25" fillId="0" borderId="42" xfId="1" applyNumberFormat="1" applyFont="1" applyFill="1" applyBorder="1" applyAlignment="1">
      <alignment horizontal="right"/>
    </xf>
    <xf numFmtId="9" fontId="25" fillId="0" borderId="38" xfId="1" applyNumberFormat="1" applyFont="1" applyFill="1" applyBorder="1" applyAlignment="1">
      <alignment horizontal="right"/>
    </xf>
    <xf numFmtId="0" fontId="0" fillId="0" borderId="0" xfId="0" applyBorder="1" applyAlignment="1">
      <alignment vertical="center"/>
    </xf>
    <xf numFmtId="0" fontId="45" fillId="51" borderId="0" xfId="21" applyFont="1" applyFill="1" applyBorder="1" applyAlignment="1">
      <alignment horizontal="left" vertical="center"/>
    </xf>
    <xf numFmtId="0" fontId="24" fillId="0" borderId="0" xfId="0" applyFont="1" applyBorder="1"/>
    <xf numFmtId="0" fontId="0" fillId="0" borderId="58" xfId="0" applyBorder="1"/>
    <xf numFmtId="0" fontId="26" fillId="0" borderId="58" xfId="0" applyFont="1" applyBorder="1"/>
    <xf numFmtId="0" fontId="24" fillId="0" borderId="45" xfId="0" applyFont="1" applyBorder="1"/>
    <xf numFmtId="0" fontId="42" fillId="51" borderId="56" xfId="21" applyFont="1" applyFill="1" applyBorder="1" applyAlignment="1">
      <alignment vertical="center"/>
    </xf>
    <xf numFmtId="0" fontId="43" fillId="51" borderId="57" xfId="21" applyFont="1" applyFill="1" applyBorder="1" applyAlignment="1">
      <alignment vertical="center" wrapText="1"/>
    </xf>
    <xf numFmtId="0" fontId="42" fillId="51" borderId="0" xfId="21" applyFont="1" applyFill="1" applyAlignment="1">
      <alignment vertical="center" wrapText="1"/>
    </xf>
    <xf numFmtId="0" fontId="0" fillId="0" borderId="0" xfId="0"/>
    <xf numFmtId="175" fontId="7" fillId="15" borderId="0" xfId="0" applyNumberFormat="1" applyFont="1" applyFill="1" applyBorder="1" applyAlignment="1">
      <alignment horizontal="center" vertical="center"/>
    </xf>
    <xf numFmtId="0" fontId="7" fillId="30" borderId="0" xfId="0" applyFont="1" applyFill="1" applyAlignment="1">
      <alignment horizontal="right"/>
    </xf>
    <xf numFmtId="0" fontId="0" fillId="5" borderId="26" xfId="5" applyFont="1" applyFill="1" applyBorder="1" applyAlignment="1">
      <alignment horizontal="left" vertical="top"/>
    </xf>
    <xf numFmtId="0" fontId="0" fillId="5" borderId="34" xfId="5" applyFont="1" applyFill="1" applyBorder="1" applyAlignment="1">
      <alignment horizontal="left" vertical="top" wrapText="1"/>
    </xf>
    <xf numFmtId="0" fontId="18" fillId="5" borderId="26" xfId="5" applyFont="1" applyFill="1" applyBorder="1" applyAlignment="1">
      <alignment horizontal="left" vertical="top" wrapText="1"/>
    </xf>
    <xf numFmtId="0" fontId="0" fillId="5" borderId="34" xfId="5" applyFont="1" applyFill="1" applyBorder="1" applyAlignment="1">
      <alignment horizontal="left" vertical="top"/>
    </xf>
    <xf numFmtId="0" fontId="18" fillId="5" borderId="34" xfId="5" applyFont="1" applyFill="1" applyBorder="1" applyAlignment="1">
      <alignment horizontal="left" vertical="top" wrapText="1"/>
    </xf>
    <xf numFmtId="0" fontId="18" fillId="5" borderId="34" xfId="5" applyFont="1" applyFill="1" applyBorder="1" applyAlignment="1">
      <alignment horizontal="left"/>
    </xf>
    <xf numFmtId="0" fontId="18" fillId="5" borderId="26" xfId="5" applyFont="1" applyFill="1" applyBorder="1" applyAlignment="1">
      <alignment horizontal="left"/>
    </xf>
    <xf numFmtId="0" fontId="0" fillId="0" borderId="0" xfId="0"/>
    <xf numFmtId="0" fontId="2" fillId="0" borderId="0" xfId="0" applyFont="1" applyFill="1" applyBorder="1" applyAlignment="1">
      <alignment horizontal="center" vertical="center"/>
    </xf>
    <xf numFmtId="0" fontId="0" fillId="0" borderId="61" xfId="0" applyFont="1" applyFill="1" applyBorder="1" applyAlignment="1"/>
    <xf numFmtId="0" fontId="0" fillId="0" borderId="63" xfId="0" applyFont="1" applyFill="1" applyBorder="1" applyAlignment="1"/>
    <xf numFmtId="167" fontId="25" fillId="0" borderId="64" xfId="0" applyNumberFormat="1" applyFont="1" applyFill="1" applyBorder="1" applyAlignment="1">
      <alignment horizontal="right"/>
    </xf>
    <xf numFmtId="9" fontId="25" fillId="0" borderId="64" xfId="1" applyNumberFormat="1" applyFont="1" applyFill="1" applyBorder="1" applyAlignment="1">
      <alignment horizontal="right"/>
    </xf>
    <xf numFmtId="166" fontId="25" fillId="0" borderId="64" xfId="1" applyNumberFormat="1" applyFont="1" applyFill="1" applyBorder="1" applyAlignment="1">
      <alignment horizontal="right"/>
    </xf>
    <xf numFmtId="0" fontId="25" fillId="0" borderId="64" xfId="0" applyFont="1" applyFill="1" applyBorder="1" applyAlignment="1">
      <alignment horizontal="right"/>
    </xf>
    <xf numFmtId="173" fontId="25" fillId="0" borderId="64" xfId="0" applyNumberFormat="1" applyFont="1" applyFill="1" applyBorder="1" applyAlignment="1">
      <alignment horizontal="right"/>
    </xf>
    <xf numFmtId="9" fontId="22" fillId="0" borderId="64" xfId="1" applyNumberFormat="1" applyFont="1" applyFill="1" applyBorder="1" applyAlignment="1">
      <alignment horizontal="right"/>
    </xf>
    <xf numFmtId="0" fontId="0" fillId="0" borderId="65" xfId="0" applyFont="1" applyFill="1" applyBorder="1" applyAlignment="1"/>
    <xf numFmtId="166" fontId="25" fillId="0" borderId="66" xfId="1" applyNumberFormat="1" applyFont="1" applyFill="1" applyBorder="1" applyAlignment="1">
      <alignment horizontal="right"/>
    </xf>
    <xf numFmtId="167" fontId="22" fillId="0" borderId="62" xfId="0" applyNumberFormat="1" applyFont="1" applyFill="1" applyBorder="1" applyAlignment="1">
      <alignment horizontal="right"/>
    </xf>
    <xf numFmtId="0" fontId="0" fillId="0" borderId="36" xfId="0" applyBorder="1" applyAlignment="1">
      <alignment vertical="center"/>
    </xf>
    <xf numFmtId="0" fontId="3" fillId="0" borderId="0" xfId="0" applyFont="1" applyFill="1" applyBorder="1" applyAlignment="1">
      <alignment horizontal="center" vertical="center"/>
    </xf>
    <xf numFmtId="0" fontId="0" fillId="5" borderId="34" xfId="5" applyFont="1" applyFill="1" applyBorder="1" applyAlignment="1">
      <alignment horizontal="left"/>
    </xf>
    <xf numFmtId="0" fontId="2" fillId="0" borderId="0" xfId="0" applyFont="1" applyFill="1" applyBorder="1" applyAlignment="1"/>
    <xf numFmtId="0" fontId="0" fillId="0" borderId="0" xfId="0"/>
    <xf numFmtId="0" fontId="0" fillId="0" borderId="0" xfId="0"/>
    <xf numFmtId="0" fontId="23" fillId="26" borderId="0" xfId="0" applyFont="1" applyFill="1" applyBorder="1" applyAlignment="1">
      <alignment horizontal="center" vertical="center" wrapText="1"/>
    </xf>
    <xf numFmtId="0" fontId="7" fillId="24" borderId="0" xfId="0" applyFont="1" applyFill="1" applyAlignment="1">
      <alignment horizontal="center" vertical="center"/>
    </xf>
    <xf numFmtId="9" fontId="17" fillId="0" borderId="10" xfId="1" applyFont="1" applyBorder="1" applyAlignment="1">
      <alignment horizontal="center"/>
    </xf>
    <xf numFmtId="0" fontId="0" fillId="0" borderId="13" xfId="0" applyBorder="1"/>
    <xf numFmtId="0" fontId="0" fillId="0" borderId="12" xfId="0" applyBorder="1"/>
    <xf numFmtId="169" fontId="3" fillId="0" borderId="7" xfId="0" applyNumberFormat="1" applyFont="1" applyFill="1" applyBorder="1" applyAlignment="1">
      <alignment horizontal="center"/>
    </xf>
    <xf numFmtId="0" fontId="3" fillId="9" borderId="0" xfId="0" applyFont="1" applyFill="1" applyBorder="1"/>
    <xf numFmtId="165" fontId="3" fillId="0" borderId="0" xfId="0" applyNumberFormat="1" applyFont="1" applyFill="1" applyBorder="1" applyAlignment="1">
      <alignment horizontal="center"/>
    </xf>
    <xf numFmtId="165" fontId="3" fillId="0" borderId="0" xfId="0" applyNumberFormat="1" applyFont="1" applyBorder="1" applyAlignment="1">
      <alignment horizontal="center"/>
    </xf>
    <xf numFmtId="169" fontId="3" fillId="10" borderId="0" xfId="0" applyNumberFormat="1" applyFont="1" applyFill="1" applyBorder="1" applyAlignment="1">
      <alignment horizontal="center"/>
    </xf>
    <xf numFmtId="165" fontId="3" fillId="0" borderId="0" xfId="0" applyNumberFormat="1" applyFont="1" applyFill="1" applyBorder="1" applyAlignment="1">
      <alignment horizontal="left"/>
    </xf>
    <xf numFmtId="164" fontId="16" fillId="0" borderId="0" xfId="0" applyNumberFormat="1" applyFont="1" applyBorder="1" applyAlignment="1">
      <alignment horizontal="center"/>
    </xf>
    <xf numFmtId="0" fontId="0" fillId="0" borderId="0" xfId="0" applyBorder="1" applyAlignment="1">
      <alignment horizontal="left"/>
    </xf>
    <xf numFmtId="165" fontId="16" fillId="0" borderId="0" xfId="0" applyNumberFormat="1" applyFont="1" applyBorder="1" applyAlignment="1">
      <alignment horizontal="center"/>
    </xf>
    <xf numFmtId="0" fontId="2" fillId="14" borderId="23" xfId="0" applyFont="1" applyFill="1" applyBorder="1"/>
    <xf numFmtId="0" fontId="2" fillId="14" borderId="14" xfId="0" applyFont="1" applyFill="1" applyBorder="1" applyAlignment="1">
      <alignment horizontal="center" wrapText="1"/>
    </xf>
    <xf numFmtId="0" fontId="2" fillId="14" borderId="35" xfId="0" applyFont="1" applyFill="1" applyBorder="1" applyAlignment="1">
      <alignment horizontal="center" wrapText="1"/>
    </xf>
    <xf numFmtId="0" fontId="0" fillId="0" borderId="10" xfId="0" applyBorder="1" applyAlignment="1">
      <alignment horizontal="center"/>
    </xf>
    <xf numFmtId="0" fontId="0" fillId="0" borderId="6" xfId="0" applyBorder="1" applyAlignment="1">
      <alignment horizontal="center"/>
    </xf>
    <xf numFmtId="0" fontId="8" fillId="54" borderId="23" xfId="0" applyFont="1" applyFill="1" applyBorder="1" applyAlignment="1">
      <alignment horizontal="center"/>
    </xf>
    <xf numFmtId="0" fontId="0" fillId="5" borderId="26" xfId="5" applyFont="1" applyFill="1" applyBorder="1" applyAlignment="1">
      <alignment horizontal="left"/>
    </xf>
    <xf numFmtId="0" fontId="0" fillId="0" borderId="0" xfId="0"/>
    <xf numFmtId="1" fontId="20" fillId="0" borderId="7" xfId="1" applyNumberFormat="1" applyFont="1" applyFill="1" applyBorder="1" applyAlignment="1">
      <alignment horizontal="center" vertical="center"/>
    </xf>
    <xf numFmtId="1" fontId="3" fillId="0" borderId="0" xfId="0" applyNumberFormat="1" applyFont="1" applyBorder="1" applyAlignment="1">
      <alignment horizontal="center"/>
    </xf>
    <xf numFmtId="172" fontId="3" fillId="0" borderId="0" xfId="0" applyNumberFormat="1" applyFont="1" applyBorder="1" applyAlignment="1">
      <alignment horizontal="center"/>
    </xf>
    <xf numFmtId="0" fontId="2" fillId="24" borderId="10" xfId="0" applyFont="1" applyFill="1" applyBorder="1" applyAlignment="1">
      <alignment horizontal="left" vertical="center" wrapText="1"/>
    </xf>
    <xf numFmtId="0" fontId="2" fillId="24" borderId="10" xfId="0" applyFont="1" applyFill="1" applyBorder="1" applyAlignment="1">
      <alignment horizontal="center" vertical="center" wrapText="1"/>
    </xf>
    <xf numFmtId="0" fontId="2" fillId="24" borderId="10" xfId="0" applyFont="1" applyFill="1" applyBorder="1" applyAlignment="1">
      <alignment horizontal="center" vertical="center" textRotation="180" wrapText="1"/>
    </xf>
    <xf numFmtId="1" fontId="1" fillId="0" borderId="5" xfId="0" applyNumberFormat="1" applyFont="1" applyFill="1" applyBorder="1" applyAlignment="1">
      <alignment horizontal="center" vertical="center"/>
    </xf>
    <xf numFmtId="171" fontId="16" fillId="0" borderId="6"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1" fontId="1" fillId="0" borderId="15" xfId="0" applyNumberFormat="1" applyFont="1" applyFill="1" applyBorder="1" applyAlignment="1">
      <alignment horizontal="center" vertical="center"/>
    </xf>
    <xf numFmtId="1" fontId="1" fillId="0" borderId="0" xfId="0" applyNumberFormat="1" applyFont="1" applyFill="1" applyBorder="1" applyAlignment="1">
      <alignment horizontal="center" vertical="center"/>
    </xf>
    <xf numFmtId="171" fontId="16" fillId="0" borderId="13" xfId="0" applyNumberFormat="1" applyFont="1" applyFill="1" applyBorder="1" applyAlignment="1">
      <alignment horizontal="center" vertical="center"/>
    </xf>
    <xf numFmtId="1" fontId="0" fillId="0" borderId="0" xfId="0" applyNumberFormat="1" applyAlignment="1">
      <alignment horizontal="center" vertical="center"/>
    </xf>
    <xf numFmtId="1" fontId="16" fillId="0" borderId="0" xfId="0" applyNumberFormat="1" applyFont="1" applyFill="1" applyAlignment="1">
      <alignment horizontal="center" vertical="center"/>
    </xf>
    <xf numFmtId="1" fontId="7" fillId="15" borderId="0" xfId="0" applyNumberFormat="1" applyFont="1" applyFill="1" applyBorder="1" applyAlignment="1">
      <alignment horizontal="center" vertical="center"/>
    </xf>
    <xf numFmtId="171" fontId="7" fillId="15" borderId="0" xfId="0" applyNumberFormat="1" applyFont="1" applyFill="1" applyBorder="1" applyAlignment="1">
      <alignment horizontal="center" vertical="center"/>
    </xf>
    <xf numFmtId="1" fontId="7" fillId="15" borderId="0" xfId="0" applyNumberFormat="1" applyFont="1" applyFill="1" applyAlignment="1">
      <alignment horizontal="center" vertical="center"/>
    </xf>
    <xf numFmtId="0" fontId="2" fillId="20" borderId="67" xfId="0" applyFont="1" applyFill="1" applyBorder="1" applyAlignment="1">
      <alignment horizontal="center" vertical="center" wrapText="1"/>
    </xf>
    <xf numFmtId="0" fontId="2" fillId="20" borderId="68" xfId="0" applyFont="1" applyFill="1" applyBorder="1" applyAlignment="1">
      <alignment horizontal="center" vertical="center" wrapText="1"/>
    </xf>
    <xf numFmtId="0" fontId="2" fillId="15" borderId="68" xfId="0" applyFont="1" applyFill="1" applyBorder="1" applyAlignment="1">
      <alignment horizontal="center" vertical="center" wrapText="1"/>
    </xf>
    <xf numFmtId="0" fontId="2" fillId="16" borderId="68" xfId="0" applyFont="1" applyFill="1" applyBorder="1" applyAlignment="1">
      <alignment horizontal="center" vertical="center" wrapText="1"/>
    </xf>
    <xf numFmtId="0" fontId="2" fillId="17" borderId="68" xfId="0" applyFont="1" applyFill="1" applyBorder="1" applyAlignment="1">
      <alignment horizontal="center" vertical="center" wrapText="1"/>
    </xf>
    <xf numFmtId="0" fontId="0" fillId="0" borderId="0" xfId="0" applyBorder="1" applyAlignment="1">
      <alignment horizontal="center"/>
    </xf>
    <xf numFmtId="1" fontId="0" fillId="0" borderId="0" xfId="0" applyNumberFormat="1" applyBorder="1" applyAlignment="1">
      <alignment horizontal="center"/>
    </xf>
    <xf numFmtId="172" fontId="0" fillId="0" borderId="0" xfId="0" applyNumberFormat="1" applyBorder="1" applyAlignment="1">
      <alignment horizontal="center"/>
    </xf>
    <xf numFmtId="171" fontId="20" fillId="0" borderId="0" xfId="0" applyNumberFormat="1" applyFont="1" applyAlignment="1">
      <alignment horizontal="center" vertical="center"/>
    </xf>
    <xf numFmtId="171" fontId="20" fillId="0" borderId="0" xfId="0" applyNumberFormat="1" applyFont="1" applyBorder="1" applyAlignment="1">
      <alignment horizontal="center" vertical="center"/>
    </xf>
    <xf numFmtId="0" fontId="0" fillId="5" borderId="34" xfId="5" applyFont="1" applyFill="1" applyBorder="1" applyAlignment="1">
      <alignment horizontal="left" wrapText="1"/>
    </xf>
    <xf numFmtId="0" fontId="0" fillId="5" borderId="33" xfId="5" applyFont="1" applyFill="1" applyBorder="1" applyAlignment="1">
      <alignment horizontal="center" vertical="center"/>
    </xf>
    <xf numFmtId="14" fontId="0" fillId="5" borderId="28" xfId="5" applyNumberFormat="1" applyFont="1" applyFill="1" applyBorder="1" applyAlignment="1">
      <alignment horizontal="center" vertical="center"/>
    </xf>
    <xf numFmtId="2" fontId="0" fillId="5" borderId="25" xfId="5" applyNumberFormat="1" applyFont="1" applyFill="1" applyBorder="1" applyAlignment="1">
      <alignment horizontal="center" vertical="center"/>
    </xf>
    <xf numFmtId="14" fontId="0" fillId="5" borderId="32" xfId="5" applyNumberFormat="1" applyFont="1" applyFill="1" applyBorder="1" applyAlignment="1">
      <alignment horizontal="center" vertical="center"/>
    </xf>
    <xf numFmtId="2" fontId="0" fillId="5" borderId="33" xfId="5" applyNumberFormat="1" applyFont="1" applyFill="1" applyBorder="1" applyAlignment="1">
      <alignment horizontal="center" vertical="center"/>
    </xf>
    <xf numFmtId="14" fontId="18" fillId="5" borderId="28" xfId="5" applyNumberFormat="1" applyFont="1" applyFill="1" applyBorder="1" applyAlignment="1">
      <alignment horizontal="center" vertical="center"/>
    </xf>
    <xf numFmtId="0" fontId="0" fillId="5" borderId="32" xfId="5" applyFont="1" applyFill="1" applyBorder="1" applyAlignment="1">
      <alignment horizontal="center" vertical="center"/>
    </xf>
    <xf numFmtId="14" fontId="18" fillId="5" borderId="32" xfId="5" applyNumberFormat="1" applyFont="1" applyFill="1" applyBorder="1" applyAlignment="1">
      <alignment horizontal="center" vertical="center"/>
    </xf>
    <xf numFmtId="0" fontId="18" fillId="5" borderId="33" xfId="5" applyFont="1" applyFill="1" applyBorder="1" applyAlignment="1">
      <alignment horizontal="center" vertical="center"/>
    </xf>
    <xf numFmtId="0" fontId="18" fillId="5" borderId="25" xfId="5" applyFont="1" applyFill="1" applyBorder="1" applyAlignment="1">
      <alignment horizontal="center" vertical="center"/>
    </xf>
    <xf numFmtId="0" fontId="0" fillId="5" borderId="25" xfId="5" applyFont="1" applyFill="1" applyBorder="1" applyAlignment="1">
      <alignment horizontal="center" vertical="center"/>
    </xf>
    <xf numFmtId="14" fontId="18" fillId="5" borderId="32" xfId="5" applyNumberFormat="1" applyFont="1" applyFill="1" applyBorder="1" applyAlignment="1">
      <alignment horizontal="center"/>
    </xf>
    <xf numFmtId="175" fontId="0" fillId="0" borderId="0" xfId="0" applyNumberFormat="1"/>
    <xf numFmtId="0" fontId="27" fillId="0" borderId="0" xfId="21"/>
    <xf numFmtId="0" fontId="2" fillId="12" borderId="0" xfId="0" applyFont="1" applyFill="1"/>
    <xf numFmtId="0" fontId="0" fillId="29" borderId="0" xfId="0" applyFill="1"/>
    <xf numFmtId="37" fontId="0" fillId="0" borderId="7" xfId="0" applyNumberFormat="1" applyFill="1" applyBorder="1" applyAlignment="1">
      <alignment horizontal="center"/>
    </xf>
    <xf numFmtId="2" fontId="22" fillId="0" borderId="0" xfId="0" applyNumberFormat="1" applyFont="1" applyAlignment="1">
      <alignment horizontal="center"/>
    </xf>
    <xf numFmtId="0" fontId="0" fillId="55" borderId="0" xfId="0" applyFont="1" applyFill="1" applyAlignment="1">
      <alignment horizontal="center"/>
    </xf>
    <xf numFmtId="2" fontId="16" fillId="55" borderId="0" xfId="0" applyNumberFormat="1" applyFont="1" applyFill="1" applyAlignment="1">
      <alignment horizontal="center"/>
    </xf>
    <xf numFmtId="0" fontId="2" fillId="55" borderId="0" xfId="0" applyFont="1" applyFill="1" applyAlignment="1">
      <alignment horizontal="center"/>
    </xf>
    <xf numFmtId="2" fontId="4" fillId="4" borderId="1" xfId="4" applyNumberFormat="1"/>
    <xf numFmtId="0" fontId="16" fillId="0" borderId="69" xfId="0" applyFont="1" applyFill="1" applyBorder="1" applyAlignment="1">
      <alignment horizontal="center"/>
    </xf>
    <xf numFmtId="0" fontId="16" fillId="0" borderId="70" xfId="0" applyFont="1" applyFill="1" applyBorder="1" applyAlignment="1">
      <alignment horizontal="center"/>
    </xf>
    <xf numFmtId="2" fontId="16" fillId="0" borderId="0" xfId="0" applyNumberFormat="1" applyFont="1" applyFill="1" applyBorder="1" applyAlignment="1">
      <alignment horizontal="center"/>
    </xf>
    <xf numFmtId="37" fontId="0" fillId="0" borderId="0" xfId="0" applyNumberFormat="1" applyAlignment="1">
      <alignment horizontal="center"/>
    </xf>
    <xf numFmtId="0" fontId="19" fillId="0" borderId="0" xfId="0" applyFont="1" applyFill="1" applyBorder="1" applyAlignment="1">
      <alignment horizontal="center" vertical="top" wrapText="1"/>
    </xf>
    <xf numFmtId="0" fontId="2" fillId="0" borderId="73" xfId="0" applyFont="1" applyFill="1" applyBorder="1"/>
    <xf numFmtId="0" fontId="2" fillId="0" borderId="74" xfId="0" applyFont="1" applyFill="1" applyBorder="1" applyAlignment="1">
      <alignment horizontal="center"/>
    </xf>
    <xf numFmtId="0" fontId="3" fillId="0" borderId="63" xfId="0" applyFont="1" applyFill="1" applyBorder="1"/>
    <xf numFmtId="0" fontId="2" fillId="0" borderId="56" xfId="0" applyFont="1" applyFill="1" applyBorder="1" applyAlignment="1">
      <alignment horizontal="center" vertical="center"/>
    </xf>
    <xf numFmtId="0" fontId="19" fillId="0" borderId="56" xfId="0" applyFont="1" applyFill="1" applyBorder="1" applyAlignment="1">
      <alignment horizontal="center" vertical="top" wrapText="1"/>
    </xf>
    <xf numFmtId="0" fontId="0" fillId="0" borderId="57" xfId="0" applyBorder="1"/>
    <xf numFmtId="0" fontId="0" fillId="0" borderId="56" xfId="0" applyBorder="1"/>
    <xf numFmtId="0" fontId="0" fillId="0" borderId="80" xfId="0" applyBorder="1" applyAlignment="1"/>
    <xf numFmtId="164" fontId="25" fillId="0" borderId="81" xfId="0" applyNumberFormat="1" applyFont="1" applyBorder="1" applyAlignment="1">
      <alignment horizontal="right"/>
    </xf>
    <xf numFmtId="0" fontId="0" fillId="0" borderId="82" xfId="0" applyBorder="1" applyAlignment="1"/>
    <xf numFmtId="0" fontId="25" fillId="0" borderId="83" xfId="0" applyFont="1" applyBorder="1" applyAlignment="1">
      <alignment horizontal="right"/>
    </xf>
    <xf numFmtId="174" fontId="25" fillId="0" borderId="83" xfId="1" applyNumberFormat="1" applyFont="1" applyBorder="1" applyAlignment="1">
      <alignment horizontal="right"/>
    </xf>
    <xf numFmtId="0" fontId="0" fillId="0" borderId="82" xfId="0" applyFont="1" applyBorder="1" applyAlignment="1"/>
    <xf numFmtId="177" fontId="25" fillId="0" borderId="83" xfId="0" applyNumberFormat="1" applyFont="1" applyBorder="1" applyAlignment="1">
      <alignment horizontal="right"/>
    </xf>
    <xf numFmtId="0" fontId="0" fillId="0" borderId="82" xfId="0" applyFont="1" applyFill="1" applyBorder="1" applyAlignment="1"/>
    <xf numFmtId="9" fontId="25" fillId="0" borderId="83" xfId="1" applyNumberFormat="1" applyFont="1" applyFill="1" applyBorder="1" applyAlignment="1">
      <alignment horizontal="right"/>
    </xf>
    <xf numFmtId="0" fontId="0" fillId="0" borderId="79" xfId="0" applyFont="1" applyFill="1" applyBorder="1" applyAlignment="1"/>
    <xf numFmtId="9" fontId="25" fillId="0" borderId="84" xfId="1" applyNumberFormat="1" applyFont="1" applyFill="1" applyBorder="1" applyAlignment="1">
      <alignment horizontal="right"/>
    </xf>
    <xf numFmtId="0" fontId="0" fillId="0" borderId="85" xfId="0" applyFont="1" applyFill="1" applyBorder="1" applyAlignment="1"/>
    <xf numFmtId="9" fontId="25" fillId="0" borderId="86" xfId="1" applyNumberFormat="1" applyFont="1" applyFill="1" applyBorder="1" applyAlignment="1">
      <alignment horizontal="right"/>
    </xf>
    <xf numFmtId="0" fontId="0" fillId="0" borderId="72" xfId="0" applyBorder="1"/>
    <xf numFmtId="0" fontId="0" fillId="0" borderId="87" xfId="0" applyFont="1" applyFill="1" applyBorder="1" applyAlignment="1"/>
    <xf numFmtId="9" fontId="25" fillId="0" borderId="88" xfId="1" applyNumberFormat="1" applyFont="1" applyFill="1" applyBorder="1" applyAlignment="1">
      <alignment horizontal="right"/>
    </xf>
    <xf numFmtId="0" fontId="50" fillId="24" borderId="0" xfId="21" applyFont="1" applyFill="1" applyAlignment="1">
      <alignment horizontal="right"/>
    </xf>
    <xf numFmtId="0" fontId="49" fillId="56" borderId="0" xfId="21" applyFont="1" applyFill="1" applyAlignment="1">
      <alignment horizontal="right"/>
    </xf>
    <xf numFmtId="0" fontId="27" fillId="0" borderId="0" xfId="21" applyBorder="1"/>
    <xf numFmtId="0" fontId="27" fillId="0" borderId="56" xfId="21" applyBorder="1"/>
    <xf numFmtId="10" fontId="0" fillId="0" borderId="0" xfId="0" applyNumberFormat="1"/>
    <xf numFmtId="1" fontId="0" fillId="0" borderId="0" xfId="0" applyNumberFormat="1" applyFill="1" applyBorder="1" applyAlignment="1">
      <alignment horizontal="center"/>
    </xf>
    <xf numFmtId="172" fontId="13" fillId="0" borderId="0" xfId="1" applyNumberFormat="1" applyFont="1" applyFill="1" applyBorder="1" applyAlignment="1">
      <alignment horizontal="center" vertical="center"/>
    </xf>
    <xf numFmtId="0" fontId="7" fillId="0" borderId="90" xfId="0" applyFont="1" applyFill="1" applyBorder="1" applyAlignment="1">
      <alignment horizontal="center"/>
    </xf>
    <xf numFmtId="0" fontId="0" fillId="0" borderId="89" xfId="0" applyFont="1" applyFill="1" applyBorder="1" applyAlignment="1">
      <alignment horizontal="center"/>
    </xf>
    <xf numFmtId="10" fontId="0" fillId="0" borderId="89" xfId="1" applyNumberFormat="1" applyFont="1" applyFill="1" applyBorder="1" applyAlignment="1">
      <alignment horizontal="center"/>
    </xf>
    <xf numFmtId="0" fontId="0" fillId="0" borderId="91" xfId="0" applyFont="1" applyFill="1" applyBorder="1" applyAlignment="1">
      <alignment horizontal="center"/>
    </xf>
    <xf numFmtId="10" fontId="0" fillId="0" borderId="91" xfId="1" applyNumberFormat="1" applyFont="1" applyFill="1" applyBorder="1" applyAlignment="1">
      <alignment horizontal="center"/>
    </xf>
    <xf numFmtId="0" fontId="43" fillId="51" borderId="57" xfId="21" applyFont="1" applyFill="1" applyBorder="1" applyAlignment="1">
      <alignment horizontal="left" vertical="top" wrapText="1"/>
    </xf>
    <xf numFmtId="0" fontId="43" fillId="51" borderId="0" xfId="21" applyFont="1" applyFill="1" applyBorder="1" applyAlignment="1">
      <alignment horizontal="left" vertical="top" wrapText="1"/>
    </xf>
    <xf numFmtId="0" fontId="43" fillId="51" borderId="56" xfId="21" applyFont="1" applyFill="1" applyBorder="1" applyAlignment="1">
      <alignment horizontal="left" vertical="top" wrapText="1"/>
    </xf>
    <xf numFmtId="0" fontId="46" fillId="51" borderId="44" xfId="21" applyFont="1" applyFill="1" applyBorder="1" applyAlignment="1">
      <alignment vertical="center" wrapText="1"/>
    </xf>
    <xf numFmtId="0" fontId="46" fillId="51" borderId="0" xfId="21" applyFont="1" applyFill="1" applyBorder="1" applyAlignment="1">
      <alignment vertical="center" wrapText="1"/>
    </xf>
    <xf numFmtId="0" fontId="46" fillId="51" borderId="45" xfId="21" applyFont="1" applyFill="1" applyBorder="1" applyAlignment="1">
      <alignment vertical="center" wrapText="1"/>
    </xf>
    <xf numFmtId="0" fontId="43" fillId="51" borderId="57" xfId="21" applyFont="1" applyFill="1" applyBorder="1" applyAlignment="1">
      <alignment vertical="center" wrapText="1"/>
    </xf>
    <xf numFmtId="0" fontId="42" fillId="51" borderId="0" xfId="21" applyFont="1" applyFill="1" applyAlignment="1">
      <alignment vertical="center" wrapText="1"/>
    </xf>
    <xf numFmtId="0" fontId="2" fillId="29" borderId="79" xfId="0" applyFont="1" applyFill="1" applyBorder="1" applyAlignment="1">
      <alignment horizontal="center" vertical="center"/>
    </xf>
    <xf numFmtId="0" fontId="2" fillId="29" borderId="46" xfId="0" applyFont="1" applyFill="1" applyBorder="1" applyAlignment="1">
      <alignment horizontal="center" vertical="center"/>
    </xf>
    <xf numFmtId="0" fontId="2" fillId="29" borderId="59" xfId="0" applyFont="1" applyFill="1" applyBorder="1" applyAlignment="1">
      <alignment horizontal="center" vertical="center"/>
    </xf>
    <xf numFmtId="0" fontId="2" fillId="29" borderId="60" xfId="0" applyFont="1" applyFill="1" applyBorder="1" applyAlignment="1">
      <alignment horizontal="center" vertical="center"/>
    </xf>
    <xf numFmtId="0" fontId="8" fillId="29" borderId="75" xfId="0" applyFont="1" applyFill="1" applyBorder="1" applyAlignment="1">
      <alignment horizontal="center" vertical="center"/>
    </xf>
    <xf numFmtId="0" fontId="8" fillId="29" borderId="76" xfId="0" applyFont="1" applyFill="1" applyBorder="1" applyAlignment="1">
      <alignment horizontal="center" vertical="center"/>
    </xf>
    <xf numFmtId="0" fontId="8" fillId="29" borderId="77" xfId="0" applyFont="1" applyFill="1" applyBorder="1" applyAlignment="1">
      <alignment horizontal="center" vertical="center"/>
    </xf>
    <xf numFmtId="0" fontId="8" fillId="29" borderId="78" xfId="0" applyFont="1" applyFill="1" applyBorder="1" applyAlignment="1">
      <alignment horizontal="center" vertical="center"/>
    </xf>
    <xf numFmtId="0" fontId="7" fillId="29" borderId="69" xfId="0" applyFont="1" applyFill="1" applyBorder="1" applyAlignment="1">
      <alignment horizontal="center" vertical="top" wrapText="1"/>
    </xf>
    <xf numFmtId="0" fontId="7" fillId="29" borderId="71" xfId="0" applyFont="1" applyFill="1" applyBorder="1" applyAlignment="1">
      <alignment horizontal="center" vertical="top" wrapText="1"/>
    </xf>
    <xf numFmtId="0" fontId="2" fillId="12" borderId="0" xfId="0" applyFont="1" applyFill="1" applyAlignment="1">
      <alignment horizontal="center"/>
    </xf>
    <xf numFmtId="0" fontId="50" fillId="29" borderId="0" xfId="21" applyFont="1" applyFill="1" applyAlignment="1">
      <alignment horizontal="center"/>
    </xf>
    <xf numFmtId="0" fontId="2" fillId="30" borderId="0" xfId="0" applyFont="1" applyFill="1" applyAlignment="1">
      <alignment horizontal="center"/>
    </xf>
    <xf numFmtId="0" fontId="7" fillId="24" borderId="0" xfId="0" applyFont="1" applyFill="1" applyAlignment="1">
      <alignment horizontal="center" vertical="center"/>
    </xf>
    <xf numFmtId="0" fontId="8" fillId="53" borderId="14" xfId="0" applyFont="1" applyFill="1" applyBorder="1" applyAlignment="1">
      <alignment horizontal="center" vertical="center"/>
    </xf>
    <xf numFmtId="0" fontId="8" fillId="16" borderId="14" xfId="0" applyFont="1" applyFill="1" applyBorder="1" applyAlignment="1">
      <alignment horizontal="center" vertical="center"/>
    </xf>
    <xf numFmtId="0" fontId="8" fillId="23" borderId="14" xfId="0" applyFont="1" applyFill="1" applyBorder="1" applyAlignment="1">
      <alignment horizontal="center" vertical="center"/>
    </xf>
    <xf numFmtId="0" fontId="8" fillId="17" borderId="14" xfId="0" applyFont="1" applyFill="1" applyBorder="1" applyAlignment="1">
      <alignment horizontal="center" vertical="center"/>
    </xf>
    <xf numFmtId="0" fontId="8" fillId="18" borderId="14" xfId="0" applyFont="1" applyFill="1" applyBorder="1" applyAlignment="1">
      <alignment horizontal="center" vertical="center"/>
    </xf>
    <xf numFmtId="0" fontId="9" fillId="28" borderId="6" xfId="0" applyFont="1" applyFill="1" applyBorder="1" applyAlignment="1">
      <alignment horizontal="center"/>
    </xf>
    <xf numFmtId="0" fontId="9" fillId="28" borderId="5" xfId="0" applyFont="1" applyFill="1" applyBorder="1" applyAlignment="1">
      <alignment horizontal="center"/>
    </xf>
    <xf numFmtId="0" fontId="9" fillId="28" borderId="11" xfId="0" applyFont="1" applyFill="1" applyBorder="1" applyAlignment="1">
      <alignment horizontal="center"/>
    </xf>
    <xf numFmtId="0" fontId="2" fillId="52" borderId="6" xfId="0" applyFont="1" applyFill="1" applyBorder="1" applyAlignment="1">
      <alignment horizontal="center"/>
    </xf>
    <xf numFmtId="0" fontId="2" fillId="52" borderId="5" xfId="0" applyFont="1" applyFill="1" applyBorder="1" applyAlignment="1">
      <alignment horizontal="center"/>
    </xf>
    <xf numFmtId="0" fontId="2" fillId="52" borderId="11" xfId="0" applyFont="1" applyFill="1" applyBorder="1" applyAlignment="1">
      <alignment horizontal="center"/>
    </xf>
    <xf numFmtId="0" fontId="2" fillId="11" borderId="3" xfId="0" applyFont="1" applyFill="1" applyBorder="1" applyAlignment="1">
      <alignment horizontal="center"/>
    </xf>
    <xf numFmtId="0" fontId="2" fillId="11" borderId="37" xfId="0" applyFont="1" applyFill="1" applyBorder="1" applyAlignment="1">
      <alignment horizontal="center"/>
    </xf>
    <xf numFmtId="0" fontId="2" fillId="11" borderId="4" xfId="0" applyFont="1" applyFill="1" applyBorder="1" applyAlignment="1">
      <alignment horizontal="center"/>
    </xf>
    <xf numFmtId="0" fontId="2" fillId="21" borderId="37" xfId="0" applyFont="1" applyFill="1" applyBorder="1" applyAlignment="1">
      <alignment horizontal="center"/>
    </xf>
    <xf numFmtId="0" fontId="2" fillId="21" borderId="4" xfId="0" applyFont="1" applyFill="1" applyBorder="1" applyAlignment="1">
      <alignment horizontal="center"/>
    </xf>
    <xf numFmtId="0" fontId="2" fillId="22" borderId="3" xfId="0" applyFont="1" applyFill="1" applyBorder="1" applyAlignment="1">
      <alignment horizontal="center"/>
    </xf>
    <xf numFmtId="0" fontId="2" fillId="22" borderId="37" xfId="0" applyFont="1" applyFill="1" applyBorder="1" applyAlignment="1">
      <alignment horizontal="center"/>
    </xf>
    <xf numFmtId="0" fontId="2" fillId="22" borderId="4" xfId="0" applyFont="1" applyFill="1" applyBorder="1" applyAlignment="1">
      <alignment horizontal="center"/>
    </xf>
    <xf numFmtId="0" fontId="2" fillId="23" borderId="3" xfId="0" applyFont="1" applyFill="1" applyBorder="1" applyAlignment="1">
      <alignment horizontal="center"/>
    </xf>
    <xf numFmtId="0" fontId="2" fillId="23" borderId="37" xfId="0" applyFont="1" applyFill="1" applyBorder="1" applyAlignment="1">
      <alignment horizontal="center"/>
    </xf>
    <xf numFmtId="0" fontId="2" fillId="23" borderId="4" xfId="0" applyFont="1" applyFill="1" applyBorder="1" applyAlignment="1">
      <alignment horizontal="center"/>
    </xf>
    <xf numFmtId="0" fontId="23" fillId="26" borderId="0" xfId="0" applyFont="1" applyFill="1" applyBorder="1" applyAlignment="1">
      <alignment horizontal="center" vertical="center" wrapText="1"/>
    </xf>
    <xf numFmtId="0" fontId="2" fillId="22" borderId="0" xfId="0" applyFont="1" applyFill="1" applyAlignment="1">
      <alignment horizontal="center"/>
    </xf>
    <xf numFmtId="0" fontId="2" fillId="19" borderId="0" xfId="0" applyFont="1" applyFill="1" applyBorder="1" applyAlignment="1">
      <alignment horizontal="center"/>
    </xf>
    <xf numFmtId="0" fontId="2" fillId="12" borderId="22" xfId="0" applyFont="1" applyFill="1" applyBorder="1" applyAlignment="1">
      <alignment horizontal="center"/>
    </xf>
    <xf numFmtId="0" fontId="2" fillId="12" borderId="0" xfId="0" applyFont="1" applyFill="1" applyBorder="1" applyAlignment="1">
      <alignment horizontal="center"/>
    </xf>
    <xf numFmtId="0" fontId="48" fillId="30" borderId="15" xfId="0" applyFont="1" applyFill="1" applyBorder="1" applyAlignment="1">
      <alignment horizontal="center" vertical="center" wrapText="1"/>
    </xf>
    <xf numFmtId="0" fontId="14" fillId="6" borderId="16" xfId="5" applyFont="1" applyFill="1" applyBorder="1" applyAlignment="1">
      <alignment horizontal="center" vertical="center"/>
    </xf>
    <xf numFmtId="0" fontId="14" fillId="6" borderId="17" xfId="5" applyFont="1" applyFill="1" applyBorder="1" applyAlignment="1">
      <alignment horizontal="center" vertical="center"/>
    </xf>
    <xf numFmtId="0" fontId="14" fillId="6" borderId="18" xfId="5" applyFont="1" applyFill="1" applyBorder="1" applyAlignment="1">
      <alignment horizontal="center" vertical="center"/>
    </xf>
    <xf numFmtId="0" fontId="14" fillId="6" borderId="8" xfId="5" applyFont="1" applyFill="1" applyBorder="1" applyAlignment="1">
      <alignment horizontal="center" vertical="center"/>
    </xf>
    <xf numFmtId="0" fontId="14" fillId="6" borderId="7" xfId="5" applyFont="1" applyFill="1" applyBorder="1" applyAlignment="1">
      <alignment horizontal="center" vertical="center"/>
    </xf>
    <xf numFmtId="0" fontId="14" fillId="6" borderId="9" xfId="5" applyFont="1" applyFill="1" applyBorder="1" applyAlignment="1">
      <alignment horizontal="center" vertical="center"/>
    </xf>
    <xf numFmtId="0" fontId="14" fillId="6" borderId="19" xfId="5" applyFont="1" applyFill="1" applyBorder="1" applyAlignment="1">
      <alignment horizontal="center" vertical="center"/>
    </xf>
    <xf numFmtId="0" fontId="14" fillId="6" borderId="20" xfId="5" applyFont="1" applyFill="1" applyBorder="1" applyAlignment="1">
      <alignment horizontal="center" vertical="center"/>
    </xf>
    <xf numFmtId="0" fontId="14" fillId="6" borderId="21" xfId="5" applyFont="1" applyFill="1" applyBorder="1" applyAlignment="1">
      <alignment horizontal="center" vertical="center"/>
    </xf>
    <xf numFmtId="0" fontId="7" fillId="8" borderId="7" xfId="2" applyFont="1" applyFill="1" applyBorder="1" applyAlignment="1">
      <alignment horizontal="center" vertical="center"/>
    </xf>
    <xf numFmtId="0" fontId="7" fillId="21" borderId="35" xfId="2" applyFont="1" applyFill="1" applyBorder="1" applyAlignment="1">
      <alignment horizontal="center" vertical="center"/>
    </xf>
    <xf numFmtId="0" fontId="7" fillId="21" borderId="36" xfId="2" applyFont="1" applyFill="1" applyBorder="1" applyAlignment="1">
      <alignment horizontal="center" vertical="center"/>
    </xf>
    <xf numFmtId="0" fontId="2" fillId="21" borderId="22" xfId="0" applyFont="1" applyFill="1" applyBorder="1" applyAlignment="1">
      <alignment horizontal="center"/>
    </xf>
    <xf numFmtId="0" fontId="2" fillId="21" borderId="0" xfId="0" applyFont="1" applyFill="1" applyBorder="1" applyAlignment="1">
      <alignment horizontal="center"/>
    </xf>
    <xf numFmtId="0" fontId="2" fillId="22" borderId="0" xfId="0" applyFont="1" applyFill="1" applyBorder="1" applyAlignment="1">
      <alignment horizontal="center"/>
    </xf>
    <xf numFmtId="0" fontId="7" fillId="22" borderId="35" xfId="2" applyFont="1" applyFill="1" applyBorder="1" applyAlignment="1">
      <alignment horizontal="center" vertical="center"/>
    </xf>
    <xf numFmtId="0" fontId="7" fillId="22" borderId="36" xfId="2" applyFont="1" applyFill="1" applyBorder="1" applyAlignment="1">
      <alignment horizontal="center" vertical="center"/>
    </xf>
    <xf numFmtId="0" fontId="2" fillId="23" borderId="0" xfId="0" applyFont="1" applyFill="1" applyBorder="1" applyAlignment="1">
      <alignment horizontal="center"/>
    </xf>
    <xf numFmtId="0" fontId="7" fillId="23" borderId="35" xfId="2" applyFont="1" applyFill="1" applyBorder="1" applyAlignment="1">
      <alignment horizontal="center" vertical="center"/>
    </xf>
    <xf numFmtId="0" fontId="7" fillId="23" borderId="36" xfId="2" applyFont="1" applyFill="1" applyBorder="1" applyAlignment="1">
      <alignment horizontal="center" vertical="center"/>
    </xf>
    <xf numFmtId="0" fontId="2" fillId="11" borderId="0" xfId="0" applyFont="1" applyFill="1" applyBorder="1" applyAlignment="1">
      <alignment horizontal="center"/>
    </xf>
    <xf numFmtId="0" fontId="7" fillId="11" borderId="35" xfId="2" applyFont="1" applyFill="1" applyBorder="1" applyAlignment="1">
      <alignment horizontal="center" vertical="center"/>
    </xf>
    <xf numFmtId="0" fontId="7" fillId="11" borderId="36" xfId="2" applyFont="1" applyFill="1" applyBorder="1" applyAlignment="1">
      <alignment horizontal="center" vertical="center"/>
    </xf>
    <xf numFmtId="0" fontId="2" fillId="12" borderId="26" xfId="5" applyFont="1" applyFill="1" applyBorder="1" applyAlignment="1">
      <alignment horizontal="left"/>
    </xf>
    <xf numFmtId="0" fontId="2" fillId="12" borderId="27" xfId="5" applyFont="1" applyFill="1" applyBorder="1" applyAlignment="1">
      <alignment horizontal="left"/>
    </xf>
    <xf numFmtId="0" fontId="2" fillId="12" borderId="28" xfId="5" applyFont="1" applyFill="1" applyBorder="1" applyAlignment="1">
      <alignment horizontal="left"/>
    </xf>
    <xf numFmtId="0" fontId="51" fillId="25" borderId="14" xfId="0" applyFont="1" applyFill="1" applyBorder="1"/>
    <xf numFmtId="170" fontId="52" fillId="27" borderId="14" xfId="0" applyNumberFormat="1" applyFont="1" applyFill="1" applyBorder="1" applyAlignment="1">
      <alignment horizontal="center"/>
    </xf>
    <xf numFmtId="170" fontId="52" fillId="27" borderId="7" xfId="0" applyNumberFormat="1" applyFont="1" applyFill="1" applyBorder="1" applyAlignment="1">
      <alignment horizontal="center"/>
    </xf>
    <xf numFmtId="0" fontId="53" fillId="5" borderId="32" xfId="5" applyFont="1" applyFill="1" applyBorder="1" applyAlignment="1">
      <alignment horizontal="center"/>
    </xf>
    <xf numFmtId="0" fontId="53" fillId="5" borderId="33" xfId="5" applyFont="1" applyFill="1" applyBorder="1" applyAlignment="1">
      <alignment horizontal="center"/>
    </xf>
    <xf numFmtId="0" fontId="53" fillId="5" borderId="34" xfId="5" applyFont="1" applyFill="1" applyBorder="1" applyAlignment="1">
      <alignment horizontal="center"/>
    </xf>
    <xf numFmtId="14" fontId="0" fillId="5" borderId="32" xfId="5" applyNumberFormat="1" applyFont="1" applyFill="1" applyBorder="1" applyAlignment="1">
      <alignment horizontal="center"/>
    </xf>
  </cellXfs>
  <cellStyles count="79">
    <cellStyle name="%" xfId="8"/>
    <cellStyle name="Accent1" xfId="2" builtinId="29"/>
    <cellStyle name="Accent1 - 20%" xfId="23"/>
    <cellStyle name="Accent1 - 40%" xfId="24"/>
    <cellStyle name="Accent1 - 60%" xfId="25"/>
    <cellStyle name="Accent1 2" xfId="22"/>
    <cellStyle name="Accent1 3" xfId="67"/>
    <cellStyle name="Accent1 4" xfId="71"/>
    <cellStyle name="Accent2" xfId="3" builtinId="33"/>
    <cellStyle name="Accent2 - 20%" xfId="27"/>
    <cellStyle name="Accent2 - 40%" xfId="28"/>
    <cellStyle name="Accent2 - 60%" xfId="29"/>
    <cellStyle name="Accent2 2" xfId="26"/>
    <cellStyle name="Accent2 3" xfId="69"/>
    <cellStyle name="Accent2 4" xfId="68"/>
    <cellStyle name="Accent3 - 20%" xfId="31"/>
    <cellStyle name="Accent3 - 40%" xfId="32"/>
    <cellStyle name="Accent3 - 60%" xfId="33"/>
    <cellStyle name="Accent3 2" xfId="30"/>
    <cellStyle name="Accent3 3" xfId="70"/>
    <cellStyle name="Accent3 4" xfId="75"/>
    <cellStyle name="Accent4 - 20%" xfId="35"/>
    <cellStyle name="Accent4 - 40%" xfId="36"/>
    <cellStyle name="Accent4 - 60%" xfId="37"/>
    <cellStyle name="Accent4 2" xfId="34"/>
    <cellStyle name="Accent4 3" xfId="72"/>
    <cellStyle name="Accent4 4" xfId="76"/>
    <cellStyle name="Accent5 - 20%" xfId="39"/>
    <cellStyle name="Accent5 - 40%" xfId="40"/>
    <cellStyle name="Accent5 - 60%" xfId="41"/>
    <cellStyle name="Accent5 2" xfId="38"/>
    <cellStyle name="Accent5 3" xfId="73"/>
    <cellStyle name="Accent5 4" xfId="77"/>
    <cellStyle name="Accent6 - 20%" xfId="43"/>
    <cellStyle name="Accent6 - 40%" xfId="44"/>
    <cellStyle name="Accent6 - 60%" xfId="45"/>
    <cellStyle name="Accent6 2" xfId="42"/>
    <cellStyle name="Accent6 3" xfId="74"/>
    <cellStyle name="Accent6 4" xfId="78"/>
    <cellStyle name="Bad 2" xfId="46"/>
    <cellStyle name="Calculation" xfId="4" builtinId="22"/>
    <cellStyle name="Calculation 2" xfId="47"/>
    <cellStyle name="Check Cell 2" xfId="48"/>
    <cellStyle name="Emphasis 1" xfId="49"/>
    <cellStyle name="Emphasis 2" xfId="50"/>
    <cellStyle name="Emphasis 3" xfId="5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Good 2" xfId="52"/>
    <cellStyle name="Heading 1 2" xfId="53"/>
    <cellStyle name="Heading 2 2" xfId="54"/>
    <cellStyle name="Heading 3 2" xfId="55"/>
    <cellStyle name="Heading 4 2" xfId="56"/>
    <cellStyle name="Hyperlink" xfId="6"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Input 2" xfId="57"/>
    <cellStyle name="Linked Cell 2" xfId="58"/>
    <cellStyle name="Neutral 2" xfId="59"/>
    <cellStyle name="Normal" xfId="0" builtinId="0"/>
    <cellStyle name="Normal 2" xfId="21"/>
    <cellStyle name="Note" xfId="5" builtinId="10"/>
    <cellStyle name="Note 2" xfId="60"/>
    <cellStyle name="Output 2" xfId="61"/>
    <cellStyle name="Percent" xfId="1" builtinId="5"/>
    <cellStyle name="Percent 2" xfId="66"/>
    <cellStyle name="Percent 3" xfId="65"/>
    <cellStyle name="Sheet Title" xfId="62"/>
    <cellStyle name="Total 2" xfId="63"/>
    <cellStyle name="Warning Text 2" xfId="64"/>
  </cellStyles>
  <dxfs count="530">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auto="1"/>
        <name val="Calibri"/>
        <scheme val="minor"/>
      </font>
      <numFmt numFmtId="170" formatCode="####0"/>
      <fill>
        <patternFill patternType="solid">
          <fgColor indexed="64"/>
          <bgColor theme="0" tint="-0.499984740745262"/>
        </patternFill>
      </fill>
      <alignment horizontal="center" vertical="bottom" textRotation="0" wrapText="0"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rgb="FFFA7D00"/>
        <name val="Calibri"/>
        <scheme val="minor"/>
      </font>
      <fill>
        <patternFill patternType="solid">
          <fgColor indexed="64"/>
          <bgColor theme="0"/>
        </patternFill>
      </fill>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rgb="FFFA7D00"/>
        <name val="Calibri"/>
        <scheme val="minor"/>
      </font>
      <fill>
        <patternFill patternType="solid">
          <fgColor indexed="64"/>
          <bgColor theme="0"/>
        </patternFill>
      </fill>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rgb="FFFA7D00"/>
        <name val="Calibri"/>
        <scheme val="minor"/>
      </font>
      <fill>
        <patternFill patternType="solid">
          <fgColor indexed="64"/>
          <bgColor theme="0"/>
        </patternFill>
      </fill>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rgb="FFFA7D00"/>
        <name val="Calibri"/>
        <scheme val="minor"/>
      </font>
      <fill>
        <patternFill patternType="solid">
          <fgColor indexed="64"/>
          <bgColor theme="0"/>
        </patternFill>
      </fill>
      <border diagonalUp="0" diagonalDown="0" outline="0">
        <left style="thin">
          <color theme="0"/>
        </left>
        <right style="thin">
          <color theme="0"/>
        </right>
        <top/>
        <bottom style="thin">
          <color theme="0"/>
        </bottom>
      </border>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font>
        <color theme="0"/>
      </font>
      <fill>
        <patternFill>
          <bgColor rgb="FFFF0000"/>
        </patternFill>
      </fill>
    </dxf>
    <dxf>
      <font>
        <strike val="0"/>
        <color theme="0" tint="-0.499984740745262"/>
      </font>
      <fill>
        <patternFill patternType="lightUp">
          <fgColor rgb="FF002060"/>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indent="0" justifyLastLine="0" shrinkToFit="0" readingOrder="0"/>
      <border diagonalUp="0" diagonalDown="0" outline="0">
        <left style="thin">
          <color theme="0" tint="-0.499984740745262"/>
        </left>
        <right/>
        <top style="thin">
          <color theme="0" tint="-0.499984740745262"/>
        </top>
        <bottom style="thin">
          <color theme="0" tint="-0.499984740745262"/>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border>
    </dxf>
    <dxf>
      <font>
        <b val="0"/>
        <i val="0"/>
        <strike val="0"/>
        <condense val="0"/>
        <extend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right style="thin">
          <color theme="0" tint="-0.499984740745262"/>
        </right>
        <top style="thin">
          <color theme="0" tint="-0.499984740745262"/>
        </top>
        <bottom style="thin">
          <color theme="0" tint="-0.499984740745262"/>
        </bottom>
      </border>
    </dxf>
    <dxf>
      <border outline="0">
        <left style="thin">
          <color theme="0" tint="-0.499984740745262"/>
        </left>
        <right style="thin">
          <color theme="0" tint="-0.499984740745262"/>
        </right>
        <top style="thin">
          <color theme="0" tint="-0.499984740745262"/>
        </top>
        <bottom style="thin">
          <color theme="0" tint="-0.499984740745262"/>
        </bottom>
      </border>
    </dxf>
    <dxf>
      <alignment horizontal="center" vertical="bottom" textRotation="0" indent="0" justifyLastLine="0" shrinkToFit="0" readingOrder="0"/>
    </dxf>
    <dxf>
      <border outline="0">
        <bottom style="thin">
          <color theme="0" tint="-0.499984740745262"/>
        </bottom>
      </border>
    </dxf>
    <dxf>
      <font>
        <b val="0"/>
        <i val="0"/>
        <strike val="0"/>
        <condense val="0"/>
        <extend val="0"/>
        <outline val="0"/>
        <shadow val="0"/>
        <u val="none"/>
        <vertAlign val="baseline"/>
        <sz val="11"/>
        <color theme="1"/>
        <name val="Calibri"/>
        <scheme val="minor"/>
      </font>
      <fill>
        <patternFill patternType="solid">
          <fgColor indexed="64"/>
          <bgColor theme="4" tint="0.39997558519241921"/>
        </patternFill>
      </fill>
      <border diagonalUp="0" diagonalDown="0" outline="0">
        <left style="thin">
          <color theme="0" tint="-0.499984740745262"/>
        </left>
        <right style="thin">
          <color theme="0" tint="-0.499984740745262"/>
        </right>
        <top/>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theme="0"/>
        </top>
        <bottom style="thin">
          <color theme="0"/>
        </bottom>
      </border>
    </dxf>
    <dxf>
      <fill>
        <patternFill patternType="solid">
          <fgColor indexed="64"/>
          <bgColor theme="3"/>
        </patternFill>
      </fill>
      <alignment horizontal="general" vertical="bottom" textRotation="0" wrapText="0" indent="0" justifyLastLine="0" shrinkToFit="0" readingOrder="0"/>
    </dxf>
    <dxf>
      <font>
        <b/>
        <strike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b/>
        <strike val="0"/>
        <outline val="0"/>
        <shadow val="0"/>
        <u val="none"/>
        <vertAlign val="baseline"/>
        <sz val="11"/>
        <color auto="1"/>
        <name val="Calibri"/>
        <scheme val="minor"/>
      </font>
    </dxf>
    <dxf>
      <font>
        <b/>
        <strike val="0"/>
        <outline val="0"/>
        <shadow val="0"/>
        <u val="none"/>
        <vertAlign val="baseline"/>
        <sz val="11"/>
        <color auto="1"/>
        <name val="Calibri"/>
        <scheme val="minor"/>
      </font>
      <numFmt numFmtId="165" formatCode="0\ &quot;KB&quot;"/>
      <alignment horizontal="left"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numFmt numFmtId="164" formatCode="###\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5" tint="-0.249977111117893"/>
        <name val="Calibri"/>
        <scheme val="minor"/>
      </font>
      <numFmt numFmtId="165" formatCode="0\ &quot;KB&quot;"/>
      <alignment horizontal="center" vertical="bottom" textRotation="0" wrapText="0" indent="0" justifyLastLine="0" shrinkToFit="0" readingOrder="0"/>
      <border diagonalUp="0" diagonalDown="0" outline="0">
        <left style="thin">
          <color theme="0"/>
        </left>
        <right/>
        <top/>
        <bottom style="thin">
          <color theme="0"/>
        </bottom>
      </border>
    </dxf>
    <dxf>
      <font>
        <b/>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left" vertical="bottom" textRotation="0" wrapText="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5" tint="-0.249977111117893"/>
        <name val="Calibri"/>
        <scheme val="minor"/>
      </font>
      <numFmt numFmtId="164" formatCode="###\ &quot;KB&quot;"/>
      <alignment horizontal="center" vertical="bottom" textRotation="0" wrapText="0" indent="0" justifyLastLine="0" shrinkToFit="0" readingOrder="0"/>
      <border diagonalUp="0" diagonalDown="0" outline="0">
        <left/>
        <right style="thin">
          <color theme="0"/>
        </right>
        <top/>
        <bottom style="thin">
          <color theme="0"/>
        </bottom>
      </border>
    </dxf>
    <dxf>
      <border>
        <top style="thin">
          <color theme="0"/>
        </top>
      </border>
    </dxf>
    <dxf>
      <border diagonalUp="0" diagonalDown="0">
        <left style="thin">
          <color theme="0"/>
        </left>
        <right style="thin">
          <color theme="0"/>
        </right>
        <top style="thin">
          <color theme="0"/>
        </top>
        <bottom style="thin">
          <color theme="0"/>
        </bottom>
      </border>
    </dxf>
    <dxf>
      <font>
        <b/>
        <strike val="0"/>
        <outline val="0"/>
        <shadow val="0"/>
        <u val="none"/>
        <vertAlign val="baseline"/>
        <sz val="11"/>
        <color auto="1"/>
        <name val="Calibri"/>
        <scheme val="minor"/>
      </font>
    </dxf>
    <dxf>
      <border outline="0">
        <bottom style="thin">
          <color theme="0"/>
        </bottom>
      </border>
    </dxf>
    <dxf>
      <font>
        <b/>
        <strike val="0"/>
        <outline val="0"/>
        <shadow val="0"/>
        <u val="none"/>
        <vertAlign val="baseline"/>
        <sz val="11"/>
        <color auto="1"/>
        <name val="Calibri"/>
        <scheme val="minor"/>
      </font>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9" formatCode="0.00000\ &quot;KB&quot;"/>
      <fill>
        <patternFill patternType="solid">
          <fgColor indexed="64"/>
          <bgColor rgb="FFFFFF00"/>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9" formatCode="0.00000\ &quot;KB&quo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fill>
        <patternFill patternType="solid">
          <fgColor indexed="64"/>
          <bgColor theme="4" tint="0.39997558519241921"/>
        </patternFill>
      </fill>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border>
        <bottom style="thin">
          <color theme="0"/>
        </bottom>
      </border>
    </dxf>
    <dxf>
      <fill>
        <patternFill patternType="solid">
          <fgColor indexed="64"/>
          <bgColor theme="4" tint="-0.249977111117893"/>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strike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b/>
        <strike val="0"/>
        <outline val="0"/>
        <shadow val="0"/>
        <u val="none"/>
        <vertAlign val="baseline"/>
        <sz val="11"/>
        <color auto="1"/>
        <name val="Calibri"/>
        <scheme val="minor"/>
      </font>
    </dxf>
    <dxf>
      <font>
        <b/>
        <strike val="0"/>
        <outline val="0"/>
        <shadow val="0"/>
        <u val="none"/>
        <vertAlign val="baseline"/>
        <sz val="11"/>
        <color auto="1"/>
        <name val="Calibri"/>
        <scheme val="minor"/>
      </font>
      <numFmt numFmtId="165" formatCode="0\ &quot;KB&quot;"/>
      <alignment horizontal="left"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numFmt numFmtId="164" formatCode="###\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5" tint="-0.249977111117893"/>
        <name val="Calibri"/>
        <scheme val="minor"/>
      </font>
      <numFmt numFmtId="165" formatCode="0\ &quot;KB&quot;"/>
      <alignment horizontal="center" vertical="bottom" textRotation="0" wrapText="0" indent="0" justifyLastLine="0" shrinkToFit="0" readingOrder="0"/>
      <border diagonalUp="0" diagonalDown="0" outline="0">
        <left style="thin">
          <color theme="0"/>
        </left>
        <right/>
        <top/>
        <bottom style="thin">
          <color theme="0"/>
        </bottom>
      </border>
    </dxf>
    <dxf>
      <font>
        <b/>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left" vertical="bottom" textRotation="0" wrapText="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5" tint="-0.249977111117893"/>
        <name val="Calibri"/>
        <scheme val="minor"/>
      </font>
      <numFmt numFmtId="164" formatCode="###\ &quot;KB&quot;"/>
      <alignment horizontal="center" vertical="bottom" textRotation="0" wrapText="0" indent="0" justifyLastLine="0" shrinkToFit="0" readingOrder="0"/>
      <border diagonalUp="0" diagonalDown="0" outline="0">
        <left/>
        <right style="thin">
          <color theme="0"/>
        </right>
        <top/>
        <bottom style="thin">
          <color theme="0"/>
        </bottom>
      </border>
    </dxf>
    <dxf>
      <border outline="0">
        <top style="thin">
          <color theme="0"/>
        </top>
      </border>
    </dxf>
    <dxf>
      <border outline="0">
        <left style="thin">
          <color theme="0"/>
        </left>
        <right style="thin">
          <color theme="0"/>
        </right>
        <top style="thin">
          <color theme="0"/>
        </top>
      </border>
    </dxf>
    <dxf>
      <font>
        <b/>
        <strike val="0"/>
        <outline val="0"/>
        <shadow val="0"/>
        <u val="none"/>
        <vertAlign val="baseline"/>
        <sz val="11"/>
        <color auto="1"/>
        <name val="Calibri"/>
        <scheme val="minor"/>
      </font>
    </dxf>
    <dxf>
      <border outline="0">
        <bottom style="thin">
          <color theme="0"/>
        </bottom>
      </border>
    </dxf>
    <dxf>
      <font>
        <b/>
        <strike val="0"/>
        <outline val="0"/>
        <shadow val="0"/>
        <u val="none"/>
        <vertAlign val="baseline"/>
        <sz val="11"/>
        <color auto="1"/>
        <name val="Calibri"/>
        <scheme val="minor"/>
      </font>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9" formatCode="0.00000\ &quot;KB&quot;"/>
      <fill>
        <patternFill patternType="solid">
          <fgColor indexed="64"/>
          <bgColor rgb="FFFFFF00"/>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9" formatCode="0.00000\ &quot;KB&quo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fill>
        <patternFill patternType="solid">
          <fgColor indexed="64"/>
          <bgColor theme="4" tint="0.39997558519241921"/>
        </patternFill>
      </fill>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border>
        <bottom style="thin">
          <color theme="0"/>
        </bottom>
      </border>
    </dxf>
    <dxf>
      <fill>
        <patternFill patternType="solid">
          <fgColor indexed="64"/>
          <bgColor theme="4" tint="-0.249977111117893"/>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strike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b/>
        <strike val="0"/>
        <outline val="0"/>
        <shadow val="0"/>
        <u val="none"/>
        <vertAlign val="baseline"/>
        <sz val="11"/>
        <color auto="1"/>
        <name val="Calibri"/>
        <scheme val="minor"/>
      </font>
    </dxf>
    <dxf>
      <font>
        <b/>
        <strike val="0"/>
        <outline val="0"/>
        <shadow val="0"/>
        <u val="none"/>
        <vertAlign val="baseline"/>
        <sz val="11"/>
        <color auto="1"/>
        <name val="Calibri"/>
        <scheme val="minor"/>
      </font>
      <numFmt numFmtId="165" formatCode="0\ &quot;KB&quot;"/>
      <alignment horizontal="left"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numFmt numFmtId="164" formatCode="###\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5" tint="-0.249977111117893"/>
        <name val="Calibri"/>
        <scheme val="minor"/>
      </font>
      <numFmt numFmtId="165" formatCode="0\ &quot;KB&quot;"/>
      <alignment horizontal="center" vertical="bottom" textRotation="0" wrapText="0" indent="0" justifyLastLine="0" shrinkToFit="0" readingOrder="0"/>
      <border diagonalUp="0" diagonalDown="0" outline="0">
        <left style="thin">
          <color theme="0"/>
        </left>
        <right/>
        <top/>
        <bottom style="thin">
          <color theme="0"/>
        </bottom>
      </border>
    </dxf>
    <dxf>
      <font>
        <b/>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left" vertical="bottom" textRotation="0" wrapText="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5" tint="-0.249977111117893"/>
        <name val="Calibri"/>
        <scheme val="minor"/>
      </font>
      <numFmt numFmtId="164" formatCode="###\ &quot;KB&quot;"/>
      <alignment horizontal="center" vertical="bottom" textRotation="0" wrapText="0" indent="0" justifyLastLine="0" shrinkToFit="0" readingOrder="0"/>
      <border diagonalUp="0" diagonalDown="0" outline="0">
        <left/>
        <right style="thin">
          <color theme="0"/>
        </right>
        <top/>
        <bottom style="thin">
          <color theme="0"/>
        </bottom>
      </border>
    </dxf>
    <dxf>
      <border outline="0">
        <top style="thin">
          <color theme="0"/>
        </top>
      </border>
    </dxf>
    <dxf>
      <border outline="0">
        <left style="thin">
          <color theme="0"/>
        </left>
        <right style="thin">
          <color theme="0"/>
        </right>
        <top style="thin">
          <color theme="0"/>
        </top>
      </border>
    </dxf>
    <dxf>
      <font>
        <b/>
        <strike val="0"/>
        <outline val="0"/>
        <shadow val="0"/>
        <u val="none"/>
        <vertAlign val="baseline"/>
        <sz val="11"/>
        <color auto="1"/>
        <name val="Calibri"/>
        <scheme val="minor"/>
      </font>
    </dxf>
    <dxf>
      <border outline="0">
        <bottom style="thin">
          <color theme="0"/>
        </bottom>
      </border>
    </dxf>
    <dxf>
      <font>
        <b/>
        <strike val="0"/>
        <outline val="0"/>
        <shadow val="0"/>
        <u val="none"/>
        <vertAlign val="baseline"/>
        <sz val="11"/>
        <color auto="1"/>
        <name val="Calibri"/>
        <scheme val="minor"/>
      </font>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9" formatCode="0.00000\ &quot;KB&quot;"/>
      <fill>
        <patternFill patternType="solid">
          <fgColor indexed="64"/>
          <bgColor rgb="FFFFFF00"/>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9" formatCode="0.00000\ &quot;KB&quo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fill>
        <patternFill patternType="solid">
          <fgColor indexed="64"/>
          <bgColor theme="4" tint="0.39997558519241921"/>
        </patternFill>
      </fill>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border>
        <bottom style="thin">
          <color theme="0"/>
        </bottom>
      </border>
    </dxf>
    <dxf>
      <fill>
        <patternFill patternType="solid">
          <fgColor indexed="64"/>
          <bgColor theme="4" tint="-0.249977111117893"/>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strike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b/>
        <strike val="0"/>
        <outline val="0"/>
        <shadow val="0"/>
        <u val="none"/>
        <vertAlign val="baseline"/>
        <sz val="11"/>
        <color auto="1"/>
        <name val="Calibri"/>
        <scheme val="minor"/>
      </font>
    </dxf>
    <dxf>
      <font>
        <b/>
        <strike val="0"/>
        <outline val="0"/>
        <shadow val="0"/>
        <u val="none"/>
        <vertAlign val="baseline"/>
        <sz val="11"/>
        <color auto="1"/>
        <name val="Calibri"/>
        <scheme val="minor"/>
      </font>
      <numFmt numFmtId="165" formatCode="0\ &quot;KB&quot;"/>
      <alignment horizontal="left"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strike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numFmt numFmtId="164" formatCode="###\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5" tint="-0.249977111117893"/>
        <name val="Calibri"/>
        <scheme val="minor"/>
      </font>
      <numFmt numFmtId="165" formatCode="0\ &quot;KB&quot;"/>
      <alignment horizontal="center" vertical="bottom" textRotation="0" wrapText="0" indent="0" justifyLastLine="0" shrinkToFit="0" readingOrder="0"/>
      <border diagonalUp="0" diagonalDown="0" outline="0">
        <left style="thin">
          <color theme="0"/>
        </left>
        <right/>
        <top/>
        <bottom style="thin">
          <color theme="0"/>
        </bottom>
      </border>
    </dxf>
    <dxf>
      <font>
        <b/>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left" vertical="bottom" textRotation="0" wrapText="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5" tint="-0.249977111117893"/>
        <name val="Calibri"/>
        <scheme val="minor"/>
      </font>
      <numFmt numFmtId="164" formatCode="###\ &quot;KB&quot;"/>
      <alignment horizontal="center" vertical="bottom" textRotation="0" wrapText="0" indent="0" justifyLastLine="0" shrinkToFit="0" readingOrder="0"/>
      <border diagonalUp="0" diagonalDown="0" outline="0">
        <left/>
        <right style="thin">
          <color theme="0"/>
        </right>
        <top/>
        <bottom style="thin">
          <color theme="0"/>
        </bottom>
      </border>
    </dxf>
    <dxf>
      <border>
        <top style="thin">
          <color theme="0"/>
        </top>
      </border>
    </dxf>
    <dxf>
      <border diagonalUp="0" diagonalDown="0">
        <left style="thin">
          <color theme="0"/>
        </left>
        <right style="thin">
          <color theme="0"/>
        </right>
        <top style="thin">
          <color theme="0"/>
        </top>
        <bottom style="thin">
          <color theme="0"/>
        </bottom>
      </border>
    </dxf>
    <dxf>
      <font>
        <b/>
        <strike val="0"/>
        <outline val="0"/>
        <shadow val="0"/>
        <u val="none"/>
        <vertAlign val="baseline"/>
        <sz val="11"/>
        <color auto="1"/>
        <name val="Calibri"/>
        <scheme val="minor"/>
      </font>
    </dxf>
    <dxf>
      <border outline="0">
        <bottom style="thin">
          <color theme="0"/>
        </bottom>
      </border>
    </dxf>
    <dxf>
      <font>
        <b/>
        <strike val="0"/>
        <outline val="0"/>
        <shadow val="0"/>
        <u val="none"/>
        <vertAlign val="baseline"/>
        <sz val="11"/>
        <color auto="1"/>
        <name val="Calibri"/>
        <scheme val="minor"/>
      </font>
      <border diagonalUp="0" diagonalDown="0">
        <left style="thin">
          <color theme="0"/>
        </left>
        <right style="thin">
          <color theme="0"/>
        </right>
        <top/>
        <bottom/>
        <vertical style="thin">
          <color theme="0"/>
        </vertical>
        <horizontal style="thin">
          <color theme="0"/>
        </horizontal>
      </border>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3"/>
        </patternFill>
      </fill>
    </dxf>
    <dxf>
      <border outline="0">
        <top style="thin">
          <color theme="0"/>
        </top>
        <bottom style="thin">
          <color theme="0"/>
        </bottom>
      </border>
    </dxf>
    <dxf>
      <fill>
        <patternFill patternType="solid">
          <fgColor indexed="64"/>
          <bgColor theme="3"/>
        </patternFill>
      </fill>
      <alignment horizontal="general" vertical="bottom"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3"/>
        </patternFill>
      </fill>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9" formatCode="0.00000\ &quot;KB&quot;"/>
      <fill>
        <patternFill patternType="solid">
          <fgColor indexed="64"/>
          <bgColor rgb="FFFFFF00"/>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9" formatCode="0.00000\ &quot;KB&quo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auto="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numFmt numFmtId="165" formatCode="0\ &quot;KB&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auto="1"/>
        <name val="Calibri"/>
        <scheme val="minor"/>
      </font>
      <fill>
        <patternFill patternType="solid">
          <fgColor indexed="64"/>
          <bgColor theme="4" tint="0.39997558519241921"/>
        </patternFill>
      </fill>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border>
        <bottom style="thin">
          <color theme="0"/>
        </bottom>
      </border>
    </dxf>
    <dxf>
      <fill>
        <patternFill patternType="solid">
          <fgColor indexed="64"/>
          <bgColor theme="4" tint="-0.249977111117893"/>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border diagonalUp="0" diagonalDown="0">
        <left style="thin">
          <color theme="0"/>
        </left>
        <right/>
        <top style="thin">
          <color theme="0"/>
        </top>
        <bottom style="thin">
          <color theme="0"/>
        </bottom>
        <vertical style="thin">
          <color theme="0"/>
        </vertical>
        <horizontal style="thin">
          <color theme="0"/>
        </horizontal>
      </border>
    </dxf>
    <dxf>
      <border diagonalUp="0" diagonalDown="0" outline="0">
        <left style="thin">
          <color theme="0"/>
        </left>
        <right style="thin">
          <color theme="0"/>
        </right>
        <top/>
        <bottom/>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rgb="FF008000"/>
        <name val="Calibri"/>
        <scheme val="none"/>
      </font>
      <numFmt numFmtId="172" formatCode="0.000"/>
      <fill>
        <patternFill patternType="none">
          <fgColor theme="4" tint="0.79998168889431442"/>
          <bgColor theme="4" tint="0.79998168889431442"/>
        </patternFill>
      </fill>
      <alignment horizontal="center" vertical="center" textRotation="0" wrapText="0" indent="0" justifyLastLine="0" shrinkToFit="0" readingOrder="0"/>
    </dxf>
    <dxf>
      <numFmt numFmtId="14" formatCode="0.00%"/>
      <fill>
        <patternFill patternType="none"/>
      </fill>
      <alignment horizontal="center" vertical="bottom" textRotation="0" wrapText="0" indent="0" justifyLastLine="0" shrinkToFit="0" readingOrder="0"/>
    </dxf>
    <dxf>
      <fill>
        <patternFill patternType="none"/>
      </fill>
      <alignment horizontal="center" vertical="bottom" textRotation="0" wrapText="0" indent="0" justifyLastLine="0" shrinkToFit="0" readingOrder="0"/>
    </dxf>
    <dxf>
      <numFmt numFmtId="1" formatCode="0"/>
      <fill>
        <patternFill patternType="none"/>
      </fill>
      <alignment horizontal="center" vertical="bottom" textRotation="0" wrapText="0" indent="0" justifyLastLine="0" shrinkToFit="0" readingOrder="0"/>
    </dxf>
    <dxf>
      <fill>
        <patternFill patternType="none"/>
      </fill>
    </dxf>
    <dxf>
      <fill>
        <patternFill patternType="none"/>
      </fill>
      <alignment horizontal="center" vertical="bottom"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77"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77"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77"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77"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int="0.39997558519241921"/>
        </top>
        <bottom style="thin">
          <color theme="6" tint="0.39997558519241921"/>
        </bottom>
      </border>
    </dxf>
    <dxf>
      <border outline="0">
        <top style="thin">
          <color theme="6" tint="0.39997558519241921"/>
        </top>
      </border>
    </dxf>
    <dxf>
      <border outline="0">
        <left style="thin">
          <color theme="6" tint="0.39997558519241921"/>
        </left>
        <right style="thin">
          <color theme="6" tint="0.39997558519241921"/>
        </right>
        <top style="thin">
          <color theme="6" tint="0.39997558519241921"/>
        </top>
        <bottom style="thin">
          <color theme="6" tint="0.39997558519241921"/>
        </bottom>
      </border>
    </dxf>
    <dxf>
      <fill>
        <patternFill patternType="none">
          <fgColor indexed="64"/>
          <bgColor auto="1"/>
        </patternFill>
      </fill>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border diagonalUp="0" diagonalDown="0">
        <left/>
        <right style="medium">
          <color indexed="64"/>
        </right>
        <top/>
        <bottom/>
        <vertical/>
        <horizontal/>
      </border>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border diagonalUp="0" diagonalDown="0">
        <left style="medium">
          <color indexed="64"/>
        </left>
        <right/>
        <top/>
        <bottom/>
        <vertical/>
        <horizontal/>
      </border>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strike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5" formatCode="#,##0;\-#,##0"/>
      <alignment horizontal="center" vertical="bottom" textRotation="0" wrapText="0" indent="0" justifyLastLine="0" shrinkToFit="0" readingOrder="0"/>
    </dxf>
    <dxf>
      <numFmt numFmtId="0" formatCode="General"/>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border diagonalUp="0" diagonalDown="0">
        <left/>
        <right style="medium">
          <color indexed="64"/>
        </right>
        <top/>
        <bottom/>
        <vertical/>
        <horizontal/>
      </border>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strike val="0"/>
        <outline val="0"/>
        <shadow val="0"/>
        <u val="none"/>
        <vertAlign val="baseline"/>
        <sz val="11"/>
        <color auto="1"/>
        <name val="Calibri"/>
        <scheme val="minor"/>
      </font>
      <numFmt numFmtId="2" formatCode="0.00"/>
      <fill>
        <patternFill patternType="none">
          <fgColor indexed="64"/>
          <bgColor auto="1"/>
        </patternFill>
      </fill>
      <alignment horizontal="center" vertical="bottom" textRotation="0" wrapText="0" indent="0" justifyLastLine="0" shrinkToFit="0" readingOrder="0"/>
      <border diagonalUp="0" diagonalDown="0">
        <left style="medium">
          <color indexed="64"/>
        </left>
        <right/>
        <top/>
        <bottom/>
        <vertical/>
        <horizontal/>
      </border>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strike val="0"/>
        <outline val="0"/>
        <shadow val="0"/>
        <u val="none"/>
        <vertAlign val="baseline"/>
        <sz val="11"/>
        <color theme="0"/>
        <name val="Calibri"/>
        <scheme val="minor"/>
      </font>
      <numFmt numFmtId="2" formatCode="0.00"/>
      <fill>
        <patternFill patternType="solid">
          <fgColor indexed="64"/>
          <bgColor theme="5" tint="0.59999389629810485"/>
        </patternFill>
      </fill>
      <alignment horizontal="center" vertical="bottom" textRotation="0" wrapText="0" indent="0" justifyLastLine="0" shrinkToFit="0" readingOrder="0"/>
    </dxf>
    <dxf>
      <numFmt numFmtId="0" formatCode="General"/>
    </dxf>
    <dxf>
      <font>
        <b/>
        <i val="0"/>
        <strike val="0"/>
        <condense val="0"/>
        <extend val="0"/>
        <outline val="0"/>
        <shadow val="0"/>
        <u val="none"/>
        <vertAlign val="baseline"/>
        <sz val="11"/>
        <color theme="0"/>
        <name val="Calibri"/>
        <scheme val="minor"/>
      </font>
      <numFmt numFmtId="1" formatCode="0"/>
      <fill>
        <patternFill patternType="solid">
          <fgColor indexed="64"/>
          <bgColor theme="6" tint="-0.249977111117893"/>
        </patternFill>
      </fill>
      <alignment horizontal="center" vertical="center" textRotation="0" wrapText="0" indent="0" justifyLastLine="0" shrinkToFit="0" readingOrder="0"/>
    </dxf>
    <dxf>
      <numFmt numFmtId="1" formatCode="0"/>
      <alignment horizontal="center" vertical="center" textRotation="0" indent="0" justifyLastLine="0" shrinkToFit="0" readingOrder="0"/>
    </dxf>
    <dxf>
      <font>
        <b/>
        <strike val="0"/>
        <outline val="0"/>
        <shadow val="0"/>
        <u val="none"/>
        <vertAlign val="baseline"/>
        <sz val="11"/>
        <color theme="0"/>
        <name val="Calibri"/>
        <scheme val="minor"/>
      </font>
      <fill>
        <patternFill patternType="solid">
          <fgColor indexed="64"/>
          <bgColor theme="6" tint="-0.249977111117893"/>
        </patternFill>
      </fill>
      <alignment horizontal="center" vertical="center" textRotation="0" indent="0" justifyLastLine="0" shrinkToFit="0" readingOrder="0"/>
    </dxf>
    <dxf>
      <border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6" tint="-0.249977111117893"/>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numFmt numFmtId="1" formatCode="0"/>
      <fill>
        <patternFill patternType="solid">
          <fgColor indexed="64"/>
          <bgColor theme="6" tint="-0.249977111117893"/>
        </patternFill>
      </fill>
      <alignment horizontal="center" vertical="center" textRotation="0" wrapText="0" indent="0" justifyLastLine="0" shrinkToFit="0" readingOrder="0"/>
    </dxf>
    <dxf>
      <font>
        <b/>
        <strike val="0"/>
        <outline val="0"/>
        <shadow val="0"/>
        <u val="none"/>
        <vertAlign val="baseline"/>
        <sz val="11"/>
        <color auto="1"/>
        <name val="Calibri"/>
        <scheme val="minor"/>
      </font>
      <numFmt numFmtId="1" formatCode="0"/>
      <fill>
        <patternFill patternType="none">
          <fgColor indexed="64"/>
          <bgColor auto="1"/>
        </patternFill>
      </fill>
      <alignment horizontal="center" vertical="center" textRotation="0" indent="0" justifyLastLine="0" shrinkToFit="0" readingOrder="0"/>
    </dxf>
    <dxf>
      <font>
        <b/>
        <i val="0"/>
        <strike val="0"/>
        <condense val="0"/>
        <extend val="0"/>
        <outline val="0"/>
        <shadow val="0"/>
        <u val="none"/>
        <vertAlign val="baseline"/>
        <sz val="11"/>
        <color theme="0"/>
        <name val="Calibri"/>
        <scheme val="minor"/>
      </font>
      <numFmt numFmtId="171" formatCode="0\ &quot;ms&quot;"/>
      <fill>
        <patternFill patternType="solid">
          <fgColor indexed="64"/>
          <bgColor theme="6" tint="-0.249977111117893"/>
        </patternFill>
      </fill>
      <alignment horizontal="center" vertical="center" textRotation="0" wrapText="0" indent="0" justifyLastLine="0" shrinkToFit="0" readingOrder="0"/>
      <border diagonalUp="0" diagonalDown="0" outline="0">
        <left/>
        <right/>
        <top/>
        <bottom/>
      </border>
    </dxf>
    <dxf>
      <numFmt numFmtId="171" formatCode="0\ &quot;ms&quot;"/>
      <alignment horizontal="center" vertical="center" textRotation="0" indent="0" justifyLastLine="0" shrinkToFit="0" readingOrder="0"/>
    </dxf>
    <dxf>
      <font>
        <b/>
        <i val="0"/>
        <strike val="0"/>
        <condense val="0"/>
        <extend val="0"/>
        <outline val="0"/>
        <shadow val="0"/>
        <u val="none"/>
        <vertAlign val="baseline"/>
        <sz val="11"/>
        <color theme="0"/>
        <name val="Calibri"/>
        <scheme val="minor"/>
      </font>
      <numFmt numFmtId="175" formatCode="0.00\ &quot;Mbits/sec&quot;"/>
      <fill>
        <patternFill patternType="solid">
          <fgColor indexed="64"/>
          <bgColor theme="6" tint="-0.249977111117893"/>
        </patternFill>
      </fill>
      <alignment horizontal="center" vertical="center" textRotation="0" wrapText="0" indent="0" justifyLastLine="0" shrinkToFit="0" readingOrder="0"/>
      <border diagonalUp="0" diagonalDown="0" outline="0">
        <left/>
        <right/>
        <top/>
        <bottom/>
      </border>
    </dxf>
    <dxf>
      <numFmt numFmtId="175" formatCode="0.00\ &quot;Mbits/sec&quot;"/>
      <alignment horizontal="center" vertical="center" textRotation="0" indent="0" justifyLastLine="0" shrinkToFit="0" readingOrder="0"/>
    </dxf>
    <dxf>
      <font>
        <b/>
        <i val="0"/>
        <strike val="0"/>
        <condense val="0"/>
        <extend val="0"/>
        <outline val="0"/>
        <shadow val="0"/>
        <u val="none"/>
        <vertAlign val="baseline"/>
        <sz val="11"/>
        <color theme="0"/>
        <name val="Calibri"/>
        <scheme val="minor"/>
      </font>
      <numFmt numFmtId="175" formatCode="0.00\ &quot;Mbits/sec&quot;"/>
      <fill>
        <patternFill patternType="solid">
          <fgColor indexed="64"/>
          <bgColor theme="6" tint="-0.249977111117893"/>
        </patternFill>
      </fill>
      <alignment horizontal="center" vertical="center" textRotation="0" wrapText="0" indent="0" justifyLastLine="0" shrinkToFit="0" readingOrder="0"/>
      <border diagonalUp="0" diagonalDown="0" outline="0">
        <left/>
        <right/>
        <top/>
        <bottom/>
      </border>
    </dxf>
    <dxf>
      <numFmt numFmtId="175" formatCode="0.00\ &quot;Mbits/sec&quot;"/>
      <alignment horizontal="center" vertical="center" textRotation="0" indent="0" justifyLastLine="0" shrinkToFit="0" readingOrder="0"/>
    </dxf>
    <dxf>
      <font>
        <b/>
        <strike val="0"/>
        <outline val="0"/>
        <shadow val="0"/>
        <u val="none"/>
        <vertAlign val="baseline"/>
        <sz val="11"/>
        <color theme="0"/>
        <name val="Calibri"/>
        <scheme val="minor"/>
      </font>
      <fill>
        <patternFill patternType="solid">
          <fgColor indexed="64"/>
          <bgColor theme="6" tint="-0.249977111117893"/>
        </patternFill>
      </fill>
      <alignment horizontal="center" vertical="center" textRotation="0" indent="0" justifyLastLine="0" shrinkToFit="0" readingOrder="0"/>
    </dxf>
    <dxf>
      <border outline="0">
        <left style="thin">
          <color theme="0"/>
        </left>
        <right style="thin">
          <color theme="0"/>
        </right>
        <top style="thin">
          <color theme="0"/>
        </top>
        <bottom style="thin">
          <color theme="0"/>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indent="0" justifyLastLine="0" shrinkToFit="0" readingOrder="0"/>
    </dxf>
    <dxf>
      <border outline="0">
        <bottom style="thin">
          <color theme="0"/>
        </bottom>
      </border>
    </dxf>
    <dxf>
      <font>
        <b val="0"/>
        <i val="0"/>
        <strike val="0"/>
        <condense val="0"/>
        <extend val="0"/>
        <outline val="0"/>
        <shadow val="0"/>
        <u val="none"/>
        <vertAlign val="baseline"/>
        <sz val="11"/>
        <color theme="0"/>
        <name val="Calibri"/>
        <scheme val="minor"/>
      </font>
      <fill>
        <patternFill patternType="solid">
          <fgColor indexed="64"/>
          <bgColor theme="6" tint="-0.249977111117893"/>
        </patternFill>
      </fill>
      <alignment horizontal="center" vertical="center" textRotation="0" wrapText="1" indent="0" justifyLastLine="0" shrinkToFit="0" readingOrder="0"/>
      <border diagonalUp="0" diagonalDown="0" outline="0">
        <left style="thin">
          <color theme="0"/>
        </left>
        <right style="thin">
          <color theme="0"/>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72" formatCode="0.000"/>
      <alignment horizontal="center" vertical="bottom" textRotation="0" wrapText="0" indent="0" justifyLastLine="0" shrinkToFit="0" readingOrder="0"/>
      <border diagonalUp="0" diagonalDown="0" outline="0">
        <left style="thin">
          <color auto="1"/>
        </left>
        <right/>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 formatCode="0"/>
      <alignment horizontal="center" vertical="bottom" textRotation="0" wrapText="0" indent="0" justifyLastLine="0" shrinkToFit="0" readingOrder="0"/>
      <border diagonalUp="0" diagonalDown="0" outline="0">
        <left style="thin">
          <color auto="1"/>
        </left>
        <right style="thin">
          <color auto="1"/>
        </right>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 formatCode="0"/>
      <alignment horizontal="center" vertical="bottom" textRotation="0" wrapText="0" indent="0" justifyLastLine="0" shrinkToFit="0" readingOrder="0"/>
      <border diagonalUp="0" diagonalDown="0" outline="0">
        <left/>
        <right style="thin">
          <color auto="1"/>
        </right>
        <top/>
        <bottom style="thin">
          <color auto="1"/>
        </bottom>
      </border>
    </dxf>
    <dxf>
      <border>
        <top style="thin">
          <color theme="0"/>
        </top>
      </border>
    </dxf>
    <dxf>
      <alignment horizontal="center" vertical="bottom"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border diagonalUp="0" diagonalDown="0">
        <left style="thin">
          <color theme="0"/>
        </left>
        <right style="thin">
          <color theme="0"/>
        </right>
        <top style="thin">
          <color theme="0"/>
        </top>
        <bottom style="thin">
          <color theme="0"/>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72" formatCode="0.000"/>
      <alignment horizontal="center" vertical="bottom" textRotation="0" wrapText="0" indent="0" justifyLastLine="0" shrinkToFit="0" readingOrder="0"/>
      <border diagonalUp="0" diagonalDown="0" outline="0">
        <left style="thin">
          <color auto="1"/>
        </left>
        <right/>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 formatCode="0"/>
      <alignment horizontal="center" vertical="bottom" textRotation="0" wrapText="0" indent="0" justifyLastLine="0" shrinkToFit="0" readingOrder="0"/>
      <border diagonalUp="0" diagonalDown="0" outline="0">
        <left style="thin">
          <color auto="1"/>
        </left>
        <right style="thin">
          <color auto="1"/>
        </right>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 formatCode="0"/>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2" formatCode="0.000"/>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72" formatCode="0.000"/>
      <alignment horizontal="center" vertical="bottom" textRotation="0" wrapText="0" indent="0" justifyLastLine="0" shrinkToFit="0" readingOrder="0"/>
      <border diagonalUp="0" diagonalDown="0" outline="0">
        <left style="thin">
          <color auto="1"/>
        </left>
        <right/>
        <top/>
        <bottom style="thin">
          <color auto="1"/>
        </bottom>
      </border>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 formatCode="0"/>
      <alignment horizontal="center" vertical="bottom" textRotation="0" wrapText="0" indent="0" justifyLastLine="0" shrinkToFit="0" readingOrder="0"/>
      <border diagonalUp="0" diagonalDown="0" outline="0">
        <left style="thin">
          <color auto="1"/>
        </left>
        <right style="thin">
          <color auto="1"/>
        </right>
        <top/>
        <bottom style="thin">
          <color auto="1"/>
        </bottom>
      </border>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 formatCode="0"/>
      <alignment horizontal="center" vertical="bottom" textRotation="0" wrapText="0" indent="0" justifyLastLine="0" shrinkToFit="0" readingOrder="0"/>
      <border diagonalUp="0" diagonalDown="0" outline="0">
        <left/>
        <right style="thin">
          <color auto="1"/>
        </right>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alignment horizontal="center" vertical="bottom" textRotation="0" wrapText="0" indent="0" justifyLastLine="0" shrinkToFit="0" readingOrder="0"/>
    </dxf>
    <dxf>
      <numFmt numFmtId="172" formatCode="0.000"/>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72" formatCode="0.000"/>
      <alignment horizontal="center" vertical="bottom" textRotation="0" wrapText="0" indent="0" justifyLastLine="0" shrinkToFit="0" readingOrder="0"/>
      <border diagonalUp="0" diagonalDown="0" outline="0">
        <left style="thin">
          <color auto="1"/>
        </left>
        <right/>
        <top/>
        <bottom style="thin">
          <color auto="1"/>
        </bottom>
      </border>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 formatCode="0"/>
      <alignment horizontal="center" vertical="bottom" textRotation="0" wrapText="0" indent="0" justifyLastLine="0" shrinkToFit="0" readingOrder="0"/>
      <border diagonalUp="0" diagonalDown="0" outline="0">
        <left style="thin">
          <color auto="1"/>
        </left>
        <right style="thin">
          <color auto="1"/>
        </right>
        <top/>
        <bottom style="thin">
          <color auto="1"/>
        </bottom>
      </border>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 formatCode="0"/>
      <alignment horizontal="center" vertical="bottom" textRotation="0" wrapText="0" indent="0" justifyLastLine="0" shrinkToFit="0" readingOrder="0"/>
      <border diagonalUp="0" diagonalDown="0" outline="0">
        <left/>
        <right style="thin">
          <color auto="1"/>
        </right>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5" formatCode="#,##0;\-#,##0"/>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thin">
          <color theme="0"/>
        </left>
        <right style="thin">
          <color theme="0"/>
        </right>
        <top/>
        <bottom/>
        <vertical style="thin">
          <color theme="0"/>
        </vertical>
        <horizontal style="thin">
          <color theme="0"/>
        </horizontal>
      </border>
    </dxf>
    <dxf>
      <border outline="0">
        <right style="thin">
          <color rgb="FFFFFFFF"/>
        </right>
        <bottom style="thin">
          <color rgb="FFFFFFFF"/>
        </bottom>
      </border>
    </dxf>
    <dxf>
      <fill>
        <patternFill patternType="solid">
          <fgColor indexed="64"/>
          <bgColor theme="4" tint="-0.499984740745262"/>
        </patternFill>
      </fill>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rgb="FF0000FF"/>
        <name val="Calibri"/>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dxf>
    <dxf>
      <border outline="0">
        <top style="thin">
          <color theme="0"/>
        </top>
      </border>
    </dxf>
    <dxf>
      <font>
        <strike val="0"/>
        <outline val="0"/>
        <shadow val="0"/>
        <u val="none"/>
        <vertAlign val="baseline"/>
        <sz val="11"/>
        <color auto="1"/>
        <name val="Calibri"/>
        <scheme val="minor"/>
      </font>
      <fill>
        <patternFill patternType="none">
          <fgColor indexed="64"/>
          <bgColor auto="1"/>
        </patternFill>
      </fill>
    </dxf>
    <dxf>
      <border outline="0">
        <bottom style="thin">
          <color theme="0"/>
        </bottom>
      </border>
    </dxf>
    <dxf>
      <font>
        <strike val="0"/>
        <outline val="0"/>
        <shadow val="0"/>
        <u val="none"/>
        <vertAlign val="baseline"/>
        <sz val="11"/>
        <color theme="0"/>
        <name val="Calibri"/>
        <scheme val="minor"/>
      </font>
      <fill>
        <patternFill patternType="none">
          <fgColor indexed="64"/>
          <bgColor auto="1"/>
        </patternFill>
      </fill>
    </dxf>
    <dxf>
      <font>
        <b val="0"/>
        <strike val="0"/>
        <outline val="0"/>
        <shadow val="0"/>
        <u val="none"/>
        <vertAlign val="baseline"/>
        <sz val="11"/>
        <color rgb="FF0000FF"/>
        <name val="Calibri"/>
        <scheme val="minor"/>
      </font>
      <alignment horizontal="right" vertical="bottom" textRotation="0" wrapText="0" indent="0" justifyLastLine="0" shrinkToFit="0" readingOrder="0"/>
    </dxf>
    <dxf>
      <fill>
        <patternFill patternType="solid">
          <fgColor indexed="64"/>
          <bgColor theme="4" tint="0.39997558519241921"/>
        </patternFill>
      </fill>
      <alignment horizontal="center" vertical="center" textRotation="0" wrapText="0" indent="0" justifyLastLine="0" shrinkToFit="0" readingOrder="0"/>
      <border diagonalUp="0" diagonalDown="0" outline="0">
        <left/>
        <right/>
        <top/>
        <bottom/>
      </border>
    </dxf>
    <dxf>
      <alignment horizontal="general" vertical="bottom" textRotation="0" wrapText="0" indent="0" justifyLastLine="0" shrinkToFit="0" readingOrder="0"/>
    </dxf>
    <dxf>
      <fill>
        <patternFill patternType="solid">
          <fgColor indexed="64"/>
          <bgColor theme="4" tint="0.39997558519241921"/>
        </patternFill>
      </fill>
      <alignment horizontal="general" vertical="center" textRotation="0" wrapText="0" indent="0" justifyLastLine="0" shrinkToFit="0" readingOrder="0"/>
      <border diagonalUp="0" diagonalDown="0" outline="0">
        <left/>
        <right/>
        <top/>
        <bottom/>
      </border>
    </dxf>
    <dxf>
      <border>
        <top style="thin">
          <color theme="1"/>
        </top>
      </border>
    </dxf>
    <dxf>
      <border diagonalUp="0" diagonalDown="0">
        <left style="medium">
          <color theme="1"/>
        </left>
        <right style="medium">
          <color theme="1"/>
        </right>
        <top style="medium">
          <color theme="1"/>
        </top>
        <bottom style="medium">
          <color theme="1"/>
        </bottom>
      </border>
    </dxf>
    <dxf>
      <alignment horizontal="general" vertical="bottom" textRotation="0" wrapText="0" indent="0" justifyLastLine="0" shrinkToFit="0" readingOrder="0"/>
    </dxf>
    <dxf>
      <border>
        <bottom style="thin">
          <color indexed="64"/>
        </bottom>
      </border>
    </dxf>
    <dxf>
      <fill>
        <patternFill patternType="solid">
          <fgColor indexed="64"/>
          <bgColor theme="4" tint="0.39997558519241921"/>
        </patternFill>
      </fill>
      <alignment horizontal="general" vertical="center" textRotation="0" wrapText="0" indent="0" justifyLastLine="0" shrinkToFit="0" readingOrder="0"/>
      <border diagonalUp="0" diagonalDown="0">
        <left style="thin">
          <color theme="1"/>
        </left>
        <right style="thin">
          <color theme="1"/>
        </right>
        <top/>
        <bottom/>
        <vertical style="thin">
          <color theme="1"/>
        </vertical>
        <horizontal style="thin">
          <color theme="1"/>
        </horizontal>
      </border>
    </dxf>
    <dxf>
      <font>
        <b val="0"/>
        <strike val="0"/>
        <outline val="0"/>
        <shadow val="0"/>
        <u val="none"/>
        <vertAlign val="baseline"/>
        <sz val="11"/>
        <color rgb="FF0000FF"/>
        <name val="Calibri"/>
        <scheme val="minor"/>
      </font>
      <alignment horizontal="right" vertical="bottom" textRotation="0" wrapText="0" indent="0" justifyLastLine="0" shrinkToFit="0" readingOrder="0"/>
    </dxf>
    <dxf>
      <fill>
        <patternFill patternType="solid">
          <fgColor indexed="64"/>
          <bgColor theme="4" tint="0.39997558519241921"/>
        </patternFill>
      </fill>
      <alignment horizontal="center" vertical="center" textRotation="0" wrapText="0" indent="0" justifyLastLine="0" shrinkToFit="0" readingOrder="0"/>
      <border diagonalUp="0" diagonalDown="0" outline="0">
        <left/>
        <right/>
        <top/>
        <bottom/>
      </border>
    </dxf>
    <dxf>
      <alignment horizontal="general" vertical="bottom" textRotation="0" wrapText="0" indent="0" justifyLastLine="0" shrinkToFit="0" readingOrder="0"/>
    </dxf>
    <dxf>
      <fill>
        <patternFill patternType="solid">
          <fgColor indexed="64"/>
          <bgColor theme="4" tint="0.39997558519241921"/>
        </patternFill>
      </fill>
      <alignment horizontal="general" vertical="center" textRotation="0" wrapText="0" indent="0" justifyLastLine="0" shrinkToFit="0" readingOrder="0"/>
      <border diagonalUp="0" diagonalDown="0" outline="0">
        <left/>
        <right/>
        <top/>
        <bottom/>
      </border>
    </dxf>
    <dxf>
      <border>
        <top style="thin">
          <color theme="1"/>
        </top>
      </border>
    </dxf>
    <dxf>
      <border diagonalUp="0" diagonalDown="0">
        <left style="medium">
          <color theme="1"/>
        </left>
        <right style="medium">
          <color theme="1"/>
        </right>
        <top style="medium">
          <color theme="1"/>
        </top>
        <bottom style="medium">
          <color theme="1"/>
        </bottom>
      </border>
    </dxf>
    <dxf>
      <alignment horizontal="general" vertical="bottom" textRotation="0" wrapText="0" indent="0" justifyLastLine="0" shrinkToFit="0" readingOrder="0"/>
    </dxf>
    <dxf>
      <border>
        <bottom style="thin">
          <color indexed="64"/>
        </bottom>
      </border>
    </dxf>
    <dxf>
      <fill>
        <patternFill patternType="solid">
          <fgColor indexed="64"/>
          <bgColor theme="4" tint="0.39997558519241921"/>
        </patternFill>
      </fill>
      <alignment horizontal="general" vertical="center" textRotation="0" wrapText="0" indent="0" justifyLastLine="0" shrinkToFit="0" readingOrder="0"/>
      <border diagonalUp="0" diagonalDown="0">
        <left style="thin">
          <color theme="1"/>
        </left>
        <right style="thin">
          <color theme="1"/>
        </right>
        <top/>
        <bottom/>
        <vertical style="thin">
          <color theme="1"/>
        </vertical>
        <horizontal style="thin">
          <color theme="1"/>
        </horizontal>
      </border>
    </dxf>
    <dxf>
      <font>
        <b val="0"/>
        <strike val="0"/>
        <outline val="0"/>
        <shadow val="0"/>
        <u val="none"/>
        <vertAlign val="baseline"/>
        <sz val="11"/>
        <color rgb="FF0000FF"/>
        <name val="Calibri"/>
        <scheme val="minor"/>
      </font>
      <alignment horizontal="right" vertical="bottom" textRotation="0" wrapText="0" indent="0" justifyLastLine="0" shrinkToFit="0" readingOrder="0"/>
    </dxf>
    <dxf>
      <fill>
        <patternFill patternType="solid">
          <fgColor indexed="64"/>
          <bgColor theme="4" tint="0.39997558519241921"/>
        </patternFill>
      </fill>
      <alignment horizontal="center" vertical="center" textRotation="0" wrapText="0" indent="0" justifyLastLine="0" shrinkToFit="0" readingOrder="0"/>
      <border diagonalUp="0" diagonalDown="0" outline="0">
        <left/>
        <right/>
        <top/>
        <bottom/>
      </border>
    </dxf>
    <dxf>
      <alignment horizontal="general" vertical="bottom" textRotation="0" wrapText="0" indent="0" justifyLastLine="0" shrinkToFit="0" readingOrder="0"/>
    </dxf>
    <dxf>
      <fill>
        <patternFill patternType="solid">
          <fgColor indexed="64"/>
          <bgColor theme="4" tint="0.39997558519241921"/>
        </patternFill>
      </fill>
      <alignment horizontal="general" vertical="center" textRotation="0" wrapText="0" indent="0" justifyLastLine="0" shrinkToFit="0" readingOrder="0"/>
      <border diagonalUp="0" diagonalDown="0" outline="0">
        <left/>
        <right/>
        <top/>
        <bottom/>
      </border>
    </dxf>
    <dxf>
      <border>
        <top style="thin">
          <color theme="1"/>
        </top>
      </border>
    </dxf>
    <dxf>
      <border diagonalUp="0" diagonalDown="0">
        <left style="medium">
          <color theme="1"/>
        </left>
        <right style="medium">
          <color theme="1"/>
        </right>
        <top style="medium">
          <color theme="1"/>
        </top>
        <bottom style="medium">
          <color theme="1"/>
        </bottom>
      </border>
    </dxf>
    <dxf>
      <alignment horizontal="general" vertical="bottom" textRotation="0" wrapText="0" indent="0" justifyLastLine="0" shrinkToFit="0" readingOrder="0"/>
    </dxf>
    <dxf>
      <border>
        <bottom style="thin">
          <color indexed="64"/>
        </bottom>
      </border>
    </dxf>
    <dxf>
      <fill>
        <patternFill patternType="solid">
          <fgColor indexed="64"/>
          <bgColor theme="4" tint="0.39997558519241921"/>
        </patternFill>
      </fill>
      <alignment horizontal="general" vertical="center" textRotation="0" wrapText="0" indent="0" justifyLastLine="0" shrinkToFit="0" readingOrder="0"/>
      <border diagonalUp="0" diagonalDown="0">
        <left style="thin">
          <color theme="1"/>
        </left>
        <right style="thin">
          <color theme="1"/>
        </right>
        <top/>
        <bottom/>
        <vertical style="thin">
          <color theme="1"/>
        </vertical>
        <horizontal style="thin">
          <color theme="1"/>
        </horizontal>
      </border>
    </dxf>
    <dxf>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7" formatCode="###\ &quot;Hours&quot;"/>
      <fill>
        <patternFill patternType="none">
          <fgColor indexed="64"/>
          <bgColor indexed="65"/>
        </patternFill>
      </fill>
      <alignment horizontal="left" vertical="bottom" textRotation="0" wrapText="0" indent="0" justifyLastLine="0" shrinkToFit="0" readingOrder="0"/>
      <border diagonalUp="0" diagonalDown="0" outline="0">
        <left style="thin">
          <color theme="0"/>
        </left>
        <right/>
        <top/>
        <bottom style="thin">
          <color theme="0"/>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theme="0"/>
        </right>
        <top/>
        <bottom style="thin">
          <color theme="0"/>
        </bottom>
      </border>
    </dxf>
    <dxf>
      <border outline="0">
        <bottom style="thin">
          <color theme="0"/>
        </bottom>
      </border>
    </dxf>
    <dxf>
      <border diagonalUp="0" diagonalDown="0">
        <left style="thin">
          <color auto="1"/>
        </left>
        <right style="thin">
          <color auto="1"/>
        </right>
        <top/>
        <bottom/>
        <vertical style="thin">
          <color auto="1"/>
        </vertical>
        <horizontal style="thin">
          <color auto="1"/>
        </horizontal>
      </border>
    </dxf>
    <dxf>
      <font>
        <b val="0"/>
        <strike val="0"/>
        <outline val="0"/>
        <shadow val="0"/>
        <u val="none"/>
        <vertAlign val="baseline"/>
        <sz val="11"/>
        <color rgb="FF0000FF"/>
        <name val="Calibri"/>
        <scheme val="minor"/>
      </font>
      <alignment horizontal="right" vertical="bottom" textRotation="0" wrapText="0" indent="0" justifyLastLine="0" shrinkToFit="0" readingOrder="0"/>
      <border diagonalUp="0" diagonalDown="0">
        <left style="thin">
          <color auto="1"/>
        </left>
        <right/>
        <top/>
        <bottom/>
        <vertical style="thin">
          <color auto="1"/>
        </vertical>
        <horizontal/>
      </border>
    </dxf>
    <dxf>
      <fill>
        <patternFill patternType="solid">
          <fgColor indexed="64"/>
          <bgColor theme="4" tint="0.39997558519241921"/>
        </patternFill>
      </fill>
      <alignment horizontal="center" vertical="center" textRotation="0" wrapText="0" indent="0" justifyLastLine="0" shrinkToFit="0" readingOrder="0"/>
      <border diagonalUp="0" diagonalDown="0" outline="0">
        <left/>
        <right/>
        <top/>
        <bottom/>
      </border>
    </dxf>
    <dxf>
      <alignment horizontal="general" vertical="bottom" textRotation="0" wrapText="0" indent="0" justifyLastLine="0" shrinkToFit="0" readingOrder="0"/>
      <border diagonalUp="0" diagonalDown="0">
        <left/>
        <right style="thin">
          <color auto="1"/>
        </right>
        <top/>
        <bottom/>
        <vertical style="thin">
          <color auto="1"/>
        </vertical>
        <horizontal/>
      </border>
    </dxf>
    <dxf>
      <fill>
        <patternFill patternType="solid">
          <fgColor indexed="64"/>
          <bgColor theme="4" tint="0.39997558519241921"/>
        </patternFill>
      </fill>
      <alignment horizontal="general" vertical="center" textRotation="0" wrapText="0" indent="0" justifyLastLine="0" shrinkToFit="0" readingOrder="0"/>
      <border diagonalUp="0" diagonalDown="0" outline="0">
        <left/>
        <right/>
        <top/>
        <bottom/>
      </border>
    </dxf>
    <dxf>
      <border>
        <top style="thin">
          <color theme="1"/>
        </top>
      </border>
    </dxf>
    <dxf>
      <border diagonalUp="0" diagonalDown="0">
        <left style="medium">
          <color theme="1"/>
        </left>
        <right style="medium">
          <color theme="1"/>
        </right>
        <top style="medium">
          <color theme="1"/>
        </top>
        <bottom style="medium">
          <color theme="1"/>
        </bottom>
      </border>
    </dxf>
    <dxf>
      <alignment horizontal="general" vertical="bottom" textRotation="0" wrapText="0" indent="0" justifyLastLine="0" shrinkToFit="0" readingOrder="0"/>
    </dxf>
    <dxf>
      <border>
        <bottom style="thin">
          <color indexed="64"/>
        </bottom>
      </border>
    </dxf>
    <dxf>
      <fill>
        <patternFill patternType="solid">
          <fgColor indexed="64"/>
          <bgColor theme="4" tint="0.39997558519241921"/>
        </patternFill>
      </fill>
      <alignment horizontal="general" vertical="center" textRotation="0" wrapText="0" indent="0" justifyLastLine="0" shrinkToFit="0" readingOrder="0"/>
      <border diagonalUp="0" diagonalDown="0">
        <left style="thin">
          <color auto="1"/>
        </left>
        <right style="thin">
          <color auto="1"/>
        </right>
        <top/>
        <bottom/>
        <vertical style="thin">
          <color auto="1"/>
        </vertical>
        <horizontal/>
      </border>
    </dxf>
  </dxfs>
  <tableStyles count="0" defaultTableStyle="TableStyleMedium2" defaultPivotStyle="PivotStyleLight16"/>
  <colors>
    <mruColors>
      <color rgb="FF0000FF"/>
      <color rgb="FFEAF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3"/>
    </mc:Choice>
    <mc:Fallback>
      <c:style val="43"/>
    </mc:Fallback>
  </mc:AlternateContent>
  <c:chart>
    <c:title>
      <c:tx>
        <c:strRef>
          <c:f>'Client Mix'!$B$136</c:f>
          <c:strCache>
            <c:ptCount val="1"/>
          </c:strCache>
        </c:strRef>
      </c:tx>
      <c:layout/>
      <c:overlay val="1"/>
      <c:txPr>
        <a:bodyPr/>
        <a:lstStyle/>
        <a:p>
          <a:pPr>
            <a:defRPr/>
          </a:pPr>
          <a:endParaRPr lang="en-US"/>
        </a:p>
      </c:txPr>
    </c:title>
    <c:autoTitleDeleted val="0"/>
    <c:plotArea>
      <c:layout>
        <c:manualLayout>
          <c:layoutTarget val="inner"/>
          <c:xMode val="edge"/>
          <c:yMode val="edge"/>
          <c:x val="8.0161186088632375E-2"/>
          <c:y val="0.11664705310528993"/>
          <c:w val="0.88682961118159331"/>
          <c:h val="0.74537488046552325"/>
        </c:manualLayout>
      </c:layout>
      <c:lineChart>
        <c:grouping val="standard"/>
        <c:varyColors val="0"/>
        <c:ser>
          <c:idx val="0"/>
          <c:order val="0"/>
          <c:tx>
            <c:v>Exchange to Client</c:v>
          </c:tx>
          <c:marker>
            <c:symbol val="none"/>
          </c:marker>
          <c:dLbls>
            <c:numFmt formatCode="#,##0.00" sourceLinked="0"/>
            <c:txPr>
              <a:bodyPr rot="5400000" vert="horz"/>
              <a:lstStyle/>
              <a:p>
                <a:pPr>
                  <a:defRPr/>
                </a:pPr>
                <a:endParaRPr lang="en-US"/>
              </a:p>
            </c:txPr>
            <c:dLblPos val="t"/>
            <c:showLegendKey val="0"/>
            <c:showVal val="1"/>
            <c:showCatName val="0"/>
            <c:showSerName val="0"/>
            <c:showPercent val="0"/>
            <c:showBubbleSize val="0"/>
            <c:showLeaderLines val="0"/>
          </c:dLbls>
          <c:cat>
            <c:strRef>
              <c:f>'Client Mix'!$P$141:$AM$141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'Client Mix'!$P$241:$AM$241</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1"/>
        </c:ser>
        <c:ser>
          <c:idx val="1"/>
          <c:order val="1"/>
          <c:tx>
            <c:v>Client to Exchange</c:v>
          </c:tx>
          <c:spPr>
            <a:ln>
              <a:solidFill>
                <a:schemeClr val="accent2"/>
              </a:solidFill>
            </a:ln>
          </c:spPr>
          <c:marker>
            <c:symbol val="none"/>
          </c:marker>
          <c:dLbls>
            <c:numFmt formatCode="#,##0.00" sourceLinked="0"/>
            <c:txPr>
              <a:bodyPr rot="5400000" vert="horz"/>
              <a:lstStyle/>
              <a:p>
                <a:pPr>
                  <a:defRPr/>
                </a:pPr>
                <a:endParaRPr lang="en-US"/>
              </a:p>
            </c:txPr>
            <c:dLblPos val="t"/>
            <c:showLegendKey val="0"/>
            <c:showVal val="1"/>
            <c:showCatName val="0"/>
            <c:showSerName val="0"/>
            <c:showPercent val="0"/>
            <c:showBubbleSize val="0"/>
            <c:showLeaderLines val="0"/>
          </c:dLbls>
          <c:cat>
            <c:strRef>
              <c:f>'Client Mix'!$P$141:$AM$141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'Client Mix'!$BO$241:$CL$241</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1"/>
        </c:ser>
        <c:dLbls>
          <c:showLegendKey val="0"/>
          <c:showVal val="0"/>
          <c:showCatName val="0"/>
          <c:showSerName val="0"/>
          <c:showPercent val="0"/>
          <c:showBubbleSize val="0"/>
        </c:dLbls>
        <c:marker val="1"/>
        <c:smooth val="0"/>
        <c:axId val="125970944"/>
        <c:axId val="111897408"/>
      </c:lineChart>
      <c:catAx>
        <c:axId val="125970944"/>
        <c:scaling>
          <c:orientation val="minMax"/>
        </c:scaling>
        <c:delete val="0"/>
        <c:axPos val="b"/>
        <c:majorGridlines/>
        <c:minorGridlines/>
        <c:title>
          <c:tx>
            <c:rich>
              <a:bodyPr/>
              <a:lstStyle/>
              <a:p>
                <a:pPr>
                  <a:defRPr sz="1600"/>
                </a:pPr>
                <a:r>
                  <a:rPr lang="en-US" sz="1600"/>
                  <a:t>Hour of the Day</a:t>
                </a:r>
              </a:p>
            </c:rich>
          </c:tx>
          <c:layout>
            <c:manualLayout>
              <c:xMode val="edge"/>
              <c:yMode val="edge"/>
              <c:x val="0.43893730217704191"/>
              <c:y val="0.93178945655048928"/>
            </c:manualLayout>
          </c:layout>
          <c:overlay val="0"/>
        </c:title>
        <c:majorTickMark val="out"/>
        <c:minorTickMark val="none"/>
        <c:tickLblPos val="nextTo"/>
        <c:crossAx val="111897408"/>
        <c:crosses val="autoZero"/>
        <c:auto val="1"/>
        <c:lblAlgn val="ctr"/>
        <c:lblOffset val="100"/>
        <c:noMultiLvlLbl val="1"/>
      </c:catAx>
      <c:valAx>
        <c:axId val="111897408"/>
        <c:scaling>
          <c:orientation val="minMax"/>
          <c:min val="0"/>
        </c:scaling>
        <c:delete val="0"/>
        <c:axPos val="l"/>
        <c:majorGridlines/>
        <c:minorGridlines/>
        <c:title>
          <c:tx>
            <c:rich>
              <a:bodyPr rot="-5400000" vert="horz"/>
              <a:lstStyle/>
              <a:p>
                <a:pPr>
                  <a:defRPr sz="1400"/>
                </a:pPr>
                <a:r>
                  <a:rPr lang="en-US" sz="1400"/>
                  <a:t>Network Bandwidth (Mbits/Sec)</a:t>
                </a:r>
              </a:p>
              <a:p>
                <a:pPr>
                  <a:defRPr sz="1400"/>
                </a:pPr>
                <a:endParaRPr lang="en-US" sz="1400"/>
              </a:p>
            </c:rich>
          </c:tx>
          <c:layout>
            <c:manualLayout>
              <c:xMode val="edge"/>
              <c:yMode val="edge"/>
              <c:x val="7.3193053691043095E-3"/>
              <c:y val="0.2653940059818104"/>
            </c:manualLayout>
          </c:layout>
          <c:overlay val="0"/>
        </c:title>
        <c:numFmt formatCode="0.00" sourceLinked="1"/>
        <c:majorTickMark val="out"/>
        <c:minorTickMark val="none"/>
        <c:tickLblPos val="nextTo"/>
        <c:crossAx val="125970944"/>
        <c:crosses val="autoZero"/>
        <c:crossBetween val="between"/>
      </c:valAx>
      <c:spPr>
        <a:effectLst>
          <a:outerShdw blurRad="50800" dist="38100" dir="2700000" algn="tl" rotWithShape="0">
            <a:schemeClr val="bg1">
              <a:alpha val="26000"/>
            </a:schemeClr>
          </a:outerShdw>
        </a:effectLst>
      </c:spPr>
    </c:plotArea>
    <c:legend>
      <c:legendPos val="r"/>
      <c:layout>
        <c:manualLayout>
          <c:xMode val="edge"/>
          <c:yMode val="edge"/>
          <c:x val="0.82866974653998504"/>
          <c:y val="1.3933519747940007E-2"/>
          <c:w val="0.13732284783605986"/>
          <c:h val="7.942337273200327E-2"/>
        </c:manualLayout>
      </c:layout>
      <c:overlay val="0"/>
      <c:spPr>
        <a:solidFill>
          <a:schemeClr val="tx1">
            <a:alpha val="62000"/>
          </a:schemeClr>
        </a:solidFill>
        <a:ln>
          <a:solidFill>
            <a:schemeClr val="bg1">
              <a:lumMod val="95000"/>
            </a:schemeClr>
          </a:solidFill>
        </a:ln>
        <a:effectLst>
          <a:outerShdw blurRad="50800" dist="38100" dir="2700000" algn="tl" rotWithShape="0">
            <a:schemeClr val="bg1">
              <a:alpha val="40000"/>
            </a:schemeClr>
          </a:outerShdw>
        </a:effectLst>
      </c:sp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4"/>
    </mc:Choice>
    <mc:Fallback>
      <c:style val="44"/>
    </mc:Fallback>
  </mc:AlternateContent>
  <c:chart>
    <c:title>
      <c:tx>
        <c:rich>
          <a:bodyPr/>
          <a:lstStyle/>
          <a:p>
            <a:pPr>
              <a:defRPr/>
            </a:pPr>
            <a:r>
              <a:rPr lang="en-US"/>
              <a:t>Messaging Platform Usage Profile</a:t>
            </a:r>
          </a:p>
        </c:rich>
      </c:tx>
      <c:overlay val="0"/>
    </c:title>
    <c:autoTitleDeleted val="0"/>
    <c:plotArea>
      <c:layout>
        <c:manualLayout>
          <c:layoutTarget val="inner"/>
          <c:xMode val="edge"/>
          <c:yMode val="edge"/>
          <c:x val="0.13641173699441422"/>
          <c:y val="0.11251017213721244"/>
          <c:w val="0.82188276465441812"/>
          <c:h val="0.73269931348999751"/>
        </c:manualLayout>
      </c:layout>
      <c:scatterChart>
        <c:scatterStyle val="smoothMarker"/>
        <c:varyColors val="0"/>
        <c:ser>
          <c:idx val="0"/>
          <c:order val="0"/>
          <c:tx>
            <c:strRef>
              <c:f>Tools!$D$4</c:f>
              <c:strCache>
                <c:ptCount val="1"/>
                <c:pt idx="0">
                  <c:v>% Usage Profile</c:v>
                </c:pt>
              </c:strCache>
            </c:strRef>
          </c:tx>
          <c:spPr>
            <a:ln>
              <a:solidFill>
                <a:schemeClr val="accent6">
                  <a:lumMod val="75000"/>
                </a:schemeClr>
              </a:solidFill>
            </a:ln>
          </c:spPr>
          <c:marker>
            <c:symbol val="none"/>
          </c:marker>
          <c:xVal>
            <c:numRef>
              <c:f>Tools!$B$5:$B$28</c:f>
              <c:numCache>
                <c:formatCode>0</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Tools!$D$5:$D$28</c:f>
              <c:numCache>
                <c:formatCode>0.00%</c:formatCode>
                <c:ptCount val="24"/>
                <c:pt idx="0">
                  <c:v>2.6575637877179719E-10</c:v>
                </c:pt>
                <c:pt idx="1">
                  <c:v>1.4929037931987916E-8</c:v>
                </c:pt>
                <c:pt idx="2">
                  <c:v>5.9067286663906884E-7</c:v>
                </c:pt>
                <c:pt idx="3">
                  <c:v>1.4855576239997285E-5</c:v>
                </c:pt>
                <c:pt idx="4">
                  <c:v>2.3025025480274977E-4</c:v>
                </c:pt>
                <c:pt idx="5">
                  <c:v>2.1793344451655171E-3</c:v>
                </c:pt>
                <c:pt idx="6">
                  <c:v>1.2571237956890221E-2</c:v>
                </c:pt>
                <c:pt idx="7">
                  <c:v>4.4283848644727231E-2</c:v>
                </c:pt>
                <c:pt idx="8">
                  <c:v>9.6134839206706776E-2</c:v>
                </c:pt>
                <c:pt idx="9">
                  <c:v>0.13266108102849891</c:v>
                </c:pt>
                <c:pt idx="10">
                  <c:v>0.12893574543821726</c:v>
                </c:pt>
                <c:pt idx="11">
                  <c:v>0.11385737698546453</c:v>
                </c:pt>
                <c:pt idx="12">
                  <c:v>0.1154331853384352</c:v>
                </c:pt>
                <c:pt idx="13">
                  <c:v>0.11898762900954607</c:v>
                </c:pt>
                <c:pt idx="14">
                  <c:v>0.10334311895890398</c:v>
                </c:pt>
                <c:pt idx="15">
                  <c:v>7.0886006856930972E-2</c:v>
                </c:pt>
                <c:pt idx="16">
                  <c:v>3.7935385883888027E-2</c:v>
                </c:pt>
                <c:pt idx="17">
                  <c:v>1.5813601646662959E-2</c:v>
                </c:pt>
                <c:pt idx="18">
                  <c:v>5.133920710975709E-3</c:v>
                </c:pt>
                <c:pt idx="19">
                  <c:v>1.2980583916551538E-3</c:v>
                </c:pt>
                <c:pt idx="20">
                  <c:v>2.5560285210265104E-4</c:v>
                </c:pt>
                <c:pt idx="21">
                  <c:v>3.9197966908392414E-5</c:v>
                </c:pt>
                <c:pt idx="22">
                  <c:v>4.6815295378867714E-6</c:v>
                </c:pt>
                <c:pt idx="23">
                  <c:v>4.3545007869116673E-7</c:v>
                </c:pt>
              </c:numCache>
            </c:numRef>
          </c:yVal>
          <c:smooth val="1"/>
        </c:ser>
        <c:dLbls>
          <c:showLegendKey val="0"/>
          <c:showVal val="0"/>
          <c:showCatName val="0"/>
          <c:showSerName val="0"/>
          <c:showPercent val="0"/>
          <c:showBubbleSize val="0"/>
        </c:dLbls>
        <c:axId val="56085888"/>
        <c:axId val="56086464"/>
      </c:scatterChart>
      <c:valAx>
        <c:axId val="56085888"/>
        <c:scaling>
          <c:orientation val="minMax"/>
          <c:max val="24"/>
          <c:min val="0"/>
        </c:scaling>
        <c:delete val="0"/>
        <c:axPos val="b"/>
        <c:majorGridlines/>
        <c:minorGridlines/>
        <c:title>
          <c:tx>
            <c:rich>
              <a:bodyPr/>
              <a:lstStyle/>
              <a:p>
                <a:pPr>
                  <a:defRPr sz="1400"/>
                </a:pPr>
                <a:r>
                  <a:rPr lang="en-US" sz="1400"/>
                  <a:t>Time</a:t>
                </a:r>
                <a:r>
                  <a:rPr lang="en-US" sz="1400" baseline="0"/>
                  <a:t> of Day</a:t>
                </a:r>
                <a:endParaRPr lang="en-US" sz="1400"/>
              </a:p>
            </c:rich>
          </c:tx>
          <c:layout>
            <c:manualLayout>
              <c:xMode val="edge"/>
              <c:yMode val="edge"/>
              <c:x val="0.43648132444982846"/>
              <c:y val="0.92017462586275323"/>
            </c:manualLayout>
          </c:layout>
          <c:overlay val="0"/>
        </c:title>
        <c:numFmt formatCode="0" sourceLinked="1"/>
        <c:majorTickMark val="out"/>
        <c:minorTickMark val="none"/>
        <c:tickLblPos val="nextTo"/>
        <c:crossAx val="56086464"/>
        <c:crosses val="autoZero"/>
        <c:crossBetween val="midCat"/>
        <c:majorUnit val="3"/>
        <c:minorUnit val="1"/>
      </c:valAx>
      <c:valAx>
        <c:axId val="56086464"/>
        <c:scaling>
          <c:orientation val="minMax"/>
          <c:min val="0"/>
        </c:scaling>
        <c:delete val="0"/>
        <c:axPos val="l"/>
        <c:majorGridlines/>
        <c:minorGridlines/>
        <c:title>
          <c:tx>
            <c:rich>
              <a:bodyPr rot="-5400000" vert="horz"/>
              <a:lstStyle/>
              <a:p>
                <a:pPr>
                  <a:defRPr sz="1400"/>
                </a:pPr>
                <a:r>
                  <a:rPr lang="en-US" sz="1400"/>
                  <a:t>% Workload</a:t>
                </a:r>
              </a:p>
            </c:rich>
          </c:tx>
          <c:overlay val="0"/>
        </c:title>
        <c:numFmt formatCode="0.00%" sourceLinked="1"/>
        <c:majorTickMark val="out"/>
        <c:minorTickMark val="none"/>
        <c:tickLblPos val="nextTo"/>
        <c:crossAx val="56085888"/>
        <c:crosses val="autoZero"/>
        <c:crossBetween val="midCat"/>
      </c:valAx>
    </c:plotArea>
    <c:legend>
      <c:legendPos val="r"/>
      <c:layout>
        <c:manualLayout>
          <c:xMode val="edge"/>
          <c:yMode val="edge"/>
          <c:x val="0.77266626287098739"/>
          <c:y val="0.14806251599601106"/>
          <c:w val="0.16152177131704687"/>
          <c:h val="9.0217207907190414E-2"/>
        </c:manualLayout>
      </c:layout>
      <c:overlay val="0"/>
      <c:spPr>
        <a:solidFill>
          <a:schemeClr val="bg1">
            <a:lumMod val="50000"/>
            <a:alpha val="50000"/>
          </a:schemeClr>
        </a:solidFill>
        <a:ln>
          <a:solidFill>
            <a:schemeClr val="bg1">
              <a:lumMod val="50000"/>
            </a:schemeClr>
          </a:solidFill>
        </a:ln>
      </c:spPr>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2057401</xdr:colOff>
      <xdr:row>1</xdr:row>
      <xdr:rowOff>142875</xdr:rowOff>
    </xdr:from>
    <xdr:to>
      <xdr:col>5</xdr:col>
      <xdr:colOff>1057276</xdr:colOff>
      <xdr:row>6</xdr:row>
      <xdr:rowOff>19050</xdr:rowOff>
    </xdr:to>
    <xdr:sp macro="" textlink="">
      <xdr:nvSpPr>
        <xdr:cNvPr id="2" name="TextBox 1"/>
        <xdr:cNvSpPr txBox="1"/>
      </xdr:nvSpPr>
      <xdr:spPr>
        <a:xfrm>
          <a:off x="8181976" y="419100"/>
          <a:ext cx="3048000" cy="82867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solidFill>
                <a:schemeClr val="bg1"/>
              </a:solidFill>
            </a:rPr>
            <a:t>IMPORTANT</a:t>
          </a:r>
        </a:p>
        <a:p>
          <a:pPr algn="ctr"/>
          <a:r>
            <a:rPr lang="en-GB" sz="1100">
              <a:solidFill>
                <a:schemeClr val="bg1"/>
              </a:solidFill>
            </a:rPr>
            <a:t>This calculator is in Beta development stage.  Values provided by this tool should be treated as approximations only.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257174</xdr:colOff>
      <xdr:row>7</xdr:row>
      <xdr:rowOff>9525</xdr:rowOff>
    </xdr:from>
    <xdr:to>
      <xdr:col>15</xdr:col>
      <xdr:colOff>476249</xdr:colOff>
      <xdr:row>7</xdr:row>
      <xdr:rowOff>228600</xdr:rowOff>
    </xdr:to>
    <xdr:pic>
      <xdr:nvPicPr>
        <xdr:cNvPr id="4" name="Picture 3" descr="http://www.hostfactory.ch/uploads/hosting/icons/icon_365.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67649" y="771525"/>
          <a:ext cx="219075" cy="21907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257174</xdr:colOff>
      <xdr:row>7</xdr:row>
      <xdr:rowOff>9525</xdr:rowOff>
    </xdr:from>
    <xdr:to>
      <xdr:col>17</xdr:col>
      <xdr:colOff>476249</xdr:colOff>
      <xdr:row>7</xdr:row>
      <xdr:rowOff>228600</xdr:rowOff>
    </xdr:to>
    <xdr:pic>
      <xdr:nvPicPr>
        <xdr:cNvPr id="5" name="Picture 4" descr="http://www.hostfactory.ch/uploads/hosting/icons/icon_365.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20149" y="771525"/>
          <a:ext cx="219075" cy="21907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257174</xdr:colOff>
      <xdr:row>7</xdr:row>
      <xdr:rowOff>0</xdr:rowOff>
    </xdr:from>
    <xdr:to>
      <xdr:col>18</xdr:col>
      <xdr:colOff>476249</xdr:colOff>
      <xdr:row>7</xdr:row>
      <xdr:rowOff>219075</xdr:rowOff>
    </xdr:to>
    <xdr:pic>
      <xdr:nvPicPr>
        <xdr:cNvPr id="6" name="Picture 5" descr="http://www.hostfactory.ch/uploads/hosting/icons/icon_365.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96399" y="762000"/>
          <a:ext cx="219075" cy="21907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266699</xdr:colOff>
      <xdr:row>7</xdr:row>
      <xdr:rowOff>9525</xdr:rowOff>
    </xdr:from>
    <xdr:to>
      <xdr:col>10</xdr:col>
      <xdr:colOff>9524</xdr:colOff>
      <xdr:row>7</xdr:row>
      <xdr:rowOff>228600</xdr:rowOff>
    </xdr:to>
    <xdr:pic>
      <xdr:nvPicPr>
        <xdr:cNvPr id="9" name="Picture 8" descr="http://www.hostfactory.ch/uploads/hosting/icons/icon_365.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9674" y="771525"/>
          <a:ext cx="219075" cy="21907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257175</xdr:colOff>
      <xdr:row>7</xdr:row>
      <xdr:rowOff>0</xdr:rowOff>
    </xdr:from>
    <xdr:to>
      <xdr:col>7</xdr:col>
      <xdr:colOff>0</xdr:colOff>
      <xdr:row>7</xdr:row>
      <xdr:rowOff>219075</xdr:rowOff>
    </xdr:to>
    <xdr:pic>
      <xdr:nvPicPr>
        <xdr:cNvPr id="11" name="Picture 10" descr="http://www.hostfactory.ch/uploads/hosting/icons/icon_365.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81400" y="762000"/>
          <a:ext cx="219075" cy="21907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257175</xdr:colOff>
      <xdr:row>7</xdr:row>
      <xdr:rowOff>9525</xdr:rowOff>
    </xdr:from>
    <xdr:to>
      <xdr:col>6</xdr:col>
      <xdr:colOff>0</xdr:colOff>
      <xdr:row>7</xdr:row>
      <xdr:rowOff>228600</xdr:rowOff>
    </xdr:to>
    <xdr:pic>
      <xdr:nvPicPr>
        <xdr:cNvPr id="8" name="Picture 7" descr="http://www.hostfactory.ch/uploads/hosting/icons/icon_365.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81400" y="962025"/>
          <a:ext cx="219075" cy="21907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266700</xdr:colOff>
      <xdr:row>108</xdr:row>
      <xdr:rowOff>152400</xdr:rowOff>
    </xdr:from>
    <xdr:to>
      <xdr:col>24</xdr:col>
      <xdr:colOff>9524</xdr:colOff>
      <xdr:row>134</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285750</xdr:colOff>
      <xdr:row>2</xdr:row>
      <xdr:rowOff>28575</xdr:rowOff>
    </xdr:from>
    <xdr:to>
      <xdr:col>18</xdr:col>
      <xdr:colOff>38100</xdr:colOff>
      <xdr:row>28</xdr:row>
      <xdr:rowOff>166688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yfnqep.docs.live.net/LiveMesh/Work%20In%20Progress/My%20Dropbox/DAG%20Layout%20Calculator/David%20Mosier/E2010+Mailbox+Role+Calculator+-+v14.4%20-%20Copy%20+%20Layout%20Cod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yfnqep.docs.live.net/LiveMesh/ExchangeAZMesh/Scaling%20Data/AZ%20-%20Mailbox%20Role%20Calc%20-%20Medium%20WDC%20-%2030k%20and%2012%20Cor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s"/>
      <sheetName val="Input"/>
      <sheetName val="Role Requirements"/>
      <sheetName val="Activation Scenarios"/>
      <sheetName val="LUN Requirements"/>
      <sheetName val="Backup Requirements"/>
      <sheetName val="Log Replication Requirements"/>
      <sheetName val="Storage Design"/>
      <sheetName val="Variables"/>
      <sheetName val="Tables"/>
      <sheetName val="Version Changes"/>
      <sheetName val="Cut Stuff"/>
      <sheetName val="Distribution"/>
      <sheetName val="Configuration"/>
    </sheetNames>
    <sheetDataSet>
      <sheetData sheetId="0"/>
      <sheetData sheetId="1">
        <row r="23">
          <cell r="F23" t="str">
            <v>Yes</v>
          </cell>
        </row>
        <row r="25">
          <cell r="C25" t="str">
            <v>Yes</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s"/>
      <sheetName val="Input"/>
      <sheetName val="Role Requirements"/>
      <sheetName val="Activation Scenarios"/>
      <sheetName val="LUN Requirements"/>
      <sheetName val="Backup Requirements"/>
      <sheetName val="Log Replication Requirements"/>
      <sheetName val="Storage Design"/>
      <sheetName val="Variables"/>
      <sheetName val="Tables"/>
      <sheetName val="Version Changes"/>
      <sheetName val="Cut Stuff"/>
      <sheetName val="DAG Layout"/>
      <sheetName val="LUN Layout"/>
    </sheetNames>
    <sheetDataSet>
      <sheetData sheetId="0"/>
      <sheetData sheetId="1"/>
      <sheetData sheetId="2"/>
      <sheetData sheetId="3"/>
      <sheetData sheetId="4"/>
      <sheetData sheetId="5"/>
      <sheetData sheetId="6"/>
      <sheetData sheetId="7"/>
      <sheetData sheetId="8"/>
      <sheetData sheetId="9">
        <row r="183">
          <cell r="A183" t="str">
            <v>--</v>
          </cell>
          <cell r="B183" t="str">
            <v>Default Value</v>
          </cell>
        </row>
        <row r="184">
          <cell r="A184">
            <v>0</v>
          </cell>
          <cell r="B184" t="str">
            <v>Default Value</v>
          </cell>
        </row>
        <row r="185">
          <cell r="A185">
            <v>65535</v>
          </cell>
          <cell r="B185" t="str">
            <v>Default Value</v>
          </cell>
        </row>
        <row r="186">
          <cell r="A186">
            <v>65536</v>
          </cell>
          <cell r="B186">
            <v>131070</v>
          </cell>
        </row>
        <row r="187">
          <cell r="A187">
            <v>131070</v>
          </cell>
          <cell r="B187">
            <v>131070</v>
          </cell>
        </row>
        <row r="188">
          <cell r="A188">
            <v>131071</v>
          </cell>
          <cell r="B188">
            <v>262140</v>
          </cell>
        </row>
        <row r="189">
          <cell r="A189">
            <v>262140</v>
          </cell>
          <cell r="B189">
            <v>262140</v>
          </cell>
        </row>
        <row r="190">
          <cell r="A190">
            <v>262141</v>
          </cell>
          <cell r="B190">
            <v>524280</v>
          </cell>
        </row>
        <row r="191">
          <cell r="A191">
            <v>524280</v>
          </cell>
          <cell r="B191">
            <v>524280</v>
          </cell>
        </row>
        <row r="192">
          <cell r="A192">
            <v>524281</v>
          </cell>
          <cell r="B192">
            <v>1048560</v>
          </cell>
        </row>
        <row r="193">
          <cell r="A193">
            <v>1048560</v>
          </cell>
          <cell r="B193">
            <v>1048560</v>
          </cell>
        </row>
        <row r="194">
          <cell r="A194">
            <v>1048561</v>
          </cell>
          <cell r="B194">
            <v>2097120</v>
          </cell>
        </row>
        <row r="195">
          <cell r="A195">
            <v>2097120</v>
          </cell>
          <cell r="B195">
            <v>2097120</v>
          </cell>
        </row>
        <row r="196">
          <cell r="A196">
            <v>2097121</v>
          </cell>
          <cell r="B196">
            <v>4194240</v>
          </cell>
        </row>
        <row r="197">
          <cell r="A197">
            <v>4194240</v>
          </cell>
          <cell r="B197">
            <v>4194240</v>
          </cell>
        </row>
        <row r="198">
          <cell r="A198">
            <v>4194241</v>
          </cell>
          <cell r="B198">
            <v>8388480</v>
          </cell>
        </row>
        <row r="199">
          <cell r="A199">
            <v>8388480</v>
          </cell>
          <cell r="B199">
            <v>8388480</v>
          </cell>
        </row>
        <row r="200">
          <cell r="A200">
            <v>8388481</v>
          </cell>
          <cell r="B200">
            <v>16776960</v>
          </cell>
        </row>
        <row r="201">
          <cell r="A201">
            <v>16776960</v>
          </cell>
          <cell r="B201">
            <v>16776960</v>
          </cell>
        </row>
        <row r="202">
          <cell r="A202">
            <v>16776961</v>
          </cell>
          <cell r="B202">
            <v>33553920</v>
          </cell>
        </row>
        <row r="203">
          <cell r="A203">
            <v>33553920</v>
          </cell>
          <cell r="B203">
            <v>33553920</v>
          </cell>
        </row>
        <row r="204">
          <cell r="A204">
            <v>33553921</v>
          </cell>
          <cell r="B204">
            <v>67107840</v>
          </cell>
        </row>
        <row r="205">
          <cell r="A205">
            <v>67107840</v>
          </cell>
          <cell r="B205">
            <v>67107840</v>
          </cell>
        </row>
        <row r="206">
          <cell r="A206">
            <v>67107841</v>
          </cell>
          <cell r="B206">
            <v>134215680</v>
          </cell>
        </row>
        <row r="207">
          <cell r="A207">
            <v>134215680</v>
          </cell>
          <cell r="B207">
            <v>134215680</v>
          </cell>
        </row>
        <row r="208">
          <cell r="A208">
            <v>134215681</v>
          </cell>
          <cell r="B208">
            <v>268431360</v>
          </cell>
        </row>
        <row r="209">
          <cell r="A209">
            <v>268431360</v>
          </cell>
          <cell r="B209">
            <v>268431360</v>
          </cell>
        </row>
        <row r="210">
          <cell r="A210">
            <v>268431361</v>
          </cell>
          <cell r="B210">
            <v>536862720</v>
          </cell>
        </row>
        <row r="211">
          <cell r="A211">
            <v>536862720</v>
          </cell>
          <cell r="B211">
            <v>536862720</v>
          </cell>
        </row>
        <row r="212">
          <cell r="A212">
            <v>536862721</v>
          </cell>
          <cell r="B212">
            <v>1073725440</v>
          </cell>
        </row>
        <row r="213">
          <cell r="A213">
            <v>1073725440</v>
          </cell>
          <cell r="B213">
            <v>1073725440</v>
          </cell>
        </row>
      </sheetData>
      <sheetData sheetId="10"/>
      <sheetData sheetId="11"/>
      <sheetData sheetId="12"/>
      <sheetData sheetId="13"/>
    </sheetDataSet>
  </externalBook>
</externalLink>
</file>

<file path=xl/tables/table1.xml><?xml version="1.0" encoding="utf-8"?>
<table xmlns="http://schemas.openxmlformats.org/spreadsheetml/2006/main" id="1" name="ProfileData" displayName="ProfileData" ref="B26:C34" headerRowCount="0" totalsRowShown="0" headerRowDxfId="529" dataDxfId="527" headerRowBorderDxfId="528" tableBorderDxfId="526" totalsRowBorderDxfId="525">
  <tableColumns count="2">
    <tableColumn id="1" name="Metric" headerRowDxfId="524" dataDxfId="523"/>
    <tableColumn id="2" name="Value" headerRowDxfId="522" dataDxfId="521"/>
  </tableColumns>
  <tableStyleInfo name="TableStyleMedium15" showFirstColumn="0" showLastColumn="0" showRowStripes="1" showColumnStripes="0"/>
</table>
</file>

<file path=xl/tables/table10.xml><?xml version="1.0" encoding="utf-8"?>
<table xmlns="http://schemas.openxmlformats.org/spreadsheetml/2006/main" id="42" name="Table4043" displayName="Table4043" ref="AE9:AG108" headerRowCount="0" totalsRowCount="1" headerRowDxfId="433" dataDxfId="432" totalsRowDxfId="431" headerRowCellStyle="Normal" dataCellStyle="Normal" totalsRowCellStyle="Normal">
  <tableColumns count="3">
    <tableColumn id="1" name="Column1" totalsRowFunction="sum" headerRowDxfId="430" dataDxfId="429" totalsRowDxfId="428" dataCellStyle="Normal">
      <calculatedColumnFormula>IF(C9="heavy",IF(SUM(F9:S9)&gt;0,(((((G9*E9*P3_Outlook_2010__OA_Cached__Received)+(S9*E9*P3_Windows_Mobile_6.x_Received)+(H9*E9*P3_Outlook_2010__MAPI_Cached__Received)+(I9*E9*P3_Outlook_2010__MAPI_Online__Received)+(J9*E9*P3_Outlook_2007__OA_Cached__Received)+(K9*E9*P3_Outlook_2007__MAPI_Cached__Received)+(L9*E9*P3_Outlook_2007__MAPI_Online__Received)+(N9*E9*P3_Outlook_2003__MAPI_Cached__Received)+(O9*E9*P3_Outlook_2003__MAPI_Online__Received)+(R9*E9*P3_Windows_Phone_7.x_Received)+(M9*E9*P3_Outlook_2003__OA_Cached__Received)+(P9*E9*P3_OWA_2010_Received)+(Q9*E9*P3_OWA_2007_Received)+(F9*E9*P3_Outlook_2011__EWS__Received))))),0),0)</calculatedColumnFormula>
    </tableColumn>
    <tableColumn id="2" name="Column2" totalsRowFunction="sum" headerRowDxfId="427" dataDxfId="426" totalsRowDxfId="425" dataCellStyle="Normal">
      <calculatedColumnFormula>IF(C9="heavy",IF(SUM(F9:S9)&gt;0,(((((G9*E9*P3_Outlook_2010__OA_Cached__Sent)+(S9*E9*P3_Windows_Mobile_6.x_Sent)+(H9*E9*P3_Outlook_2010__MAPI_Cached__Sent)+(I9*E9*P3_Outlook_2010__MAPI_Online__Sent)+(J9*E9*P3_Outlook_2007__OA_Cached__Sent)+(K9*E9*P3_Outlook_2007__MAPI_Cached__Sent)+(L9*E9*P3_Outlook_2007__MAPI_Online__Sent)+(N9*E9*P3_Outlook_2003__MAPI_Cached__Sent)+(O9*E9*P3_Outlook_2003__MAPI_Online__Sent)+(R9*E9*P3_Windows_Phone_7.x_Sent)+(M9*E9*P3_Outlook_2003__OA_Cached__Sent)+(P9*E9*P3_OWA_2010_Sent)+(Q9*E9*P3_OWA_2007_Sent)+(F9*E9*P3_Outlook_2011__EWS__Sent))))),0),0)</calculatedColumnFormula>
    </tableColumn>
    <tableColumn id="3" name="Column3" totalsRowFunction="max" headerRowDxfId="424" dataDxfId="423" totalsRowDxfId="422" dataCellStyle="Normal">
      <calculatedColumnFormula>IF(SUM(F9,G9,H9,J9,K9,M9,N9)&gt;0,IF(Table2613513[[#This Row],[Column5]]="heavy",P3_Min_OST_Throughput_Requirements,0),0)</calculatedColumnFormula>
    </tableColumn>
  </tableColumns>
  <tableStyleInfo name="TableStyleMedium26" showFirstColumn="0" showLastColumn="0" showRowStripes="1" showColumnStripes="0"/>
</table>
</file>

<file path=xl/tables/table11.xml><?xml version="1.0" encoding="utf-8"?>
<table xmlns="http://schemas.openxmlformats.org/spreadsheetml/2006/main" id="43" name="Table4044" displayName="Table4044" ref="AH9:AJ108" headerRowCount="0" totalsRowCount="1" headerRowDxfId="421" dataDxfId="420" totalsRowDxfId="418" tableBorderDxfId="419" totalsRowBorderDxfId="417" headerRowCellStyle="Normal" dataCellStyle="Normal" totalsRowCellStyle="Normal">
  <tableColumns count="3">
    <tableColumn id="1" name="Column1" totalsRowFunction="sum" headerRowDxfId="416" dataDxfId="415" totalsRowDxfId="414" dataCellStyle="Normal">
      <calculatedColumnFormula>IF(C9="very heavy",IF(SUM(F9:S9)&gt;0,(((((G9*E9*P4_Outlook_2010__OA_Cached__Received)+(S9*E9*P4_Windows_Mobile_6.x_Received)+(H9*E9*P4_Outlook_2010__MAPI_Cached__Received)+(I9*E9*P4_Outlook_2010__MAPI_Online__Received)+(J9*E9*P4_Outlook_2007__OA_Cached__Received)+(K9*E9*P4_Outlook_2007__MAPI_Cached__Received)+(L9*E9*P4_Outlook_2007__MAPI_Online__Received)+(N9*E9*P4_Outlook_2003__MAPI_Cached__Received)+(O9*E9*P4_Outlook_2003__MAPI_Online__Received)+(R9*E9*P4_Windows_Phone_7.x_Received)+(M9*E9*P4_Outlook_2003__OA_Cached__Received)+(P9*E9*P4_OWA_2010_Received)+(Q9*E9*P4_OWA_2007_Received)+(F9*E9*P4_Outlook_2011__EWS__Received))))),0),0)</calculatedColumnFormula>
    </tableColumn>
    <tableColumn id="2" name="Column2" totalsRowFunction="sum" headerRowDxfId="413" dataDxfId="412" totalsRowDxfId="411" dataCellStyle="Normal">
      <calculatedColumnFormula>IF(C9="very heavy",IF(SUM(F9:S9)&gt;0,(((((G9*E9*P4_Outlook_2010__OA_Cached__Sent)+(S9*E9*P4_Windows_Mobile_6.x_Sent)+(H9*E9*P4_Outlook_2010__MAPI_Cached__Sent)+(I9*E9*P4_Outlook_2010__MAPI_Online__Sent)+(J9*E9*P4_Outlook_2007__OA_Cached__Sent)+(K9*E9*P4_Outlook_2007__MAPI_Cached__Sent)+(L9*E9*P4_Outlook_2007__MAPI_Online__Sent)+(N9*E9*P4_Outlook_2003__MAPI_Cached__Sent)+(O9*E9*P4_Outlook_2003__MAPI_Online__Sent)+(R9*E9*P4_Windows_Phone_7.x_Sent)+(M9*E9*P4_Outlook_2003__OA_Cached__Sent)+(P9*E9*P4_OWA_2010_Sent)+(Q9*E9*P4_OWA_2007_Sent)+(F9*E9*P4_Outlook_2011__EWS__Sent))))),0),0)</calculatedColumnFormula>
    </tableColumn>
    <tableColumn id="3" name="Column3" totalsRowFunction="max" headerRowDxfId="410" dataDxfId="409" totalsRowDxfId="408" dataCellStyle="Normal">
      <calculatedColumnFormula>IF(SUM(F9,G9,H9,J9,K9,M9,N9)&gt;0,IF(Table2613513[[#This Row],[Column5]]="very heavy",P4_Min_OST_Throughput_Requirements,0),0)</calculatedColumnFormula>
    </tableColumn>
  </tableColumns>
  <tableStyleInfo name="TableStyleMedium28" showFirstColumn="0" showLastColumn="0" showRowStripes="1" showColumnStripes="0"/>
</table>
</file>

<file path=xl/tables/table12.xml><?xml version="1.0" encoding="utf-8"?>
<table xmlns="http://schemas.openxmlformats.org/spreadsheetml/2006/main" id="47" name="Table47" displayName="Table47" ref="U8:X108" totalsRowCount="1" headerRowDxfId="407" dataDxfId="405" totalsRowDxfId="403" headerRowBorderDxfId="406" tableBorderDxfId="404">
  <tableColumns count="4">
    <tableColumn id="1" name="Network Bandwidth _x000a_(Exchange to Client)" totalsRowFunction="custom" dataDxfId="402" totalsRowDxfId="401" dataCellStyle="Calculation">
      <calculatedColumnFormula>IF(SUM($F9:$S9)&gt;0,(((PeakHourPercentageUse*(SUM(Y9+AB9+AE9+AH9)*1000*8))/3600)/1000000)*(Bandwidth_Headroom+1.2)+SUM(AA9+AD9+AG9+AJ9),"-")</calculatedColumnFormula>
      <totalsRowFormula>AZ241</totalsRowFormula>
    </tableColumn>
    <tableColumn id="2" name="Network Bandwidth _x000a_(Client to Exchange)" totalsRowFunction="custom" dataDxfId="400" totalsRowDxfId="399" dataCellStyle="Calculation">
      <calculatedColumnFormula>IF(SUM($F9:$S9)&gt;0,(((PeakHourPercentageUse*(SUM(Z9+AC9+AF9+AI9)*1000*8))/3600)/1000000)*(Bandwidth_Headroom+1.2),"-")</calculatedColumnFormula>
      <totalsRowFormula>CY241</totalsRowFormula>
    </tableColumn>
    <tableColumn id="3" name="Recommended Maximum Network Latency" totalsRowFunction="max" dataDxfId="398" totalsRowDxfId="397">
      <calculatedColumnFormula>IF(MAX(I9,L9,O9,M9,N9)&gt;0,110,IF(MAX(F9,G9,H9,J9,K9,P9,Q9)&gt;0,320,IF(MAX(G9:S9)&gt;0,500,"-")))</calculatedColumnFormula>
    </tableColumn>
    <tableColumn id="4" name="TCP Connections_x000a_(Aproximation)" totalsRowFunction="sum" dataDxfId="396" totalsRowDxfId="395">
      <calculatedColumnFormula>IF(SUM(F9:S9)&gt;0,((F9*Outlook_2011__EWS__TCP)+(G9*Outlook_2010__OA_Cached__TCP)+(H9*Outlook_2010__MAPI_Cached__TCP)+(I9*Outlook_2010__MAPI_Online__TCP)+(J9*Outlook_2007__OA_Cached__TCP)+(K9*Outlook_2007__MAPI_Cached__TCP)+(L9*Outlook_2007__MAPI_Online__TCP)+(M9*Outlook_2003__OA_Cached__TCP)+(N9*Outlook_2003__MAPI_Cached__TCP)+(O9*Outlook_2003__MAPI_Online__TCP)+(P9*OWA_2010_TCP)+(Q9*OWA_2007_TCP)+(R9*Windows_Phone_7.x_TCP)+(S9*Windows_Mobile_6.x_TCP))*E9*1.2,"-")</calculatedColumnFormula>
    </tableColumn>
  </tableColumns>
  <tableStyleInfo name="TableStyleMedium11" showFirstColumn="0" showLastColumn="0" showRowStripes="1" showColumnStripes="0"/>
</table>
</file>

<file path=xl/tables/table13.xml><?xml version="1.0" encoding="utf-8"?>
<table xmlns="http://schemas.openxmlformats.org/spreadsheetml/2006/main" id="48" name="Table48" displayName="Table48" ref="T8:T108" totalsRowCount="1" headerRowDxfId="394" dataDxfId="393" totalsRowDxfId="391" tableBorderDxfId="392">
  <tableColumns count="1">
    <tableColumn id="1" name="Total" totalsRowFunction="sum" dataDxfId="390" totalsRowDxfId="389">
      <calculatedColumnFormula>SUM(F9:S9)</calculatedColumnFormula>
    </tableColumn>
  </tableColumns>
  <tableStyleInfo name="TableStyleMedium11" showFirstColumn="0" showLastColumn="0" showRowStripes="1" showColumnStripes="0"/>
</table>
</file>

<file path=xl/tables/table14.xml><?xml version="1.0" encoding="utf-8"?>
<table xmlns="http://schemas.openxmlformats.org/spreadsheetml/2006/main" id="8" name="Table79" displayName="Table79" ref="BB141:CX241" totalsRowCount="1">
  <tableColumns count="49">
    <tableColumn id="1" name="Site Name" totalsRowLabel="Total" dataDxfId="388">
      <calculatedColumnFormula>B142</calculatedColumnFormula>
    </tableColumn>
    <tableColumn id="3" name="-12" totalsRowFunction="custom" dataDxfId="387" totalsRowDxfId="386">
      <calculatedColumnFormula>IF($T9&gt;0,(((EXP(-(1/(Morning_Peak_Duration__hours*2))*(BC$141-(Morning_Peak_Time__24hr_clock+$C142))^2))+(EXP(-(1/(Afternoon_Peak_Duration__hours*2))*(BC$141-(Afternoon_Peak_Time__24hr_clock+$C142))^2)))*$V9)/TZCalibrationValue,0)</calculatedColumnFormula>
      <totalsRowFormula>SUM(BC142:BC240)</totalsRowFormula>
    </tableColumn>
    <tableColumn id="42" name="-11" totalsRowFunction="custom" dataDxfId="385" totalsRowDxfId="384">
      <calculatedColumnFormula>IF($T9&gt;0,(((EXP(-(1/(Morning_Peak_Duration__hours*2))*(BD$141-(Morning_Peak_Time__24hr_clock+$C142))^2))+(EXP(-(1/(Afternoon_Peak_Duration__hours*2))*(BD$141-(Afternoon_Peak_Time__24hr_clock+$C142))^2)))*$V9)/TZCalibrationValue,0)</calculatedColumnFormula>
      <totalsRowFormula>SUM(BD142:BD240)</totalsRowFormula>
    </tableColumn>
    <tableColumn id="43" name="-10" totalsRowFunction="custom" dataDxfId="383" totalsRowDxfId="382">
      <calculatedColumnFormula>IF($T9&gt;0,(((EXP(-(1/(Morning_Peak_Duration__hours*2))*(BE$141-(Morning_Peak_Time__24hr_clock+$C142))^2))+(EXP(-(1/(Afternoon_Peak_Duration__hours*2))*(BE$141-(Afternoon_Peak_Time__24hr_clock+$C142))^2)))*$V9)/TZCalibrationValue,0)</calculatedColumnFormula>
      <totalsRowFormula>SUM(BE142:BE240)</totalsRowFormula>
    </tableColumn>
    <tableColumn id="44" name="-9" totalsRowFunction="custom" dataDxfId="381" totalsRowDxfId="380">
      <calculatedColumnFormula>IF($T9&gt;0,(((EXP(-(1/(Morning_Peak_Duration__hours*2))*(BF$141-(Morning_Peak_Time__24hr_clock+$C142))^2))+(EXP(-(1/(Afternoon_Peak_Duration__hours*2))*(BF$141-(Afternoon_Peak_Time__24hr_clock+$C142))^2)))*$V9)/TZCalibrationValue,0)</calculatedColumnFormula>
      <totalsRowFormula>SUM(BF142:BF240)</totalsRowFormula>
    </tableColumn>
    <tableColumn id="45" name="-8" totalsRowFunction="custom" dataDxfId="379" totalsRowDxfId="378">
      <calculatedColumnFormula>IF($T9&gt;0,(((EXP(-(1/(Morning_Peak_Duration__hours*2))*(BG$141-(Morning_Peak_Time__24hr_clock+$C142))^2))+(EXP(-(1/(Afternoon_Peak_Duration__hours*2))*(BG$141-(Afternoon_Peak_Time__24hr_clock+$C142))^2)))*$V9)/TZCalibrationValue,0)</calculatedColumnFormula>
      <totalsRowFormula>SUM(BG142:BG240)</totalsRowFormula>
    </tableColumn>
    <tableColumn id="46" name="-7" totalsRowFunction="custom" dataDxfId="377" totalsRowDxfId="376">
      <calculatedColumnFormula>IF($T9&gt;0,(((EXP(-(1/(Morning_Peak_Duration__hours*2))*(BH$141-(Morning_Peak_Time__24hr_clock+$C142))^2))+(EXP(-(1/(Afternoon_Peak_Duration__hours*2))*(BH$141-(Afternoon_Peak_Time__24hr_clock+$C142))^2)))*$V9)/TZCalibrationValue,0)</calculatedColumnFormula>
      <totalsRowFormula>SUM(BH142:BH240)</totalsRowFormula>
    </tableColumn>
    <tableColumn id="47" name="-6" totalsRowFunction="custom" dataDxfId="375" totalsRowDxfId="374">
      <calculatedColumnFormula>IF($T9&gt;0,(((EXP(-(1/(Morning_Peak_Duration__hours*2))*(BI$141-(Morning_Peak_Time__24hr_clock+$C142))^2))+(EXP(-(1/(Afternoon_Peak_Duration__hours*2))*(BI$141-(Afternoon_Peak_Time__24hr_clock+$C142))^2)))*$V9)/TZCalibrationValue,0)</calculatedColumnFormula>
      <totalsRowFormula>SUM(BI142:BI240)</totalsRowFormula>
    </tableColumn>
    <tableColumn id="48" name="-5" totalsRowFunction="custom" dataDxfId="373" totalsRowDxfId="372">
      <calculatedColumnFormula>IF($T9&gt;0,(((EXP(-(1/(Morning_Peak_Duration__hours*2))*(BJ$141-(Morning_Peak_Time__24hr_clock+$C142))^2))+(EXP(-(1/(Afternoon_Peak_Duration__hours*2))*(BJ$141-(Afternoon_Peak_Time__24hr_clock+$C142))^2)))*$V9)/TZCalibrationValue,0)</calculatedColumnFormula>
      <totalsRowFormula>SUM(BJ142:BJ240)</totalsRowFormula>
    </tableColumn>
    <tableColumn id="49" name="-4" totalsRowFunction="custom" dataDxfId="371" totalsRowDxfId="370">
      <calculatedColumnFormula>IF($T9&gt;0,(((EXP(-(1/(Morning_Peak_Duration__hours*2))*(BK$141-(Morning_Peak_Time__24hr_clock+$C142))^2))+(EXP(-(1/(Afternoon_Peak_Duration__hours*2))*(BK$141-(Afternoon_Peak_Time__24hr_clock+$C142))^2)))*$V9)/TZCalibrationValue,0)</calculatedColumnFormula>
      <totalsRowFormula>SUM(BK142:BK240)</totalsRowFormula>
    </tableColumn>
    <tableColumn id="50" name="-3" totalsRowFunction="custom" dataDxfId="369" totalsRowDxfId="368">
      <calculatedColumnFormula>IF($T9&gt;0,(((EXP(-(1/(Morning_Peak_Duration__hours*2))*(BL$141-(Morning_Peak_Time__24hr_clock+$C142))^2))+(EXP(-(1/(Afternoon_Peak_Duration__hours*2))*(BL$141-(Afternoon_Peak_Time__24hr_clock+$C142))^2)))*$V9)/TZCalibrationValue,0)</calculatedColumnFormula>
      <totalsRowFormula>SUM(BL142:BL240)</totalsRowFormula>
    </tableColumn>
    <tableColumn id="51" name="-2" totalsRowFunction="custom" dataDxfId="367" totalsRowDxfId="366">
      <calculatedColumnFormula>IF($T9&gt;0,(((EXP(-(1/(Morning_Peak_Duration__hours*2))*(BM$141-(Morning_Peak_Time__24hr_clock+$C142))^2))+(EXP(-(1/(Afternoon_Peak_Duration__hours*2))*(BM$141-(Afternoon_Peak_Time__24hr_clock+$C142))^2)))*$V9)/TZCalibrationValue,0)</calculatedColumnFormula>
      <totalsRowFormula>SUM(BM142:BM240)</totalsRowFormula>
    </tableColumn>
    <tableColumn id="52" name="-1" totalsRowFunction="custom" dataDxfId="365" totalsRowDxfId="364">
      <calculatedColumnFormula>IF($T9&gt;0,(((EXP(-(1/(Morning_Peak_Duration__hours*2))*(BN$141-(Morning_Peak_Time__24hr_clock+$C142))^2))+(EXP(-(1/(Afternoon_Peak_Duration__hours*2))*(BN$141-(Afternoon_Peak_Time__24hr_clock+$C142))^2)))*$V9)/TZCalibrationValue,0)</calculatedColumnFormula>
      <totalsRowFormula>SUM(BN142:BN240)</totalsRowFormula>
    </tableColumn>
    <tableColumn id="4" name="0" totalsRowFunction="custom" dataDxfId="363" totalsRowDxfId="362">
      <calculatedColumnFormula>IF($T9&gt;0,(((EXP(-(1/(Morning_Peak_Duration__hours*2))*(BO$141-(Morning_Peak_Time__24hr_clock+$C142))^2))+(EXP(-(1/(Afternoon_Peak_Duration__hours*2))*(BO$141-(Afternoon_Peak_Time__24hr_clock+$C142))^2)))*$V9)/TZCalibrationValue,0)+CM142</calculatedColumnFormula>
      <totalsRowFormula>SUM(BO142:BO240)</totalsRowFormula>
    </tableColumn>
    <tableColumn id="5" name="1" totalsRowFunction="custom" dataDxfId="361" totalsRowDxfId="360">
      <calculatedColumnFormula>IF($T9&gt;0,(((EXP(-(1/(Morning_Peak_Duration__hours*2))*(BP$141-(Morning_Peak_Time__24hr_clock+$C142))^2))+(EXP(-(1/(Afternoon_Peak_Duration__hours*2))*(BP$141-(Afternoon_Peak_Time__24hr_clock+$C142))^2)))*$V9)/TZCalibrationValue,0)+CN142</calculatedColumnFormula>
      <totalsRowFormula>SUM(BP142:BP240)</totalsRowFormula>
    </tableColumn>
    <tableColumn id="6" name="2" totalsRowFunction="custom" dataDxfId="359" totalsRowDxfId="358">
      <calculatedColumnFormula>IF($T9&gt;0,(((EXP(-(1/(Morning_Peak_Duration__hours*2))*(BQ$141-(Morning_Peak_Time__24hr_clock+$C142))^2))+(EXP(-(1/(Afternoon_Peak_Duration__hours*2))*(BQ$141-(Afternoon_Peak_Time__24hr_clock+$C142))^2)))*$V9)/TZCalibrationValue,0)+CO142</calculatedColumnFormula>
      <totalsRowFormula>SUM(BQ142:BQ240)</totalsRowFormula>
    </tableColumn>
    <tableColumn id="7" name="3" totalsRowFunction="custom" dataDxfId="357" totalsRowDxfId="356">
      <calculatedColumnFormula>IF($T9&gt;0,(((EXP(-(1/(Morning_Peak_Duration__hours*2))*(BR$141-(Morning_Peak_Time__24hr_clock+$C142))^2))+(EXP(-(1/(Afternoon_Peak_Duration__hours*2))*(BR$141-(Afternoon_Peak_Time__24hr_clock+$C142))^2)))*$V9)/TZCalibrationValue,0)+CP142</calculatedColumnFormula>
      <totalsRowFormula>SUM(BR142:BR240)</totalsRowFormula>
    </tableColumn>
    <tableColumn id="8" name="4" totalsRowFunction="custom" dataDxfId="355" totalsRowDxfId="354">
      <calculatedColumnFormula>IF($T9&gt;0,(((EXP(-(1/(Morning_Peak_Duration__hours*2))*(BS$141-(Morning_Peak_Time__24hr_clock+$C142))^2))+(EXP(-(1/(Afternoon_Peak_Duration__hours*2))*(BS$141-(Afternoon_Peak_Time__24hr_clock+$C142))^2)))*$V9)/TZCalibrationValue,0)+CQ142</calculatedColumnFormula>
      <totalsRowFormula>SUM(BS142:BS240)</totalsRowFormula>
    </tableColumn>
    <tableColumn id="9" name="5" totalsRowFunction="custom" dataDxfId="353" totalsRowDxfId="352">
      <calculatedColumnFormula>IF($T9&gt;0,(((EXP(-(1/(Morning_Peak_Duration__hours*2))*(BT$141-(Morning_Peak_Time__24hr_clock+$C142))^2))+(EXP(-(1/(Afternoon_Peak_Duration__hours*2))*(BT$141-(Afternoon_Peak_Time__24hr_clock+$C142))^2)))*$V9)/TZCalibrationValue,0)+CR142</calculatedColumnFormula>
      <totalsRowFormula>SUM(BT142:BT240)</totalsRowFormula>
    </tableColumn>
    <tableColumn id="10" name="6" totalsRowFunction="custom" dataDxfId="351" totalsRowDxfId="350">
      <calculatedColumnFormula>IF($T9&gt;0,(((EXP(-(1/(Morning_Peak_Duration__hours*2))*(BU$141-(Morning_Peak_Time__24hr_clock+$C142))^2))+(EXP(-(1/(Afternoon_Peak_Duration__hours*2))*(BU$141-(Afternoon_Peak_Time__24hr_clock+$C142))^2)))*$V9)/TZCalibrationValue,0)+CS142</calculatedColumnFormula>
      <totalsRowFormula>SUM(BU142:BU240)</totalsRowFormula>
    </tableColumn>
    <tableColumn id="11" name="7" totalsRowFunction="custom" dataDxfId="349" totalsRowDxfId="348">
      <calculatedColumnFormula>IF($T9&gt;0,(((EXP(-(1/(Morning_Peak_Duration__hours*2))*(BV$141-(Morning_Peak_Time__24hr_clock+$C142))^2))+(EXP(-(1/(Afternoon_Peak_Duration__hours*2))*(BV$141-(Afternoon_Peak_Time__24hr_clock+$C142))^2)))*$V9)/TZCalibrationValue,0)+CT142</calculatedColumnFormula>
      <totalsRowFormula>SUM(BV142:BV240)</totalsRowFormula>
    </tableColumn>
    <tableColumn id="12" name="8" totalsRowFunction="custom" dataDxfId="347" totalsRowDxfId="346">
      <calculatedColumnFormula>IF($T9&gt;0,(((EXP(-(1/(Morning_Peak_Duration__hours*2))*(BW$141-(Morning_Peak_Time__24hr_clock+$C142))^2))+(EXP(-(1/(Afternoon_Peak_Duration__hours*2))*(BW$141-(Afternoon_Peak_Time__24hr_clock+$C142))^2)))*$V9)/TZCalibrationValue,0)+CU142</calculatedColumnFormula>
      <totalsRowFormula>SUM(BW142:BW240)</totalsRowFormula>
    </tableColumn>
    <tableColumn id="13" name="9" totalsRowFunction="custom" dataDxfId="345" totalsRowDxfId="344">
      <calculatedColumnFormula>IF($T9&gt;0,(((EXP(-(1/(Morning_Peak_Duration__hours*2))*(BX$141-(Morning_Peak_Time__24hr_clock+$C142))^2))+(EXP(-(1/(Afternoon_Peak_Duration__hours*2))*(BX$141-(Afternoon_Peak_Time__24hr_clock+$C142))^2)))*$V9)/TZCalibrationValue,0)+CV142</calculatedColumnFormula>
      <totalsRowFormula>SUM(BX142:BX240)</totalsRowFormula>
    </tableColumn>
    <tableColumn id="14" name="10" totalsRowFunction="custom" dataDxfId="343" totalsRowDxfId="342">
      <calculatedColumnFormula>IF($T9&gt;0,(((EXP(-(1/(Morning_Peak_Duration__hours*2))*(BY$141-(Morning_Peak_Time__24hr_clock+$C142))^2))+(EXP(-(1/(Afternoon_Peak_Duration__hours*2))*(BY$141-(Afternoon_Peak_Time__24hr_clock+$C142))^2)))*$V9)/TZCalibrationValue,0)+CW142</calculatedColumnFormula>
      <totalsRowFormula>SUM(BY142:BY240)</totalsRowFormula>
    </tableColumn>
    <tableColumn id="15" name="11" totalsRowFunction="custom" dataDxfId="341" totalsRowDxfId="340">
      <calculatedColumnFormula>IF($T9&gt;0,(((EXP(-(1/(Morning_Peak_Duration__hours*2))*(BZ$141-(Morning_Peak_Time__24hr_clock+$C142))^2))+(EXP(-(1/(Afternoon_Peak_Duration__hours*2))*(BZ$141-(Afternoon_Peak_Time__24hr_clock+$C142))^2)))*$V9)/TZCalibrationValue,0)+CX142</calculatedColumnFormula>
      <totalsRowFormula>SUM(BZ142:BZ240)</totalsRowFormula>
    </tableColumn>
    <tableColumn id="16" name="12" totalsRowFunction="custom" dataDxfId="339" totalsRowDxfId="338">
      <calculatedColumnFormula>IF($T9&gt;0,(((EXP(-(1/(Morning_Peak_Duration__hours*2))*(CA$141-(Morning_Peak_Time__24hr_clock+$C142))^2))+(EXP(-(1/(Afternoon_Peak_Duration__hours*2))*(CA$141-(Afternoon_Peak_Time__24hr_clock+$C142))^2)))*$V9)/TZCalibrationValue,0)+BC142</calculatedColumnFormula>
      <totalsRowFormula>SUM(CA142:CA240)</totalsRowFormula>
    </tableColumn>
    <tableColumn id="17" name="13" totalsRowFunction="custom" dataDxfId="337" totalsRowDxfId="336">
      <calculatedColumnFormula>IF($T9&gt;0,(((EXP(-(1/(Morning_Peak_Duration__hours*2))*(CB$141-(Morning_Peak_Time__24hr_clock+$C142))^2))+(EXP(-(1/(Afternoon_Peak_Duration__hours*2))*(CB$141-(Afternoon_Peak_Time__24hr_clock+$C142))^2)))*$V9)/TZCalibrationValue,0)+BD142</calculatedColumnFormula>
      <totalsRowFormula>SUM(CB142:CB240)</totalsRowFormula>
    </tableColumn>
    <tableColumn id="18" name="14" totalsRowFunction="custom" dataDxfId="335" totalsRowDxfId="334">
      <calculatedColumnFormula>IF($T9&gt;0,(((EXP(-(1/(Morning_Peak_Duration__hours*2))*(CC$141-(Morning_Peak_Time__24hr_clock+$C142))^2))+(EXP(-(1/(Afternoon_Peak_Duration__hours*2))*(CC$141-(Afternoon_Peak_Time__24hr_clock+$C142))^2)))*$V9)/TZCalibrationValue,0)+BE142</calculatedColumnFormula>
      <totalsRowFormula>SUM(CC142:CC240)</totalsRowFormula>
    </tableColumn>
    <tableColumn id="19" name="15" totalsRowFunction="custom" dataDxfId="333" totalsRowDxfId="332">
      <calculatedColumnFormula>IF($T9&gt;0,(((EXP(-(1/(Morning_Peak_Duration__hours*2))*(CD$141-(Morning_Peak_Time__24hr_clock+$C142))^2))+(EXP(-(1/(Afternoon_Peak_Duration__hours*2))*(CD$141-(Afternoon_Peak_Time__24hr_clock+$C142))^2)))*$V9)/TZCalibrationValue,0)+BF142</calculatedColumnFormula>
      <totalsRowFormula>SUM(CD142:CD240)</totalsRowFormula>
    </tableColumn>
    <tableColumn id="20" name="16" totalsRowFunction="custom" dataDxfId="331" totalsRowDxfId="330">
      <calculatedColumnFormula>IF($T9&gt;0,(((EXP(-(1/(Morning_Peak_Duration__hours*2))*(CE$141-(Morning_Peak_Time__24hr_clock+$C142))^2))+(EXP(-(1/(Afternoon_Peak_Duration__hours*2))*(CE$141-(Afternoon_Peak_Time__24hr_clock+$C142))^2)))*$V9)/TZCalibrationValue,0)+BG142</calculatedColumnFormula>
      <totalsRowFormula>SUM(CE142:CE240)</totalsRowFormula>
    </tableColumn>
    <tableColumn id="21" name="17" totalsRowFunction="custom" dataDxfId="329" totalsRowDxfId="328">
      <calculatedColumnFormula>IF($T9&gt;0,(((EXP(-(1/(Morning_Peak_Duration__hours*2))*(CF$141-(Morning_Peak_Time__24hr_clock+$C142))^2))+(EXP(-(1/(Afternoon_Peak_Duration__hours*2))*(CF$141-(Afternoon_Peak_Time__24hr_clock+$C142))^2)))*$V9)/TZCalibrationValue,0)+BH142</calculatedColumnFormula>
      <totalsRowFormula>SUM(CF142:CF240)</totalsRowFormula>
    </tableColumn>
    <tableColumn id="22" name="18" totalsRowFunction="custom" dataDxfId="327" totalsRowDxfId="326">
      <calculatedColumnFormula>IF($T9&gt;0,(((EXP(-(1/(Morning_Peak_Duration__hours*2))*(CG$141-(Morning_Peak_Time__24hr_clock+$C142))^2))+(EXP(-(1/(Afternoon_Peak_Duration__hours*2))*(CG$141-(Afternoon_Peak_Time__24hr_clock+$C142))^2)))*$V9)/TZCalibrationValue,0)+BI142</calculatedColumnFormula>
      <totalsRowFormula>SUM(CG142:CG240)</totalsRowFormula>
    </tableColumn>
    <tableColumn id="23" name="19" totalsRowFunction="custom" dataDxfId="325" totalsRowDxfId="324">
      <calculatedColumnFormula>IF($T9&gt;0,(((EXP(-(1/(Morning_Peak_Duration__hours*2))*(CH$141-(Morning_Peak_Time__24hr_clock+$C142))^2))+(EXP(-(1/(Afternoon_Peak_Duration__hours*2))*(CH$141-(Afternoon_Peak_Time__24hr_clock+$C142))^2)))*$V9)/TZCalibrationValue,0)+BJ142</calculatedColumnFormula>
      <totalsRowFormula>SUM(CH142:CH240)</totalsRowFormula>
    </tableColumn>
    <tableColumn id="24" name="20" totalsRowFunction="custom" dataDxfId="323" totalsRowDxfId="322">
      <calculatedColumnFormula>IF($T9&gt;0,(((EXP(-(1/(Morning_Peak_Duration__hours*2))*(CI$141-(Morning_Peak_Time__24hr_clock+$C142))^2))+(EXP(-(1/(Afternoon_Peak_Duration__hours*2))*(CI$141-(Afternoon_Peak_Time__24hr_clock+$C142))^2)))*$V9)/TZCalibrationValue,0)+BK142</calculatedColumnFormula>
      <totalsRowFormula>SUM(CI142:CI240)</totalsRowFormula>
    </tableColumn>
    <tableColumn id="34" name="21" totalsRowFunction="custom" dataDxfId="321" totalsRowDxfId="320">
      <calculatedColumnFormula>IF($T9&gt;0,(((EXP(-(1/(Morning_Peak_Duration__hours*2))*(CJ$141-(Morning_Peak_Time__24hr_clock+$C142))^2))+(EXP(-(1/(Afternoon_Peak_Duration__hours*2))*(CJ$141-(Afternoon_Peak_Time__24hr_clock+$C142))^2)))*$V9)/TZCalibrationValue,0)+BL142</calculatedColumnFormula>
      <totalsRowFormula>SUM(CJ142:CJ240)</totalsRowFormula>
    </tableColumn>
    <tableColumn id="35" name="22" totalsRowFunction="custom" dataDxfId="319" totalsRowDxfId="318">
      <calculatedColumnFormula>IF($T9&gt;0,(((EXP(-(1/(Morning_Peak_Duration__hours*2))*(CK$141-(Morning_Peak_Time__24hr_clock+$C142))^2))+(EXP(-(1/(Afternoon_Peak_Duration__hours*2))*(CK$141-(Afternoon_Peak_Time__24hr_clock+$C142))^2)))*$V9)/TZCalibrationValue,0)+BM142</calculatedColumnFormula>
      <totalsRowFormula>SUM(CK142:CK240)</totalsRowFormula>
    </tableColumn>
    <tableColumn id="36" name="23" totalsRowFunction="custom" dataDxfId="317" totalsRowDxfId="316">
      <calculatedColumnFormula>IF($T9&gt;0,(((EXP(-(1/(Morning_Peak_Duration__hours*2))*(CL$141-(Morning_Peak_Time__24hr_clock+$C142))^2))+(EXP(-(1/(Afternoon_Peak_Duration__hours*2))*(CL$141-(Afternoon_Peak_Time__24hr_clock+$C142))^2)))*$V9)/TZCalibrationValue,0)+BN142</calculatedColumnFormula>
      <totalsRowFormula>SUM(CL142:CL240)</totalsRowFormula>
    </tableColumn>
    <tableColumn id="37" name="24" totalsRowFunction="custom" dataDxfId="315" totalsRowDxfId="314">
      <calculatedColumnFormula>IF($T9&gt;0,(((EXP(-(1/(Morning_Peak_Duration__hours*2))*(CM$141-(Morning_Peak_Time__24hr_clock+$C142))^2))+(EXP(-(1/(Afternoon_Peak_Duration__hours*2))*(CM$141-(Afternoon_Peak_Time__24hr_clock+$C142))^2)))*$V9)/TZCalibrationValue,0)</calculatedColumnFormula>
      <totalsRowFormula>SUM(CM142:CM240)</totalsRowFormula>
    </tableColumn>
    <tableColumn id="30" name="25" totalsRowFunction="custom" dataDxfId="313" totalsRowDxfId="312">
      <calculatedColumnFormula>IF($T9&gt;0,(((EXP(-(1/(Morning_Peak_Duration__hours*2))*(CN$141-(Morning_Peak_Time__24hr_clock+$C142))^2))+(EXP(-(1/(Afternoon_Peak_Duration__hours*2))*(CN$141-(Afternoon_Peak_Time__24hr_clock+$C142))^2)))*$V9)/TZCalibrationValue,0)</calculatedColumnFormula>
      <totalsRowFormula>SUM(CN142:CN240)</totalsRowFormula>
    </tableColumn>
    <tableColumn id="31" name="26" totalsRowFunction="custom" dataDxfId="311" totalsRowDxfId="310">
      <calculatedColumnFormula>IF($T9&gt;0,(((EXP(-(1/(Morning_Peak_Duration__hours*2))*(CO$141-(Morning_Peak_Time__24hr_clock+$C142))^2))+(EXP(-(1/(Afternoon_Peak_Duration__hours*2))*(CO$141-(Afternoon_Peak_Time__24hr_clock+$C142))^2)))*$V9)/TZCalibrationValue,0)</calculatedColumnFormula>
      <totalsRowFormula>SUM(CO142:CO240)</totalsRowFormula>
    </tableColumn>
    <tableColumn id="32" name="27" totalsRowFunction="custom" dataDxfId="309" totalsRowDxfId="308">
      <calculatedColumnFormula>IF($T9&gt;0,(((EXP(-(1/(Morning_Peak_Duration__hours*2))*(CP$141-(Morning_Peak_Time__24hr_clock+$C142))^2))+(EXP(-(1/(Afternoon_Peak_Duration__hours*2))*(CP$141-(Afternoon_Peak_Time__24hr_clock+$C142))^2)))*$V9)/TZCalibrationValue,0)</calculatedColumnFormula>
      <totalsRowFormula>SUM(CP142:CP240)</totalsRowFormula>
    </tableColumn>
    <tableColumn id="38" name="28" totalsRowFunction="custom" dataDxfId="307" totalsRowDxfId="306">
      <calculatedColumnFormula>IF($T9&gt;0,(((EXP(-(1/(Morning_Peak_Duration__hours*2))*(CQ$141-(Morning_Peak_Time__24hr_clock+$C142))^2))+(EXP(-(1/(Afternoon_Peak_Duration__hours*2))*(CQ$141-(Afternoon_Peak_Time__24hr_clock+$C142))^2)))*$V9)/TZCalibrationValue,0)</calculatedColumnFormula>
      <totalsRowFormula>SUM(CQ142:CQ240)</totalsRowFormula>
    </tableColumn>
    <tableColumn id="39" name="29" totalsRowFunction="custom" dataDxfId="305" totalsRowDxfId="304">
      <calculatedColumnFormula>IF($T9&gt;0,(((EXP(-(1/(Morning_Peak_Duration__hours*2))*(CR$141-(Morning_Peak_Time__24hr_clock+$C142))^2))+(EXP(-(1/(Afternoon_Peak_Duration__hours*2))*(CR$141-(Afternoon_Peak_Time__24hr_clock+$C142))^2)))*$V9)/TZCalibrationValue,0)</calculatedColumnFormula>
      <totalsRowFormula>SUM(CR142:CR240)</totalsRowFormula>
    </tableColumn>
    <tableColumn id="40" name="30" totalsRowFunction="custom" dataDxfId="303" totalsRowDxfId="302">
      <calculatedColumnFormula>IF($T9&gt;0,(((EXP(-(1/(Morning_Peak_Duration__hours*2))*(CS$141-(Morning_Peak_Time__24hr_clock+$C142))^2))+(EXP(-(1/(Afternoon_Peak_Duration__hours*2))*(CS$141-(Afternoon_Peak_Time__24hr_clock+$C142))^2)))*$V9)/TZCalibrationValue,0)</calculatedColumnFormula>
      <totalsRowFormula>SUM(CS142:CS240)</totalsRowFormula>
    </tableColumn>
    <tableColumn id="28" name="31" totalsRowFunction="custom" dataDxfId="301" totalsRowDxfId="300">
      <calculatedColumnFormula>IF($T9&gt;0,(((EXP(-(1/(Morning_Peak_Duration__hours*2))*(CT$141-(Morning_Peak_Time__24hr_clock+$C142))^2))+(EXP(-(1/(Afternoon_Peak_Duration__hours*2))*(CT$141-(Afternoon_Peak_Time__24hr_clock+$C142))^2)))*$V9)/TZCalibrationValue,0)</calculatedColumnFormula>
      <totalsRowFormula>SUM(CT142:CT240)</totalsRowFormula>
    </tableColumn>
    <tableColumn id="29" name="32" totalsRowFunction="custom" dataDxfId="299" totalsRowDxfId="298">
      <calculatedColumnFormula>IF($T9&gt;0,(((EXP(-(1/(Morning_Peak_Duration__hours*2))*(CU$141-(Morning_Peak_Time__24hr_clock+$C142))^2))+(EXP(-(1/(Afternoon_Peak_Duration__hours*2))*(CU$141-(Afternoon_Peak_Time__24hr_clock+$C142))^2)))*$V9)/TZCalibrationValue,0)</calculatedColumnFormula>
      <totalsRowFormula>SUM(CU142:CU240)</totalsRowFormula>
    </tableColumn>
    <tableColumn id="25" name="33" totalsRowFunction="custom" dataDxfId="297" totalsRowDxfId="296">
      <calculatedColumnFormula>IF($T9&gt;0,(((EXP(-(1/(Morning_Peak_Duration__hours*2))*(CV$141-(Morning_Peak_Time__24hr_clock+$C142))^2))+(EXP(-(1/(Afternoon_Peak_Duration__hours*2))*(CV$141-(Afternoon_Peak_Time__24hr_clock+$C142))^2)))*$V9)/TZCalibrationValue,0)</calculatedColumnFormula>
      <totalsRowFormula>SUM(CV142:CV240)</totalsRowFormula>
    </tableColumn>
    <tableColumn id="27" name="34" totalsRowFunction="custom" dataDxfId="295" totalsRowDxfId="294">
      <calculatedColumnFormula>IF($T9&gt;0,(((EXP(-(1/(Morning_Peak_Duration__hours*2))*(CW$141-(Morning_Peak_Time__24hr_clock+$C142))^2))+(EXP(-(1/(Afternoon_Peak_Duration__hours*2))*(CW$141-(Afternoon_Peak_Time__24hr_clock+$C142))^2)))*$V9)/TZCalibrationValue,0)</calculatedColumnFormula>
      <totalsRowFormula>SUM(CW142:CW240)</totalsRowFormula>
    </tableColumn>
    <tableColumn id="26" name="35" totalsRowFunction="custom" dataDxfId="293" totalsRowDxfId="292">
      <calculatedColumnFormula>IF($T9&gt;0,(((EXP(-(1/(Morning_Peak_Duration__hours*2))*(CX$141-(Morning_Peak_Time__24hr_clock+$C142))^2))+(EXP(-(1/(Afternoon_Peak_Duration__hours*2))*(CX$141-(Afternoon_Peak_Time__24hr_clock+$C142))^2)))*$V9)/TZCalibrationValue,0)</calculatedColumnFormula>
      <totalsRowFormula>SUM(CX142:CX240)</totalsRowFormula>
    </tableColumn>
  </tableColumns>
  <tableStyleInfo name="TableStyleMedium2" showFirstColumn="0" showLastColumn="0" showRowStripes="1" showColumnStripes="0"/>
</table>
</file>

<file path=xl/tables/table15.xml><?xml version="1.0" encoding="utf-8"?>
<table xmlns="http://schemas.openxmlformats.org/spreadsheetml/2006/main" id="7" name="Table7" displayName="Table7" ref="B141:AY241" totalsRowCount="1">
  <tableColumns count="50">
    <tableColumn id="1" name="Site Name" totalsRowLabel="Total" dataDxfId="291">
      <calculatedColumnFormula>B9</calculatedColumnFormula>
    </tableColumn>
    <tableColumn id="2" name="TimeZone" dataDxfId="290" totalsRowDxfId="289">
      <calculatedColumnFormula>VLOOKUP(D9,'Scaling Tables'!$B$123:$C$149,2,FALSE)-VLOOKUP($C$4,'Scaling Tables'!$B$123:$C$149,2,FALSE)</calculatedColumnFormula>
    </tableColumn>
    <tableColumn id="3" name="-12" totalsRowFunction="custom" dataDxfId="288" totalsRowDxfId="287">
      <calculatedColumnFormula>IF($T9&gt;0,(((EXP(-(1/(Morning_Peak_Duration__hours*2))*(D$141-(Morning_Peak_Time__24hr_clock+$C142))^2))+(EXP(-(1/(Afternoon_Peak_Duration__hours*2))*(D$141-(Afternoon_Peak_Time__24hr_clock+$C142))^2)))*$U9)/TZCalibrationValue,0)</calculatedColumnFormula>
      <totalsRowFormula>SUM(D142:D240)</totalsRowFormula>
    </tableColumn>
    <tableColumn id="42" name="-11" totalsRowFunction="custom" dataDxfId="286" totalsRowDxfId="285">
      <calculatedColumnFormula>IF($T9&gt;0,(((EXP(-(1/(Morning_Peak_Duration__hours*2))*(E$141-(Morning_Peak_Time__24hr_clock+$C142))^2))+(EXP(-(1/(Afternoon_Peak_Duration__hours*2))*(E$141-(Afternoon_Peak_Time__24hr_clock+$C142))^2)))*$U9)/TZCalibrationValue,0)</calculatedColumnFormula>
      <totalsRowFormula>SUM(E142:E240)</totalsRowFormula>
    </tableColumn>
    <tableColumn id="43" name="-10" totalsRowFunction="custom" dataDxfId="284" totalsRowDxfId="283">
      <calculatedColumnFormula>IF($T9&gt;0,(((EXP(-(1/(Morning_Peak_Duration__hours*2))*(F$141-(Morning_Peak_Time__24hr_clock+$C142))^2))+(EXP(-(1/(Afternoon_Peak_Duration__hours*2))*(F$141-(Afternoon_Peak_Time__24hr_clock+$C142))^2)))*$U9)/TZCalibrationValue,0)</calculatedColumnFormula>
      <totalsRowFormula>SUM(F142:F240)</totalsRowFormula>
    </tableColumn>
    <tableColumn id="44" name="-9" totalsRowFunction="custom" dataDxfId="282" totalsRowDxfId="281">
      <calculatedColumnFormula>IF($T9&gt;0,(((EXP(-(1/(Morning_Peak_Duration__hours*2))*(G$141-(Morning_Peak_Time__24hr_clock+$C142))^2))+(EXP(-(1/(Afternoon_Peak_Duration__hours*2))*(G$141-(Afternoon_Peak_Time__24hr_clock+$C142))^2)))*$U9)/TZCalibrationValue,0)</calculatedColumnFormula>
      <totalsRowFormula>SUM(G142:G240)</totalsRowFormula>
    </tableColumn>
    <tableColumn id="45" name="-8" totalsRowFunction="custom" dataDxfId="280" totalsRowDxfId="279">
      <calculatedColumnFormula>IF($T9&gt;0,(((EXP(-(1/(Morning_Peak_Duration__hours*2))*(H$141-(Morning_Peak_Time__24hr_clock+$C142))^2))+(EXP(-(1/(Afternoon_Peak_Duration__hours*2))*(H$141-(Afternoon_Peak_Time__24hr_clock+$C142))^2)))*$U9)/TZCalibrationValue,0)</calculatedColumnFormula>
      <totalsRowFormula>SUM(H142:H240)</totalsRowFormula>
    </tableColumn>
    <tableColumn id="46" name="-7" totalsRowFunction="custom" dataDxfId="278" totalsRowDxfId="277">
      <calculatedColumnFormula>IF($T9&gt;0,(((EXP(-(1/(Morning_Peak_Duration__hours*2))*(I$141-(Morning_Peak_Time__24hr_clock+$C142))^2))+(EXP(-(1/(Afternoon_Peak_Duration__hours*2))*(I$141-(Afternoon_Peak_Time__24hr_clock+$C142))^2)))*$U9)/TZCalibrationValue,0)</calculatedColumnFormula>
      <totalsRowFormula>SUM(I142:I240)</totalsRowFormula>
    </tableColumn>
    <tableColumn id="47" name="-6" totalsRowFunction="custom" dataDxfId="276" totalsRowDxfId="275">
      <calculatedColumnFormula>IF($T9&gt;0,(((EXP(-(1/(Morning_Peak_Duration__hours*2))*(J$141-(Morning_Peak_Time__24hr_clock+$C142))^2))+(EXP(-(1/(Afternoon_Peak_Duration__hours*2))*(J$141-(Afternoon_Peak_Time__24hr_clock+$C142))^2)))*$U9)/TZCalibrationValue,0)</calculatedColumnFormula>
      <totalsRowFormula>SUM(J142:J240)</totalsRowFormula>
    </tableColumn>
    <tableColumn id="48" name="-5" totalsRowFunction="custom" dataDxfId="274" totalsRowDxfId="273">
      <calculatedColumnFormula>IF($T9&gt;0,(((EXP(-(1/(Morning_Peak_Duration__hours*2))*(K$141-(Morning_Peak_Time__24hr_clock+$C142))^2))+(EXP(-(1/(Afternoon_Peak_Duration__hours*2))*(K$141-(Afternoon_Peak_Time__24hr_clock+$C142))^2)))*$U9)/TZCalibrationValue,0)</calculatedColumnFormula>
      <totalsRowFormula>SUM(K142:K240)</totalsRowFormula>
    </tableColumn>
    <tableColumn id="49" name="-4" totalsRowFunction="custom" dataDxfId="272" totalsRowDxfId="271">
      <calculatedColumnFormula>IF($T9&gt;0,(((EXP(-(1/(Morning_Peak_Duration__hours*2))*(L$141-(Morning_Peak_Time__24hr_clock+$C142))^2))+(EXP(-(1/(Afternoon_Peak_Duration__hours*2))*(L$141-(Afternoon_Peak_Time__24hr_clock+$C142))^2)))*$U9)/TZCalibrationValue,0)</calculatedColumnFormula>
      <totalsRowFormula>SUM(L142:L240)</totalsRowFormula>
    </tableColumn>
    <tableColumn id="50" name="-3" totalsRowFunction="custom" dataDxfId="270" totalsRowDxfId="269">
      <calculatedColumnFormula>IF($T9&gt;0,(((EXP(-(1/(Morning_Peak_Duration__hours*2))*(M$141-(Morning_Peak_Time__24hr_clock+$C142))^2))+(EXP(-(1/(Afternoon_Peak_Duration__hours*2))*(M$141-(Afternoon_Peak_Time__24hr_clock+$C142))^2)))*$U9)/TZCalibrationValue,0)</calculatedColumnFormula>
      <totalsRowFormula>SUM(M142:M240)</totalsRowFormula>
    </tableColumn>
    <tableColumn id="51" name="-2" totalsRowFunction="custom" dataDxfId="268" totalsRowDxfId="267">
      <calculatedColumnFormula>IF($T9&gt;0,(((EXP(-(1/(Morning_Peak_Duration__hours*2))*(N$141-(Morning_Peak_Time__24hr_clock+$C142))^2))+(EXP(-(1/(Afternoon_Peak_Duration__hours*2))*(N$141-(Afternoon_Peak_Time__24hr_clock+$C142))^2)))*$U9)/TZCalibrationValue,0)</calculatedColumnFormula>
      <totalsRowFormula>SUM(N142:N240)</totalsRowFormula>
    </tableColumn>
    <tableColumn id="52" name="-1" totalsRowFunction="custom" dataDxfId="266" totalsRowDxfId="265">
      <calculatedColumnFormula>IF($T9&gt;0,(((EXP(-(1/(Morning_Peak_Duration__hours*2))*(O$141-(Morning_Peak_Time__24hr_clock+$C142))^2))+(EXP(-(1/(Afternoon_Peak_Duration__hours*2))*(O$141-(Afternoon_Peak_Time__24hr_clock+$C142))^2)))*$U9)/TZCalibrationValue,0)</calculatedColumnFormula>
      <totalsRowFormula>SUM(O142:O240)</totalsRowFormula>
    </tableColumn>
    <tableColumn id="4" name="0" totalsRowFunction="custom" dataDxfId="264" totalsRowDxfId="263">
      <calculatedColumnFormula>IF($T9&gt;0,(((EXP(-(1/(Morning_Peak_Duration__hours*2))*(P$141-(Morning_Peak_Time__24hr_clock+$C142))^2))+(EXP(-(1/(Afternoon_Peak_Duration__hours*2))*(P$141-(Afternoon_Peak_Time__24hr_clock+$C142))^2)))*$U9)/TZCalibrationValue,0)+AN142</calculatedColumnFormula>
      <totalsRowFormula>SUM(P142:P240)</totalsRowFormula>
    </tableColumn>
    <tableColumn id="5" name="1" totalsRowFunction="custom" dataDxfId="262" totalsRowDxfId="261">
      <calculatedColumnFormula>IF($T9&gt;0,(((EXP(-(1/(Morning_Peak_Duration__hours*2))*(Q$141-(Morning_Peak_Time__24hr_clock+$C142))^2))+(EXP(-(1/(Afternoon_Peak_Duration__hours*2))*(Q$141-(Afternoon_Peak_Time__24hr_clock+$C142))^2)))*$U9)/TZCalibrationValue,0)+AO142</calculatedColumnFormula>
      <totalsRowFormula>SUM(Q142:Q240)</totalsRowFormula>
    </tableColumn>
    <tableColumn id="6" name="2" totalsRowFunction="custom" dataDxfId="260" totalsRowDxfId="259">
      <calculatedColumnFormula>IF($T9&gt;0,(((EXP(-(1/(Morning_Peak_Duration__hours*2))*(R$141-(Morning_Peak_Time__24hr_clock+$C142))^2))+(EXP(-(1/(Afternoon_Peak_Duration__hours*2))*(R$141-(Afternoon_Peak_Time__24hr_clock+$C142))^2)))*$U9)/TZCalibrationValue,0)+AP142</calculatedColumnFormula>
      <totalsRowFormula>SUM(R142:R240)</totalsRowFormula>
    </tableColumn>
    <tableColumn id="7" name="3" totalsRowFunction="custom" dataDxfId="258" totalsRowDxfId="257">
      <calculatedColumnFormula>IF($T9&gt;0,(((EXP(-(1/(Morning_Peak_Duration__hours*2))*(S$141-(Morning_Peak_Time__24hr_clock+$C142))^2))+(EXP(-(1/(Afternoon_Peak_Duration__hours*2))*(S$141-(Afternoon_Peak_Time__24hr_clock+$C142))^2)))*$U9)/TZCalibrationValue,0)+AQ142</calculatedColumnFormula>
      <totalsRowFormula>SUM(S142:S240)</totalsRowFormula>
    </tableColumn>
    <tableColumn id="8" name="4" totalsRowFunction="custom" dataDxfId="256" totalsRowDxfId="255">
      <calculatedColumnFormula>IF($T9&gt;0,(((EXP(-(1/(Morning_Peak_Duration__hours*2))*(T$141-(Morning_Peak_Time__24hr_clock+$C142))^2))+(EXP(-(1/(Afternoon_Peak_Duration__hours*2))*(T$141-(Afternoon_Peak_Time__24hr_clock+$C142))^2)))*$U9)/TZCalibrationValue,0)+AR142</calculatedColumnFormula>
      <totalsRowFormula>SUM(T142:T240)</totalsRowFormula>
    </tableColumn>
    <tableColumn id="9" name="5" totalsRowFunction="custom" dataDxfId="254" totalsRowDxfId="253">
      <calculatedColumnFormula>IF($T9&gt;0,(((EXP(-(1/(Morning_Peak_Duration__hours*2))*(U$141-(Morning_Peak_Time__24hr_clock+$C142))^2))+(EXP(-(1/(Afternoon_Peak_Duration__hours*2))*(U$141-(Afternoon_Peak_Time__24hr_clock+$C142))^2)))*$U9)/TZCalibrationValue,0)+AS142</calculatedColumnFormula>
      <totalsRowFormula>SUM(U142:U240)</totalsRowFormula>
    </tableColumn>
    <tableColumn id="10" name="6" totalsRowFunction="custom" dataDxfId="252" totalsRowDxfId="251">
      <calculatedColumnFormula>IF($T9&gt;0,(((EXP(-(1/(Morning_Peak_Duration__hours*2))*(V$141-(Morning_Peak_Time__24hr_clock+$C142))^2))+(EXP(-(1/(Afternoon_Peak_Duration__hours*2))*(V$141-(Afternoon_Peak_Time__24hr_clock+$C142))^2)))*$U9)/TZCalibrationValue,0)+AT142</calculatedColumnFormula>
      <totalsRowFormula>SUM(V142:V240)</totalsRowFormula>
    </tableColumn>
    <tableColumn id="11" name="7" totalsRowFunction="custom" dataDxfId="250" totalsRowDxfId="249">
      <calculatedColumnFormula>IF($T9&gt;0,(((EXP(-(1/(Morning_Peak_Duration__hours*2))*(W$141-(Morning_Peak_Time__24hr_clock+$C142))^2))+(EXP(-(1/(Afternoon_Peak_Duration__hours*2))*(W$141-(Afternoon_Peak_Time__24hr_clock+$C142))^2)))*$U9)/TZCalibrationValue,0)+AU142</calculatedColumnFormula>
      <totalsRowFormula>SUM(W142:W240)</totalsRowFormula>
    </tableColumn>
    <tableColumn id="12" name="8" totalsRowFunction="custom" dataDxfId="248" totalsRowDxfId="247">
      <calculatedColumnFormula>IF($T9&gt;0,(((EXP(-(1/(Morning_Peak_Duration__hours*2))*(X$141-(Morning_Peak_Time__24hr_clock+$C142))^2))+(EXP(-(1/(Afternoon_Peak_Duration__hours*2))*(X$141-(Afternoon_Peak_Time__24hr_clock+$C142))^2)))*$U9)/TZCalibrationValue,0)+AV142</calculatedColumnFormula>
      <totalsRowFormula>SUM(X142:X240)</totalsRowFormula>
    </tableColumn>
    <tableColumn id="13" name="9" totalsRowFunction="custom" dataDxfId="246" totalsRowDxfId="245">
      <calculatedColumnFormula>IF($T9&gt;0,(((EXP(-(1/(Morning_Peak_Duration__hours*2))*(Y$141-(Morning_Peak_Time__24hr_clock+$C142))^2))+(EXP(-(1/(Afternoon_Peak_Duration__hours*2))*(Y$141-(Afternoon_Peak_Time__24hr_clock+$C142))^2)))*$U9)/TZCalibrationValue,0)+AW142</calculatedColumnFormula>
      <totalsRowFormula>SUM(Y142:Y240)</totalsRowFormula>
    </tableColumn>
    <tableColumn id="14" name="10" totalsRowFunction="custom" dataDxfId="244" totalsRowDxfId="243">
      <calculatedColumnFormula>IF($T9&gt;0,(((EXP(-(1/(Morning_Peak_Duration__hours*2))*(Z$141-(Morning_Peak_Time__24hr_clock+$C142))^2))+(EXP(-(1/(Afternoon_Peak_Duration__hours*2))*(Z$141-(Afternoon_Peak_Time__24hr_clock+$C142))^2)))*$U9)/TZCalibrationValue,0)+AX142</calculatedColumnFormula>
      <totalsRowFormula>SUM(Z142:Z240)</totalsRowFormula>
    </tableColumn>
    <tableColumn id="15" name="11" totalsRowFunction="custom" dataDxfId="242" totalsRowDxfId="241">
      <calculatedColumnFormula>IF($T9&gt;0,(((EXP(-(1/(Morning_Peak_Duration__hours*2))*(AA$141-(Morning_Peak_Time__24hr_clock+$C142))^2))+(EXP(-(1/(Afternoon_Peak_Duration__hours*2))*(AA$141-(Afternoon_Peak_Time__24hr_clock+$C142))^2)))*$U9)/TZCalibrationValue,0)+AY142</calculatedColumnFormula>
      <totalsRowFormula>SUM(AA142:AA240)</totalsRowFormula>
    </tableColumn>
    <tableColumn id="16" name="12" totalsRowFunction="custom" dataDxfId="240" totalsRowDxfId="239">
      <calculatedColumnFormula>IF($T9&gt;0,(((EXP(-(1/(Morning_Peak_Duration__hours*2))*(AB$141-(Morning_Peak_Time__24hr_clock+$C142))^2))+(EXP(-(1/(Afternoon_Peak_Duration__hours*2))*(AB$141-(Afternoon_Peak_Time__24hr_clock+$C142))^2)))*$U9)/TZCalibrationValue,0)+AZ142</calculatedColumnFormula>
      <totalsRowFormula>SUM(AB142:AB240)</totalsRowFormula>
    </tableColumn>
    <tableColumn id="17" name="13" totalsRowFunction="custom" dataDxfId="238" totalsRowDxfId="237">
      <calculatedColumnFormula>IF($T9&gt;0,(((EXP(-(1/(Morning_Peak_Duration__hours*2))*(AC$141-(Morning_Peak_Time__24hr_clock+$C142))^2))+(EXP(-(1/(Afternoon_Peak_Duration__hours*2))*(AC$141-(Afternoon_Peak_Time__24hr_clock+$C142))^2)))*$U9)/TZCalibrationValue,0)+E142</calculatedColumnFormula>
      <totalsRowFormula>SUM(AC142:AC240)</totalsRowFormula>
    </tableColumn>
    <tableColumn id="18" name="14" totalsRowFunction="custom" dataDxfId="236" totalsRowDxfId="235">
      <calculatedColumnFormula>IF($T9&gt;0,(((EXP(-(1/(Morning_Peak_Duration__hours*2))*(AD$141-(Morning_Peak_Time__24hr_clock+$C142))^2))+(EXP(-(1/(Afternoon_Peak_Duration__hours*2))*(AD$141-(Afternoon_Peak_Time__24hr_clock+$C142))^2)))*$U9)/TZCalibrationValue,0)+F142</calculatedColumnFormula>
      <totalsRowFormula>SUM(AD142:AD240)</totalsRowFormula>
    </tableColumn>
    <tableColumn id="19" name="15" totalsRowFunction="custom" dataDxfId="234" totalsRowDxfId="233">
      <calculatedColumnFormula>IF($T9&gt;0,(((EXP(-(1/(Morning_Peak_Duration__hours*2))*(AE$141-(Morning_Peak_Time__24hr_clock+$C142))^2))+(EXP(-(1/(Afternoon_Peak_Duration__hours*2))*(AE$141-(Afternoon_Peak_Time__24hr_clock+$C142))^2)))*$U9)/TZCalibrationValue,0)+G142</calculatedColumnFormula>
      <totalsRowFormula>SUM(AE142:AE240)</totalsRowFormula>
    </tableColumn>
    <tableColumn id="20" name="16" totalsRowFunction="custom" dataDxfId="232" totalsRowDxfId="231">
      <calculatedColumnFormula>IF($T9&gt;0,(((EXP(-(1/(Morning_Peak_Duration__hours*2))*(AF$141-(Morning_Peak_Time__24hr_clock+$C142))^2))+(EXP(-(1/(Afternoon_Peak_Duration__hours*2))*(AF$141-(Afternoon_Peak_Time__24hr_clock+$C142))^2)))*$U9)/TZCalibrationValue,0)+H142</calculatedColumnFormula>
      <totalsRowFormula>SUM(AF142:AF240)</totalsRowFormula>
    </tableColumn>
    <tableColumn id="21" name="17" totalsRowFunction="custom" dataDxfId="230" totalsRowDxfId="229">
      <calculatedColumnFormula>IF($T9&gt;0,(((EXP(-(1/(Morning_Peak_Duration__hours*2))*(AG$141-(Morning_Peak_Time__24hr_clock+$C142))^2))+(EXP(-(1/(Afternoon_Peak_Duration__hours*2))*(AG$141-(Afternoon_Peak_Time__24hr_clock+$C142))^2)))*$U9)/TZCalibrationValue,0)+I142</calculatedColumnFormula>
      <totalsRowFormula>SUM(AG142:AG240)</totalsRowFormula>
    </tableColumn>
    <tableColumn id="22" name="18" totalsRowFunction="custom" dataDxfId="228" totalsRowDxfId="227">
      <calculatedColumnFormula>IF($T9&gt;0,(((EXP(-(1/(Morning_Peak_Duration__hours*2))*(AH$141-(Morning_Peak_Time__24hr_clock+$C142))^2))+(EXP(-(1/(Afternoon_Peak_Duration__hours*2))*(AH$141-(Afternoon_Peak_Time__24hr_clock+$C142))^2)))*$U9)/TZCalibrationValue,0)+J142</calculatedColumnFormula>
      <totalsRowFormula>SUM(AH142:AH240)</totalsRowFormula>
    </tableColumn>
    <tableColumn id="23" name="19" totalsRowFunction="custom" dataDxfId="226" totalsRowDxfId="225">
      <calculatedColumnFormula>IF($T9&gt;0,(((EXP(-(1/(Morning_Peak_Duration__hours*2))*(AI$141-(Morning_Peak_Time__24hr_clock+$C142))^2))+(EXP(-(1/(Afternoon_Peak_Duration__hours*2))*(AI$141-(Afternoon_Peak_Time__24hr_clock+$C142))^2)))*$U9)/TZCalibrationValue,0)+K142</calculatedColumnFormula>
      <totalsRowFormula>SUM(AI142:AI240)</totalsRowFormula>
    </tableColumn>
    <tableColumn id="24" name="20" totalsRowFunction="custom" dataDxfId="224" totalsRowDxfId="223">
      <calculatedColumnFormula>IF($T9&gt;0,(((EXP(-(1/(Morning_Peak_Duration__hours*2))*(AJ$141-(Morning_Peak_Time__24hr_clock+$C142))^2))+(EXP(-(1/(Afternoon_Peak_Duration__hours*2))*(AJ$141-(Afternoon_Peak_Time__24hr_clock+$C142))^2)))*$U9)/TZCalibrationValue,0)+L142</calculatedColumnFormula>
      <totalsRowFormula>SUM(AJ142:AJ240)</totalsRowFormula>
    </tableColumn>
    <tableColumn id="34" name="21" totalsRowFunction="custom" dataDxfId="222" totalsRowDxfId="221">
      <calculatedColumnFormula>IF($T9&gt;0,(((EXP(-(1/(Morning_Peak_Duration__hours*2))*(AK$141-(Morning_Peak_Time__24hr_clock+$C142))^2))+(EXP(-(1/(Afternoon_Peak_Duration__hours*2))*(AK$141-(Afternoon_Peak_Time__24hr_clock+$C142))^2)))*$U9)/TZCalibrationValue,0)+M142</calculatedColumnFormula>
      <totalsRowFormula>SUM(AK142:AK240)</totalsRowFormula>
    </tableColumn>
    <tableColumn id="35" name="22" totalsRowFunction="custom" dataDxfId="220" totalsRowDxfId="219">
      <calculatedColumnFormula>IF($T9&gt;0,(((EXP(-(1/(Morning_Peak_Duration__hours*2))*(AL$141-(Morning_Peak_Time__24hr_clock+$C142))^2))+(EXP(-(1/(Afternoon_Peak_Duration__hours*2))*(AL$141-(Afternoon_Peak_Time__24hr_clock+$C142))^2)))*$U9)/TZCalibrationValue,0)+N142</calculatedColumnFormula>
      <totalsRowFormula>SUM(AL142:AL240)</totalsRowFormula>
    </tableColumn>
    <tableColumn id="36" name="23" totalsRowFunction="custom" dataDxfId="218" totalsRowDxfId="217">
      <calculatedColumnFormula>IF($T9&gt;0,(((EXP(-(1/(Morning_Peak_Duration__hours*2))*(AM$141-(Morning_Peak_Time__24hr_clock+$C142))^2))+(EXP(-(1/(Afternoon_Peak_Duration__hours*2))*(AM$141-(Afternoon_Peak_Time__24hr_clock+$C142))^2)))*$U9)/TZCalibrationValue,0)+O142</calculatedColumnFormula>
      <totalsRowFormula>SUM(AM142:AM240)</totalsRowFormula>
    </tableColumn>
    <tableColumn id="37" name="24" totalsRowFunction="custom" dataDxfId="216" totalsRowDxfId="215">
      <calculatedColumnFormula>IF($T9&gt;0,(((EXP(-(1/(Morning_Peak_Duration__hours*2))*(AN$141-(Morning_Peak_Time__24hr_clock+$C142))^2))+(EXP(-(1/(Afternoon_Peak_Duration__hours*2))*(AN$141-(Afternoon_Peak_Time__24hr_clock+$C142))^2)))*$U9)/TZCalibrationValue,0)</calculatedColumnFormula>
      <totalsRowFormula>SUM(AN142:AN240)</totalsRowFormula>
    </tableColumn>
    <tableColumn id="30" name="25" totalsRowFunction="custom" dataDxfId="214" totalsRowDxfId="213">
      <calculatedColumnFormula>IF($T9&gt;0,(((EXP(-(1/(Morning_Peak_Duration__hours*2))*(AO$141-(Morning_Peak_Time__24hr_clock+$C142))^2))+(EXP(-(1/(Afternoon_Peak_Duration__hours*2))*(AO$141-(Afternoon_Peak_Time__24hr_clock+$C142))^2)))*$U9)/TZCalibrationValue,0)</calculatedColumnFormula>
      <totalsRowFormula>SUM(AO142:AO240)</totalsRowFormula>
    </tableColumn>
    <tableColumn id="31" name="26" totalsRowFunction="custom" dataDxfId="212" totalsRowDxfId="211">
      <calculatedColumnFormula>IF($T9&gt;0,(((EXP(-(1/(Morning_Peak_Duration__hours*2))*(AP$141-(Morning_Peak_Time__24hr_clock+$C142))^2))+(EXP(-(1/(Afternoon_Peak_Duration__hours*2))*(AP$141-(Afternoon_Peak_Time__24hr_clock+$C142))^2)))*$U9)/TZCalibrationValue,0)</calculatedColumnFormula>
      <totalsRowFormula>SUM(AP142:AP240)</totalsRowFormula>
    </tableColumn>
    <tableColumn id="32" name="27" totalsRowFunction="custom" dataDxfId="210" totalsRowDxfId="209">
      <calculatedColumnFormula>IF($T9&gt;0,(((EXP(-(1/(Morning_Peak_Duration__hours*2))*(AQ$141-(Morning_Peak_Time__24hr_clock+$C142))^2))+(EXP(-(1/(Afternoon_Peak_Duration__hours*2))*(AQ$141-(Afternoon_Peak_Time__24hr_clock+$C142))^2)))*$U9)/TZCalibrationValue,0)</calculatedColumnFormula>
      <totalsRowFormula>SUM(AQ142:AQ240)</totalsRowFormula>
    </tableColumn>
    <tableColumn id="38" name="28" totalsRowFunction="custom" dataDxfId="208" totalsRowDxfId="207">
      <calculatedColumnFormula>IF($T9&gt;0,(((EXP(-(1/(Morning_Peak_Duration__hours*2))*(AR$141-(Morning_Peak_Time__24hr_clock+$C142))^2))+(EXP(-(1/(Afternoon_Peak_Duration__hours*2))*(AR$141-(Afternoon_Peak_Time__24hr_clock+$C142))^2)))*$U9)/TZCalibrationValue,0)</calculatedColumnFormula>
      <totalsRowFormula>SUM(AR142:AR240)</totalsRowFormula>
    </tableColumn>
    <tableColumn id="39" name="29" totalsRowFunction="custom" dataDxfId="206" totalsRowDxfId="205">
      <calculatedColumnFormula>IF($T9&gt;0,(((EXP(-(1/(Morning_Peak_Duration__hours*2))*(AS$141-(Morning_Peak_Time__24hr_clock+$C142))^2))+(EXP(-(1/(Afternoon_Peak_Duration__hours*2))*(AS$141-(Afternoon_Peak_Time__24hr_clock+$C142))^2)))*$U9)/TZCalibrationValue,0)</calculatedColumnFormula>
      <totalsRowFormula>SUM(AS142:AS240)</totalsRowFormula>
    </tableColumn>
    <tableColumn id="40" name="30" totalsRowFunction="custom" dataDxfId="204" totalsRowDxfId="203">
      <calculatedColumnFormula>IF($T9&gt;0,(((EXP(-(1/(Morning_Peak_Duration__hours*2))*(AT$141-(Morning_Peak_Time__24hr_clock+$C142))^2))+(EXP(-(1/(Afternoon_Peak_Duration__hours*2))*(AT$141-(Afternoon_Peak_Time__24hr_clock+$C142))^2)))*$U9)/TZCalibrationValue,0)</calculatedColumnFormula>
      <totalsRowFormula>SUM(AT142:AT240)</totalsRowFormula>
    </tableColumn>
    <tableColumn id="28" name="31" totalsRowFunction="custom" dataDxfId="202" totalsRowDxfId="201">
      <calculatedColumnFormula>IF($T9&gt;0,(((EXP(-(1/(Morning_Peak_Duration__hours*2))*(AU$141-(Morning_Peak_Time__24hr_clock+$C142))^2))+(EXP(-(1/(Afternoon_Peak_Duration__hours*2))*(AU$141-(Afternoon_Peak_Time__24hr_clock+$C142))^2)))*$U9)/TZCalibrationValue,0)</calculatedColumnFormula>
      <totalsRowFormula>SUM(AU142:AU240)</totalsRowFormula>
    </tableColumn>
    <tableColumn id="29" name="32" totalsRowFunction="custom" dataDxfId="200" totalsRowDxfId="199">
      <calculatedColumnFormula>IF($T9&gt;0,(((EXP(-(1/(Morning_Peak_Duration__hours*2))*(AV$141-(Morning_Peak_Time__24hr_clock+$C142))^2))+(EXP(-(1/(Afternoon_Peak_Duration__hours*2))*(AV$141-(Afternoon_Peak_Time__24hr_clock+$C142))^2)))*$U9)/TZCalibrationValue,0)</calculatedColumnFormula>
      <totalsRowFormula>SUM(AV142:AV240)</totalsRowFormula>
    </tableColumn>
    <tableColumn id="25" name="33" totalsRowFunction="custom" dataDxfId="198" totalsRowDxfId="197">
      <calculatedColumnFormula>IF($T9&gt;0,(((EXP(-(1/(Morning_Peak_Duration__hours*2))*(AW$141-(Morning_Peak_Time__24hr_clock+$C142))^2))+(EXP(-(1/(Afternoon_Peak_Duration__hours*2))*(AW$141-(Afternoon_Peak_Time__24hr_clock+$C142))^2)))*$U9)/TZCalibrationValue,0)</calculatedColumnFormula>
      <totalsRowFormula>SUM(AW142:AW240)</totalsRowFormula>
    </tableColumn>
    <tableColumn id="27" name="34" totalsRowFunction="custom" dataDxfId="196" totalsRowDxfId="195">
      <calculatedColumnFormula>IF($T9&gt;0,(((EXP(-(1/(Morning_Peak_Duration__hours*2))*(AX$141-(Morning_Peak_Time__24hr_clock+$C142))^2))+(EXP(-(1/(Afternoon_Peak_Duration__hours*2))*(AX$141-(Afternoon_Peak_Time__24hr_clock+$C142))^2)))*$U9)/TZCalibrationValue,0)</calculatedColumnFormula>
      <totalsRowFormula>SUM(AX142:AX240)</totalsRowFormula>
    </tableColumn>
    <tableColumn id="26" name="35" totalsRowFunction="custom" dataDxfId="194" totalsRowDxfId="193">
      <calculatedColumnFormula>IF($T9&gt;0,(((EXP(-(1/(Morning_Peak_Duration__hours*2))*(AY$141-(Morning_Peak_Time__24hr_clock+$C142))^2))+(EXP(-(1/(Afternoon_Peak_Duration__hours*2))*(AY$141-(Afternoon_Peak_Time__24hr_clock+$C142))^2)))*$U9)/TZCalibrationValue,0)</calculatedColumnFormula>
      <totalsRowFormula>SUM(AY142:AY240)</totalsRowFormula>
    </tableColumn>
  </tableColumns>
  <tableStyleInfo name="TableStyleMedium2" showFirstColumn="0" showLastColumn="0" showRowStripes="1" showColumnStripes="0"/>
</table>
</file>

<file path=xl/tables/table16.xml><?xml version="1.0" encoding="utf-8"?>
<table xmlns="http://schemas.openxmlformats.org/spreadsheetml/2006/main" id="16" name="Table16" displayName="Table16" ref="AL110:AM134" totalsRowShown="0" headerRowDxfId="192" dataDxfId="190" headerRowBorderDxfId="191" tableBorderDxfId="189" totalsRowBorderDxfId="188">
  <tableColumns count="2">
    <tableColumn id="1" name="Hour of Day" dataDxfId="187"/>
    <tableColumn id="2" name="%" dataDxfId="186" dataCellStyle="Percent"/>
  </tableColumns>
  <tableStyleInfo name="TableStyleMedium4" showFirstColumn="0" showLastColumn="0" showRowStripes="1" showColumnStripes="0"/>
</table>
</file>

<file path=xl/tables/table17.xml><?xml version="1.0" encoding="utf-8"?>
<table xmlns="http://schemas.openxmlformats.org/spreadsheetml/2006/main" id="2" name="Table2" displayName="Table2" ref="B5:E19" totalsRowShown="0">
  <tableColumns count="4">
    <tableColumn id="1" name="Client"/>
    <tableColumn id="2" name="kB/Day" dataDxfId="185">
      <calculatedColumnFormula>('Scaling Tables'!O19)</calculatedColumnFormula>
    </tableColumn>
    <tableColumn id="3" name="kB/s (Peak)" dataDxfId="184">
      <calculatedColumnFormula>((C6*(MAX(Tools!$E$29:'Tools'!$D$29)))/(3600))*2</calculatedColumnFormula>
    </tableColumn>
    <tableColumn id="4" name="kbps (Peak)" dataDxfId="183">
      <calculatedColumnFormula>D6*8</calculatedColumnFormula>
    </tableColumn>
  </tableColumns>
  <tableStyleInfo name="TableStyleMedium11" showFirstColumn="0" showLastColumn="0" showRowStripes="1" showColumnStripes="0"/>
</table>
</file>

<file path=xl/tables/table18.xml><?xml version="1.0" encoding="utf-8"?>
<table xmlns="http://schemas.openxmlformats.org/spreadsheetml/2006/main" id="44" name="Table245" displayName="Table245" ref="G5:J19" totalsRowShown="0">
  <tableColumns count="4">
    <tableColumn id="1" name="Client"/>
    <tableColumn id="2" name="kB/Day" dataDxfId="182">
      <calculatedColumnFormula>('Scaling Tables'!O39)</calculatedColumnFormula>
    </tableColumn>
    <tableColumn id="3" name="kB/s (Peak)" dataDxfId="181">
      <calculatedColumnFormula>((H6*(MAX(Tools!$E$29:'Tools'!$D$29)))/(3600))*2</calculatedColumnFormula>
    </tableColumn>
    <tableColumn id="4" name="kbps (Peak)" dataDxfId="180">
      <calculatedColumnFormula>I6*8</calculatedColumnFormula>
    </tableColumn>
  </tableColumns>
  <tableStyleInfo name="TableStyleMedium11" showFirstColumn="0" showLastColumn="0" showRowStripes="1" showColumnStripes="0"/>
</table>
</file>

<file path=xl/tables/table19.xml><?xml version="1.0" encoding="utf-8"?>
<table xmlns="http://schemas.openxmlformats.org/spreadsheetml/2006/main" id="45" name="Table246" displayName="Table246" ref="B23:E37" totalsRowShown="0">
  <tableColumns count="4">
    <tableColumn id="1" name="Client"/>
    <tableColumn id="2" name="kB/Day" dataDxfId="179">
      <calculatedColumnFormula>('Scaling Tables'!O59)</calculatedColumnFormula>
    </tableColumn>
    <tableColumn id="3" name="kB/s (Peak)" dataDxfId="178">
      <calculatedColumnFormula>((C24*(MAX(Tools!$E$29:'Tools'!$D$29)))/(3600))*2</calculatedColumnFormula>
    </tableColumn>
    <tableColumn id="4" name="kbps (Peak)" dataDxfId="177">
      <calculatedColumnFormula>D24*8</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id="25" name="Table25" displayName="Table25" ref="B16:C23" headerRowCount="0" totalsRowShown="0" headerRowDxfId="520" headerRowBorderDxfId="519">
  <tableColumns count="2">
    <tableColumn id="1" name="Column1" headerRowDxfId="518" dataDxfId="517"/>
    <tableColumn id="2" name="Column2" headerRowDxfId="516" dataDxfId="515"/>
  </tableColumns>
  <tableStyleInfo name="TableStyleLight1" showFirstColumn="0" showLastColumn="0" showRowStripes="1" showColumnStripes="0"/>
</table>
</file>

<file path=xl/tables/table20.xml><?xml version="1.0" encoding="utf-8"?>
<table xmlns="http://schemas.openxmlformats.org/spreadsheetml/2006/main" id="46" name="Table247" displayName="Table247" ref="G23:J37" totalsRowShown="0">
  <tableColumns count="4">
    <tableColumn id="1" name="Client"/>
    <tableColumn id="2" name="kB/Day" dataDxfId="176">
      <calculatedColumnFormula>('Scaling Tables'!O79)</calculatedColumnFormula>
    </tableColumn>
    <tableColumn id="3" name="kB/s (Peak)" dataDxfId="175">
      <calculatedColumnFormula>((H24*(MAX(Tools!$E$29:'Tools'!$D$29)))/(3600))*2</calculatedColumnFormula>
    </tableColumn>
    <tableColumn id="4" name="kbps (Peak)" dataDxfId="174">
      <calculatedColumnFormula>I24*8</calculatedColumnFormula>
    </tableColumn>
  </tableColumns>
  <tableStyleInfo name="TableStyleMedium11" showFirstColumn="0" showLastColumn="0" showRowStripes="1" showColumnStripes="0"/>
</table>
</file>

<file path=xl/tables/table21.xml><?xml version="1.0" encoding="utf-8"?>
<table xmlns="http://schemas.openxmlformats.org/spreadsheetml/2006/main" id="11" name="Table11" displayName="Table11" ref="B4:E28" totalsRowShown="0" headerRowDxfId="173" dataDxfId="172" headerRowCellStyle="Accent1">
  <tableColumns count="4">
    <tableColumn id="1" name="HOUR" dataDxfId="171"/>
    <tableColumn id="2" name="LOGS/Hour" dataDxfId="170"/>
    <tableColumn id="3" name="% Usage Profile" dataDxfId="169">
      <calculatedColumnFormula>E5/SUM($E$5:$E$28)</calculatedColumnFormula>
    </tableColumn>
    <tableColumn id="4" name="Usage Profile" dataDxfId="168" dataCellStyle="Percent">
      <calculatedColumnFormula>(((EXP(-(1/(Morning_Peak_Duration__hours*2))*(B5-(Morning_Peak_Time__24hr_clock))^2))+(EXP(-(1/(Afternoon_Peak_Duration__hours*2))*(B5-(Afternoon_Peak_Time__24hr_clock))^2))))</calculatedColumnFormula>
    </tableColumn>
  </tableColumns>
  <tableStyleInfo name="TableStyleMedium9" showFirstColumn="0" showLastColumn="0" showRowStripes="1" showColumnStripes="0"/>
</table>
</file>

<file path=xl/tables/table22.xml><?xml version="1.0" encoding="utf-8"?>
<table xmlns="http://schemas.openxmlformats.org/spreadsheetml/2006/main" id="10" name="Table10" displayName="Table10" ref="B33:D48" headerRowCount="0" totalsRowShown="0" headerRowDxfId="167" tableBorderDxfId="166" totalsRowBorderDxfId="165">
  <tableColumns count="3">
    <tableColumn id="1" name="Column1" dataDxfId="164"/>
    <tableColumn id="2" name="Column2" dataDxfId="163"/>
    <tableColumn id="3" name="Column3" headerRowDxfId="162" dataDxfId="161"/>
  </tableColumns>
  <tableStyleInfo name="TableStyleMedium23" showFirstColumn="0" showLastColumn="0" showRowStripes="1" showColumnStripes="0"/>
</table>
</file>

<file path=xl/tables/table23.xml><?xml version="1.0" encoding="utf-8"?>
<table xmlns="http://schemas.openxmlformats.org/spreadsheetml/2006/main" id="3" name="Table3" displayName="Table3" ref="B18:M34" totalsRowShown="0" headerRowDxfId="160" headerRowBorderDxfId="159" tableBorderDxfId="158" totalsRowBorderDxfId="157" headerRowCellStyle="Accent1">
  <tableColumns count="12">
    <tableColumn id="1" name="Client Type" dataDxfId="156"/>
    <tableColumn id="2" name="Client Traffic (Messages Received)" dataDxfId="155"/>
    <tableColumn id="13" name="Client Traffic (Messages Sent)" dataDxfId="154"/>
    <tableColumn id="3" name="Item Deletions" dataDxfId="153"/>
    <tableColumn id="4" name="OAB Downloads" dataDxfId="152"/>
    <tableColumn id="5" name="Availability Lookups (Data Sent)" dataDxfId="151">
      <calculatedColumnFormula>(P1_Avg_Recipients_Per_Meeting*3515+67384)/1000</calculatedColumnFormula>
    </tableColumn>
    <tableColumn id="11" name="Availability Lookups (Data Received)" dataDxfId="150">
      <calculatedColumnFormula>(P1_Avg_Recipients_Per_Meeting*50120+354471)/1000</calculatedColumnFormula>
    </tableColumn>
    <tableColumn id="6" name="Logon Traffic" dataDxfId="149">
      <calculatedColumnFormula>65*1</calculatedColumnFormula>
    </tableColumn>
    <tableColumn id="7" name="Online Archive" dataDxfId="148"/>
    <tableColumn id="8" name="Autodiscover" dataDxfId="147"/>
    <tableColumn id="9" name="Item Reads" dataDxfId="146"/>
    <tableColumn id="10" name="OST Resync_x000a_(Cached Mode/Mobile Devices Only)" dataDxfId="145">
      <calculatedColumnFormula>(C19*Mobile_Device_Days_to_Sync*OST_Resync_Per_Month)/20</calculatedColumnFormula>
    </tableColumn>
  </tableColumns>
  <tableStyleInfo name="TableStyleMedium23" showFirstColumn="0" showLastColumn="0" showRowStripes="1" showColumnStripes="0"/>
</table>
</file>

<file path=xl/tables/table24.xml><?xml version="1.0" encoding="utf-8"?>
<table xmlns="http://schemas.openxmlformats.org/spreadsheetml/2006/main" id="6" name="Table6" displayName="Table6" ref="B2:B4" totalsRowShown="0" headerRowDxfId="144">
  <tableColumns count="1">
    <tableColumn id="1" name="Options"/>
  </tableColumns>
  <tableStyleInfo name="TableStyleMedium23" showFirstColumn="0" showLastColumn="0" showRowStripes="1" showColumnStripes="0"/>
</table>
</file>

<file path=xl/tables/table25.xml><?xml version="1.0" encoding="utf-8"?>
<table xmlns="http://schemas.openxmlformats.org/spreadsheetml/2006/main" id="14" name="Table14" displayName="Table14" ref="B6:B10" totalsRowShown="0" headerRowDxfId="143" tableBorderDxfId="142">
  <tableColumns count="1">
    <tableColumn id="1" name="Exchange Versions"/>
  </tableColumns>
  <tableStyleInfo name="TableStyleMedium2" showFirstColumn="0" showLastColumn="0" showRowStripes="1" showColumnStripes="0"/>
</table>
</file>

<file path=xl/tables/table26.xml><?xml version="1.0" encoding="utf-8"?>
<table xmlns="http://schemas.openxmlformats.org/spreadsheetml/2006/main" id="20" name="Table621" displayName="Table621" ref="D2:D4" totalsRowShown="0" headerRowDxfId="141">
  <tableColumns count="1">
    <tableColumn id="1" name="Meeting FB"/>
  </tableColumns>
  <tableStyleInfo name="TableStyleMedium23" showFirstColumn="0" showLastColumn="0" showRowStripes="1" showColumnStripes="0"/>
</table>
</file>

<file path=xl/tables/table27.xml><?xml version="1.0" encoding="utf-8"?>
<table xmlns="http://schemas.openxmlformats.org/spreadsheetml/2006/main" id="21" name="Table21" displayName="Table21" ref="B98:C101" totalsRowShown="0">
  <tableColumns count="2">
    <tableColumn id="1" name="Metric"/>
    <tableColumn id="2" name="Value" dataDxfId="140"/>
  </tableColumns>
  <tableStyleInfo name="TableStyleMedium2" showFirstColumn="0" showLastColumn="0" showRowStripes="1" showColumnStripes="0"/>
</table>
</file>

<file path=xl/tables/table28.xml><?xml version="1.0" encoding="utf-8"?>
<table xmlns="http://schemas.openxmlformats.org/spreadsheetml/2006/main" id="26" name="Table26" displayName="Table26" ref="N19:Q34" headerRowCount="0" totalsRowShown="0" headerRowDxfId="139" dataDxfId="137" headerRowBorderDxfId="138" tableBorderDxfId="136" totalsRowBorderDxfId="135">
  <tableColumns count="4">
    <tableColumn id="1" name="Column1" headerRowDxfId="134" dataDxfId="133">
      <calculatedColumnFormula>"P1_"&amp;Table3[[#This Row],[Client Type]]&amp;"_Received"</calculatedColumnFormula>
    </tableColumn>
    <tableColumn id="2" name="Column2" headerRowDxfId="132" dataDxfId="131">
      <calculatedColumnFormula>SUM(C19,F19,I19,K19,L19,M19,H19)</calculatedColumnFormula>
    </tableColumn>
    <tableColumn id="3" name="Column3" headerRowDxfId="130" dataDxfId="129">
      <calculatedColumnFormula>"P1_"&amp;Table3[[#This Row],[Client Type]]&amp;"_Sent"</calculatedColumnFormula>
    </tableColumn>
    <tableColumn id="4" name="Column4" headerRowDxfId="128" dataDxfId="127">
      <calculatedColumnFormula>SUM(D19,E19,G19)</calculatedColumnFormula>
    </tableColumn>
  </tableColumns>
  <tableStyleInfo name="TableStyleMedium24" showFirstColumn="0" showLastColumn="0" showRowStripes="1" showColumnStripes="0"/>
</table>
</file>

<file path=xl/tables/table29.xml><?xml version="1.0" encoding="utf-8"?>
<table xmlns="http://schemas.openxmlformats.org/spreadsheetml/2006/main" id="5" name="Table36" displayName="Table36" ref="B38:M53" totalsRowShown="0" headerRowDxfId="126" headerRowBorderDxfId="125" tableBorderDxfId="124" totalsRowBorderDxfId="123" headerRowCellStyle="Accent1">
  <tableColumns count="12">
    <tableColumn id="1" name="Client Type" dataDxfId="122"/>
    <tableColumn id="2" name="Client Traffic (Messages Received)" dataDxfId="121"/>
    <tableColumn id="13" name="Client Traffic (Messages Sent)" dataDxfId="120"/>
    <tableColumn id="3" name="Item Deletions" dataDxfId="119"/>
    <tableColumn id="4" name="OAB Downloads" dataDxfId="118"/>
    <tableColumn id="5" name="Availability Lookups (Data Sent)" dataDxfId="117">
      <calculatedColumnFormula>(P1_Avg_Recipients_Per_Meeting*3515+67384)/1000</calculatedColumnFormula>
    </tableColumn>
    <tableColumn id="11" name="Availability Lookups (Data Received)" dataDxfId="116">
      <calculatedColumnFormula>(P1_Avg_Recipients_Per_Meeting*50120+354471)/1000</calculatedColumnFormula>
    </tableColumn>
    <tableColumn id="6" name="Logon Traffic" dataDxfId="115">
      <calculatedColumnFormula>65*1</calculatedColumnFormula>
    </tableColumn>
    <tableColumn id="7" name="Online Archive" dataDxfId="114"/>
    <tableColumn id="8" name="Autodiscover" dataDxfId="113"/>
    <tableColumn id="9" name="Item Reads" dataDxfId="112"/>
    <tableColumn id="10" name="OST Resync_x000a_(Cached Mode/Mobile Devices Only)" dataDxfId="111">
      <calculatedColumnFormula>(C39*Mobile_Device_Days_to_Sync*OST_Resync_Per_Month)/20</calculatedColumnFormula>
    </tableColumn>
  </tableColumns>
  <tableStyleInfo name="TableStyleMedium23" showFirstColumn="0" showLastColumn="0" showRowStripes="1" showColumnStripes="0"/>
</table>
</file>

<file path=xl/tables/table3.xml><?xml version="1.0" encoding="utf-8"?>
<table xmlns="http://schemas.openxmlformats.org/spreadsheetml/2006/main" id="33" name="ProfileData34" displayName="ProfileData34" ref="E26:F34" headerRowCount="0" totalsRowShown="0" headerRowDxfId="514" dataDxfId="512" headerRowBorderDxfId="513" tableBorderDxfId="511" totalsRowBorderDxfId="510">
  <tableColumns count="2">
    <tableColumn id="1" name="Metric" headerRowDxfId="509" dataDxfId="508"/>
    <tableColumn id="2" name="Value" headerRowDxfId="507" dataDxfId="506"/>
  </tableColumns>
  <tableStyleInfo name="TableStyleMedium15" showFirstColumn="0" showLastColumn="0" showRowStripes="1" showColumnStripes="0"/>
</table>
</file>

<file path=xl/tables/table30.xml><?xml version="1.0" encoding="utf-8"?>
<table xmlns="http://schemas.openxmlformats.org/spreadsheetml/2006/main" id="28" name="Table2629" displayName="Table2629" ref="N39:Q53" headerRowCount="0" totalsRowShown="0" headerRowDxfId="110" dataDxfId="108" headerRowBorderDxfId="109" tableBorderDxfId="107" totalsRowBorderDxfId="106">
  <tableColumns count="4">
    <tableColumn id="1" name="Column1" headerRowDxfId="105" dataDxfId="104">
      <calculatedColumnFormula>"P2_"&amp;Table36[[#This Row],[Client Type]]&amp;"_Received"</calculatedColumnFormula>
    </tableColumn>
    <tableColumn id="2" name="Column2" headerRowDxfId="103" dataDxfId="102">
      <calculatedColumnFormula>SUM(C39,F39,I39,K39,L39,M39,H39)</calculatedColumnFormula>
    </tableColumn>
    <tableColumn id="3" name="Column3" headerRowDxfId="101" dataDxfId="100">
      <calculatedColumnFormula>"P2_"&amp;Table36[[#This Row],[Client Type]]&amp;"_Sent"</calculatedColumnFormula>
    </tableColumn>
    <tableColumn id="4" name="Column4" headerRowDxfId="99" dataDxfId="98">
      <calculatedColumnFormula>SUM(D39,E39,G39)</calculatedColumnFormula>
    </tableColumn>
  </tableColumns>
  <tableStyleInfo name="TableStyleMedium25" showFirstColumn="0" showLastColumn="0" showRowStripes="1" showColumnStripes="0"/>
</table>
</file>

<file path=xl/tables/table31.xml><?xml version="1.0" encoding="utf-8"?>
<table xmlns="http://schemas.openxmlformats.org/spreadsheetml/2006/main" id="29" name="Table3630" displayName="Table3630" ref="B58:M73" totalsRowShown="0" headerRowDxfId="97" headerRowBorderDxfId="96" tableBorderDxfId="95" totalsRowBorderDxfId="94" headerRowCellStyle="Accent1">
  <tableColumns count="12">
    <tableColumn id="1" name="Client Type" dataDxfId="93"/>
    <tableColumn id="2" name="Client Traffic (Messages Received)" dataDxfId="92"/>
    <tableColumn id="13" name="Client Traffic (Messages Sent)" dataDxfId="91"/>
    <tableColumn id="3" name="Item Deletions" dataDxfId="90"/>
    <tableColumn id="4" name="OAB Downloads" dataDxfId="89"/>
    <tableColumn id="5" name="Availability Lookups (Data Sent)" dataDxfId="88">
      <calculatedColumnFormula>(P1_Avg_Recipients_Per_Meeting*3515+67384)/1000</calculatedColumnFormula>
    </tableColumn>
    <tableColumn id="11" name="Availability Lookups (Data Received)" dataDxfId="87">
      <calculatedColumnFormula>(P1_Avg_Recipients_Per_Meeting*50120+354471)/1000</calculatedColumnFormula>
    </tableColumn>
    <tableColumn id="6" name="Logon Traffic" dataDxfId="86">
      <calculatedColumnFormula>65*1</calculatedColumnFormula>
    </tableColumn>
    <tableColumn id="7" name="Online Archive" dataDxfId="85"/>
    <tableColumn id="8" name="Autodiscover" dataDxfId="84"/>
    <tableColumn id="9" name="Item Reads" dataDxfId="83"/>
    <tableColumn id="10" name="OST Resync_x000a_(Cached Mode/Mobile Devices Only)" dataDxfId="82">
      <calculatedColumnFormula>(C59*Mobile_Device_Days_to_Sync*OST_Resync_Per_Month)/20</calculatedColumnFormula>
    </tableColumn>
  </tableColumns>
  <tableStyleInfo name="TableStyleMedium23" showFirstColumn="0" showLastColumn="0" showRowStripes="1" showColumnStripes="0"/>
</table>
</file>

<file path=xl/tables/table32.xml><?xml version="1.0" encoding="utf-8"?>
<table xmlns="http://schemas.openxmlformats.org/spreadsheetml/2006/main" id="30" name="Table262931" displayName="Table262931" ref="N59:Q73" headerRowCount="0" totalsRowShown="0" headerRowDxfId="81" dataDxfId="79" headerRowBorderDxfId="80" tableBorderDxfId="78" totalsRowBorderDxfId="77">
  <tableColumns count="4">
    <tableColumn id="1" name="Column1" headerRowDxfId="76" dataDxfId="75">
      <calculatedColumnFormula>"P3_"&amp;Table3630[[#This Row],[Client Type]]&amp;"_Received"</calculatedColumnFormula>
    </tableColumn>
    <tableColumn id="2" name="Column2" headerRowDxfId="74" dataDxfId="73">
      <calculatedColumnFormula>SUM(C59,F59,I59,K59,L59,M59,H59)</calculatedColumnFormula>
    </tableColumn>
    <tableColumn id="3" name="Column3" headerRowDxfId="72" dataDxfId="71">
      <calculatedColumnFormula>"P3_"&amp;Table3630[[#This Row],[Client Type]]&amp;"_Sent"</calculatedColumnFormula>
    </tableColumn>
    <tableColumn id="4" name="Column4" headerRowDxfId="70" dataDxfId="69">
      <calculatedColumnFormula>SUM(D59,E59,G59)</calculatedColumnFormula>
    </tableColumn>
  </tableColumns>
  <tableStyleInfo name="TableStyleMedium26" showFirstColumn="0" showLastColumn="0" showRowStripes="1" showColumnStripes="0"/>
</table>
</file>

<file path=xl/tables/table33.xml><?xml version="1.0" encoding="utf-8"?>
<table xmlns="http://schemas.openxmlformats.org/spreadsheetml/2006/main" id="31" name="Table3632" displayName="Table3632" ref="B78:M93" totalsRowShown="0" headerRowDxfId="68" headerRowBorderDxfId="67" tableBorderDxfId="66" totalsRowBorderDxfId="65" headerRowCellStyle="Accent1">
  <tableColumns count="12">
    <tableColumn id="1" name="Client Type" dataDxfId="64"/>
    <tableColumn id="2" name="Client Traffic (Messages Received)" dataDxfId="63"/>
    <tableColumn id="13" name="Client Traffic (Messages Sent)" dataDxfId="62"/>
    <tableColumn id="3" name="Item Deletions" dataDxfId="61"/>
    <tableColumn id="4" name="OAB Downloads" dataDxfId="60"/>
    <tableColumn id="5" name="Availability Lookups (Data Sent)" dataDxfId="59">
      <calculatedColumnFormula>(P1_Avg_Recipients_Per_Meeting*3515+67384)/1000</calculatedColumnFormula>
    </tableColumn>
    <tableColumn id="11" name="Availability Lookups (Data Received)" dataDxfId="58">
      <calculatedColumnFormula>(P1_Avg_Recipients_Per_Meeting*50120+354471)/1000</calculatedColumnFormula>
    </tableColumn>
    <tableColumn id="6" name="Logon Traffic" dataDxfId="57">
      <calculatedColumnFormula>65*1</calculatedColumnFormula>
    </tableColumn>
    <tableColumn id="7" name="Online Archive" dataDxfId="56"/>
    <tableColumn id="8" name="Autodiscover" dataDxfId="55"/>
    <tableColumn id="9" name="Item Reads" dataDxfId="54"/>
    <tableColumn id="10" name="OST Resync_x000a_(Cached Mode/Mobile Devices Only)" dataDxfId="53">
      <calculatedColumnFormula>(C79*Mobile_Device_Days_to_Sync*OST_Resync_Per_Month)/20</calculatedColumnFormula>
    </tableColumn>
  </tableColumns>
  <tableStyleInfo name="TableStyleMedium23" showFirstColumn="0" showLastColumn="0" showRowStripes="1" showColumnStripes="0"/>
</table>
</file>

<file path=xl/tables/table34.xml><?xml version="1.0" encoding="utf-8"?>
<table xmlns="http://schemas.openxmlformats.org/spreadsheetml/2006/main" id="32" name="Table262933" displayName="Table262933" ref="N79:Q93" headerRowCount="0" totalsRowShown="0" headerRowDxfId="52" dataDxfId="50" headerRowBorderDxfId="51" tableBorderDxfId="49" totalsRowBorderDxfId="48">
  <tableColumns count="4">
    <tableColumn id="1" name="Column1" headerRowDxfId="47" dataDxfId="46">
      <calculatedColumnFormula>"P4_"&amp;Table3632[[#This Row],[Client Type]]&amp;"_Received"</calculatedColumnFormula>
    </tableColumn>
    <tableColumn id="2" name="Column2" headerRowDxfId="45" dataDxfId="44">
      <calculatedColumnFormula>SUM(C79,F79,I79,K79,L79,M79,H79)</calculatedColumnFormula>
    </tableColumn>
    <tableColumn id="3" name="Column3" headerRowDxfId="43" dataDxfId="42">
      <calculatedColumnFormula>"P4_"&amp;Table3632[[#This Row],[Client Type]]&amp;"_Sent"</calculatedColumnFormula>
    </tableColumn>
    <tableColumn id="4" name="Column4" headerRowDxfId="41" dataDxfId="40">
      <calculatedColumnFormula>SUM(D79,E79,G79)</calculatedColumnFormula>
    </tableColumn>
  </tableColumns>
  <tableStyleInfo name="TableStyleMedium28" showFirstColumn="0" showLastColumn="0" showRowStripes="1" showColumnStripes="0"/>
</table>
</file>

<file path=xl/tables/table35.xml><?xml version="1.0" encoding="utf-8"?>
<table xmlns="http://schemas.openxmlformats.org/spreadsheetml/2006/main" id="36" name="Table1437" displayName="Table1437" ref="D6:D10" totalsRowShown="0" headerRowDxfId="39" tableBorderDxfId="38">
  <tableColumns count="1">
    <tableColumn id="1" name="Profile Choices"/>
  </tableColumns>
  <tableStyleInfo name="TableStyleMedium2" showFirstColumn="0" showLastColumn="0" showRowStripes="1" showColumnStripes="0"/>
</table>
</file>

<file path=xl/tables/table36.xml><?xml version="1.0" encoding="utf-8"?>
<table xmlns="http://schemas.openxmlformats.org/spreadsheetml/2006/main" id="37" name="Table2138" displayName="Table2138" ref="B104:C107" totalsRowShown="0">
  <tableColumns count="2">
    <tableColumn id="1" name="Metric"/>
    <tableColumn id="2" name="Value" dataDxfId="37"/>
  </tableColumns>
  <tableStyleInfo name="TableStyleMedium2" showFirstColumn="0" showLastColumn="0" showRowStripes="1" showColumnStripes="0"/>
</table>
</file>

<file path=xl/tables/table37.xml><?xml version="1.0" encoding="utf-8"?>
<table xmlns="http://schemas.openxmlformats.org/spreadsheetml/2006/main" id="38" name="Table2139" displayName="Table2139" ref="B110:C113" totalsRowShown="0">
  <tableColumns count="2">
    <tableColumn id="1" name="Metric"/>
    <tableColumn id="2" name="Value" dataDxfId="36"/>
  </tableColumns>
  <tableStyleInfo name="TableStyleMedium2" showFirstColumn="0" showLastColumn="0" showRowStripes="1" showColumnStripes="0"/>
</table>
</file>

<file path=xl/tables/table38.xml><?xml version="1.0" encoding="utf-8"?>
<table xmlns="http://schemas.openxmlformats.org/spreadsheetml/2006/main" id="39" name="Table2140" displayName="Table2140" ref="B116:C119" totalsRowShown="0">
  <tableColumns count="2">
    <tableColumn id="1" name="Metric"/>
    <tableColumn id="2" name="Value" dataDxfId="35"/>
  </tableColumns>
  <tableStyleInfo name="TableStyleMedium2" showFirstColumn="0" showLastColumn="0" showRowStripes="1" showColumnStripes="0"/>
</table>
</file>

<file path=xl/tables/table39.xml><?xml version="1.0" encoding="utf-8"?>
<table xmlns="http://schemas.openxmlformats.org/spreadsheetml/2006/main" id="4" name="Table4" displayName="Table4" ref="B12:B14" totalsRowShown="0" headerRowDxfId="34" dataDxfId="33">
  <autoFilter ref="B12:B14"/>
  <tableColumns count="1">
    <tableColumn id="1" name="Exchange Service" dataDxfId="32"/>
  </tableColumns>
  <tableStyleInfo name="TableStyleMedium9" showFirstColumn="0" showLastColumn="0" showRowStripes="1" showColumnStripes="0"/>
</table>
</file>

<file path=xl/tables/table4.xml><?xml version="1.0" encoding="utf-8"?>
<table xmlns="http://schemas.openxmlformats.org/spreadsheetml/2006/main" id="34" name="ProfileData35" displayName="ProfileData35" ref="B37:C45" headerRowCount="0" totalsRowShown="0" headerRowDxfId="505" dataDxfId="503" headerRowBorderDxfId="504" tableBorderDxfId="502" totalsRowBorderDxfId="501">
  <tableColumns count="2">
    <tableColumn id="1" name="Metric" headerRowDxfId="500" dataDxfId="499"/>
    <tableColumn id="2" name="Value" headerRowDxfId="498" dataDxfId="497"/>
  </tableColumns>
  <tableStyleInfo name="TableStyleLight1" showFirstColumn="0" showLastColumn="0" showRowStripes="1" showColumnStripes="0"/>
</table>
</file>

<file path=xl/tables/table40.xml><?xml version="1.0" encoding="utf-8"?>
<table xmlns="http://schemas.openxmlformats.org/spreadsheetml/2006/main" id="9" name="Table9" displayName="Table9" ref="B122:C149" totalsRowShown="0">
  <autoFilter ref="B122:C149"/>
  <tableColumns count="2">
    <tableColumn id="1" name="TimeZone"/>
    <tableColumn id="2" name="Offset"/>
  </tableColumns>
  <tableStyleInfo name="TableStyleMedium2" showFirstColumn="0" showLastColumn="0" showRowStripes="1" showColumnStripes="0"/>
</table>
</file>

<file path=xl/tables/table41.xml><?xml version="1.0" encoding="utf-8"?>
<table xmlns="http://schemas.openxmlformats.org/spreadsheetml/2006/main" id="27" name="Table528" displayName="Table528" ref="B3:E31" totalsRowCount="1" headerRowDxfId="31" dataDxfId="29" headerRowBorderDxfId="30" tableBorderDxfId="28" headerRowCellStyle="Note" totalsRowCellStyle="Normal">
  <tableColumns count="4">
    <tableColumn id="1" name="DATE" totalsRowFunction="max" dataDxfId="27" totalsRowDxfId="19" dataCellStyle="Note"/>
    <tableColumn id="2" name="AUTHOR" dataDxfId="26" dataCellStyle="Note"/>
    <tableColumn id="3" name="VERSION" totalsRowFunction="custom" dataDxfId="25" totalsRowDxfId="18" dataCellStyle="Note">
      <totalsRowFormula>SUBTOTAL(104,D4:D30) &amp; " PUBLIC BETA4 + TimeZone v5"</totalsRowFormula>
    </tableColumn>
    <tableColumn id="4" name="DETAIL" dataDxfId="24" dataCellStyle="Note"/>
  </tableColumns>
  <tableStyleInfo name="TableStyleMedium2" showFirstColumn="0" showLastColumn="0" showRowStripes="1" showColumnStripes="0"/>
</table>
</file>

<file path=xl/tables/table5.xml><?xml version="1.0" encoding="utf-8"?>
<table xmlns="http://schemas.openxmlformats.org/spreadsheetml/2006/main" id="35" name="ProfileData36" displayName="ProfileData36" ref="E37:F45" headerRowCount="0" totalsRowShown="0" headerRowDxfId="496" dataDxfId="494" headerRowBorderDxfId="495" tableBorderDxfId="493" totalsRowBorderDxfId="492">
  <tableColumns count="2">
    <tableColumn id="1" name="Metric" headerRowDxfId="491" dataDxfId="490"/>
    <tableColumn id="2" name="Value" headerRowDxfId="489" dataDxfId="488"/>
  </tableColumns>
  <tableStyleInfo name="TableStyleLight1" showFirstColumn="0" showLastColumn="0" showRowStripes="1" showColumnStripes="0"/>
</table>
</file>

<file path=xl/tables/table6.xml><?xml version="1.0" encoding="utf-8"?>
<table xmlns="http://schemas.openxmlformats.org/spreadsheetml/2006/main" id="13" name="Table13" displayName="Table13" ref="E17:F21" totalsRowShown="0" headerRowDxfId="487" dataDxfId="485" headerRowBorderDxfId="486" tableBorderDxfId="484">
  <tableColumns count="2">
    <tableColumn id="1" name="Setting" dataDxfId="483"/>
    <tableColumn id="2" name="Value" dataDxfId="482"/>
  </tableColumns>
  <tableStyleInfo name="TableStyleMedium15" showFirstColumn="0" showLastColumn="0" showRowStripes="1" showColumnStripes="0"/>
</table>
</file>

<file path=xl/tables/table7.xml><?xml version="1.0" encoding="utf-8"?>
<table xmlns="http://schemas.openxmlformats.org/spreadsheetml/2006/main" id="12" name="Table2613513" displayName="Table2613513" ref="B9:S108" headerRowCount="0" totalsRowCount="1" headerRowDxfId="481" totalsRowDxfId="479" tableBorderDxfId="480" headerRowCellStyle="Accent1" totalsRowCellStyle="Calculation">
  <tableColumns count="18">
    <tableColumn id="1" name="Site" headerRowDxfId="478" totalsRowDxfId="17"/>
    <tableColumn id="24" name="Column5" headerRowDxfId="477" totalsRowDxfId="16"/>
    <tableColumn id="16" name="Column2" headerRowDxfId="476" dataDxfId="475" totalsRowDxfId="15"/>
    <tableColumn id="22" name="Column3" headerRowDxfId="474" totalsRowDxfId="14" dataCellStyle="Percent"/>
    <tableColumn id="15" name="Column1" totalsRowFunction="sum" headerRowDxfId="473" totalsRowDxfId="13" dataCellStyle="Percent"/>
    <tableColumn id="2" name="OA-Cached" totalsRowFunction="sum" headerRowDxfId="472" totalsRowDxfId="12" dataCellStyle="Percent"/>
    <tableColumn id="3" name="MAPI-Cached" totalsRowFunction="sum" headerRowDxfId="471" totalsRowDxfId="11" dataCellStyle="Percent"/>
    <tableColumn id="4" name="Outlook 2010 (MAPI-Online)" totalsRowFunction="sum" headerRowDxfId="470" totalsRowDxfId="10" dataCellStyle="Percent"/>
    <tableColumn id="5" name="Outlook 2007 _x000a_(OA-Cached)" totalsRowFunction="sum" headerRowDxfId="469" totalsRowDxfId="9" dataCellStyle="Percent"/>
    <tableColumn id="6" name="Outlook 2007 (MAPI-Cached)" totalsRowFunction="sum" headerRowDxfId="468" totalsRowDxfId="8" dataCellStyle="Percent"/>
    <tableColumn id="7" name="Outlook 2007 (MAPI-Online)" totalsRowFunction="sum" headerRowDxfId="467" totalsRowDxfId="7" dataCellStyle="Percent"/>
    <tableColumn id="8" name="Outlook 2003 _x000a_(OA-Cached)" totalsRowFunction="sum" headerRowDxfId="466" totalsRowDxfId="6" dataCellStyle="Percent"/>
    <tableColumn id="9" name="Outlook 2003 (MAPI-Cached)" totalsRowFunction="sum" headerRowDxfId="465" totalsRowDxfId="5" dataCellStyle="Percent"/>
    <tableColumn id="10" name="Outlook 2003 (MAPI-Online)" totalsRowFunction="sum" headerRowDxfId="464" totalsRowDxfId="4" dataCellStyle="Percent"/>
    <tableColumn id="11" name="OWA 2010" totalsRowFunction="sum" headerRowDxfId="463" totalsRowDxfId="3" dataCellStyle="Percent"/>
    <tableColumn id="12" name="OWA 2007" totalsRowFunction="sum" headerRowDxfId="462" totalsRowDxfId="2" dataCellStyle="Percent"/>
    <tableColumn id="13" name="WP7" totalsRowFunction="sum" headerRowDxfId="461" totalsRowDxfId="1" dataCellStyle="Percent"/>
    <tableColumn id="14" name="WinMo 6.x" totalsRowFunction="sum" headerRowDxfId="460" totalsRowDxfId="0" dataCellStyle="Percent"/>
  </tableColumns>
  <tableStyleInfo name="TableStyleMedium22" showFirstColumn="0" showLastColumn="0" showRowStripes="1" showColumnStripes="0"/>
</table>
</file>

<file path=xl/tables/table8.xml><?xml version="1.0" encoding="utf-8"?>
<table xmlns="http://schemas.openxmlformats.org/spreadsheetml/2006/main" id="40" name="Table40" displayName="Table40" ref="Y9:AA108" headerRowCount="0" totalsRowCount="1" dataDxfId="458" headerRowBorderDxfId="459" tableBorderDxfId="457" totalsRowBorderDxfId="456">
  <tableColumns count="3">
    <tableColumn id="1" name="Column1" totalsRowFunction="sum" headerRowDxfId="455" dataDxfId="454" totalsRowDxfId="453" dataCellStyle="Normal">
      <calculatedColumnFormula>IF(C9="light",IF(SUM(F9:S9)&gt;0,(((((G9*E9*P1_Outlook_2010__OA_Cached__Received)+(S9*E9*P1_Windows_Mobile_6.x_Received)+(H9*E9*P1_Outlook_2010__MAPI_Cached__Received)+(I9*E9*P1_Outlook_2010__MAPI_Online__Received)+(J9*E9*P1_Outlook_2007__OA_Cached__Received)+(K9*E9*P1_Outlook_2007__MAPI_Cached__Received)+(L9*E9*P1_Outlook_2007__MAPI_Online__Received)+(N9*E9*P1_Outlook_2003__MAPI_Cached__Received)+(O9*E9*P1_Outlook_2003__MAPI_Online__Received)+(R9*E9*P1_Windows_Phone_7.x_Received)+(M9*E9*P1_Outlook_2003__OA_Cached__Received)+(P9*E9*P1_OWA_2010_Received)+(Q9*E9*P1_OWA_2007_Received)+(F9*E9*P1_Outlook_2011__EWS__Received))))),0),0)</calculatedColumnFormula>
    </tableColumn>
    <tableColumn id="2" name="Column2" totalsRowFunction="sum" headerRowDxfId="452" dataDxfId="451" totalsRowDxfId="450" dataCellStyle="Normal">
      <calculatedColumnFormula>IF(C9="light",IF(SUM(F9:S9)&gt;0,(((((G9*E9*P1_Outlook_2010__OA_Cached__Sent)+(S9*E9*P1_Windows_Mobile_6.x_Sent)+(H9*E9*P1_Outlook_2010__MAPI_Cached__Sent)+(I9*E9*P1_Outlook_2010__MAPI_Online__Sent)+(J9*E9*P1_Outlook_2007__OA_Cached__Sent)+(K9*E9*P1_Outlook_2007__MAPI_Cached__Sent)+(L9*E9*P1_Outlook_2007__MAPI_Online__Sent)+(N9*E9*P1_Outlook_2003__MAPI_Cached__Sent)+(O9*E9*P1_Outlook_2003__MAPI_Online__Sent)+(R9*E9*P1_Windows_Phone_7.x_Sent)+(M9*E9*P1_Outlook_2003__OA_Cached__Sent)+(P9*E9*P1_OWA_2010_Sent)+(Q9*E9*P1_OWA_2007_Sent)+(F9*E9*P1_Outlook_2011__EWS__Sent))))),0),0)</calculatedColumnFormula>
    </tableColumn>
    <tableColumn id="3" name="Column3" totalsRowFunction="max" headerRowDxfId="449" dataDxfId="448" totalsRowDxfId="447" dataCellStyle="Normal">
      <calculatedColumnFormula>IF(SUM(F9,G9,H9,J9,K9,M9,N9)&gt;0,IF(C9="Light",P1_Min_OST_Throughput_Requirements,0),0)</calculatedColumnFormula>
    </tableColumn>
  </tableColumns>
  <tableStyleInfo name="TableStyleMedium24" showFirstColumn="0" showLastColumn="0" showRowStripes="1" showColumnStripes="0"/>
</table>
</file>

<file path=xl/tables/table9.xml><?xml version="1.0" encoding="utf-8"?>
<table xmlns="http://schemas.openxmlformats.org/spreadsheetml/2006/main" id="41" name="Table4042" displayName="Table4042" ref="AB9:AD108" headerRowCount="0" totalsRowCount="1" dataDxfId="445" headerRowBorderDxfId="446" tableBorderDxfId="444" totalsRowBorderDxfId="443">
  <tableColumns count="3">
    <tableColumn id="1" name="Column1" totalsRowFunction="sum" headerRowDxfId="442" dataDxfId="441" totalsRowDxfId="440" dataCellStyle="Normal">
      <calculatedColumnFormula>IF(C9="medium",IF(SUM(F9:S9)&gt;0,(((((G9*E9*P2_Outlook_2010__OA_Cached__Received)+(S9*E9*P2_Windows_Mobile_6.x_Received)+(H9*E9*P2_Outlook_2010__MAPI_Cached__Received)+(I9*E9*P2_Outlook_2010__MAPI_Online__Received)+(J9*E9*P2_Outlook_2007__OA_Cached__Received)+(K9*E9*P2_Outlook_2007__MAPI_Cached__Received)+(L9*E9*P2_Outlook_2007__MAPI_Online__Received)+(N9*E9*P2_Outlook_2003__MAPI_Cached__Received)+(O9*E9*P2_Outlook_2003__MAPI_Online__Received)+(R9*E9*P2_Windows_Phone_7.x_Received)+(M9*E9*P2_Outlook_2003__OA_Cached__Received)+(P9*E9*P2_OWA_2010_Received)+(Q9*E9*P2_OWA_2007_Received)+(F9*E9*P2_Outlook_2011__EWS__Received))))),0),0)</calculatedColumnFormula>
    </tableColumn>
    <tableColumn id="2" name="Column2" totalsRowFunction="sum" headerRowDxfId="439" dataDxfId="438" totalsRowDxfId="437" dataCellStyle="Normal">
      <calculatedColumnFormula>IF(C9="medium",IF(SUM(F9:S9)&gt;0,(((((G9*E9*P2_Outlook_2010__OA_Cached__Sent)+(S9*E9*P2_Windows_Mobile_6.x_Sent)+(H9*E9*P2_Outlook_2010__MAPI_Cached__Sent)+(I9*E9*P2_Outlook_2010__MAPI_Online__Sent)+(J9*E9*P2_Outlook_2007__OA_Cached__Sent)+(K9*E9*P2_Outlook_2007__MAPI_Cached__Sent)+(L9*E9*P2_Outlook_2007__MAPI_Online__Sent)+(N9*E9*P2_Outlook_2003__MAPI_Cached__Sent)+(O9*E9*P2_Outlook_2003__MAPI_Online__Sent)+(R9*E9*P2_Windows_Phone_7.x_Sent)+(M9*E9*P2_Outlook_2003__OA_Cached__Sent)+(P9*E9*P2_OWA_2010_Sent)+(Q9*E9*P2_OWA_2007_Sent)+(F9*E9*P2_Outlook_2011__EWS__Sent))))),0),0)</calculatedColumnFormula>
    </tableColumn>
    <tableColumn id="3" name="Column3" totalsRowFunction="max" headerRowDxfId="436" dataDxfId="435" totalsRowDxfId="434" dataCellStyle="Normal">
      <calculatedColumnFormula>IF(SUM(F9,G9,H9,J9,K9,M9,N9)&gt;0,IF(Table2613513[[#This Row],[Column5]]="medium",P2_Min_OST_Throughput_Requirements,0),0)</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vmlDrawing" Target="../drawings/vmlDrawing1.vml"/><Relationship Id="rId7"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3.xml"/><Relationship Id="rId5" Type="http://schemas.openxmlformats.org/officeDocument/2006/relationships/table" Target="../tables/table2.xml"/><Relationship Id="rId10" Type="http://schemas.openxmlformats.org/officeDocument/2006/relationships/comments" Target="../comments1.xml"/><Relationship Id="rId4" Type="http://schemas.openxmlformats.org/officeDocument/2006/relationships/table" Target="../tables/table1.xml"/><Relationship Id="rId9" Type="http://schemas.openxmlformats.org/officeDocument/2006/relationships/table" Target="../tables/table6.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table" Target="../tables/table16.xml"/><Relationship Id="rId3" Type="http://schemas.openxmlformats.org/officeDocument/2006/relationships/vmlDrawing" Target="../drawings/vmlDrawing2.vml"/><Relationship Id="rId7" Type="http://schemas.openxmlformats.org/officeDocument/2006/relationships/table" Target="../tables/table10.xml"/><Relationship Id="rId12" Type="http://schemas.openxmlformats.org/officeDocument/2006/relationships/table" Target="../tables/table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3.bin"/><Relationship Id="rId5" Type="http://schemas.openxmlformats.org/officeDocument/2006/relationships/table" Target="../tables/table20.xml"/><Relationship Id="rId4" Type="http://schemas.openxmlformats.org/officeDocument/2006/relationships/table" Target="../tables/table1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2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9.xml"/><Relationship Id="rId13" Type="http://schemas.openxmlformats.org/officeDocument/2006/relationships/table" Target="../tables/table34.xml"/><Relationship Id="rId18" Type="http://schemas.openxmlformats.org/officeDocument/2006/relationships/table" Target="../tables/table39.xml"/><Relationship Id="rId3" Type="http://schemas.openxmlformats.org/officeDocument/2006/relationships/table" Target="../tables/table24.xml"/><Relationship Id="rId7" Type="http://schemas.openxmlformats.org/officeDocument/2006/relationships/table" Target="../tables/table28.xml"/><Relationship Id="rId12" Type="http://schemas.openxmlformats.org/officeDocument/2006/relationships/table" Target="../tables/table33.xml"/><Relationship Id="rId17" Type="http://schemas.openxmlformats.org/officeDocument/2006/relationships/table" Target="../tables/table38.xml"/><Relationship Id="rId2" Type="http://schemas.openxmlformats.org/officeDocument/2006/relationships/table" Target="../tables/table23.xml"/><Relationship Id="rId16" Type="http://schemas.openxmlformats.org/officeDocument/2006/relationships/table" Target="../tables/table37.xml"/><Relationship Id="rId20" Type="http://schemas.openxmlformats.org/officeDocument/2006/relationships/comments" Target="../comments3.xml"/><Relationship Id="rId1" Type="http://schemas.openxmlformats.org/officeDocument/2006/relationships/vmlDrawing" Target="../drawings/vmlDrawing3.vml"/><Relationship Id="rId6" Type="http://schemas.openxmlformats.org/officeDocument/2006/relationships/table" Target="../tables/table27.xml"/><Relationship Id="rId11" Type="http://schemas.openxmlformats.org/officeDocument/2006/relationships/table" Target="../tables/table32.xml"/><Relationship Id="rId5" Type="http://schemas.openxmlformats.org/officeDocument/2006/relationships/table" Target="../tables/table26.xml"/><Relationship Id="rId15" Type="http://schemas.openxmlformats.org/officeDocument/2006/relationships/table" Target="../tables/table36.xml"/><Relationship Id="rId10" Type="http://schemas.openxmlformats.org/officeDocument/2006/relationships/table" Target="../tables/table31.xml"/><Relationship Id="rId19" Type="http://schemas.openxmlformats.org/officeDocument/2006/relationships/table" Target="../tables/table40.xml"/><Relationship Id="rId4" Type="http://schemas.openxmlformats.org/officeDocument/2006/relationships/table" Target="../tables/table25.xml"/><Relationship Id="rId9" Type="http://schemas.openxmlformats.org/officeDocument/2006/relationships/table" Target="../tables/table30.xml"/><Relationship Id="rId14" Type="http://schemas.openxmlformats.org/officeDocument/2006/relationships/table" Target="../tables/table3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B050"/>
  </sheetPr>
  <dimension ref="A1:K45"/>
  <sheetViews>
    <sheetView showGridLines="0" showRowColHeaders="0" workbookViewId="0">
      <selection activeCell="G22" sqref="G22"/>
    </sheetView>
  </sheetViews>
  <sheetFormatPr defaultColWidth="8.85546875" defaultRowHeight="15"/>
  <cols>
    <col min="1" max="1" width="3.42578125" style="7" customWidth="1"/>
    <col min="2" max="2" width="61.5703125" customWidth="1"/>
    <col min="3" max="3" width="22.28515625" customWidth="1"/>
    <col min="4" max="4" width="4.5703125" customWidth="1"/>
    <col min="5" max="5" width="60.7109375" customWidth="1"/>
    <col min="6" max="6" width="18.28515625" customWidth="1"/>
    <col min="7" max="10" width="9" customWidth="1"/>
    <col min="11" max="11" width="32.85546875" style="3" customWidth="1"/>
    <col min="12" max="13" width="32.85546875" customWidth="1"/>
  </cols>
  <sheetData>
    <row r="1" spans="1:11" s="77" customFormat="1" ht="21.75" thickBot="1">
      <c r="B1" s="121" t="str">
        <f>"Exchange Client Network Bandwidth Calculator " &amp; Current_Version</f>
        <v>Exchange Client Network Bandwidth Calculator 0.48 PUBLIC BETA4 + TimeZone v5</v>
      </c>
      <c r="C1" s="120"/>
      <c r="D1" s="120"/>
      <c r="E1" s="120"/>
      <c r="F1" s="120"/>
      <c r="K1" s="25"/>
    </row>
    <row r="2" spans="1:11" s="98" customFormat="1">
      <c r="A2" s="105"/>
      <c r="B2" s="119" t="s">
        <v>147</v>
      </c>
      <c r="C2" s="119"/>
      <c r="D2" s="119"/>
      <c r="E2" s="119"/>
      <c r="F2" s="122"/>
      <c r="K2" s="25"/>
    </row>
    <row r="3" spans="1:11" s="98" customFormat="1">
      <c r="A3" s="105"/>
      <c r="B3" s="119" t="s">
        <v>359</v>
      </c>
      <c r="C3" s="119"/>
      <c r="D3" s="119"/>
      <c r="E3" s="152"/>
      <c r="F3" s="122"/>
      <c r="K3" s="25"/>
    </row>
    <row r="4" spans="1:11" s="98" customFormat="1">
      <c r="A4" s="105"/>
      <c r="B4" s="119" t="s">
        <v>148</v>
      </c>
      <c r="C4" s="119"/>
      <c r="D4" s="119"/>
      <c r="E4" s="152"/>
      <c r="F4" s="122"/>
      <c r="K4" s="25"/>
    </row>
    <row r="5" spans="1:11" s="98" customFormat="1">
      <c r="A5" s="105"/>
      <c r="B5" s="118" t="s">
        <v>177</v>
      </c>
      <c r="C5" s="118"/>
      <c r="D5" s="85"/>
      <c r="E5" s="152"/>
      <c r="F5" s="105"/>
      <c r="K5" s="25"/>
    </row>
    <row r="6" spans="1:11" s="98" customFormat="1">
      <c r="A6" s="105"/>
      <c r="B6" s="118"/>
      <c r="C6" s="118"/>
      <c r="D6" s="85"/>
      <c r="E6" s="85"/>
      <c r="F6" s="105"/>
      <c r="K6" s="25"/>
    </row>
    <row r="7" spans="1:11" s="98" customFormat="1" ht="32.25" customHeight="1">
      <c r="A7" s="105"/>
      <c r="B7" s="270" t="s">
        <v>150</v>
      </c>
      <c r="C7" s="271"/>
      <c r="D7" s="271"/>
      <c r="E7" s="271"/>
      <c r="F7" s="272"/>
      <c r="K7" s="25"/>
    </row>
    <row r="8" spans="1:11" s="98" customFormat="1">
      <c r="A8" s="105"/>
      <c r="B8" s="119"/>
      <c r="C8" s="85"/>
      <c r="D8" s="85"/>
      <c r="E8" s="85"/>
      <c r="F8" s="105"/>
      <c r="K8" s="25"/>
    </row>
    <row r="9" spans="1:11" s="98" customFormat="1" ht="29.25" customHeight="1">
      <c r="A9" s="105"/>
      <c r="B9" s="273" t="s">
        <v>149</v>
      </c>
      <c r="C9" s="274"/>
      <c r="D9" s="274"/>
      <c r="E9" s="274"/>
      <c r="F9" s="123"/>
      <c r="K9" s="25"/>
    </row>
    <row r="10" spans="1:11" s="126" customFormat="1">
      <c r="A10" s="105"/>
      <c r="B10" s="124"/>
      <c r="C10" s="125"/>
      <c r="D10" s="125"/>
      <c r="E10" s="125"/>
      <c r="F10" s="123"/>
      <c r="K10" s="25"/>
    </row>
    <row r="11" spans="1:11" s="98" customFormat="1">
      <c r="A11" s="105"/>
      <c r="B11" s="267" t="s">
        <v>167</v>
      </c>
      <c r="C11" s="268"/>
      <c r="D11" s="268"/>
      <c r="E11" s="268"/>
      <c r="F11" s="269"/>
      <c r="K11" s="25"/>
    </row>
    <row r="12" spans="1:11" s="98" customFormat="1">
      <c r="A12" s="105"/>
      <c r="B12" s="267"/>
      <c r="C12" s="268"/>
      <c r="D12" s="268"/>
      <c r="E12" s="268"/>
      <c r="F12" s="269"/>
      <c r="K12" s="25"/>
    </row>
    <row r="13" spans="1:11" s="98" customFormat="1" ht="15.75" thickBot="1">
      <c r="A13" s="105"/>
      <c r="B13" s="119"/>
      <c r="C13" s="85"/>
      <c r="D13" s="85"/>
      <c r="E13" s="85"/>
      <c r="F13" s="105"/>
      <c r="K13" s="25"/>
    </row>
    <row r="14" spans="1:11" s="2" customFormat="1" ht="15.75" thickBot="1">
      <c r="B14" s="279" t="s">
        <v>41</v>
      </c>
      <c r="C14" s="280"/>
      <c r="D14" s="281"/>
      <c r="E14" s="281"/>
      <c r="F14" s="282"/>
    </row>
    <row r="15" spans="1:11" s="2" customFormat="1" ht="15.75" thickBot="1">
      <c r="B15" s="138" t="s">
        <v>173</v>
      </c>
      <c r="C15" s="148" t="s">
        <v>174</v>
      </c>
      <c r="D15" s="137"/>
      <c r="E15" s="150"/>
      <c r="F15" s="235"/>
    </row>
    <row r="16" spans="1:11" ht="15" customHeight="1">
      <c r="A16" s="85"/>
      <c r="B16" s="139" t="s">
        <v>2</v>
      </c>
      <c r="C16" s="140">
        <v>8</v>
      </c>
      <c r="D16" s="149"/>
      <c r="E16" s="283" t="s">
        <v>357</v>
      </c>
      <c r="F16" s="284"/>
    </row>
    <row r="17" spans="1:10" ht="15" customHeight="1">
      <c r="A17" s="85"/>
      <c r="B17" s="139" t="s">
        <v>19</v>
      </c>
      <c r="C17" s="141">
        <v>1</v>
      </c>
      <c r="D17" s="104"/>
      <c r="E17" s="232" t="s">
        <v>356</v>
      </c>
      <c r="F17" s="233" t="s">
        <v>94</v>
      </c>
    </row>
    <row r="18" spans="1:10" ht="15" customHeight="1">
      <c r="A18" s="85"/>
      <c r="B18" s="139" t="s">
        <v>83</v>
      </c>
      <c r="C18" s="142">
        <v>5.0000000000000001E-3</v>
      </c>
      <c r="D18" s="104"/>
      <c r="E18" s="234" t="s">
        <v>271</v>
      </c>
      <c r="F18" s="143">
        <v>10</v>
      </c>
    </row>
    <row r="19" spans="1:10" ht="15" customHeight="1">
      <c r="A19" s="85"/>
      <c r="B19" s="139" t="s">
        <v>35</v>
      </c>
      <c r="C19" s="143">
        <v>3</v>
      </c>
      <c r="D19" s="104"/>
      <c r="E19" s="234" t="s">
        <v>272</v>
      </c>
      <c r="F19" s="143">
        <v>2</v>
      </c>
      <c r="G19" s="7"/>
    </row>
    <row r="20" spans="1:10">
      <c r="A20" s="85"/>
      <c r="B20" s="139" t="s">
        <v>48</v>
      </c>
      <c r="C20" s="144">
        <v>100</v>
      </c>
      <c r="D20" s="104"/>
      <c r="E20" s="234" t="s">
        <v>273</v>
      </c>
      <c r="F20" s="143">
        <v>14</v>
      </c>
    </row>
    <row r="21" spans="1:10" ht="15" customHeight="1">
      <c r="A21" s="85"/>
      <c r="B21" s="139" t="s">
        <v>82</v>
      </c>
      <c r="C21" s="142">
        <v>5.0000000000000001E-3</v>
      </c>
      <c r="D21" s="104"/>
      <c r="E21" s="234" t="s">
        <v>274</v>
      </c>
      <c r="F21" s="143">
        <v>4</v>
      </c>
    </row>
    <row r="22" spans="1:10">
      <c r="A22" s="85"/>
      <c r="B22" s="139" t="s">
        <v>91</v>
      </c>
      <c r="C22" s="145" t="s">
        <v>90</v>
      </c>
      <c r="D22" s="104"/>
      <c r="E22" s="257"/>
      <c r="F22" s="258"/>
      <c r="J22" s="7"/>
    </row>
    <row r="23" spans="1:10" ht="15.75" thickBot="1">
      <c r="A23" s="85"/>
      <c r="B23" s="146" t="s">
        <v>4</v>
      </c>
      <c r="C23" s="147">
        <v>5.0000000000000001E-3</v>
      </c>
      <c r="D23" s="104"/>
      <c r="E23" s="231"/>
      <c r="F23" s="236"/>
      <c r="I23" s="7"/>
      <c r="J23" s="7"/>
    </row>
    <row r="24" spans="1:10" s="7" customFormat="1" ht="18" customHeight="1" thickBot="1">
      <c r="B24" s="237"/>
      <c r="C24" s="85"/>
      <c r="D24" s="8"/>
      <c r="E24" s="103"/>
      <c r="F24" s="238"/>
    </row>
    <row r="25" spans="1:10" ht="15.75" thickBot="1">
      <c r="B25" s="275" t="s">
        <v>114</v>
      </c>
      <c r="C25" s="276"/>
      <c r="D25" s="117"/>
      <c r="E25" s="277" t="s">
        <v>115</v>
      </c>
      <c r="F25" s="278"/>
      <c r="G25" s="27"/>
      <c r="H25" s="27"/>
      <c r="I25" s="27"/>
    </row>
    <row r="26" spans="1:10">
      <c r="B26" s="239" t="s">
        <v>102</v>
      </c>
      <c r="C26" s="111">
        <v>50</v>
      </c>
      <c r="D26" s="85"/>
      <c r="E26" s="106" t="s">
        <v>102</v>
      </c>
      <c r="F26" s="240">
        <v>50</v>
      </c>
    </row>
    <row r="27" spans="1:10">
      <c r="B27" s="241" t="s">
        <v>1</v>
      </c>
      <c r="C27" s="112">
        <v>5</v>
      </c>
      <c r="D27" s="85"/>
      <c r="E27" s="107" t="s">
        <v>1</v>
      </c>
      <c r="F27" s="242">
        <v>10</v>
      </c>
    </row>
    <row r="28" spans="1:10">
      <c r="B28" s="241" t="s">
        <v>101</v>
      </c>
      <c r="C28" s="112">
        <v>20</v>
      </c>
      <c r="D28" s="85"/>
      <c r="E28" s="107" t="s">
        <v>101</v>
      </c>
      <c r="F28" s="242">
        <v>40</v>
      </c>
    </row>
    <row r="29" spans="1:10">
      <c r="B29" s="241" t="s">
        <v>7</v>
      </c>
      <c r="C29" s="113">
        <v>2</v>
      </c>
      <c r="D29" s="85"/>
      <c r="E29" s="107" t="s">
        <v>7</v>
      </c>
      <c r="F29" s="243">
        <v>2</v>
      </c>
    </row>
    <row r="30" spans="1:10">
      <c r="B30" s="244" t="s">
        <v>84</v>
      </c>
      <c r="C30" s="112">
        <v>3</v>
      </c>
      <c r="D30" s="85"/>
      <c r="E30" s="108" t="s">
        <v>84</v>
      </c>
      <c r="F30" s="242">
        <v>3</v>
      </c>
    </row>
    <row r="31" spans="1:10">
      <c r="B31" s="241" t="s">
        <v>85</v>
      </c>
      <c r="C31" s="112">
        <f>0.02*SUM(C27:C28)</f>
        <v>0.5</v>
      </c>
      <c r="D31" s="85"/>
      <c r="E31" s="107" t="s">
        <v>85</v>
      </c>
      <c r="F31" s="245">
        <f>0.02*SUM(F27:F28)</f>
        <v>1</v>
      </c>
    </row>
    <row r="32" spans="1:10">
      <c r="B32" s="246" t="s">
        <v>32</v>
      </c>
      <c r="C32" s="115">
        <v>1.25</v>
      </c>
      <c r="D32" s="85"/>
      <c r="E32" s="109" t="s">
        <v>32</v>
      </c>
      <c r="F32" s="247">
        <v>1.25</v>
      </c>
    </row>
    <row r="33" spans="2:11">
      <c r="B33" s="246" t="s">
        <v>36</v>
      </c>
      <c r="C33" s="115">
        <v>0.2</v>
      </c>
      <c r="D33" s="85"/>
      <c r="E33" s="109" t="s">
        <v>36</v>
      </c>
      <c r="F33" s="247">
        <v>0.2</v>
      </c>
    </row>
    <row r="34" spans="2:11" s="41" customFormat="1">
      <c r="B34" s="248" t="s">
        <v>95</v>
      </c>
      <c r="C34" s="116" t="s">
        <v>21</v>
      </c>
      <c r="D34" s="85"/>
      <c r="E34" s="110" t="s">
        <v>95</v>
      </c>
      <c r="F34" s="249" t="s">
        <v>21</v>
      </c>
      <c r="K34" s="25"/>
    </row>
    <row r="35" spans="2:11" ht="18" customHeight="1" thickBot="1">
      <c r="B35" s="237"/>
      <c r="C35" s="85"/>
      <c r="D35" s="85"/>
      <c r="E35" s="85"/>
      <c r="F35" s="238"/>
    </row>
    <row r="36" spans="2:11" ht="15.75" thickBot="1">
      <c r="B36" s="275" t="s">
        <v>116</v>
      </c>
      <c r="C36" s="276"/>
      <c r="D36" s="117"/>
      <c r="E36" s="277" t="s">
        <v>118</v>
      </c>
      <c r="F36" s="278"/>
    </row>
    <row r="37" spans="2:11">
      <c r="B37" s="239" t="s">
        <v>102</v>
      </c>
      <c r="C37" s="111">
        <v>50</v>
      </c>
      <c r="D37" s="85"/>
      <c r="E37" s="106" t="s">
        <v>102</v>
      </c>
      <c r="F37" s="240">
        <v>50</v>
      </c>
    </row>
    <row r="38" spans="2:11">
      <c r="B38" s="241" t="s">
        <v>1</v>
      </c>
      <c r="C38" s="112">
        <v>20</v>
      </c>
      <c r="D38" s="85"/>
      <c r="E38" s="107" t="s">
        <v>1</v>
      </c>
      <c r="F38" s="242">
        <v>30</v>
      </c>
    </row>
    <row r="39" spans="2:11">
      <c r="B39" s="241" t="s">
        <v>101</v>
      </c>
      <c r="C39" s="112">
        <v>80</v>
      </c>
      <c r="D39" s="85"/>
      <c r="E39" s="107" t="s">
        <v>101</v>
      </c>
      <c r="F39" s="242">
        <v>120</v>
      </c>
    </row>
    <row r="40" spans="2:11">
      <c r="B40" s="241" t="s">
        <v>7</v>
      </c>
      <c r="C40" s="113">
        <v>2</v>
      </c>
      <c r="D40" s="85"/>
      <c r="E40" s="107" t="s">
        <v>7</v>
      </c>
      <c r="F40" s="243">
        <v>2</v>
      </c>
    </row>
    <row r="41" spans="2:11">
      <c r="B41" s="244" t="s">
        <v>84</v>
      </c>
      <c r="C41" s="112">
        <v>3</v>
      </c>
      <c r="D41" s="85"/>
      <c r="E41" s="108" t="s">
        <v>84</v>
      </c>
      <c r="F41" s="242">
        <v>3</v>
      </c>
    </row>
    <row r="42" spans="2:11">
      <c r="B42" s="241" t="s">
        <v>85</v>
      </c>
      <c r="C42" s="114">
        <f>0.02*SUM(C38:C39)</f>
        <v>2</v>
      </c>
      <c r="D42" s="85"/>
      <c r="E42" s="107" t="s">
        <v>85</v>
      </c>
      <c r="F42" s="245">
        <f>0.02*SUM(F38:F39)</f>
        <v>3</v>
      </c>
    </row>
    <row r="43" spans="2:11">
      <c r="B43" s="246" t="s">
        <v>32</v>
      </c>
      <c r="C43" s="115">
        <v>1.25</v>
      </c>
      <c r="D43" s="85"/>
      <c r="E43" s="109" t="s">
        <v>32</v>
      </c>
      <c r="F43" s="247">
        <v>1.25</v>
      </c>
    </row>
    <row r="44" spans="2:11">
      <c r="B44" s="246" t="s">
        <v>36</v>
      </c>
      <c r="C44" s="115">
        <v>0.2</v>
      </c>
      <c r="D44" s="85"/>
      <c r="E44" s="109" t="s">
        <v>36</v>
      </c>
      <c r="F44" s="247">
        <v>0.2</v>
      </c>
    </row>
    <row r="45" spans="2:11" ht="15.75" thickBot="1">
      <c r="B45" s="250" t="s">
        <v>95</v>
      </c>
      <c r="C45" s="251" t="s">
        <v>21</v>
      </c>
      <c r="D45" s="252"/>
      <c r="E45" s="253" t="s">
        <v>95</v>
      </c>
      <c r="F45" s="254" t="s">
        <v>21</v>
      </c>
    </row>
  </sheetData>
  <mergeCells count="9">
    <mergeCell ref="B11:F12"/>
    <mergeCell ref="B7:F7"/>
    <mergeCell ref="B9:E9"/>
    <mergeCell ref="B36:C36"/>
    <mergeCell ref="E36:F36"/>
    <mergeCell ref="B25:C25"/>
    <mergeCell ref="E25:F25"/>
    <mergeCell ref="B14:F14"/>
    <mergeCell ref="E16:F16"/>
  </mergeCells>
  <conditionalFormatting sqref="C22">
    <cfRule type="expression" dxfId="23" priority="2">
      <formula>IF(AND(Meeting_Availability_Protocol="Schedule+ FREE BUSY",C15="Office 365"),TRUE,FALSE)</formula>
    </cfRule>
  </conditionalFormatting>
  <conditionalFormatting sqref="C15">
    <cfRule type="expression" dxfId="22" priority="1">
      <formula>IF(AND(Meeting_Availability_Protocol="Schedule+ FREE BUSY",C15="Office 365"),TRUE,FALSE)</formula>
    </cfRule>
  </conditionalFormatting>
  <dataValidations count="2">
    <dataValidation type="list" allowBlank="1" showInputMessage="1" showErrorMessage="1" sqref="C22">
      <formula1>Availability_Service</formula1>
    </dataValidation>
    <dataValidation type="list" allowBlank="1" showInputMessage="1" showErrorMessage="1" sqref="C15">
      <formula1>Exchange_service_Type</formula1>
    </dataValidation>
  </dataValidations>
  <pageMargins left="0.7" right="0.7" top="0.75" bottom="0.75" header="0.3" footer="0.3"/>
  <pageSetup paperSize="9" orientation="portrait" horizontalDpi="4294967292" verticalDpi="4294967292" r:id="rId1"/>
  <drawing r:id="rId2"/>
  <legacyDrawing r:id="rId3"/>
  <tableParts count="6">
    <tablePart r:id="rId4"/>
    <tablePart r:id="rId5"/>
    <tablePart r:id="rId6"/>
    <tablePart r:id="rId7"/>
    <tablePart r:id="rId8"/>
    <tablePart r:id="rId9"/>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'Scaling Tables'!$B$3:$B$4</xm:f>
          </x14:formula1>
          <xm:sqref>C34 F34 C45 F45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B050"/>
  </sheetPr>
  <dimension ref="B2:CY242"/>
  <sheetViews>
    <sheetView showGridLines="0" showRowColHeaders="0" tabSelected="1" workbookViewId="0">
      <selection activeCell="J17" sqref="J17"/>
    </sheetView>
  </sheetViews>
  <sheetFormatPr defaultColWidth="8.85546875" defaultRowHeight="15" outlineLevelRow="1"/>
  <cols>
    <col min="1" max="1" width="4.28515625" style="17" customWidth="1"/>
    <col min="2" max="2" width="26.85546875" style="17" customWidth="1"/>
    <col min="3" max="3" width="11" style="41" bestFit="1" customWidth="1"/>
    <col min="4" max="4" width="8.42578125" style="176" customWidth="1"/>
    <col min="5" max="5" width="7.7109375" style="34" customWidth="1"/>
    <col min="6" max="6" width="7.140625" style="153" customWidth="1"/>
    <col min="7" max="19" width="7.140625" style="17" customWidth="1"/>
    <col min="20" max="20" width="8.28515625" style="17" customWidth="1"/>
    <col min="21" max="22" width="19" style="17" bestFit="1" customWidth="1"/>
    <col min="23" max="23" width="19.7109375" style="17" customWidth="1"/>
    <col min="24" max="24" width="15.28515625" style="154" customWidth="1"/>
    <col min="25" max="26" width="11" style="17" hidden="1" customWidth="1"/>
    <col min="27" max="27" width="11" style="41" hidden="1" customWidth="1"/>
    <col min="28" max="36" width="11" style="17" hidden="1" customWidth="1"/>
    <col min="37" max="37" width="8.85546875" style="17"/>
    <col min="38" max="38" width="12.42578125" style="17" customWidth="1"/>
    <col min="39" max="39" width="10.140625" style="17" bestFit="1" customWidth="1"/>
    <col min="40" max="40" width="8.85546875" style="17" customWidth="1"/>
    <col min="41" max="90" width="8.85546875" style="17"/>
    <col min="91" max="91" width="14.5703125" style="17" customWidth="1"/>
    <col min="92" max="16384" width="8.85546875" style="17"/>
  </cols>
  <sheetData>
    <row r="2" spans="2:36">
      <c r="B2" s="288" t="s">
        <v>50</v>
      </c>
      <c r="C2" s="288"/>
      <c r="D2" s="288"/>
      <c r="E2" s="288"/>
      <c r="F2" s="288"/>
      <c r="G2" s="288"/>
      <c r="H2" s="288"/>
      <c r="I2" s="288"/>
      <c r="J2" s="288"/>
      <c r="K2" s="288"/>
      <c r="L2" s="288"/>
      <c r="M2" s="288"/>
      <c r="N2" s="288"/>
      <c r="O2" s="288"/>
      <c r="P2" s="288"/>
      <c r="Q2" s="288"/>
      <c r="R2" s="288"/>
      <c r="S2" s="288"/>
      <c r="T2" s="288"/>
      <c r="U2" s="288"/>
      <c r="V2" s="288"/>
      <c r="W2" s="288"/>
      <c r="X2" s="156"/>
    </row>
    <row r="3" spans="2:36" s="176" customFormat="1" ht="7.5" customHeight="1">
      <c r="B3" s="218"/>
      <c r="C3" s="218"/>
      <c r="D3" s="218"/>
      <c r="E3" s="218"/>
      <c r="F3" s="218"/>
      <c r="G3" s="218"/>
      <c r="H3" s="218"/>
      <c r="I3" s="218"/>
      <c r="J3" s="218"/>
      <c r="K3" s="218"/>
      <c r="L3" s="218"/>
      <c r="M3" s="218"/>
      <c r="N3" s="218"/>
      <c r="O3" s="218"/>
      <c r="P3" s="218"/>
      <c r="Q3" s="218"/>
      <c r="R3" s="218"/>
      <c r="S3" s="218"/>
      <c r="T3" s="218"/>
      <c r="U3" s="218"/>
      <c r="V3" s="218"/>
      <c r="W3" s="218"/>
      <c r="X3" s="218"/>
    </row>
    <row r="4" spans="2:36" s="176" customFormat="1">
      <c r="B4" s="255" t="s">
        <v>358</v>
      </c>
      <c r="C4" s="256" t="s">
        <v>303</v>
      </c>
      <c r="D4" s="218"/>
      <c r="E4" s="218"/>
      <c r="F4" s="218"/>
      <c r="G4" s="218"/>
      <c r="H4" s="218"/>
      <c r="I4" s="218"/>
      <c r="J4" s="218"/>
      <c r="K4" s="218"/>
      <c r="L4" s="218"/>
      <c r="M4" s="218"/>
      <c r="N4" s="218"/>
      <c r="O4" s="218"/>
      <c r="P4" s="218"/>
      <c r="Q4" s="218"/>
      <c r="R4" s="218"/>
      <c r="S4" s="218"/>
      <c r="T4" s="218"/>
      <c r="U4" s="218"/>
      <c r="V4" s="218"/>
      <c r="W4" s="218"/>
      <c r="X4" s="218"/>
    </row>
    <row r="5" spans="2:36" s="153" customFormat="1" ht="7.5" customHeight="1">
      <c r="D5" s="176"/>
      <c r="X5" s="154"/>
    </row>
    <row r="6" spans="2:36" ht="15" customHeight="1">
      <c r="F6" s="297" t="s">
        <v>179</v>
      </c>
      <c r="G6" s="298"/>
      <c r="H6" s="298"/>
      <c r="I6" s="298"/>
      <c r="J6" s="298"/>
      <c r="K6" s="298"/>
      <c r="L6" s="298"/>
      <c r="M6" s="298"/>
      <c r="N6" s="298"/>
      <c r="O6" s="299"/>
      <c r="P6" s="85"/>
      <c r="Q6" s="85"/>
      <c r="R6" s="85"/>
      <c r="S6" s="85"/>
    </row>
    <row r="7" spans="2:36">
      <c r="B7" s="294" t="s">
        <v>142</v>
      </c>
      <c r="C7" s="295"/>
      <c r="D7" s="295"/>
      <c r="E7" s="296"/>
      <c r="F7" s="174">
        <v>2011</v>
      </c>
      <c r="G7" s="289">
        <v>2010</v>
      </c>
      <c r="H7" s="289"/>
      <c r="I7" s="289"/>
      <c r="J7" s="290">
        <v>2007</v>
      </c>
      <c r="K7" s="290"/>
      <c r="L7" s="290"/>
      <c r="M7" s="291">
        <v>2003</v>
      </c>
      <c r="N7" s="291"/>
      <c r="O7" s="291"/>
      <c r="P7" s="292" t="s">
        <v>49</v>
      </c>
      <c r="Q7" s="292"/>
      <c r="R7" s="293" t="s">
        <v>187</v>
      </c>
      <c r="S7" s="293"/>
      <c r="T7" s="311" t="s">
        <v>143</v>
      </c>
      <c r="U7" s="311"/>
      <c r="V7" s="311"/>
      <c r="W7" s="311"/>
      <c r="X7" s="155"/>
      <c r="Y7" s="303" t="s">
        <v>110</v>
      </c>
      <c r="Z7" s="303"/>
      <c r="AA7" s="304"/>
      <c r="AB7" s="305" t="s">
        <v>111</v>
      </c>
      <c r="AC7" s="306"/>
      <c r="AD7" s="307"/>
      <c r="AE7" s="308" t="s">
        <v>112</v>
      </c>
      <c r="AF7" s="309"/>
      <c r="AG7" s="310"/>
      <c r="AH7" s="300" t="s">
        <v>113</v>
      </c>
      <c r="AI7" s="301"/>
      <c r="AJ7" s="302"/>
    </row>
    <row r="8" spans="2:36" ht="90" customHeight="1">
      <c r="B8" s="180" t="s">
        <v>25</v>
      </c>
      <c r="C8" s="181" t="s">
        <v>130</v>
      </c>
      <c r="D8" s="182" t="s">
        <v>276</v>
      </c>
      <c r="E8" s="182" t="s">
        <v>105</v>
      </c>
      <c r="F8" s="182" t="s">
        <v>186</v>
      </c>
      <c r="G8" s="182" t="s">
        <v>33</v>
      </c>
      <c r="H8" s="182" t="s">
        <v>46</v>
      </c>
      <c r="I8" s="182" t="s">
        <v>47</v>
      </c>
      <c r="J8" s="182" t="s">
        <v>33</v>
      </c>
      <c r="K8" s="182" t="s">
        <v>46</v>
      </c>
      <c r="L8" s="182" t="s">
        <v>47</v>
      </c>
      <c r="M8" s="182" t="s">
        <v>33</v>
      </c>
      <c r="N8" s="182" t="s">
        <v>46</v>
      </c>
      <c r="O8" s="182" t="s">
        <v>47</v>
      </c>
      <c r="P8" s="182" t="s">
        <v>16</v>
      </c>
      <c r="Q8" s="182" t="s">
        <v>15</v>
      </c>
      <c r="R8" s="182" t="s">
        <v>31</v>
      </c>
      <c r="S8" s="97" t="s">
        <v>34</v>
      </c>
      <c r="T8" s="99" t="s">
        <v>5</v>
      </c>
      <c r="U8" s="100" t="s">
        <v>131</v>
      </c>
      <c r="V8" s="101" t="s">
        <v>132</v>
      </c>
      <c r="W8" s="102" t="s">
        <v>137</v>
      </c>
      <c r="X8" s="101" t="s">
        <v>270</v>
      </c>
      <c r="Y8" s="194" t="s">
        <v>51</v>
      </c>
      <c r="Z8" s="195" t="s">
        <v>52</v>
      </c>
      <c r="AA8" s="195" t="s">
        <v>129</v>
      </c>
      <c r="AB8" s="196" t="s">
        <v>51</v>
      </c>
      <c r="AC8" s="196" t="s">
        <v>52</v>
      </c>
      <c r="AD8" s="196" t="s">
        <v>129</v>
      </c>
      <c r="AE8" s="197" t="s">
        <v>51</v>
      </c>
      <c r="AF8" s="197" t="s">
        <v>52</v>
      </c>
      <c r="AG8" s="197" t="s">
        <v>129</v>
      </c>
      <c r="AH8" s="198" t="s">
        <v>51</v>
      </c>
      <c r="AI8" s="198" t="s">
        <v>52</v>
      </c>
      <c r="AJ8" s="198" t="s">
        <v>129</v>
      </c>
    </row>
    <row r="9" spans="2:36">
      <c r="B9" s="86" t="s">
        <v>365</v>
      </c>
      <c r="C9" s="87" t="s">
        <v>121</v>
      </c>
      <c r="D9" s="221" t="s">
        <v>303</v>
      </c>
      <c r="E9" s="88">
        <v>1</v>
      </c>
      <c r="F9" s="177"/>
      <c r="G9" s="177"/>
      <c r="H9" s="177"/>
      <c r="I9" s="177"/>
      <c r="J9" s="177"/>
      <c r="K9" s="177"/>
      <c r="L9" s="177"/>
      <c r="M9" s="177"/>
      <c r="N9" s="177"/>
      <c r="O9" s="177"/>
      <c r="P9" s="177"/>
      <c r="Q9" s="177"/>
      <c r="R9" s="177"/>
      <c r="S9" s="177"/>
      <c r="T9" s="183">
        <f t="shared" ref="T9:T28" si="0">SUM(F9:S9)</f>
        <v>0</v>
      </c>
      <c r="U9" s="93" t="str">
        <f t="shared" ref="U9:U40" si="1">IF(SUM($F9:$S9)&gt;0,(((PeakHourPercentageUse*(SUM(Y9+AB9+AE9+AH9)*1000*8))/3600)/1000000)*(Bandwidth_Headroom+1.2)+SUM(AA9+AD9+AG9+AJ9),"-")</f>
        <v>-</v>
      </c>
      <c r="V9" s="94" t="str">
        <f t="shared" ref="V9:V40" si="2">IF(SUM($F9:$S9)&gt;0,(((PeakHourPercentageUse*(SUM(Z9+AC9+AF9+AI9)*1000*8))/3600)/1000000)*(Bandwidth_Headroom+1.2),"-")</f>
        <v>-</v>
      </c>
      <c r="W9" s="184" t="str">
        <f t="shared" ref="W9:W28" si="3">IF(MAX(I9,L9,O9,M9,N9)&gt;0,110,IF(MAX(F9,G9,H9,J9,K9,P9,Q9)&gt;0,320,IF(MAX(G9:S9)&gt;0,500,"-")))</f>
        <v>-</v>
      </c>
      <c r="X9" s="185" t="str">
        <f t="shared" ref="X9:X28" si="4">IF(SUM(F9:S9)&gt;0,((F9*Outlook_2011__EWS__TCP)+(G9*Outlook_2010__OA_Cached__TCP)+(H9*Outlook_2010__MAPI_Cached__TCP)+(I9*Outlook_2010__MAPI_Online__TCP)+(J9*Outlook_2007__OA_Cached__TCP)+(K9*Outlook_2007__MAPI_Cached__TCP)+(L9*Outlook_2007__MAPI_Online__TCP)+(M9*Outlook_2003__OA_Cached__TCP)+(N9*Outlook_2003__MAPI_Cached__TCP)+(O9*Outlook_2003__MAPI_Online__TCP)+(P9*OWA_2010_TCP)+(Q9*OWA_2007_TCP)+(R9*Windows_Phone_7.x_TCP)+(S9*Windows_Mobile_6.x_TCP))*E9*1.2,"-")</f>
        <v>-</v>
      </c>
      <c r="Y9" s="178">
        <f t="shared" ref="Y9:Y28" si="5">IF(C9="light",IF(SUM(F9:S9)&gt;0,(((((G9*E9*P1_Outlook_2010__OA_Cached__Received)+(S9*E9*P1_Windows_Mobile_6.x_Received)+(H9*E9*P1_Outlook_2010__MAPI_Cached__Received)+(I9*E9*P1_Outlook_2010__MAPI_Online__Received)+(J9*E9*P1_Outlook_2007__OA_Cached__Received)+(K9*E9*P1_Outlook_2007__MAPI_Cached__Received)+(L9*E9*P1_Outlook_2007__MAPI_Online__Received)+(N9*E9*P1_Outlook_2003__MAPI_Cached__Received)+(O9*E9*P1_Outlook_2003__MAPI_Online__Received)+(R9*E9*P1_Windows_Phone_7.x_Received)+(M9*E9*P1_Outlook_2003__OA_Cached__Received)+(P9*E9*P1_OWA_2010_Received)+(Q9*E9*P1_OWA_2007_Received)+(F9*E9*P1_Outlook_2011__EWS__Received))))),0),0)</f>
        <v>0</v>
      </c>
      <c r="Z9" s="178">
        <f t="shared" ref="Z9:Z28" si="6">IF(C9="light",IF(SUM(F9:S9)&gt;0,(((((G9*E9*P1_Outlook_2010__OA_Cached__Sent)+(S9*E9*P1_Windows_Mobile_6.x_Sent)+(H9*E9*P1_Outlook_2010__MAPI_Cached__Sent)+(I9*E9*P1_Outlook_2010__MAPI_Online__Sent)+(J9*E9*P1_Outlook_2007__OA_Cached__Sent)+(K9*E9*P1_Outlook_2007__MAPI_Cached__Sent)+(L9*E9*P1_Outlook_2007__MAPI_Online__Sent)+(N9*E9*P1_Outlook_2003__MAPI_Cached__Sent)+(O9*E9*P1_Outlook_2003__MAPI_Online__Sent)+(R9*E9*P1_Windows_Phone_7.x_Sent)+(M9*E9*P1_Outlook_2003__OA_Cached__Sent)+(P9*E9*P1_OWA_2010_Sent)+(Q9*E9*P1_OWA_2007_Sent)+(F9*E9*P1_Outlook_2011__EWS__Sent))))),0),0)</f>
        <v>0</v>
      </c>
      <c r="AA9" s="179">
        <f t="shared" ref="AA9:AA40" si="7">IF(SUM(F9,G9,H9,J9,K9,M9,N9)&gt;0,IF(C9="Light",P1_Min_OST_Throughput_Requirements,0),0)</f>
        <v>0</v>
      </c>
      <c r="AB9" s="178">
        <f t="shared" ref="AB9:AB28" si="8">IF(C9="medium",IF(SUM(F9:S9)&gt;0,(((((G9*E9*P2_Outlook_2010__OA_Cached__Received)+(S9*E9*P2_Windows_Mobile_6.x_Received)+(H9*E9*P2_Outlook_2010__MAPI_Cached__Received)+(I9*E9*P2_Outlook_2010__MAPI_Online__Received)+(J9*E9*P2_Outlook_2007__OA_Cached__Received)+(K9*E9*P2_Outlook_2007__MAPI_Cached__Received)+(L9*E9*P2_Outlook_2007__MAPI_Online__Received)+(N9*E9*P2_Outlook_2003__MAPI_Cached__Received)+(O9*E9*P2_Outlook_2003__MAPI_Online__Received)+(R9*E9*P2_Windows_Phone_7.x_Received)+(M9*E9*P2_Outlook_2003__OA_Cached__Received)+(P9*E9*P2_OWA_2010_Received)+(Q9*E9*P2_OWA_2007_Received)+(F9*E9*P2_Outlook_2011__EWS__Received))))),0),0)</f>
        <v>0</v>
      </c>
      <c r="AC9" s="178">
        <f t="shared" ref="AC9:AC28" si="9">IF(C9="medium",IF(SUM(F9:S9)&gt;0,(((((G9*E9*P2_Outlook_2010__OA_Cached__Sent)+(S9*E9*P2_Windows_Mobile_6.x_Sent)+(H9*E9*P2_Outlook_2010__MAPI_Cached__Sent)+(I9*E9*P2_Outlook_2010__MAPI_Online__Sent)+(J9*E9*P2_Outlook_2007__OA_Cached__Sent)+(K9*E9*P2_Outlook_2007__MAPI_Cached__Sent)+(L9*E9*P2_Outlook_2007__MAPI_Online__Sent)+(N9*E9*P2_Outlook_2003__MAPI_Cached__Sent)+(O9*E9*P2_Outlook_2003__MAPI_Online__Sent)+(R9*E9*P2_Windows_Phone_7.x_Sent)+(M9*E9*P2_Outlook_2003__OA_Cached__Sent)+(P9*E9*P2_OWA_2010_Sent)+(Q9*E9*P2_OWA_2007_Sent)+(F9*E9*P2_Outlook_2011__EWS__Sent))))),0),0)</f>
        <v>0</v>
      </c>
      <c r="AD9" s="179">
        <f>IF(SUM(F9,G9,H9,J9,K9,M9,N9)&gt;0,IF(Table2613513[[#This Row],[Column5]]="medium",P2_Min_OST_Throughput_Requirements,0),0)</f>
        <v>0</v>
      </c>
      <c r="AE9" s="199">
        <f t="shared" ref="AE9:AE28" si="10">IF(C9="heavy",IF(SUM(F9:S9)&gt;0,(((((G9*E9*P3_Outlook_2010__OA_Cached__Received)+(S9*E9*P3_Windows_Mobile_6.x_Received)+(H9*E9*P3_Outlook_2010__MAPI_Cached__Received)+(I9*E9*P3_Outlook_2010__MAPI_Online__Received)+(J9*E9*P3_Outlook_2007__OA_Cached__Received)+(K9*E9*P3_Outlook_2007__MAPI_Cached__Received)+(L9*E9*P3_Outlook_2007__MAPI_Online__Received)+(N9*E9*P3_Outlook_2003__MAPI_Cached__Received)+(O9*E9*P3_Outlook_2003__MAPI_Online__Received)+(R9*E9*P3_Windows_Phone_7.x_Received)+(M9*E9*P3_Outlook_2003__OA_Cached__Received)+(P9*E9*P3_OWA_2010_Received)+(Q9*E9*P3_OWA_2007_Received)+(F9*E9*P3_Outlook_2011__EWS__Received))))),0),0)</f>
        <v>0</v>
      </c>
      <c r="AF9" s="199">
        <f t="shared" ref="AF9:AF28" si="11">IF(C9="heavy",IF(SUM(F9:S9)&gt;0,(((((G9*E9*P3_Outlook_2010__OA_Cached__Sent)+(S9*E9*P3_Windows_Mobile_6.x_Sent)+(H9*E9*P3_Outlook_2010__MAPI_Cached__Sent)+(I9*E9*P3_Outlook_2010__MAPI_Online__Sent)+(J9*E9*P3_Outlook_2007__OA_Cached__Sent)+(K9*E9*P3_Outlook_2007__MAPI_Cached__Sent)+(L9*E9*P3_Outlook_2007__MAPI_Online__Sent)+(N9*E9*P3_Outlook_2003__MAPI_Cached__Sent)+(O9*E9*P3_Outlook_2003__MAPI_Online__Sent)+(R9*E9*P3_Windows_Phone_7.x_Sent)+(M9*E9*P3_Outlook_2003__OA_Cached__Sent)+(P9*E9*P3_OWA_2010_Sent)+(Q9*E9*P3_OWA_2007_Sent)+(F9*E9*P3_Outlook_2011__EWS__Sent))))),0),0)</f>
        <v>0</v>
      </c>
      <c r="AG9" s="199">
        <f>IF(SUM(F9,G9,H9,J9,K9,M9,N9)&gt;0,IF(Table2613513[[#This Row],[Column5]]="heavy",P3_Min_OST_Throughput_Requirements,0),0)</f>
        <v>0</v>
      </c>
      <c r="AH9" s="199">
        <f t="shared" ref="AH9:AH28" si="12">IF(C9="very heavy",IF(SUM(F9:S9)&gt;0,(((((G9*E9*P4_Outlook_2010__OA_Cached__Received)+(S9*E9*P4_Windows_Mobile_6.x_Received)+(H9*E9*P4_Outlook_2010__MAPI_Cached__Received)+(I9*E9*P4_Outlook_2010__MAPI_Online__Received)+(J9*E9*P4_Outlook_2007__OA_Cached__Received)+(K9*E9*P4_Outlook_2007__MAPI_Cached__Received)+(L9*E9*P4_Outlook_2007__MAPI_Online__Received)+(N9*E9*P4_Outlook_2003__MAPI_Cached__Received)+(O9*E9*P4_Outlook_2003__MAPI_Online__Received)+(R9*E9*P4_Windows_Phone_7.x_Received)+(M9*E9*P4_Outlook_2003__OA_Cached__Received)+(P9*E9*P4_OWA_2010_Received)+(Q9*E9*P4_OWA_2007_Received)+(F9*E9*P4_Outlook_2011__EWS__Received))))),0),0)</f>
        <v>0</v>
      </c>
      <c r="AI9" s="199">
        <f t="shared" ref="AI9:AI28" si="13">IF(C9="very heavy",IF(SUM(F9:S9)&gt;0,(((((G9*E9*P4_Outlook_2010__OA_Cached__Sent)+(S9*E9*P4_Windows_Mobile_6.x_Sent)+(H9*E9*P4_Outlook_2010__MAPI_Cached__Sent)+(I9*E9*P4_Outlook_2010__MAPI_Online__Sent)+(J9*E9*P4_Outlook_2007__OA_Cached__Sent)+(K9*E9*P4_Outlook_2007__MAPI_Cached__Sent)+(L9*E9*P4_Outlook_2007__MAPI_Online__Sent)+(N9*E9*P4_Outlook_2003__MAPI_Cached__Sent)+(O9*E9*P4_Outlook_2003__MAPI_Online__Sent)+(R9*E9*P4_Windows_Phone_7.x_Sent)+(M9*E9*P4_Outlook_2003__OA_Cached__Sent)+(P9*E9*P4_OWA_2010_Sent)+(Q9*E9*P4_OWA_2007_Sent)+(F9*E9*P4_Outlook_2011__EWS__Sent))))),0),0)</f>
        <v>0</v>
      </c>
      <c r="AJ9" s="199">
        <f>IF(SUM(F9,G9,H9,J9,K9,M9,N9)&gt;0,IF(Table2613513[[#This Row],[Column5]]="very heavy",P4_Min_OST_Throughput_Requirements,0),0)</f>
        <v>0</v>
      </c>
    </row>
    <row r="10" spans="2:36">
      <c r="B10" s="86" t="s">
        <v>366</v>
      </c>
      <c r="C10" s="87" t="s">
        <v>121</v>
      </c>
      <c r="D10" s="221" t="s">
        <v>303</v>
      </c>
      <c r="E10" s="88">
        <v>1</v>
      </c>
      <c r="F10" s="177"/>
      <c r="G10" s="177"/>
      <c r="H10" s="177"/>
      <c r="I10" s="177"/>
      <c r="J10" s="177"/>
      <c r="K10" s="177"/>
      <c r="L10" s="177"/>
      <c r="M10" s="177"/>
      <c r="N10" s="177"/>
      <c r="O10" s="177"/>
      <c r="P10" s="177"/>
      <c r="Q10" s="177"/>
      <c r="R10" s="177"/>
      <c r="S10" s="177"/>
      <c r="T10" s="183">
        <f t="shared" si="0"/>
        <v>0</v>
      </c>
      <c r="U10" s="93" t="str">
        <f t="shared" si="1"/>
        <v>-</v>
      </c>
      <c r="V10" s="94" t="str">
        <f t="shared" si="2"/>
        <v>-</v>
      </c>
      <c r="W10" s="184" t="str">
        <f t="shared" si="3"/>
        <v>-</v>
      </c>
      <c r="X10" s="185" t="str">
        <f t="shared" si="4"/>
        <v>-</v>
      </c>
      <c r="Y10" s="178">
        <f t="shared" si="5"/>
        <v>0</v>
      </c>
      <c r="Z10" s="178">
        <f t="shared" si="6"/>
        <v>0</v>
      </c>
      <c r="AA10" s="179">
        <f t="shared" si="7"/>
        <v>0</v>
      </c>
      <c r="AB10" s="178">
        <f t="shared" si="8"/>
        <v>0</v>
      </c>
      <c r="AC10" s="178">
        <f t="shared" si="9"/>
        <v>0</v>
      </c>
      <c r="AD10" s="179">
        <f>IF(SUM(F10,G10,H10,J10,K10,M10,N10)&gt;0,IF(Table2613513[[#This Row],[Column5]]="medium",P2_Min_OST_Throughput_Requirements,0),0)</f>
        <v>0</v>
      </c>
      <c r="AE10" s="199">
        <f t="shared" si="10"/>
        <v>0</v>
      </c>
      <c r="AF10" s="199">
        <f t="shared" si="11"/>
        <v>0</v>
      </c>
      <c r="AG10" s="199">
        <f>IF(SUM(F10,G10,H10,J10,K10,M10,N10)&gt;0,IF(Table2613513[[#This Row],[Column5]]="heavy",P3_Min_OST_Throughput_Requirements,0),0)</f>
        <v>0</v>
      </c>
      <c r="AH10" s="199">
        <f t="shared" si="12"/>
        <v>0</v>
      </c>
      <c r="AI10" s="199">
        <f t="shared" si="13"/>
        <v>0</v>
      </c>
      <c r="AJ10" s="199">
        <f>IF(SUM(F10,G10,H10,J10,K10,M10,N10)&gt;0,IF(Table2613513[[#This Row],[Column5]]="very heavy",P4_Min_OST_Throughput_Requirements,0),0)</f>
        <v>0</v>
      </c>
    </row>
    <row r="11" spans="2:36">
      <c r="B11" s="86" t="s">
        <v>367</v>
      </c>
      <c r="C11" s="87" t="s">
        <v>121</v>
      </c>
      <c r="D11" s="221" t="s">
        <v>303</v>
      </c>
      <c r="E11" s="88">
        <v>1</v>
      </c>
      <c r="F11" s="177"/>
      <c r="G11" s="177"/>
      <c r="H11" s="177"/>
      <c r="I11" s="177"/>
      <c r="J11" s="177"/>
      <c r="K11" s="177"/>
      <c r="L11" s="177"/>
      <c r="M11" s="177"/>
      <c r="N11" s="177"/>
      <c r="O11" s="177"/>
      <c r="P11" s="177"/>
      <c r="Q11" s="177"/>
      <c r="R11" s="177"/>
      <c r="S11" s="177"/>
      <c r="T11" s="183">
        <f t="shared" si="0"/>
        <v>0</v>
      </c>
      <c r="U11" s="93" t="str">
        <f t="shared" si="1"/>
        <v>-</v>
      </c>
      <c r="V11" s="94" t="str">
        <f t="shared" si="2"/>
        <v>-</v>
      </c>
      <c r="W11" s="184" t="str">
        <f t="shared" si="3"/>
        <v>-</v>
      </c>
      <c r="X11" s="185" t="str">
        <f t="shared" si="4"/>
        <v>-</v>
      </c>
      <c r="Y11" s="178">
        <f t="shared" si="5"/>
        <v>0</v>
      </c>
      <c r="Z11" s="178">
        <f t="shared" si="6"/>
        <v>0</v>
      </c>
      <c r="AA11" s="179">
        <f t="shared" si="7"/>
        <v>0</v>
      </c>
      <c r="AB11" s="178">
        <f t="shared" si="8"/>
        <v>0</v>
      </c>
      <c r="AC11" s="178">
        <f t="shared" si="9"/>
        <v>0</v>
      </c>
      <c r="AD11" s="179">
        <f>IF(SUM(F11,G11,H11,J11,K11,M11,N11)&gt;0,IF(Table2613513[[#This Row],[Column5]]="medium",P2_Min_OST_Throughput_Requirements,0),0)</f>
        <v>0</v>
      </c>
      <c r="AE11" s="199">
        <f t="shared" si="10"/>
        <v>0</v>
      </c>
      <c r="AF11" s="199">
        <f t="shared" si="11"/>
        <v>0</v>
      </c>
      <c r="AG11" s="199">
        <f>IF(SUM(F11,G11,H11,J11,K11,M11,N11)&gt;0,IF(Table2613513[[#This Row],[Column5]]="heavy",P3_Min_OST_Throughput_Requirements,0),0)</f>
        <v>0</v>
      </c>
      <c r="AH11" s="199">
        <f t="shared" si="12"/>
        <v>0</v>
      </c>
      <c r="AI11" s="199">
        <f t="shared" si="13"/>
        <v>0</v>
      </c>
      <c r="AJ11" s="199">
        <f>IF(SUM(F11,G11,H11,J11,K11,M11,N11)&gt;0,IF(Table2613513[[#This Row],[Column5]]="very heavy",P4_Min_OST_Throughput_Requirements,0),0)</f>
        <v>0</v>
      </c>
    </row>
    <row r="12" spans="2:36">
      <c r="B12" s="86" t="s">
        <v>368</v>
      </c>
      <c r="C12" s="87" t="s">
        <v>121</v>
      </c>
      <c r="D12" s="221" t="s">
        <v>303</v>
      </c>
      <c r="E12" s="88">
        <v>1</v>
      </c>
      <c r="F12" s="177"/>
      <c r="G12" s="177"/>
      <c r="H12" s="177"/>
      <c r="I12" s="177"/>
      <c r="J12" s="177"/>
      <c r="K12" s="177"/>
      <c r="L12" s="177"/>
      <c r="M12" s="177"/>
      <c r="N12" s="177"/>
      <c r="O12" s="177"/>
      <c r="P12" s="177"/>
      <c r="Q12" s="177"/>
      <c r="R12" s="177"/>
      <c r="S12" s="177"/>
      <c r="T12" s="183">
        <f t="shared" si="0"/>
        <v>0</v>
      </c>
      <c r="U12" s="93" t="str">
        <f t="shared" si="1"/>
        <v>-</v>
      </c>
      <c r="V12" s="94" t="str">
        <f t="shared" si="2"/>
        <v>-</v>
      </c>
      <c r="W12" s="184" t="str">
        <f t="shared" si="3"/>
        <v>-</v>
      </c>
      <c r="X12" s="185" t="str">
        <f t="shared" si="4"/>
        <v>-</v>
      </c>
      <c r="Y12" s="178">
        <f t="shared" si="5"/>
        <v>0</v>
      </c>
      <c r="Z12" s="178">
        <f t="shared" si="6"/>
        <v>0</v>
      </c>
      <c r="AA12" s="179">
        <f t="shared" si="7"/>
        <v>0</v>
      </c>
      <c r="AB12" s="178">
        <f t="shared" si="8"/>
        <v>0</v>
      </c>
      <c r="AC12" s="178">
        <f t="shared" si="9"/>
        <v>0</v>
      </c>
      <c r="AD12" s="179">
        <f>IF(SUM(F12,G12,H12,J12,K12,M12,N12)&gt;0,IF(Table2613513[[#This Row],[Column5]]="medium",P2_Min_OST_Throughput_Requirements,0),0)</f>
        <v>0</v>
      </c>
      <c r="AE12" s="199">
        <f t="shared" si="10"/>
        <v>0</v>
      </c>
      <c r="AF12" s="199">
        <f t="shared" si="11"/>
        <v>0</v>
      </c>
      <c r="AG12" s="199">
        <f>IF(SUM(F12,G12,H12,J12,K12,M12,N12)&gt;0,IF(Table2613513[[#This Row],[Column5]]="heavy",P3_Min_OST_Throughput_Requirements,0),0)</f>
        <v>0</v>
      </c>
      <c r="AH12" s="199">
        <f t="shared" si="12"/>
        <v>0</v>
      </c>
      <c r="AI12" s="199">
        <f t="shared" si="13"/>
        <v>0</v>
      </c>
      <c r="AJ12" s="199">
        <f>IF(SUM(F12,G12,H12,J12,K12,M12,N12)&gt;0,IF(Table2613513[[#This Row],[Column5]]="very heavy",P4_Min_OST_Throughput_Requirements,0),0)</f>
        <v>0</v>
      </c>
    </row>
    <row r="13" spans="2:36">
      <c r="B13" s="86" t="s">
        <v>369</v>
      </c>
      <c r="C13" s="87" t="s">
        <v>121</v>
      </c>
      <c r="D13" s="221" t="s">
        <v>303</v>
      </c>
      <c r="E13" s="88">
        <v>1</v>
      </c>
      <c r="F13" s="177"/>
      <c r="G13" s="177"/>
      <c r="H13" s="177"/>
      <c r="I13" s="177"/>
      <c r="J13" s="177"/>
      <c r="K13" s="177"/>
      <c r="L13" s="177"/>
      <c r="M13" s="177"/>
      <c r="N13" s="177"/>
      <c r="O13" s="177"/>
      <c r="P13" s="177"/>
      <c r="Q13" s="177"/>
      <c r="R13" s="177"/>
      <c r="S13" s="177"/>
      <c r="T13" s="183">
        <f t="shared" si="0"/>
        <v>0</v>
      </c>
      <c r="U13" s="93" t="str">
        <f t="shared" si="1"/>
        <v>-</v>
      </c>
      <c r="V13" s="94" t="str">
        <f t="shared" si="2"/>
        <v>-</v>
      </c>
      <c r="W13" s="184" t="str">
        <f t="shared" si="3"/>
        <v>-</v>
      </c>
      <c r="X13" s="185" t="str">
        <f t="shared" si="4"/>
        <v>-</v>
      </c>
      <c r="Y13" s="178">
        <f t="shared" si="5"/>
        <v>0</v>
      </c>
      <c r="Z13" s="178">
        <f t="shared" si="6"/>
        <v>0</v>
      </c>
      <c r="AA13" s="179">
        <f t="shared" si="7"/>
        <v>0</v>
      </c>
      <c r="AB13" s="178">
        <f t="shared" si="8"/>
        <v>0</v>
      </c>
      <c r="AC13" s="178">
        <f t="shared" si="9"/>
        <v>0</v>
      </c>
      <c r="AD13" s="179">
        <f>IF(SUM(F13,G13,H13,J13,K13,M13,N13)&gt;0,IF(Table2613513[[#This Row],[Column5]]="medium",P2_Min_OST_Throughput_Requirements,0),0)</f>
        <v>0</v>
      </c>
      <c r="AE13" s="199">
        <f t="shared" si="10"/>
        <v>0</v>
      </c>
      <c r="AF13" s="199">
        <f t="shared" si="11"/>
        <v>0</v>
      </c>
      <c r="AG13" s="199">
        <f>IF(SUM(F13,G13,H13,J13,K13,M13,N13)&gt;0,IF(Table2613513[[#This Row],[Column5]]="heavy",P3_Min_OST_Throughput_Requirements,0),0)</f>
        <v>0</v>
      </c>
      <c r="AH13" s="199">
        <f t="shared" si="12"/>
        <v>0</v>
      </c>
      <c r="AI13" s="199">
        <f t="shared" si="13"/>
        <v>0</v>
      </c>
      <c r="AJ13" s="199">
        <f>IF(SUM(F13,G13,H13,J13,K13,M13,N13)&gt;0,IF(Table2613513[[#This Row],[Column5]]="very heavy",P4_Min_OST_Throughput_Requirements,0),0)</f>
        <v>0</v>
      </c>
    </row>
    <row r="14" spans="2:36">
      <c r="B14" s="86" t="s">
        <v>151</v>
      </c>
      <c r="C14" s="87" t="s">
        <v>121</v>
      </c>
      <c r="D14" s="221" t="s">
        <v>303</v>
      </c>
      <c r="E14" s="88">
        <v>1</v>
      </c>
      <c r="F14" s="177"/>
      <c r="G14" s="177"/>
      <c r="H14" s="177"/>
      <c r="I14" s="177"/>
      <c r="J14" s="177"/>
      <c r="K14" s="177"/>
      <c r="L14" s="177"/>
      <c r="M14" s="177"/>
      <c r="N14" s="177"/>
      <c r="O14" s="177"/>
      <c r="P14" s="177"/>
      <c r="Q14" s="177"/>
      <c r="R14" s="177"/>
      <c r="S14" s="177"/>
      <c r="T14" s="183">
        <f t="shared" si="0"/>
        <v>0</v>
      </c>
      <c r="U14" s="93" t="str">
        <f t="shared" si="1"/>
        <v>-</v>
      </c>
      <c r="V14" s="94" t="str">
        <f t="shared" si="2"/>
        <v>-</v>
      </c>
      <c r="W14" s="184" t="str">
        <f t="shared" si="3"/>
        <v>-</v>
      </c>
      <c r="X14" s="185" t="str">
        <f t="shared" si="4"/>
        <v>-</v>
      </c>
      <c r="Y14" s="178">
        <f t="shared" si="5"/>
        <v>0</v>
      </c>
      <c r="Z14" s="178">
        <f t="shared" si="6"/>
        <v>0</v>
      </c>
      <c r="AA14" s="179">
        <f t="shared" si="7"/>
        <v>0</v>
      </c>
      <c r="AB14" s="178">
        <f t="shared" si="8"/>
        <v>0</v>
      </c>
      <c r="AC14" s="178">
        <f t="shared" si="9"/>
        <v>0</v>
      </c>
      <c r="AD14" s="179">
        <f>IF(SUM(F14,G14,H14,J14,K14,M14,N14)&gt;0,IF(Table2613513[[#This Row],[Column5]]="medium",P2_Min_OST_Throughput_Requirements,0),0)</f>
        <v>0</v>
      </c>
      <c r="AE14" s="199">
        <f t="shared" si="10"/>
        <v>0</v>
      </c>
      <c r="AF14" s="199">
        <f t="shared" si="11"/>
        <v>0</v>
      </c>
      <c r="AG14" s="199">
        <f>IF(SUM(F14,G14,H14,J14,K14,M14,N14)&gt;0,IF(Table2613513[[#This Row],[Column5]]="heavy",P3_Min_OST_Throughput_Requirements,0),0)</f>
        <v>0</v>
      </c>
      <c r="AH14" s="199">
        <f t="shared" si="12"/>
        <v>0</v>
      </c>
      <c r="AI14" s="199">
        <f t="shared" si="13"/>
        <v>0</v>
      </c>
      <c r="AJ14" s="199">
        <f>IF(SUM(F14,G14,H14,J14,K14,M14,N14)&gt;0,IF(Table2613513[[#This Row],[Column5]]="very heavy",P4_Min_OST_Throughput_Requirements,0),0)</f>
        <v>0</v>
      </c>
    </row>
    <row r="15" spans="2:36">
      <c r="B15" s="86" t="s">
        <v>152</v>
      </c>
      <c r="C15" s="87" t="s">
        <v>121</v>
      </c>
      <c r="D15" s="221" t="s">
        <v>303</v>
      </c>
      <c r="E15" s="88">
        <v>1</v>
      </c>
      <c r="F15" s="177"/>
      <c r="G15" s="177"/>
      <c r="H15" s="177"/>
      <c r="I15" s="177"/>
      <c r="J15" s="177"/>
      <c r="K15" s="177"/>
      <c r="L15" s="177"/>
      <c r="M15" s="177"/>
      <c r="N15" s="177"/>
      <c r="O15" s="177"/>
      <c r="P15" s="177"/>
      <c r="Q15" s="177"/>
      <c r="R15" s="177"/>
      <c r="S15" s="177"/>
      <c r="T15" s="183">
        <f t="shared" si="0"/>
        <v>0</v>
      </c>
      <c r="U15" s="93" t="str">
        <f t="shared" si="1"/>
        <v>-</v>
      </c>
      <c r="V15" s="94" t="str">
        <f t="shared" si="2"/>
        <v>-</v>
      </c>
      <c r="W15" s="184" t="str">
        <f t="shared" si="3"/>
        <v>-</v>
      </c>
      <c r="X15" s="185" t="str">
        <f t="shared" si="4"/>
        <v>-</v>
      </c>
      <c r="Y15" s="178">
        <f t="shared" si="5"/>
        <v>0</v>
      </c>
      <c r="Z15" s="178">
        <f t="shared" si="6"/>
        <v>0</v>
      </c>
      <c r="AA15" s="179">
        <f t="shared" si="7"/>
        <v>0</v>
      </c>
      <c r="AB15" s="178">
        <f t="shared" si="8"/>
        <v>0</v>
      </c>
      <c r="AC15" s="178">
        <f t="shared" si="9"/>
        <v>0</v>
      </c>
      <c r="AD15" s="179">
        <f>IF(SUM(F15,G15,H15,J15,K15,M15,N15)&gt;0,IF(Table2613513[[#This Row],[Column5]]="medium",P2_Min_OST_Throughput_Requirements,0),0)</f>
        <v>0</v>
      </c>
      <c r="AE15" s="199">
        <f t="shared" si="10"/>
        <v>0</v>
      </c>
      <c r="AF15" s="199">
        <f t="shared" si="11"/>
        <v>0</v>
      </c>
      <c r="AG15" s="199">
        <f>IF(SUM(F15,G15,H15,J15,K15,M15,N15)&gt;0,IF(Table2613513[[#This Row],[Column5]]="heavy",P3_Min_OST_Throughput_Requirements,0),0)</f>
        <v>0</v>
      </c>
      <c r="AH15" s="199">
        <f t="shared" si="12"/>
        <v>0</v>
      </c>
      <c r="AI15" s="199">
        <f t="shared" si="13"/>
        <v>0</v>
      </c>
      <c r="AJ15" s="199">
        <f>IF(SUM(F15,G15,H15,J15,K15,M15,N15)&gt;0,IF(Table2613513[[#This Row],[Column5]]="very heavy",P4_Min_OST_Throughput_Requirements,0),0)</f>
        <v>0</v>
      </c>
    </row>
    <row r="16" spans="2:36">
      <c r="B16" s="86" t="s">
        <v>153</v>
      </c>
      <c r="C16" s="87" t="s">
        <v>121</v>
      </c>
      <c r="D16" s="221" t="s">
        <v>303</v>
      </c>
      <c r="E16" s="88">
        <v>1</v>
      </c>
      <c r="F16" s="177"/>
      <c r="G16" s="177"/>
      <c r="H16" s="177"/>
      <c r="I16" s="177"/>
      <c r="J16" s="177"/>
      <c r="K16" s="177"/>
      <c r="L16" s="177"/>
      <c r="M16" s="177"/>
      <c r="N16" s="177"/>
      <c r="O16" s="177"/>
      <c r="P16" s="177"/>
      <c r="Q16" s="177"/>
      <c r="R16" s="177"/>
      <c r="S16" s="177"/>
      <c r="T16" s="183">
        <f t="shared" si="0"/>
        <v>0</v>
      </c>
      <c r="U16" s="93" t="str">
        <f t="shared" si="1"/>
        <v>-</v>
      </c>
      <c r="V16" s="94" t="str">
        <f t="shared" si="2"/>
        <v>-</v>
      </c>
      <c r="W16" s="184" t="str">
        <f t="shared" si="3"/>
        <v>-</v>
      </c>
      <c r="X16" s="185" t="str">
        <f t="shared" si="4"/>
        <v>-</v>
      </c>
      <c r="Y16" s="178">
        <f t="shared" si="5"/>
        <v>0</v>
      </c>
      <c r="Z16" s="178">
        <f t="shared" si="6"/>
        <v>0</v>
      </c>
      <c r="AA16" s="179">
        <f t="shared" si="7"/>
        <v>0</v>
      </c>
      <c r="AB16" s="178">
        <f t="shared" si="8"/>
        <v>0</v>
      </c>
      <c r="AC16" s="178">
        <f t="shared" si="9"/>
        <v>0</v>
      </c>
      <c r="AD16" s="179">
        <f>IF(SUM(F16,G16,H16,J16,K16,M16,N16)&gt;0,IF(Table2613513[[#This Row],[Column5]]="medium",P2_Min_OST_Throughput_Requirements,0),0)</f>
        <v>0</v>
      </c>
      <c r="AE16" s="199">
        <f t="shared" si="10"/>
        <v>0</v>
      </c>
      <c r="AF16" s="199">
        <f t="shared" si="11"/>
        <v>0</v>
      </c>
      <c r="AG16" s="199">
        <f>IF(SUM(F16,G16,H16,J16,K16,M16,N16)&gt;0,IF(Table2613513[[#This Row],[Column5]]="heavy",P3_Min_OST_Throughput_Requirements,0),0)</f>
        <v>0</v>
      </c>
      <c r="AH16" s="199">
        <f t="shared" si="12"/>
        <v>0</v>
      </c>
      <c r="AI16" s="199">
        <f t="shared" si="13"/>
        <v>0</v>
      </c>
      <c r="AJ16" s="199">
        <f>IF(SUM(F16,G16,H16,J16,K16,M16,N16)&gt;0,IF(Table2613513[[#This Row],[Column5]]="very heavy",P4_Min_OST_Throughput_Requirements,0),0)</f>
        <v>0</v>
      </c>
    </row>
    <row r="17" spans="2:36">
      <c r="B17" s="86" t="s">
        <v>154</v>
      </c>
      <c r="C17" s="87" t="s">
        <v>121</v>
      </c>
      <c r="D17" s="221" t="s">
        <v>303</v>
      </c>
      <c r="E17" s="88">
        <v>1</v>
      </c>
      <c r="F17" s="177"/>
      <c r="G17" s="177"/>
      <c r="H17" s="177"/>
      <c r="I17" s="177"/>
      <c r="J17" s="177"/>
      <c r="K17" s="177"/>
      <c r="L17" s="177"/>
      <c r="M17" s="177"/>
      <c r="N17" s="177"/>
      <c r="O17" s="177"/>
      <c r="P17" s="177"/>
      <c r="Q17" s="177"/>
      <c r="R17" s="177"/>
      <c r="S17" s="177"/>
      <c r="T17" s="183">
        <f t="shared" si="0"/>
        <v>0</v>
      </c>
      <c r="U17" s="93" t="str">
        <f t="shared" si="1"/>
        <v>-</v>
      </c>
      <c r="V17" s="94" t="str">
        <f t="shared" si="2"/>
        <v>-</v>
      </c>
      <c r="W17" s="184" t="str">
        <f t="shared" si="3"/>
        <v>-</v>
      </c>
      <c r="X17" s="185" t="str">
        <f t="shared" si="4"/>
        <v>-</v>
      </c>
      <c r="Y17" s="178">
        <f t="shared" si="5"/>
        <v>0</v>
      </c>
      <c r="Z17" s="178">
        <f t="shared" si="6"/>
        <v>0</v>
      </c>
      <c r="AA17" s="179">
        <f t="shared" si="7"/>
        <v>0</v>
      </c>
      <c r="AB17" s="178">
        <f t="shared" si="8"/>
        <v>0</v>
      </c>
      <c r="AC17" s="178">
        <f t="shared" si="9"/>
        <v>0</v>
      </c>
      <c r="AD17" s="179">
        <f>IF(SUM(F17,G17,H17,J17,K17,M17,N17)&gt;0,IF(Table2613513[[#This Row],[Column5]]="medium",P2_Min_OST_Throughput_Requirements,0),0)</f>
        <v>0</v>
      </c>
      <c r="AE17" s="199">
        <f t="shared" si="10"/>
        <v>0</v>
      </c>
      <c r="AF17" s="199">
        <f t="shared" si="11"/>
        <v>0</v>
      </c>
      <c r="AG17" s="199">
        <f>IF(SUM(F17,G17,H17,J17,K17,M17,N17)&gt;0,IF(Table2613513[[#This Row],[Column5]]="heavy",P3_Min_OST_Throughput_Requirements,0),0)</f>
        <v>0</v>
      </c>
      <c r="AH17" s="199">
        <f t="shared" si="12"/>
        <v>0</v>
      </c>
      <c r="AI17" s="199">
        <f t="shared" si="13"/>
        <v>0</v>
      </c>
      <c r="AJ17" s="199">
        <f>IF(SUM(F17,G17,H17,J17,K17,M17,N17)&gt;0,IF(Table2613513[[#This Row],[Column5]]="very heavy",P4_Min_OST_Throughput_Requirements,0),0)</f>
        <v>0</v>
      </c>
    </row>
    <row r="18" spans="2:36">
      <c r="B18" s="86" t="s">
        <v>155</v>
      </c>
      <c r="C18" s="87" t="s">
        <v>121</v>
      </c>
      <c r="D18" s="221" t="s">
        <v>303</v>
      </c>
      <c r="E18" s="88">
        <v>1</v>
      </c>
      <c r="F18" s="177"/>
      <c r="G18" s="177"/>
      <c r="H18" s="177"/>
      <c r="I18" s="177"/>
      <c r="J18" s="177"/>
      <c r="K18" s="177"/>
      <c r="L18" s="177"/>
      <c r="M18" s="177"/>
      <c r="N18" s="177"/>
      <c r="O18" s="177"/>
      <c r="P18" s="177"/>
      <c r="Q18" s="177"/>
      <c r="R18" s="177"/>
      <c r="S18" s="177"/>
      <c r="T18" s="183">
        <f t="shared" si="0"/>
        <v>0</v>
      </c>
      <c r="U18" s="93" t="str">
        <f t="shared" si="1"/>
        <v>-</v>
      </c>
      <c r="V18" s="94" t="str">
        <f t="shared" si="2"/>
        <v>-</v>
      </c>
      <c r="W18" s="184" t="str">
        <f t="shared" si="3"/>
        <v>-</v>
      </c>
      <c r="X18" s="185" t="str">
        <f t="shared" si="4"/>
        <v>-</v>
      </c>
      <c r="Y18" s="178">
        <f t="shared" si="5"/>
        <v>0</v>
      </c>
      <c r="Z18" s="178">
        <f t="shared" si="6"/>
        <v>0</v>
      </c>
      <c r="AA18" s="179">
        <f t="shared" si="7"/>
        <v>0</v>
      </c>
      <c r="AB18" s="178">
        <f t="shared" si="8"/>
        <v>0</v>
      </c>
      <c r="AC18" s="178">
        <f t="shared" si="9"/>
        <v>0</v>
      </c>
      <c r="AD18" s="179">
        <f>IF(SUM(F18,G18,H18,J18,K18,M18,N18)&gt;0,IF(Table2613513[[#This Row],[Column5]]="medium",P2_Min_OST_Throughput_Requirements,0),0)</f>
        <v>0</v>
      </c>
      <c r="AE18" s="199">
        <f t="shared" si="10"/>
        <v>0</v>
      </c>
      <c r="AF18" s="199">
        <f t="shared" si="11"/>
        <v>0</v>
      </c>
      <c r="AG18" s="199">
        <f>IF(SUM(F18,G18,H18,J18,K18,M18,N18)&gt;0,IF(Table2613513[[#This Row],[Column5]]="heavy",P3_Min_OST_Throughput_Requirements,0),0)</f>
        <v>0</v>
      </c>
      <c r="AH18" s="199">
        <f t="shared" si="12"/>
        <v>0</v>
      </c>
      <c r="AI18" s="199">
        <f t="shared" si="13"/>
        <v>0</v>
      </c>
      <c r="AJ18" s="199">
        <f>IF(SUM(F18,G18,H18,J18,K18,M18,N18)&gt;0,IF(Table2613513[[#This Row],[Column5]]="very heavy",P4_Min_OST_Throughput_Requirements,0),0)</f>
        <v>0</v>
      </c>
    </row>
    <row r="19" spans="2:36">
      <c r="B19" s="86" t="s">
        <v>156</v>
      </c>
      <c r="C19" s="87" t="s">
        <v>121</v>
      </c>
      <c r="D19" s="221" t="s">
        <v>303</v>
      </c>
      <c r="E19" s="88">
        <v>1</v>
      </c>
      <c r="F19" s="177"/>
      <c r="G19" s="177"/>
      <c r="H19" s="177"/>
      <c r="I19" s="177"/>
      <c r="J19" s="177"/>
      <c r="K19" s="177"/>
      <c r="L19" s="177"/>
      <c r="M19" s="177"/>
      <c r="N19" s="177"/>
      <c r="O19" s="177"/>
      <c r="P19" s="177"/>
      <c r="Q19" s="177"/>
      <c r="R19" s="177"/>
      <c r="S19" s="177"/>
      <c r="T19" s="183">
        <f t="shared" si="0"/>
        <v>0</v>
      </c>
      <c r="U19" s="93" t="str">
        <f t="shared" si="1"/>
        <v>-</v>
      </c>
      <c r="V19" s="94" t="str">
        <f t="shared" si="2"/>
        <v>-</v>
      </c>
      <c r="W19" s="184" t="str">
        <f t="shared" si="3"/>
        <v>-</v>
      </c>
      <c r="X19" s="185" t="str">
        <f t="shared" si="4"/>
        <v>-</v>
      </c>
      <c r="Y19" s="178">
        <f t="shared" si="5"/>
        <v>0</v>
      </c>
      <c r="Z19" s="178">
        <f t="shared" si="6"/>
        <v>0</v>
      </c>
      <c r="AA19" s="179">
        <f t="shared" si="7"/>
        <v>0</v>
      </c>
      <c r="AB19" s="178">
        <f t="shared" si="8"/>
        <v>0</v>
      </c>
      <c r="AC19" s="178">
        <f t="shared" si="9"/>
        <v>0</v>
      </c>
      <c r="AD19" s="179">
        <f>IF(SUM(F19,G19,H19,J19,K19,M19,N19)&gt;0,IF(Table2613513[[#This Row],[Column5]]="medium",P2_Min_OST_Throughput_Requirements,0),0)</f>
        <v>0</v>
      </c>
      <c r="AE19" s="199">
        <f t="shared" si="10"/>
        <v>0</v>
      </c>
      <c r="AF19" s="199">
        <f t="shared" si="11"/>
        <v>0</v>
      </c>
      <c r="AG19" s="199">
        <f>IF(SUM(F19,G19,H19,J19,K19,M19,N19)&gt;0,IF(Table2613513[[#This Row],[Column5]]="heavy",P3_Min_OST_Throughput_Requirements,0),0)</f>
        <v>0</v>
      </c>
      <c r="AH19" s="199">
        <f t="shared" si="12"/>
        <v>0</v>
      </c>
      <c r="AI19" s="199">
        <f t="shared" si="13"/>
        <v>0</v>
      </c>
      <c r="AJ19" s="199">
        <f>IF(SUM(F19,G19,H19,J19,K19,M19,N19)&gt;0,IF(Table2613513[[#This Row],[Column5]]="very heavy",P4_Min_OST_Throughput_Requirements,0),0)</f>
        <v>0</v>
      </c>
    </row>
    <row r="20" spans="2:36">
      <c r="B20" s="86" t="s">
        <v>157</v>
      </c>
      <c r="C20" s="87" t="s">
        <v>121</v>
      </c>
      <c r="D20" s="221" t="s">
        <v>303</v>
      </c>
      <c r="E20" s="88">
        <v>1</v>
      </c>
      <c r="F20" s="177"/>
      <c r="G20" s="177"/>
      <c r="H20" s="177"/>
      <c r="I20" s="177"/>
      <c r="J20" s="177"/>
      <c r="K20" s="177"/>
      <c r="L20" s="177"/>
      <c r="M20" s="177"/>
      <c r="N20" s="177"/>
      <c r="O20" s="177"/>
      <c r="P20" s="177"/>
      <c r="Q20" s="177"/>
      <c r="R20" s="177"/>
      <c r="S20" s="177"/>
      <c r="T20" s="183">
        <f t="shared" si="0"/>
        <v>0</v>
      </c>
      <c r="U20" s="93" t="str">
        <f t="shared" si="1"/>
        <v>-</v>
      </c>
      <c r="V20" s="94" t="str">
        <f t="shared" si="2"/>
        <v>-</v>
      </c>
      <c r="W20" s="184" t="str">
        <f t="shared" si="3"/>
        <v>-</v>
      </c>
      <c r="X20" s="185" t="str">
        <f t="shared" si="4"/>
        <v>-</v>
      </c>
      <c r="Y20" s="178">
        <f t="shared" si="5"/>
        <v>0</v>
      </c>
      <c r="Z20" s="178">
        <f t="shared" si="6"/>
        <v>0</v>
      </c>
      <c r="AA20" s="179">
        <f t="shared" si="7"/>
        <v>0</v>
      </c>
      <c r="AB20" s="178">
        <f t="shared" si="8"/>
        <v>0</v>
      </c>
      <c r="AC20" s="178">
        <f t="shared" si="9"/>
        <v>0</v>
      </c>
      <c r="AD20" s="179">
        <f>IF(SUM(F20,G20,H20,J20,K20,M20,N20)&gt;0,IF(Table2613513[[#This Row],[Column5]]="medium",P2_Min_OST_Throughput_Requirements,0),0)</f>
        <v>0</v>
      </c>
      <c r="AE20" s="199">
        <f t="shared" si="10"/>
        <v>0</v>
      </c>
      <c r="AF20" s="199">
        <f t="shared" si="11"/>
        <v>0</v>
      </c>
      <c r="AG20" s="199">
        <f>IF(SUM(F20,G20,H20,J20,K20,M20,N20)&gt;0,IF(Table2613513[[#This Row],[Column5]]="heavy",P3_Min_OST_Throughput_Requirements,0),0)</f>
        <v>0</v>
      </c>
      <c r="AH20" s="199">
        <f t="shared" si="12"/>
        <v>0</v>
      </c>
      <c r="AI20" s="199">
        <f t="shared" si="13"/>
        <v>0</v>
      </c>
      <c r="AJ20" s="199">
        <f>IF(SUM(F20,G20,H20,J20,K20,M20,N20)&gt;0,IF(Table2613513[[#This Row],[Column5]]="very heavy",P4_Min_OST_Throughput_Requirements,0),0)</f>
        <v>0</v>
      </c>
    </row>
    <row r="21" spans="2:36">
      <c r="B21" s="86" t="s">
        <v>158</v>
      </c>
      <c r="C21" s="87" t="s">
        <v>121</v>
      </c>
      <c r="D21" s="221" t="s">
        <v>303</v>
      </c>
      <c r="E21" s="88">
        <v>1</v>
      </c>
      <c r="F21" s="177"/>
      <c r="G21" s="177"/>
      <c r="H21" s="177"/>
      <c r="I21" s="177"/>
      <c r="J21" s="177"/>
      <c r="K21" s="177"/>
      <c r="L21" s="177"/>
      <c r="M21" s="177"/>
      <c r="N21" s="177"/>
      <c r="O21" s="177"/>
      <c r="P21" s="177"/>
      <c r="Q21" s="177"/>
      <c r="R21" s="177"/>
      <c r="S21" s="177"/>
      <c r="T21" s="183">
        <f t="shared" si="0"/>
        <v>0</v>
      </c>
      <c r="U21" s="93" t="str">
        <f t="shared" si="1"/>
        <v>-</v>
      </c>
      <c r="V21" s="94" t="str">
        <f t="shared" si="2"/>
        <v>-</v>
      </c>
      <c r="W21" s="184" t="str">
        <f t="shared" si="3"/>
        <v>-</v>
      </c>
      <c r="X21" s="185" t="str">
        <f t="shared" si="4"/>
        <v>-</v>
      </c>
      <c r="Y21" s="178">
        <f t="shared" si="5"/>
        <v>0</v>
      </c>
      <c r="Z21" s="178">
        <f t="shared" si="6"/>
        <v>0</v>
      </c>
      <c r="AA21" s="179">
        <f t="shared" si="7"/>
        <v>0</v>
      </c>
      <c r="AB21" s="178">
        <f t="shared" si="8"/>
        <v>0</v>
      </c>
      <c r="AC21" s="178">
        <f t="shared" si="9"/>
        <v>0</v>
      </c>
      <c r="AD21" s="179">
        <f>IF(SUM(F21,G21,H21,J21,K21,M21,N21)&gt;0,IF(Table2613513[[#This Row],[Column5]]="medium",P2_Min_OST_Throughput_Requirements,0),0)</f>
        <v>0</v>
      </c>
      <c r="AE21" s="199">
        <f t="shared" si="10"/>
        <v>0</v>
      </c>
      <c r="AF21" s="199">
        <f t="shared" si="11"/>
        <v>0</v>
      </c>
      <c r="AG21" s="199">
        <f>IF(SUM(F21,G21,H21,J21,K21,M21,N21)&gt;0,IF(Table2613513[[#This Row],[Column5]]="heavy",P3_Min_OST_Throughput_Requirements,0),0)</f>
        <v>0</v>
      </c>
      <c r="AH21" s="199">
        <f t="shared" si="12"/>
        <v>0</v>
      </c>
      <c r="AI21" s="199">
        <f t="shared" si="13"/>
        <v>0</v>
      </c>
      <c r="AJ21" s="199">
        <f>IF(SUM(F21,G21,H21,J21,K21,M21,N21)&gt;0,IF(Table2613513[[#This Row],[Column5]]="very heavy",P4_Min_OST_Throughput_Requirements,0),0)</f>
        <v>0</v>
      </c>
    </row>
    <row r="22" spans="2:36" s="84" customFormat="1">
      <c r="B22" s="86" t="s">
        <v>159</v>
      </c>
      <c r="C22" s="87" t="s">
        <v>121</v>
      </c>
      <c r="D22" s="221" t="s">
        <v>303</v>
      </c>
      <c r="E22" s="88">
        <v>1</v>
      </c>
      <c r="F22" s="177"/>
      <c r="G22" s="177"/>
      <c r="H22" s="177"/>
      <c r="I22" s="177"/>
      <c r="J22" s="177"/>
      <c r="K22" s="177"/>
      <c r="L22" s="177"/>
      <c r="M22" s="177"/>
      <c r="N22" s="177"/>
      <c r="O22" s="177"/>
      <c r="P22" s="177"/>
      <c r="Q22" s="177"/>
      <c r="R22" s="177"/>
      <c r="S22" s="177"/>
      <c r="T22" s="183">
        <f t="shared" si="0"/>
        <v>0</v>
      </c>
      <c r="U22" s="93" t="str">
        <f t="shared" si="1"/>
        <v>-</v>
      </c>
      <c r="V22" s="94" t="str">
        <f t="shared" si="2"/>
        <v>-</v>
      </c>
      <c r="W22" s="184" t="str">
        <f t="shared" si="3"/>
        <v>-</v>
      </c>
      <c r="X22" s="185" t="str">
        <f t="shared" si="4"/>
        <v>-</v>
      </c>
      <c r="Y22" s="178">
        <f t="shared" si="5"/>
        <v>0</v>
      </c>
      <c r="Z22" s="178">
        <f t="shared" si="6"/>
        <v>0</v>
      </c>
      <c r="AA22" s="179">
        <f t="shared" si="7"/>
        <v>0</v>
      </c>
      <c r="AB22" s="178">
        <f t="shared" si="8"/>
        <v>0</v>
      </c>
      <c r="AC22" s="178">
        <f t="shared" si="9"/>
        <v>0</v>
      </c>
      <c r="AD22" s="179">
        <f>IF(SUM(F22,G22,H22,J22,K22,M22,N22)&gt;0,IF(Table2613513[[#This Row],[Column5]]="medium",P2_Min_OST_Throughput_Requirements,0),0)</f>
        <v>0</v>
      </c>
      <c r="AE22" s="199">
        <f t="shared" si="10"/>
        <v>0</v>
      </c>
      <c r="AF22" s="199">
        <f t="shared" si="11"/>
        <v>0</v>
      </c>
      <c r="AG22" s="199">
        <f>IF(SUM(F22,G22,H22,J22,K22,M22,N22)&gt;0,IF(Table2613513[[#This Row],[Column5]]="heavy",P3_Min_OST_Throughput_Requirements,0),0)</f>
        <v>0</v>
      </c>
      <c r="AH22" s="199">
        <f t="shared" si="12"/>
        <v>0</v>
      </c>
      <c r="AI22" s="199">
        <f t="shared" si="13"/>
        <v>0</v>
      </c>
      <c r="AJ22" s="199">
        <f>IF(SUM(F22,G22,H22,J22,K22,M22,N22)&gt;0,IF(Table2613513[[#This Row],[Column5]]="very heavy",P4_Min_OST_Throughput_Requirements,0),0)</f>
        <v>0</v>
      </c>
    </row>
    <row r="23" spans="2:36" s="84" customFormat="1">
      <c r="B23" s="86" t="s">
        <v>160</v>
      </c>
      <c r="C23" s="87" t="s">
        <v>121</v>
      </c>
      <c r="D23" s="221" t="s">
        <v>303</v>
      </c>
      <c r="E23" s="88">
        <v>1</v>
      </c>
      <c r="F23" s="177"/>
      <c r="G23" s="177"/>
      <c r="H23" s="177"/>
      <c r="I23" s="177"/>
      <c r="J23" s="177"/>
      <c r="K23" s="177"/>
      <c r="L23" s="177"/>
      <c r="M23" s="177"/>
      <c r="N23" s="177"/>
      <c r="O23" s="177"/>
      <c r="P23" s="177"/>
      <c r="Q23" s="177"/>
      <c r="R23" s="177"/>
      <c r="S23" s="177"/>
      <c r="T23" s="183">
        <f t="shared" si="0"/>
        <v>0</v>
      </c>
      <c r="U23" s="93" t="str">
        <f t="shared" si="1"/>
        <v>-</v>
      </c>
      <c r="V23" s="94" t="str">
        <f t="shared" si="2"/>
        <v>-</v>
      </c>
      <c r="W23" s="184" t="str">
        <f t="shared" si="3"/>
        <v>-</v>
      </c>
      <c r="X23" s="185" t="str">
        <f t="shared" si="4"/>
        <v>-</v>
      </c>
      <c r="Y23" s="178">
        <f t="shared" si="5"/>
        <v>0</v>
      </c>
      <c r="Z23" s="178">
        <f t="shared" si="6"/>
        <v>0</v>
      </c>
      <c r="AA23" s="179">
        <f t="shared" si="7"/>
        <v>0</v>
      </c>
      <c r="AB23" s="178">
        <f t="shared" si="8"/>
        <v>0</v>
      </c>
      <c r="AC23" s="178">
        <f t="shared" si="9"/>
        <v>0</v>
      </c>
      <c r="AD23" s="179">
        <f>IF(SUM(F23,G23,H23,J23,K23,M23,N23)&gt;0,IF(Table2613513[[#This Row],[Column5]]="medium",P2_Min_OST_Throughput_Requirements,0),0)</f>
        <v>0</v>
      </c>
      <c r="AE23" s="199">
        <f t="shared" si="10"/>
        <v>0</v>
      </c>
      <c r="AF23" s="199">
        <f t="shared" si="11"/>
        <v>0</v>
      </c>
      <c r="AG23" s="199">
        <f>IF(SUM(F23,G23,H23,J23,K23,M23,N23)&gt;0,IF(Table2613513[[#This Row],[Column5]]="heavy",P3_Min_OST_Throughput_Requirements,0),0)</f>
        <v>0</v>
      </c>
      <c r="AH23" s="199">
        <f t="shared" si="12"/>
        <v>0</v>
      </c>
      <c r="AI23" s="199">
        <f t="shared" si="13"/>
        <v>0</v>
      </c>
      <c r="AJ23" s="199">
        <f>IF(SUM(F23,G23,H23,J23,K23,M23,N23)&gt;0,IF(Table2613513[[#This Row],[Column5]]="very heavy",P4_Min_OST_Throughput_Requirements,0),0)</f>
        <v>0</v>
      </c>
    </row>
    <row r="24" spans="2:36" s="84" customFormat="1">
      <c r="B24" s="86" t="s">
        <v>161</v>
      </c>
      <c r="C24" s="87" t="s">
        <v>121</v>
      </c>
      <c r="D24" s="221" t="s">
        <v>303</v>
      </c>
      <c r="E24" s="88">
        <v>1</v>
      </c>
      <c r="F24" s="177"/>
      <c r="G24" s="177"/>
      <c r="H24" s="177"/>
      <c r="I24" s="177"/>
      <c r="J24" s="177"/>
      <c r="K24" s="177"/>
      <c r="L24" s="177"/>
      <c r="M24" s="177"/>
      <c r="N24" s="177"/>
      <c r="O24" s="177"/>
      <c r="P24" s="177"/>
      <c r="Q24" s="177"/>
      <c r="R24" s="177"/>
      <c r="S24" s="177"/>
      <c r="T24" s="183">
        <f t="shared" si="0"/>
        <v>0</v>
      </c>
      <c r="U24" s="93" t="str">
        <f t="shared" si="1"/>
        <v>-</v>
      </c>
      <c r="V24" s="94" t="str">
        <f t="shared" si="2"/>
        <v>-</v>
      </c>
      <c r="W24" s="184" t="str">
        <f t="shared" si="3"/>
        <v>-</v>
      </c>
      <c r="X24" s="185" t="str">
        <f t="shared" si="4"/>
        <v>-</v>
      </c>
      <c r="Y24" s="178">
        <f t="shared" si="5"/>
        <v>0</v>
      </c>
      <c r="Z24" s="178">
        <f t="shared" si="6"/>
        <v>0</v>
      </c>
      <c r="AA24" s="179">
        <f t="shared" si="7"/>
        <v>0</v>
      </c>
      <c r="AB24" s="178">
        <f t="shared" si="8"/>
        <v>0</v>
      </c>
      <c r="AC24" s="178">
        <f t="shared" si="9"/>
        <v>0</v>
      </c>
      <c r="AD24" s="179">
        <f>IF(SUM(F24,G24,H24,J24,K24,M24,N24)&gt;0,IF(Table2613513[[#This Row],[Column5]]="medium",P2_Min_OST_Throughput_Requirements,0),0)</f>
        <v>0</v>
      </c>
      <c r="AE24" s="199">
        <f t="shared" si="10"/>
        <v>0</v>
      </c>
      <c r="AF24" s="199">
        <f t="shared" si="11"/>
        <v>0</v>
      </c>
      <c r="AG24" s="199">
        <f>IF(SUM(F24,G24,H24,J24,K24,M24,N24)&gt;0,IF(Table2613513[[#This Row],[Column5]]="heavy",P3_Min_OST_Throughput_Requirements,0),0)</f>
        <v>0</v>
      </c>
      <c r="AH24" s="199">
        <f t="shared" si="12"/>
        <v>0</v>
      </c>
      <c r="AI24" s="199">
        <f t="shared" si="13"/>
        <v>0</v>
      </c>
      <c r="AJ24" s="199">
        <f>IF(SUM(F24,G24,H24,J24,K24,M24,N24)&gt;0,IF(Table2613513[[#This Row],[Column5]]="very heavy",P4_Min_OST_Throughput_Requirements,0),0)</f>
        <v>0</v>
      </c>
    </row>
    <row r="25" spans="2:36" s="84" customFormat="1">
      <c r="B25" s="86" t="s">
        <v>162</v>
      </c>
      <c r="C25" s="87" t="s">
        <v>121</v>
      </c>
      <c r="D25" s="221" t="s">
        <v>303</v>
      </c>
      <c r="E25" s="88">
        <v>1</v>
      </c>
      <c r="F25" s="177"/>
      <c r="G25" s="177"/>
      <c r="H25" s="177"/>
      <c r="I25" s="177"/>
      <c r="J25" s="177"/>
      <c r="K25" s="177"/>
      <c r="L25" s="177"/>
      <c r="M25" s="177"/>
      <c r="N25" s="177"/>
      <c r="O25" s="177"/>
      <c r="P25" s="177"/>
      <c r="Q25" s="177"/>
      <c r="R25" s="177"/>
      <c r="S25" s="177"/>
      <c r="T25" s="183">
        <f t="shared" si="0"/>
        <v>0</v>
      </c>
      <c r="U25" s="93" t="str">
        <f t="shared" si="1"/>
        <v>-</v>
      </c>
      <c r="V25" s="94" t="str">
        <f t="shared" si="2"/>
        <v>-</v>
      </c>
      <c r="W25" s="184" t="str">
        <f t="shared" si="3"/>
        <v>-</v>
      </c>
      <c r="X25" s="185" t="str">
        <f t="shared" si="4"/>
        <v>-</v>
      </c>
      <c r="Y25" s="178">
        <f t="shared" si="5"/>
        <v>0</v>
      </c>
      <c r="Z25" s="178">
        <f t="shared" si="6"/>
        <v>0</v>
      </c>
      <c r="AA25" s="179">
        <f t="shared" si="7"/>
        <v>0</v>
      </c>
      <c r="AB25" s="178">
        <f t="shared" si="8"/>
        <v>0</v>
      </c>
      <c r="AC25" s="178">
        <f t="shared" si="9"/>
        <v>0</v>
      </c>
      <c r="AD25" s="179">
        <f>IF(SUM(F25,G25,H25,J25,K25,M25,N25)&gt;0,IF(Table2613513[[#This Row],[Column5]]="medium",P2_Min_OST_Throughput_Requirements,0),0)</f>
        <v>0</v>
      </c>
      <c r="AE25" s="199">
        <f t="shared" si="10"/>
        <v>0</v>
      </c>
      <c r="AF25" s="199">
        <f t="shared" si="11"/>
        <v>0</v>
      </c>
      <c r="AG25" s="199">
        <f>IF(SUM(F25,G25,H25,J25,K25,M25,N25)&gt;0,IF(Table2613513[[#This Row],[Column5]]="heavy",P3_Min_OST_Throughput_Requirements,0),0)</f>
        <v>0</v>
      </c>
      <c r="AH25" s="199">
        <f t="shared" si="12"/>
        <v>0</v>
      </c>
      <c r="AI25" s="199">
        <f t="shared" si="13"/>
        <v>0</v>
      </c>
      <c r="AJ25" s="199">
        <f>IF(SUM(F25,G25,H25,J25,K25,M25,N25)&gt;0,IF(Table2613513[[#This Row],[Column5]]="very heavy",P4_Min_OST_Throughput_Requirements,0),0)</f>
        <v>0</v>
      </c>
    </row>
    <row r="26" spans="2:36" s="84" customFormat="1">
      <c r="B26" s="86" t="s">
        <v>163</v>
      </c>
      <c r="C26" s="87" t="s">
        <v>121</v>
      </c>
      <c r="D26" s="221" t="s">
        <v>303</v>
      </c>
      <c r="E26" s="88">
        <v>1</v>
      </c>
      <c r="F26" s="177"/>
      <c r="G26" s="177"/>
      <c r="H26" s="177"/>
      <c r="I26" s="177"/>
      <c r="J26" s="177"/>
      <c r="K26" s="177"/>
      <c r="L26" s="177"/>
      <c r="M26" s="177"/>
      <c r="N26" s="177"/>
      <c r="O26" s="177"/>
      <c r="P26" s="177"/>
      <c r="Q26" s="177"/>
      <c r="R26" s="177"/>
      <c r="S26" s="177"/>
      <c r="T26" s="183">
        <f t="shared" si="0"/>
        <v>0</v>
      </c>
      <c r="U26" s="93" t="str">
        <f t="shared" si="1"/>
        <v>-</v>
      </c>
      <c r="V26" s="94" t="str">
        <f t="shared" si="2"/>
        <v>-</v>
      </c>
      <c r="W26" s="184" t="str">
        <f t="shared" si="3"/>
        <v>-</v>
      </c>
      <c r="X26" s="185" t="str">
        <f t="shared" si="4"/>
        <v>-</v>
      </c>
      <c r="Y26" s="178">
        <f t="shared" si="5"/>
        <v>0</v>
      </c>
      <c r="Z26" s="178">
        <f t="shared" si="6"/>
        <v>0</v>
      </c>
      <c r="AA26" s="179">
        <f t="shared" si="7"/>
        <v>0</v>
      </c>
      <c r="AB26" s="178">
        <f t="shared" si="8"/>
        <v>0</v>
      </c>
      <c r="AC26" s="178">
        <f t="shared" si="9"/>
        <v>0</v>
      </c>
      <c r="AD26" s="179">
        <f>IF(SUM(F26,G26,H26,J26,K26,M26,N26)&gt;0,IF(Table2613513[[#This Row],[Column5]]="medium",P2_Min_OST_Throughput_Requirements,0),0)</f>
        <v>0</v>
      </c>
      <c r="AE26" s="199">
        <f t="shared" si="10"/>
        <v>0</v>
      </c>
      <c r="AF26" s="199">
        <f t="shared" si="11"/>
        <v>0</v>
      </c>
      <c r="AG26" s="199">
        <f>IF(SUM(F26,G26,H26,J26,K26,M26,N26)&gt;0,IF(Table2613513[[#This Row],[Column5]]="heavy",P3_Min_OST_Throughput_Requirements,0),0)</f>
        <v>0</v>
      </c>
      <c r="AH26" s="199">
        <f t="shared" si="12"/>
        <v>0</v>
      </c>
      <c r="AI26" s="199">
        <f t="shared" si="13"/>
        <v>0</v>
      </c>
      <c r="AJ26" s="199">
        <f>IF(SUM(F26,G26,H26,J26,K26,M26,N26)&gt;0,IF(Table2613513[[#This Row],[Column5]]="very heavy",P4_Min_OST_Throughput_Requirements,0),0)</f>
        <v>0</v>
      </c>
    </row>
    <row r="27" spans="2:36" s="84" customFormat="1">
      <c r="B27" s="86" t="s">
        <v>164</v>
      </c>
      <c r="C27" s="87" t="s">
        <v>121</v>
      </c>
      <c r="D27" s="221" t="s">
        <v>303</v>
      </c>
      <c r="E27" s="88">
        <v>1</v>
      </c>
      <c r="F27" s="177"/>
      <c r="G27" s="177"/>
      <c r="H27" s="177"/>
      <c r="I27" s="177"/>
      <c r="J27" s="177"/>
      <c r="K27" s="177"/>
      <c r="L27" s="177"/>
      <c r="M27" s="177"/>
      <c r="N27" s="177"/>
      <c r="O27" s="177"/>
      <c r="P27" s="177"/>
      <c r="Q27" s="177"/>
      <c r="R27" s="177"/>
      <c r="S27" s="177"/>
      <c r="T27" s="186">
        <f t="shared" si="0"/>
        <v>0</v>
      </c>
      <c r="U27" s="93" t="str">
        <f t="shared" si="1"/>
        <v>-</v>
      </c>
      <c r="V27" s="94" t="str">
        <f t="shared" si="2"/>
        <v>-</v>
      </c>
      <c r="W27" s="184" t="str">
        <f t="shared" si="3"/>
        <v>-</v>
      </c>
      <c r="X27" s="185" t="str">
        <f t="shared" si="4"/>
        <v>-</v>
      </c>
      <c r="Y27" s="178">
        <f t="shared" si="5"/>
        <v>0</v>
      </c>
      <c r="Z27" s="178">
        <f t="shared" si="6"/>
        <v>0</v>
      </c>
      <c r="AA27" s="179">
        <f t="shared" si="7"/>
        <v>0</v>
      </c>
      <c r="AB27" s="178">
        <f t="shared" si="8"/>
        <v>0</v>
      </c>
      <c r="AC27" s="178">
        <f t="shared" si="9"/>
        <v>0</v>
      </c>
      <c r="AD27" s="179">
        <f>IF(SUM(F27,G27,H27,J27,K27,M27,N27)&gt;0,IF(Table2613513[[#This Row],[Column5]]="medium",P2_Min_OST_Throughput_Requirements,0),0)</f>
        <v>0</v>
      </c>
      <c r="AE27" s="199">
        <f t="shared" si="10"/>
        <v>0</v>
      </c>
      <c r="AF27" s="199">
        <f t="shared" si="11"/>
        <v>0</v>
      </c>
      <c r="AG27" s="199">
        <f>IF(SUM(F27,G27,H27,J27,K27,M27,N27)&gt;0,IF(Table2613513[[#This Row],[Column5]]="heavy",P3_Min_OST_Throughput_Requirements,0),0)</f>
        <v>0</v>
      </c>
      <c r="AH27" s="199">
        <f t="shared" si="12"/>
        <v>0</v>
      </c>
      <c r="AI27" s="199">
        <f t="shared" si="13"/>
        <v>0</v>
      </c>
      <c r="AJ27" s="199">
        <f>IF(SUM(F27,G27,H27,J27,K27,M27,N27)&gt;0,IF(Table2613513[[#This Row],[Column5]]="very heavy",P4_Min_OST_Throughput_Requirements,0),0)</f>
        <v>0</v>
      </c>
    </row>
    <row r="28" spans="2:36" s="84" customFormat="1" hidden="1" outlineLevel="1">
      <c r="B28" s="86" t="s">
        <v>165</v>
      </c>
      <c r="C28" s="87" t="s">
        <v>121</v>
      </c>
      <c r="D28" s="221" t="s">
        <v>303</v>
      </c>
      <c r="E28" s="88">
        <v>1</v>
      </c>
      <c r="F28" s="177"/>
      <c r="G28" s="177"/>
      <c r="H28" s="177"/>
      <c r="I28" s="177"/>
      <c r="J28" s="177"/>
      <c r="K28" s="177"/>
      <c r="L28" s="177"/>
      <c r="M28" s="177"/>
      <c r="N28" s="177"/>
      <c r="O28" s="177"/>
      <c r="P28" s="177"/>
      <c r="Q28" s="177"/>
      <c r="R28" s="177"/>
      <c r="S28" s="177"/>
      <c r="T28" s="187">
        <f t="shared" si="0"/>
        <v>0</v>
      </c>
      <c r="U28" s="95" t="str">
        <f t="shared" si="1"/>
        <v>-</v>
      </c>
      <c r="V28" s="96" t="str">
        <f t="shared" si="2"/>
        <v>-</v>
      </c>
      <c r="W28" s="188" t="str">
        <f t="shared" si="3"/>
        <v>-</v>
      </c>
      <c r="X28" s="185" t="str">
        <f t="shared" si="4"/>
        <v>-</v>
      </c>
      <c r="Y28" s="178">
        <f t="shared" si="5"/>
        <v>0</v>
      </c>
      <c r="Z28" s="178">
        <f t="shared" si="6"/>
        <v>0</v>
      </c>
      <c r="AA28" s="179">
        <f t="shared" si="7"/>
        <v>0</v>
      </c>
      <c r="AB28" s="178">
        <f t="shared" si="8"/>
        <v>0</v>
      </c>
      <c r="AC28" s="178">
        <f t="shared" si="9"/>
        <v>0</v>
      </c>
      <c r="AD28" s="179">
        <f>IF(SUM(F28,G28,H28,J28,K28,M28,N28)&gt;0,IF(Table2613513[[#This Row],[Column5]]="medium",P2_Min_OST_Throughput_Requirements,0),0)</f>
        <v>0</v>
      </c>
      <c r="AE28" s="199">
        <f t="shared" si="10"/>
        <v>0</v>
      </c>
      <c r="AF28" s="199">
        <f t="shared" si="11"/>
        <v>0</v>
      </c>
      <c r="AG28" s="199">
        <f>IF(SUM(F28,G28,H28,J28,K28,M28,N28)&gt;0,IF(Table2613513[[#This Row],[Column5]]="heavy",P3_Min_OST_Throughput_Requirements,0),0)</f>
        <v>0</v>
      </c>
      <c r="AH28" s="199">
        <f t="shared" si="12"/>
        <v>0</v>
      </c>
      <c r="AI28" s="199">
        <f t="shared" si="13"/>
        <v>0</v>
      </c>
      <c r="AJ28" s="199">
        <f>IF(SUM(F28,G28,H28,J28,K28,M28,N28)&gt;0,IF(Table2613513[[#This Row],[Column5]]="very heavy",P4_Min_OST_Throughput_Requirements,0),0)</f>
        <v>0</v>
      </c>
    </row>
    <row r="29" spans="2:36" s="84" customFormat="1" hidden="1" outlineLevel="1">
      <c r="B29" s="86" t="s">
        <v>189</v>
      </c>
      <c r="C29" s="87" t="s">
        <v>121</v>
      </c>
      <c r="D29" s="221" t="s">
        <v>303</v>
      </c>
      <c r="E29" s="88">
        <v>1</v>
      </c>
      <c r="F29" s="177"/>
      <c r="G29" s="177"/>
      <c r="H29" s="177"/>
      <c r="I29" s="177"/>
      <c r="J29" s="177"/>
      <c r="K29" s="177"/>
      <c r="L29" s="177"/>
      <c r="M29" s="177"/>
      <c r="N29" s="177"/>
      <c r="O29" s="177"/>
      <c r="P29" s="177"/>
      <c r="Q29" s="177"/>
      <c r="R29" s="177"/>
      <c r="S29" s="177"/>
      <c r="T29" s="189">
        <f t="shared" ref="T29:T60" si="14">SUM(F29:S29)</f>
        <v>0</v>
      </c>
      <c r="U29" s="95" t="str">
        <f t="shared" si="1"/>
        <v>-</v>
      </c>
      <c r="V29" s="96" t="str">
        <f t="shared" si="2"/>
        <v>-</v>
      </c>
      <c r="W29" s="202" t="str">
        <f t="shared" ref="W29:W60" si="15">IF(MAX(I29,L29,O29,M29,N29)&gt;0,110,IF(MAX(F29,G29,H29,J29,K29,P29,Q29)&gt;0,320,IF(MAX(G29:S29)&gt;0,500,"-")))</f>
        <v>-</v>
      </c>
      <c r="X29" s="190" t="str">
        <f t="shared" ref="X29:X60" si="16">IF(SUM(F29:S29)&gt;0,((F29*Outlook_2011__EWS__TCP)+(G29*Outlook_2010__OA_Cached__TCP)+(H29*Outlook_2010__MAPI_Cached__TCP)+(I29*Outlook_2010__MAPI_Online__TCP)+(J29*Outlook_2007__OA_Cached__TCP)+(K29*Outlook_2007__MAPI_Cached__TCP)+(L29*Outlook_2007__MAPI_Online__TCP)+(M29*Outlook_2003__OA_Cached__TCP)+(N29*Outlook_2003__MAPI_Cached__TCP)+(O29*Outlook_2003__MAPI_Online__TCP)+(P29*OWA_2010_TCP)+(Q29*OWA_2007_TCP)+(R29*Windows_Phone_7.x_TCP)+(S29*Windows_Mobile_6.x_TCP))*E29*1.2,"-")</f>
        <v>-</v>
      </c>
      <c r="Y29" s="200">
        <f t="shared" ref="Y29:Y60" si="17">IF(C29="light",IF(SUM(F29:S29)&gt;0,(((((G29*E29*P1_Outlook_2010__OA_Cached__Received)+(S29*E29*P1_Windows_Mobile_6.x_Received)+(H29*E29*P1_Outlook_2010__MAPI_Cached__Received)+(I29*E29*P1_Outlook_2010__MAPI_Online__Received)+(J29*E29*P1_Outlook_2007__OA_Cached__Received)+(K29*E29*P1_Outlook_2007__MAPI_Cached__Received)+(L29*E29*P1_Outlook_2007__MAPI_Online__Received)+(N29*E29*P1_Outlook_2003__MAPI_Cached__Received)+(O29*E29*P1_Outlook_2003__MAPI_Online__Received)+(R29*E29*P1_Windows_Phone_7.x_Received)+(M29*E29*P1_Outlook_2003__OA_Cached__Received)+(P29*E29*P1_OWA_2010_Received)+(Q29*E29*P1_OWA_2007_Received)+(F29*E29*P1_Outlook_2011__EWS__Received))))),0),0)</f>
        <v>0</v>
      </c>
      <c r="Z29" s="200">
        <f t="shared" ref="Z29:Z60" si="18">IF(C29="light",IF(SUM(F29:S29)&gt;0,(((((G29*E29*P1_Outlook_2010__OA_Cached__Sent)+(S29*E29*P1_Windows_Mobile_6.x_Sent)+(H29*E29*P1_Outlook_2010__MAPI_Cached__Sent)+(I29*E29*P1_Outlook_2010__MAPI_Online__Sent)+(J29*E29*P1_Outlook_2007__OA_Cached__Sent)+(K29*E29*P1_Outlook_2007__MAPI_Cached__Sent)+(L29*E29*P1_Outlook_2007__MAPI_Online__Sent)+(N29*E29*P1_Outlook_2003__MAPI_Cached__Sent)+(O29*E29*P1_Outlook_2003__MAPI_Online__Sent)+(R29*E29*P1_Windows_Phone_7.x_Sent)+(M29*E29*P1_Outlook_2003__OA_Cached__Sent)+(P29*E29*P1_OWA_2010_Sent)+(Q29*E29*P1_OWA_2007_Sent)+(F29*E29*P1_Outlook_2011__EWS__Sent))))),0),0)</f>
        <v>0</v>
      </c>
      <c r="AA29" s="201">
        <f t="shared" si="7"/>
        <v>0</v>
      </c>
      <c r="AB29" s="200">
        <f t="shared" ref="AB29:AB60" si="19">IF(C29="medium",IF(SUM(F29:S29)&gt;0,(((((G29*E29*P2_Outlook_2010__OA_Cached__Received)+(S29*E29*P2_Windows_Mobile_6.x_Received)+(H29*E29*P2_Outlook_2010__MAPI_Cached__Received)+(I29*E29*P2_Outlook_2010__MAPI_Online__Received)+(J29*E29*P2_Outlook_2007__OA_Cached__Received)+(K29*E29*P2_Outlook_2007__MAPI_Cached__Received)+(L29*E29*P2_Outlook_2007__MAPI_Online__Received)+(N29*E29*P2_Outlook_2003__MAPI_Cached__Received)+(O29*E29*P2_Outlook_2003__MAPI_Online__Received)+(R29*E29*P2_Windows_Phone_7.x_Received)+(M29*E29*P2_Outlook_2003__OA_Cached__Received)+(P29*E29*P2_OWA_2010_Received)+(Q29*E29*P2_OWA_2007_Received)+(F29*E29*P2_Outlook_2011__EWS__Received))))),0),0)</f>
        <v>0</v>
      </c>
      <c r="AC29" s="200">
        <f t="shared" ref="AC29:AC60" si="20">IF(C29="medium",IF(SUM(F29:S29)&gt;0,(((((G29*E29*P2_Outlook_2010__OA_Cached__Sent)+(S29*E29*P2_Windows_Mobile_6.x_Sent)+(H29*E29*P2_Outlook_2010__MAPI_Cached__Sent)+(I29*E29*P2_Outlook_2010__MAPI_Online__Sent)+(J29*E29*P2_Outlook_2007__OA_Cached__Sent)+(K29*E29*P2_Outlook_2007__MAPI_Cached__Sent)+(L29*E29*P2_Outlook_2007__MAPI_Online__Sent)+(N29*E29*P2_Outlook_2003__MAPI_Cached__Sent)+(O29*E29*P2_Outlook_2003__MAPI_Online__Sent)+(R29*E29*P2_Windows_Phone_7.x_Sent)+(M29*E29*P2_Outlook_2003__OA_Cached__Sent)+(P29*E29*P2_OWA_2010_Sent)+(Q29*E29*P2_OWA_2007_Sent)+(F29*E29*P2_Outlook_2011__EWS__Sent))))),0),0)</f>
        <v>0</v>
      </c>
      <c r="AD29" s="201">
        <f>IF(SUM(F29,G29,H29,J29,K29,M29,N29)&gt;0,IF(Table2613513[[#This Row],[Column5]]="medium",P2_Min_OST_Throughput_Requirements,0),0)</f>
        <v>0</v>
      </c>
      <c r="AE29" s="199">
        <f t="shared" ref="AE29:AE60" si="21">IF(C29="heavy",IF(SUM(F29:S29)&gt;0,(((((G29*E29*P3_Outlook_2010__OA_Cached__Received)+(S29*E29*P3_Windows_Mobile_6.x_Received)+(H29*E29*P3_Outlook_2010__MAPI_Cached__Received)+(I29*E29*P3_Outlook_2010__MAPI_Online__Received)+(J29*E29*P3_Outlook_2007__OA_Cached__Received)+(K29*E29*P3_Outlook_2007__MAPI_Cached__Received)+(L29*E29*P3_Outlook_2007__MAPI_Online__Received)+(N29*E29*P3_Outlook_2003__MAPI_Cached__Received)+(O29*E29*P3_Outlook_2003__MAPI_Online__Received)+(R29*E29*P3_Windows_Phone_7.x_Received)+(M29*E29*P3_Outlook_2003__OA_Cached__Received)+(P29*E29*P3_OWA_2010_Received)+(Q29*E29*P3_OWA_2007_Received)+(F29*E29*P3_Outlook_2011__EWS__Received))))),0),0)</f>
        <v>0</v>
      </c>
      <c r="AF29" s="199">
        <f t="shared" ref="AF29:AF60" si="22">IF(C29="heavy",IF(SUM(F29:S29)&gt;0,(((((G29*E29*P3_Outlook_2010__OA_Cached__Sent)+(S29*E29*P3_Windows_Mobile_6.x_Sent)+(H29*E29*P3_Outlook_2010__MAPI_Cached__Sent)+(I29*E29*P3_Outlook_2010__MAPI_Online__Sent)+(J29*E29*P3_Outlook_2007__OA_Cached__Sent)+(K29*E29*P3_Outlook_2007__MAPI_Cached__Sent)+(L29*E29*P3_Outlook_2007__MAPI_Online__Sent)+(N29*E29*P3_Outlook_2003__MAPI_Cached__Sent)+(O29*E29*P3_Outlook_2003__MAPI_Online__Sent)+(R29*E29*P3_Windows_Phone_7.x_Sent)+(M29*E29*P3_Outlook_2003__OA_Cached__Sent)+(P29*E29*P3_OWA_2010_Sent)+(Q29*E29*P3_OWA_2007_Sent)+(F29*E29*P3_Outlook_2011__EWS__Sent))))),0),0)</f>
        <v>0</v>
      </c>
      <c r="AG29" s="199">
        <f>IF(SUM(F29,G29,H29,J29,K29,M29,N29)&gt;0,IF(Table2613513[[#This Row],[Column5]]="heavy",P3_Min_OST_Throughput_Requirements,0),0)</f>
        <v>0</v>
      </c>
      <c r="AH29" s="199">
        <f t="shared" ref="AH29:AH60" si="23">IF(C29="very heavy",IF(SUM(F29:S29)&gt;0,(((((G29*E29*P4_Outlook_2010__OA_Cached__Received)+(S29*E29*P4_Windows_Mobile_6.x_Received)+(H29*E29*P4_Outlook_2010__MAPI_Cached__Received)+(I29*E29*P4_Outlook_2010__MAPI_Online__Received)+(J29*E29*P4_Outlook_2007__OA_Cached__Received)+(K29*E29*P4_Outlook_2007__MAPI_Cached__Received)+(L29*E29*P4_Outlook_2007__MAPI_Online__Received)+(N29*E29*P4_Outlook_2003__MAPI_Cached__Received)+(O29*E29*P4_Outlook_2003__MAPI_Online__Received)+(R29*E29*P4_Windows_Phone_7.x_Received)+(M29*E29*P4_Outlook_2003__OA_Cached__Received)+(P29*E29*P4_OWA_2010_Received)+(Q29*E29*P4_OWA_2007_Received)+(F29*E29*P4_Outlook_2011__EWS__Received))))),0),0)</f>
        <v>0</v>
      </c>
      <c r="AI29" s="199">
        <f t="shared" ref="AI29:AI60" si="24">IF(C29="very heavy",IF(SUM(F29:S29)&gt;0,(((((G29*E29*P4_Outlook_2010__OA_Cached__Sent)+(S29*E29*P4_Windows_Mobile_6.x_Sent)+(H29*E29*P4_Outlook_2010__MAPI_Cached__Sent)+(I29*E29*P4_Outlook_2010__MAPI_Online__Sent)+(J29*E29*P4_Outlook_2007__OA_Cached__Sent)+(K29*E29*P4_Outlook_2007__MAPI_Cached__Sent)+(L29*E29*P4_Outlook_2007__MAPI_Online__Sent)+(N29*E29*P4_Outlook_2003__MAPI_Cached__Sent)+(O29*E29*P4_Outlook_2003__MAPI_Online__Sent)+(R29*E29*P4_Windows_Phone_7.x_Sent)+(M29*E29*P4_Outlook_2003__OA_Cached__Sent)+(P29*E29*P4_OWA_2010_Sent)+(Q29*E29*P4_OWA_2007_Sent)+(F29*E29*P4_Outlook_2011__EWS__Sent))))),0),0)</f>
        <v>0</v>
      </c>
      <c r="AJ29" s="199">
        <f>IF(SUM(F29,G29,H29,J29,K29,M29,N29)&gt;0,IF(Table2613513[[#This Row],[Column5]]="very heavy",P4_Min_OST_Throughput_Requirements,0),0)</f>
        <v>0</v>
      </c>
    </row>
    <row r="30" spans="2:36" hidden="1" outlineLevel="1">
      <c r="B30" s="86" t="s">
        <v>190</v>
      </c>
      <c r="C30" s="87" t="s">
        <v>121</v>
      </c>
      <c r="D30" s="221" t="s">
        <v>303</v>
      </c>
      <c r="E30" s="88">
        <v>1</v>
      </c>
      <c r="F30" s="177"/>
      <c r="G30" s="177"/>
      <c r="H30" s="177"/>
      <c r="I30" s="177"/>
      <c r="J30" s="177"/>
      <c r="K30" s="177"/>
      <c r="L30" s="177"/>
      <c r="M30" s="177"/>
      <c r="N30" s="177"/>
      <c r="O30" s="177"/>
      <c r="P30" s="177"/>
      <c r="Q30" s="177"/>
      <c r="R30" s="177"/>
      <c r="S30" s="177"/>
      <c r="T30" s="189">
        <f t="shared" si="14"/>
        <v>0</v>
      </c>
      <c r="U30" s="95" t="str">
        <f t="shared" si="1"/>
        <v>-</v>
      </c>
      <c r="V30" s="96" t="str">
        <f t="shared" si="2"/>
        <v>-</v>
      </c>
      <c r="W30" s="202" t="str">
        <f t="shared" si="15"/>
        <v>-</v>
      </c>
      <c r="X30" s="190" t="str">
        <f t="shared" si="16"/>
        <v>-</v>
      </c>
      <c r="Y30" s="200">
        <f t="shared" si="17"/>
        <v>0</v>
      </c>
      <c r="Z30" s="200">
        <f t="shared" si="18"/>
        <v>0</v>
      </c>
      <c r="AA30" s="201">
        <f t="shared" si="7"/>
        <v>0</v>
      </c>
      <c r="AB30" s="200">
        <f t="shared" si="19"/>
        <v>0</v>
      </c>
      <c r="AC30" s="200">
        <f t="shared" si="20"/>
        <v>0</v>
      </c>
      <c r="AD30" s="201">
        <f>IF(SUM(F30,G30,H30,J30,K30,M30,N30)&gt;0,IF(Table2613513[[#This Row],[Column5]]="medium",P2_Min_OST_Throughput_Requirements,0),0)</f>
        <v>0</v>
      </c>
      <c r="AE30" s="199">
        <f t="shared" si="21"/>
        <v>0</v>
      </c>
      <c r="AF30" s="199">
        <f t="shared" si="22"/>
        <v>0</v>
      </c>
      <c r="AG30" s="199">
        <f>IF(SUM(F30,G30,H30,J30,K30,M30,N30)&gt;0,IF(Table2613513[[#This Row],[Column5]]="heavy",P3_Min_OST_Throughput_Requirements,0),0)</f>
        <v>0</v>
      </c>
      <c r="AH30" s="199">
        <f t="shared" si="23"/>
        <v>0</v>
      </c>
      <c r="AI30" s="199">
        <f t="shared" si="24"/>
        <v>0</v>
      </c>
      <c r="AJ30" s="199">
        <f>IF(SUM(F30,G30,H30,J30,K30,M30,N30)&gt;0,IF(Table2613513[[#This Row],[Column5]]="very heavy",P4_Min_OST_Throughput_Requirements,0),0)</f>
        <v>0</v>
      </c>
    </row>
    <row r="31" spans="2:36" s="176" customFormat="1" hidden="1" outlineLevel="1">
      <c r="B31" s="86" t="s">
        <v>191</v>
      </c>
      <c r="C31" s="87" t="s">
        <v>121</v>
      </c>
      <c r="D31" s="221" t="s">
        <v>303</v>
      </c>
      <c r="E31" s="88">
        <v>1</v>
      </c>
      <c r="F31" s="177"/>
      <c r="G31" s="177"/>
      <c r="H31" s="177"/>
      <c r="I31" s="177"/>
      <c r="J31" s="177"/>
      <c r="K31" s="177"/>
      <c r="L31" s="177"/>
      <c r="M31" s="177"/>
      <c r="N31" s="177"/>
      <c r="O31" s="177"/>
      <c r="P31" s="177"/>
      <c r="Q31" s="177"/>
      <c r="R31" s="177"/>
      <c r="S31" s="177"/>
      <c r="T31" s="189">
        <f t="shared" si="14"/>
        <v>0</v>
      </c>
      <c r="U31" s="95" t="str">
        <f t="shared" si="1"/>
        <v>-</v>
      </c>
      <c r="V31" s="96" t="str">
        <f t="shared" si="2"/>
        <v>-</v>
      </c>
      <c r="W31" s="202" t="str">
        <f t="shared" si="15"/>
        <v>-</v>
      </c>
      <c r="X31" s="190" t="str">
        <f t="shared" si="16"/>
        <v>-</v>
      </c>
      <c r="Y31" s="200">
        <f t="shared" si="17"/>
        <v>0</v>
      </c>
      <c r="Z31" s="200">
        <f t="shared" si="18"/>
        <v>0</v>
      </c>
      <c r="AA31" s="201">
        <f t="shared" si="7"/>
        <v>0</v>
      </c>
      <c r="AB31" s="200">
        <f t="shared" si="19"/>
        <v>0</v>
      </c>
      <c r="AC31" s="200">
        <f t="shared" si="20"/>
        <v>0</v>
      </c>
      <c r="AD31" s="201">
        <f>IF(SUM(F31,G31,H31,J31,K31,M31,N31)&gt;0,IF(Table2613513[[#This Row],[Column5]]="medium",P2_Min_OST_Throughput_Requirements,0),0)</f>
        <v>0</v>
      </c>
      <c r="AE31" s="199">
        <f t="shared" si="21"/>
        <v>0</v>
      </c>
      <c r="AF31" s="199">
        <f t="shared" si="22"/>
        <v>0</v>
      </c>
      <c r="AG31" s="199">
        <f>IF(SUM(F31,G31,H31,J31,K31,M31,N31)&gt;0,IF(Table2613513[[#This Row],[Column5]]="heavy",P3_Min_OST_Throughput_Requirements,0),0)</f>
        <v>0</v>
      </c>
      <c r="AH31" s="199">
        <f t="shared" si="23"/>
        <v>0</v>
      </c>
      <c r="AI31" s="199">
        <f t="shared" si="24"/>
        <v>0</v>
      </c>
      <c r="AJ31" s="199">
        <f>IF(SUM(F31,G31,H31,J31,K31,M31,N31)&gt;0,IF(Table2613513[[#This Row],[Column5]]="very heavy",P4_Min_OST_Throughput_Requirements,0),0)</f>
        <v>0</v>
      </c>
    </row>
    <row r="32" spans="2:36" s="176" customFormat="1" hidden="1" outlineLevel="1">
      <c r="B32" s="86" t="s">
        <v>192</v>
      </c>
      <c r="C32" s="87" t="s">
        <v>121</v>
      </c>
      <c r="D32" s="221" t="s">
        <v>303</v>
      </c>
      <c r="E32" s="88">
        <v>1</v>
      </c>
      <c r="F32" s="177"/>
      <c r="G32" s="177"/>
      <c r="H32" s="177"/>
      <c r="I32" s="177"/>
      <c r="J32" s="177"/>
      <c r="K32" s="177"/>
      <c r="L32" s="177"/>
      <c r="M32" s="177"/>
      <c r="N32" s="177"/>
      <c r="O32" s="177"/>
      <c r="P32" s="177"/>
      <c r="Q32" s="177"/>
      <c r="R32" s="177"/>
      <c r="S32" s="177"/>
      <c r="T32" s="189">
        <f t="shared" si="14"/>
        <v>0</v>
      </c>
      <c r="U32" s="95" t="str">
        <f t="shared" si="1"/>
        <v>-</v>
      </c>
      <c r="V32" s="96" t="str">
        <f t="shared" si="2"/>
        <v>-</v>
      </c>
      <c r="W32" s="202" t="str">
        <f t="shared" si="15"/>
        <v>-</v>
      </c>
      <c r="X32" s="190" t="str">
        <f t="shared" si="16"/>
        <v>-</v>
      </c>
      <c r="Y32" s="200">
        <f t="shared" si="17"/>
        <v>0</v>
      </c>
      <c r="Z32" s="200">
        <f t="shared" si="18"/>
        <v>0</v>
      </c>
      <c r="AA32" s="201">
        <f t="shared" si="7"/>
        <v>0</v>
      </c>
      <c r="AB32" s="200">
        <f t="shared" si="19"/>
        <v>0</v>
      </c>
      <c r="AC32" s="200">
        <f t="shared" si="20"/>
        <v>0</v>
      </c>
      <c r="AD32" s="201">
        <f>IF(SUM(F32,G32,H32,J32,K32,M32,N32)&gt;0,IF(Table2613513[[#This Row],[Column5]]="medium",P2_Min_OST_Throughput_Requirements,0),0)</f>
        <v>0</v>
      </c>
      <c r="AE32" s="199">
        <f t="shared" si="21"/>
        <v>0</v>
      </c>
      <c r="AF32" s="199">
        <f t="shared" si="22"/>
        <v>0</v>
      </c>
      <c r="AG32" s="199">
        <f>IF(SUM(F32,G32,H32,J32,K32,M32,N32)&gt;0,IF(Table2613513[[#This Row],[Column5]]="heavy",P3_Min_OST_Throughput_Requirements,0),0)</f>
        <v>0</v>
      </c>
      <c r="AH32" s="199">
        <f t="shared" si="23"/>
        <v>0</v>
      </c>
      <c r="AI32" s="199">
        <f t="shared" si="24"/>
        <v>0</v>
      </c>
      <c r="AJ32" s="199">
        <f>IF(SUM(F32,G32,H32,J32,K32,M32,N32)&gt;0,IF(Table2613513[[#This Row],[Column5]]="very heavy",P4_Min_OST_Throughput_Requirements,0),0)</f>
        <v>0</v>
      </c>
    </row>
    <row r="33" spans="2:36" s="176" customFormat="1" hidden="1" outlineLevel="1">
      <c r="B33" s="86" t="s">
        <v>193</v>
      </c>
      <c r="C33" s="87" t="s">
        <v>121</v>
      </c>
      <c r="D33" s="221" t="s">
        <v>303</v>
      </c>
      <c r="E33" s="88">
        <v>1</v>
      </c>
      <c r="F33" s="177"/>
      <c r="G33" s="177"/>
      <c r="H33" s="177"/>
      <c r="I33" s="177"/>
      <c r="J33" s="177"/>
      <c r="K33" s="177"/>
      <c r="L33" s="177"/>
      <c r="M33" s="177"/>
      <c r="N33" s="177"/>
      <c r="O33" s="177"/>
      <c r="P33" s="177"/>
      <c r="Q33" s="177"/>
      <c r="R33" s="177"/>
      <c r="S33" s="177"/>
      <c r="T33" s="189">
        <f t="shared" si="14"/>
        <v>0</v>
      </c>
      <c r="U33" s="95" t="str">
        <f t="shared" si="1"/>
        <v>-</v>
      </c>
      <c r="V33" s="96" t="str">
        <f t="shared" si="2"/>
        <v>-</v>
      </c>
      <c r="W33" s="202" t="str">
        <f t="shared" si="15"/>
        <v>-</v>
      </c>
      <c r="X33" s="190" t="str">
        <f t="shared" si="16"/>
        <v>-</v>
      </c>
      <c r="Y33" s="200">
        <f t="shared" si="17"/>
        <v>0</v>
      </c>
      <c r="Z33" s="200">
        <f t="shared" si="18"/>
        <v>0</v>
      </c>
      <c r="AA33" s="201">
        <f t="shared" si="7"/>
        <v>0</v>
      </c>
      <c r="AB33" s="200">
        <f t="shared" si="19"/>
        <v>0</v>
      </c>
      <c r="AC33" s="200">
        <f t="shared" si="20"/>
        <v>0</v>
      </c>
      <c r="AD33" s="201">
        <f>IF(SUM(F33,G33,H33,J33,K33,M33,N33)&gt;0,IF(Table2613513[[#This Row],[Column5]]="medium",P2_Min_OST_Throughput_Requirements,0),0)</f>
        <v>0</v>
      </c>
      <c r="AE33" s="199">
        <f t="shared" si="21"/>
        <v>0</v>
      </c>
      <c r="AF33" s="199">
        <f t="shared" si="22"/>
        <v>0</v>
      </c>
      <c r="AG33" s="199">
        <f>IF(SUM(F33,G33,H33,J33,K33,M33,N33)&gt;0,IF(Table2613513[[#This Row],[Column5]]="heavy",P3_Min_OST_Throughput_Requirements,0),0)</f>
        <v>0</v>
      </c>
      <c r="AH33" s="199">
        <f t="shared" si="23"/>
        <v>0</v>
      </c>
      <c r="AI33" s="199">
        <f t="shared" si="24"/>
        <v>0</v>
      </c>
      <c r="AJ33" s="199">
        <f>IF(SUM(F33,G33,H33,J33,K33,M33,N33)&gt;0,IF(Table2613513[[#This Row],[Column5]]="very heavy",P4_Min_OST_Throughput_Requirements,0),0)</f>
        <v>0</v>
      </c>
    </row>
    <row r="34" spans="2:36" s="176" customFormat="1" hidden="1" outlineLevel="1">
      <c r="B34" s="86" t="s">
        <v>194</v>
      </c>
      <c r="C34" s="87" t="s">
        <v>121</v>
      </c>
      <c r="D34" s="221" t="s">
        <v>303</v>
      </c>
      <c r="E34" s="88">
        <v>1</v>
      </c>
      <c r="F34" s="177"/>
      <c r="G34" s="177"/>
      <c r="H34" s="177"/>
      <c r="I34" s="177"/>
      <c r="J34" s="177"/>
      <c r="K34" s="177"/>
      <c r="L34" s="177"/>
      <c r="M34" s="177"/>
      <c r="N34" s="177"/>
      <c r="O34" s="177"/>
      <c r="P34" s="177"/>
      <c r="Q34" s="177"/>
      <c r="R34" s="177"/>
      <c r="S34" s="177"/>
      <c r="T34" s="189">
        <f t="shared" si="14"/>
        <v>0</v>
      </c>
      <c r="U34" s="95" t="str">
        <f t="shared" si="1"/>
        <v>-</v>
      </c>
      <c r="V34" s="96" t="str">
        <f t="shared" si="2"/>
        <v>-</v>
      </c>
      <c r="W34" s="202" t="str">
        <f t="shared" si="15"/>
        <v>-</v>
      </c>
      <c r="X34" s="190" t="str">
        <f t="shared" si="16"/>
        <v>-</v>
      </c>
      <c r="Y34" s="200">
        <f t="shared" si="17"/>
        <v>0</v>
      </c>
      <c r="Z34" s="200">
        <f t="shared" si="18"/>
        <v>0</v>
      </c>
      <c r="AA34" s="201">
        <f t="shared" si="7"/>
        <v>0</v>
      </c>
      <c r="AB34" s="200">
        <f t="shared" si="19"/>
        <v>0</v>
      </c>
      <c r="AC34" s="200">
        <f t="shared" si="20"/>
        <v>0</v>
      </c>
      <c r="AD34" s="201">
        <f>IF(SUM(F34,G34,H34,J34,K34,M34,N34)&gt;0,IF(Table2613513[[#This Row],[Column5]]="medium",P2_Min_OST_Throughput_Requirements,0),0)</f>
        <v>0</v>
      </c>
      <c r="AE34" s="199">
        <f t="shared" si="21"/>
        <v>0</v>
      </c>
      <c r="AF34" s="199">
        <f t="shared" si="22"/>
        <v>0</v>
      </c>
      <c r="AG34" s="199">
        <f>IF(SUM(F34,G34,H34,J34,K34,M34,N34)&gt;0,IF(Table2613513[[#This Row],[Column5]]="heavy",P3_Min_OST_Throughput_Requirements,0),0)</f>
        <v>0</v>
      </c>
      <c r="AH34" s="199">
        <f t="shared" si="23"/>
        <v>0</v>
      </c>
      <c r="AI34" s="199">
        <f t="shared" si="24"/>
        <v>0</v>
      </c>
      <c r="AJ34" s="199">
        <f>IF(SUM(F34,G34,H34,J34,K34,M34,N34)&gt;0,IF(Table2613513[[#This Row],[Column5]]="very heavy",P4_Min_OST_Throughput_Requirements,0),0)</f>
        <v>0</v>
      </c>
    </row>
    <row r="35" spans="2:36" s="176" customFormat="1" hidden="1" outlineLevel="1">
      <c r="B35" s="86" t="s">
        <v>195</v>
      </c>
      <c r="C35" s="87" t="s">
        <v>121</v>
      </c>
      <c r="D35" s="221" t="s">
        <v>303</v>
      </c>
      <c r="E35" s="88">
        <v>1</v>
      </c>
      <c r="F35" s="177"/>
      <c r="G35" s="177"/>
      <c r="H35" s="177"/>
      <c r="I35" s="177"/>
      <c r="J35" s="177"/>
      <c r="K35" s="177"/>
      <c r="L35" s="177"/>
      <c r="M35" s="177"/>
      <c r="N35" s="177"/>
      <c r="O35" s="177"/>
      <c r="P35" s="177"/>
      <c r="Q35" s="177"/>
      <c r="R35" s="177"/>
      <c r="S35" s="177"/>
      <c r="T35" s="189">
        <f t="shared" si="14"/>
        <v>0</v>
      </c>
      <c r="U35" s="95" t="str">
        <f t="shared" si="1"/>
        <v>-</v>
      </c>
      <c r="V35" s="96" t="str">
        <f t="shared" si="2"/>
        <v>-</v>
      </c>
      <c r="W35" s="202" t="str">
        <f t="shared" si="15"/>
        <v>-</v>
      </c>
      <c r="X35" s="190" t="str">
        <f t="shared" si="16"/>
        <v>-</v>
      </c>
      <c r="Y35" s="200">
        <f t="shared" si="17"/>
        <v>0</v>
      </c>
      <c r="Z35" s="200">
        <f t="shared" si="18"/>
        <v>0</v>
      </c>
      <c r="AA35" s="201">
        <f t="shared" si="7"/>
        <v>0</v>
      </c>
      <c r="AB35" s="200">
        <f t="shared" si="19"/>
        <v>0</v>
      </c>
      <c r="AC35" s="200">
        <f t="shared" si="20"/>
        <v>0</v>
      </c>
      <c r="AD35" s="201">
        <f>IF(SUM(F35,G35,H35,J35,K35,M35,N35)&gt;0,IF(Table2613513[[#This Row],[Column5]]="medium",P2_Min_OST_Throughput_Requirements,0),0)</f>
        <v>0</v>
      </c>
      <c r="AE35" s="199">
        <f t="shared" si="21"/>
        <v>0</v>
      </c>
      <c r="AF35" s="199">
        <f t="shared" si="22"/>
        <v>0</v>
      </c>
      <c r="AG35" s="199">
        <f>IF(SUM(F35,G35,H35,J35,K35,M35,N35)&gt;0,IF(Table2613513[[#This Row],[Column5]]="heavy",P3_Min_OST_Throughput_Requirements,0),0)</f>
        <v>0</v>
      </c>
      <c r="AH35" s="199">
        <f t="shared" si="23"/>
        <v>0</v>
      </c>
      <c r="AI35" s="199">
        <f t="shared" si="24"/>
        <v>0</v>
      </c>
      <c r="AJ35" s="199">
        <f>IF(SUM(F35,G35,H35,J35,K35,M35,N35)&gt;0,IF(Table2613513[[#This Row],[Column5]]="very heavy",P4_Min_OST_Throughput_Requirements,0),0)</f>
        <v>0</v>
      </c>
    </row>
    <row r="36" spans="2:36" s="176" customFormat="1" hidden="1" outlineLevel="1">
      <c r="B36" s="86" t="s">
        <v>196</v>
      </c>
      <c r="C36" s="87" t="s">
        <v>121</v>
      </c>
      <c r="D36" s="221" t="s">
        <v>303</v>
      </c>
      <c r="E36" s="88">
        <v>1</v>
      </c>
      <c r="F36" s="177"/>
      <c r="G36" s="177"/>
      <c r="H36" s="177"/>
      <c r="I36" s="177"/>
      <c r="J36" s="177"/>
      <c r="K36" s="177"/>
      <c r="L36" s="177"/>
      <c r="M36" s="177"/>
      <c r="N36" s="177"/>
      <c r="O36" s="177"/>
      <c r="P36" s="177"/>
      <c r="Q36" s="177"/>
      <c r="R36" s="177"/>
      <c r="S36" s="177"/>
      <c r="T36" s="189">
        <f t="shared" si="14"/>
        <v>0</v>
      </c>
      <c r="U36" s="95" t="str">
        <f t="shared" si="1"/>
        <v>-</v>
      </c>
      <c r="V36" s="96" t="str">
        <f t="shared" si="2"/>
        <v>-</v>
      </c>
      <c r="W36" s="202" t="str">
        <f t="shared" si="15"/>
        <v>-</v>
      </c>
      <c r="X36" s="190" t="str">
        <f t="shared" si="16"/>
        <v>-</v>
      </c>
      <c r="Y36" s="200">
        <f t="shared" si="17"/>
        <v>0</v>
      </c>
      <c r="Z36" s="200">
        <f t="shared" si="18"/>
        <v>0</v>
      </c>
      <c r="AA36" s="201">
        <f t="shared" si="7"/>
        <v>0</v>
      </c>
      <c r="AB36" s="200">
        <f t="shared" si="19"/>
        <v>0</v>
      </c>
      <c r="AC36" s="200">
        <f t="shared" si="20"/>
        <v>0</v>
      </c>
      <c r="AD36" s="201">
        <f>IF(SUM(F36,G36,H36,J36,K36,M36,N36)&gt;0,IF(Table2613513[[#This Row],[Column5]]="medium",P2_Min_OST_Throughput_Requirements,0),0)</f>
        <v>0</v>
      </c>
      <c r="AE36" s="199">
        <f t="shared" si="21"/>
        <v>0</v>
      </c>
      <c r="AF36" s="199">
        <f t="shared" si="22"/>
        <v>0</v>
      </c>
      <c r="AG36" s="199">
        <f>IF(SUM(F36,G36,H36,J36,K36,M36,N36)&gt;0,IF(Table2613513[[#This Row],[Column5]]="heavy",P3_Min_OST_Throughput_Requirements,0),0)</f>
        <v>0</v>
      </c>
      <c r="AH36" s="199">
        <f t="shared" si="23"/>
        <v>0</v>
      </c>
      <c r="AI36" s="199">
        <f t="shared" si="24"/>
        <v>0</v>
      </c>
      <c r="AJ36" s="199">
        <f>IF(SUM(F36,G36,H36,J36,K36,M36,N36)&gt;0,IF(Table2613513[[#This Row],[Column5]]="very heavy",P4_Min_OST_Throughput_Requirements,0),0)</f>
        <v>0</v>
      </c>
    </row>
    <row r="37" spans="2:36" s="176" customFormat="1" hidden="1" outlineLevel="1">
      <c r="B37" s="86" t="s">
        <v>197</v>
      </c>
      <c r="C37" s="87" t="s">
        <v>121</v>
      </c>
      <c r="D37" s="221" t="s">
        <v>303</v>
      </c>
      <c r="E37" s="88">
        <v>1</v>
      </c>
      <c r="F37" s="177"/>
      <c r="G37" s="177"/>
      <c r="H37" s="177"/>
      <c r="I37" s="177"/>
      <c r="J37" s="177"/>
      <c r="K37" s="177"/>
      <c r="L37" s="177"/>
      <c r="M37" s="177"/>
      <c r="N37" s="177"/>
      <c r="O37" s="177"/>
      <c r="P37" s="177"/>
      <c r="Q37" s="177"/>
      <c r="R37" s="177"/>
      <c r="S37" s="177"/>
      <c r="T37" s="189">
        <f t="shared" si="14"/>
        <v>0</v>
      </c>
      <c r="U37" s="95" t="str">
        <f t="shared" si="1"/>
        <v>-</v>
      </c>
      <c r="V37" s="96" t="str">
        <f t="shared" si="2"/>
        <v>-</v>
      </c>
      <c r="W37" s="202" t="str">
        <f t="shared" si="15"/>
        <v>-</v>
      </c>
      <c r="X37" s="190" t="str">
        <f t="shared" si="16"/>
        <v>-</v>
      </c>
      <c r="Y37" s="200">
        <f t="shared" si="17"/>
        <v>0</v>
      </c>
      <c r="Z37" s="200">
        <f t="shared" si="18"/>
        <v>0</v>
      </c>
      <c r="AA37" s="201">
        <f t="shared" si="7"/>
        <v>0</v>
      </c>
      <c r="AB37" s="200">
        <f t="shared" si="19"/>
        <v>0</v>
      </c>
      <c r="AC37" s="200">
        <f t="shared" si="20"/>
        <v>0</v>
      </c>
      <c r="AD37" s="201">
        <f>IF(SUM(F37,G37,H37,J37,K37,M37,N37)&gt;0,IF(Table2613513[[#This Row],[Column5]]="medium",P2_Min_OST_Throughput_Requirements,0),0)</f>
        <v>0</v>
      </c>
      <c r="AE37" s="199">
        <f t="shared" si="21"/>
        <v>0</v>
      </c>
      <c r="AF37" s="199">
        <f t="shared" si="22"/>
        <v>0</v>
      </c>
      <c r="AG37" s="199">
        <f>IF(SUM(F37,G37,H37,J37,K37,M37,N37)&gt;0,IF(Table2613513[[#This Row],[Column5]]="heavy",P3_Min_OST_Throughput_Requirements,0),0)</f>
        <v>0</v>
      </c>
      <c r="AH37" s="199">
        <f t="shared" si="23"/>
        <v>0</v>
      </c>
      <c r="AI37" s="199">
        <f t="shared" si="24"/>
        <v>0</v>
      </c>
      <c r="AJ37" s="199">
        <f>IF(SUM(F37,G37,H37,J37,K37,M37,N37)&gt;0,IF(Table2613513[[#This Row],[Column5]]="very heavy",P4_Min_OST_Throughput_Requirements,0),0)</f>
        <v>0</v>
      </c>
    </row>
    <row r="38" spans="2:36" s="176" customFormat="1" hidden="1" outlineLevel="1">
      <c r="B38" s="86" t="s">
        <v>198</v>
      </c>
      <c r="C38" s="87" t="s">
        <v>121</v>
      </c>
      <c r="D38" s="221" t="s">
        <v>303</v>
      </c>
      <c r="E38" s="88">
        <v>1</v>
      </c>
      <c r="F38" s="177"/>
      <c r="G38" s="177"/>
      <c r="H38" s="177"/>
      <c r="I38" s="177"/>
      <c r="J38" s="177"/>
      <c r="K38" s="177"/>
      <c r="L38" s="177"/>
      <c r="M38" s="177"/>
      <c r="N38" s="177"/>
      <c r="O38" s="177"/>
      <c r="P38" s="177"/>
      <c r="Q38" s="177"/>
      <c r="R38" s="177"/>
      <c r="S38" s="177"/>
      <c r="T38" s="189">
        <f t="shared" si="14"/>
        <v>0</v>
      </c>
      <c r="U38" s="95" t="str">
        <f t="shared" si="1"/>
        <v>-</v>
      </c>
      <c r="V38" s="96" t="str">
        <f t="shared" si="2"/>
        <v>-</v>
      </c>
      <c r="W38" s="202" t="str">
        <f t="shared" si="15"/>
        <v>-</v>
      </c>
      <c r="X38" s="190" t="str">
        <f t="shared" si="16"/>
        <v>-</v>
      </c>
      <c r="Y38" s="200">
        <f t="shared" si="17"/>
        <v>0</v>
      </c>
      <c r="Z38" s="200">
        <f t="shared" si="18"/>
        <v>0</v>
      </c>
      <c r="AA38" s="201">
        <f t="shared" si="7"/>
        <v>0</v>
      </c>
      <c r="AB38" s="200">
        <f t="shared" si="19"/>
        <v>0</v>
      </c>
      <c r="AC38" s="200">
        <f t="shared" si="20"/>
        <v>0</v>
      </c>
      <c r="AD38" s="201">
        <f>IF(SUM(F38,G38,H38,J38,K38,M38,N38)&gt;0,IF(Table2613513[[#This Row],[Column5]]="medium",P2_Min_OST_Throughput_Requirements,0),0)</f>
        <v>0</v>
      </c>
      <c r="AE38" s="199">
        <f t="shared" si="21"/>
        <v>0</v>
      </c>
      <c r="AF38" s="199">
        <f t="shared" si="22"/>
        <v>0</v>
      </c>
      <c r="AG38" s="199">
        <f>IF(SUM(F38,G38,H38,J38,K38,M38,N38)&gt;0,IF(Table2613513[[#This Row],[Column5]]="heavy",P3_Min_OST_Throughput_Requirements,0),0)</f>
        <v>0</v>
      </c>
      <c r="AH38" s="199">
        <f t="shared" si="23"/>
        <v>0</v>
      </c>
      <c r="AI38" s="199">
        <f t="shared" si="24"/>
        <v>0</v>
      </c>
      <c r="AJ38" s="199">
        <f>IF(SUM(F38,G38,H38,J38,K38,M38,N38)&gt;0,IF(Table2613513[[#This Row],[Column5]]="very heavy",P4_Min_OST_Throughput_Requirements,0),0)</f>
        <v>0</v>
      </c>
    </row>
    <row r="39" spans="2:36" s="176" customFormat="1" hidden="1" outlineLevel="1">
      <c r="B39" s="86" t="s">
        <v>199</v>
      </c>
      <c r="C39" s="87" t="s">
        <v>121</v>
      </c>
      <c r="D39" s="221" t="s">
        <v>303</v>
      </c>
      <c r="E39" s="88">
        <v>1</v>
      </c>
      <c r="F39" s="177"/>
      <c r="G39" s="177"/>
      <c r="H39" s="177"/>
      <c r="I39" s="177"/>
      <c r="J39" s="177"/>
      <c r="K39" s="177"/>
      <c r="L39" s="177"/>
      <c r="M39" s="177"/>
      <c r="N39" s="177"/>
      <c r="O39" s="177"/>
      <c r="P39" s="177"/>
      <c r="Q39" s="177"/>
      <c r="R39" s="177"/>
      <c r="S39" s="177"/>
      <c r="T39" s="189">
        <f t="shared" si="14"/>
        <v>0</v>
      </c>
      <c r="U39" s="95" t="str">
        <f t="shared" si="1"/>
        <v>-</v>
      </c>
      <c r="V39" s="96" t="str">
        <f t="shared" si="2"/>
        <v>-</v>
      </c>
      <c r="W39" s="202" t="str">
        <f t="shared" si="15"/>
        <v>-</v>
      </c>
      <c r="X39" s="190" t="str">
        <f t="shared" si="16"/>
        <v>-</v>
      </c>
      <c r="Y39" s="200">
        <f t="shared" si="17"/>
        <v>0</v>
      </c>
      <c r="Z39" s="200">
        <f t="shared" si="18"/>
        <v>0</v>
      </c>
      <c r="AA39" s="201">
        <f t="shared" si="7"/>
        <v>0</v>
      </c>
      <c r="AB39" s="200">
        <f t="shared" si="19"/>
        <v>0</v>
      </c>
      <c r="AC39" s="200">
        <f t="shared" si="20"/>
        <v>0</v>
      </c>
      <c r="AD39" s="201">
        <f>IF(SUM(F39,G39,H39,J39,K39,M39,N39)&gt;0,IF(Table2613513[[#This Row],[Column5]]="medium",P2_Min_OST_Throughput_Requirements,0),0)</f>
        <v>0</v>
      </c>
      <c r="AE39" s="199">
        <f t="shared" si="21"/>
        <v>0</v>
      </c>
      <c r="AF39" s="199">
        <f t="shared" si="22"/>
        <v>0</v>
      </c>
      <c r="AG39" s="199">
        <f>IF(SUM(F39,G39,H39,J39,K39,M39,N39)&gt;0,IF(Table2613513[[#This Row],[Column5]]="heavy",P3_Min_OST_Throughput_Requirements,0),0)</f>
        <v>0</v>
      </c>
      <c r="AH39" s="199">
        <f t="shared" si="23"/>
        <v>0</v>
      </c>
      <c r="AI39" s="199">
        <f t="shared" si="24"/>
        <v>0</v>
      </c>
      <c r="AJ39" s="199">
        <f>IF(SUM(F39,G39,H39,J39,K39,M39,N39)&gt;0,IF(Table2613513[[#This Row],[Column5]]="very heavy",P4_Min_OST_Throughput_Requirements,0),0)</f>
        <v>0</v>
      </c>
    </row>
    <row r="40" spans="2:36" s="176" customFormat="1" hidden="1" outlineLevel="1">
      <c r="B40" s="86" t="s">
        <v>200</v>
      </c>
      <c r="C40" s="87" t="s">
        <v>121</v>
      </c>
      <c r="D40" s="221" t="s">
        <v>303</v>
      </c>
      <c r="E40" s="88">
        <v>1</v>
      </c>
      <c r="F40" s="177"/>
      <c r="G40" s="177"/>
      <c r="H40" s="177"/>
      <c r="I40" s="177"/>
      <c r="J40" s="177"/>
      <c r="K40" s="177"/>
      <c r="L40" s="177"/>
      <c r="M40" s="177"/>
      <c r="N40" s="177"/>
      <c r="O40" s="177"/>
      <c r="P40" s="177"/>
      <c r="Q40" s="177"/>
      <c r="R40" s="177"/>
      <c r="S40" s="177"/>
      <c r="T40" s="189">
        <f t="shared" si="14"/>
        <v>0</v>
      </c>
      <c r="U40" s="95" t="str">
        <f t="shared" si="1"/>
        <v>-</v>
      </c>
      <c r="V40" s="96" t="str">
        <f t="shared" si="2"/>
        <v>-</v>
      </c>
      <c r="W40" s="202" t="str">
        <f t="shared" si="15"/>
        <v>-</v>
      </c>
      <c r="X40" s="190" t="str">
        <f t="shared" si="16"/>
        <v>-</v>
      </c>
      <c r="Y40" s="200">
        <f t="shared" si="17"/>
        <v>0</v>
      </c>
      <c r="Z40" s="200">
        <f t="shared" si="18"/>
        <v>0</v>
      </c>
      <c r="AA40" s="201">
        <f t="shared" si="7"/>
        <v>0</v>
      </c>
      <c r="AB40" s="200">
        <f t="shared" si="19"/>
        <v>0</v>
      </c>
      <c r="AC40" s="200">
        <f t="shared" si="20"/>
        <v>0</v>
      </c>
      <c r="AD40" s="201">
        <f>IF(SUM(F40,G40,H40,J40,K40,M40,N40)&gt;0,IF(Table2613513[[#This Row],[Column5]]="medium",P2_Min_OST_Throughput_Requirements,0),0)</f>
        <v>0</v>
      </c>
      <c r="AE40" s="199">
        <f t="shared" si="21"/>
        <v>0</v>
      </c>
      <c r="AF40" s="199">
        <f t="shared" si="22"/>
        <v>0</v>
      </c>
      <c r="AG40" s="199">
        <f>IF(SUM(F40,G40,H40,J40,K40,M40,N40)&gt;0,IF(Table2613513[[#This Row],[Column5]]="heavy",P3_Min_OST_Throughput_Requirements,0),0)</f>
        <v>0</v>
      </c>
      <c r="AH40" s="199">
        <f t="shared" si="23"/>
        <v>0</v>
      </c>
      <c r="AI40" s="199">
        <f t="shared" si="24"/>
        <v>0</v>
      </c>
      <c r="AJ40" s="199">
        <f>IF(SUM(F40,G40,H40,J40,K40,M40,N40)&gt;0,IF(Table2613513[[#This Row],[Column5]]="very heavy",P4_Min_OST_Throughput_Requirements,0),0)</f>
        <v>0</v>
      </c>
    </row>
    <row r="41" spans="2:36" s="176" customFormat="1" hidden="1" outlineLevel="1">
      <c r="B41" s="86" t="s">
        <v>201</v>
      </c>
      <c r="C41" s="87" t="s">
        <v>121</v>
      </c>
      <c r="D41" s="221" t="s">
        <v>303</v>
      </c>
      <c r="E41" s="88">
        <v>1</v>
      </c>
      <c r="F41" s="177"/>
      <c r="G41" s="177"/>
      <c r="H41" s="177"/>
      <c r="I41" s="177"/>
      <c r="J41" s="177"/>
      <c r="K41" s="177"/>
      <c r="L41" s="177"/>
      <c r="M41" s="177"/>
      <c r="N41" s="177"/>
      <c r="O41" s="177"/>
      <c r="P41" s="177"/>
      <c r="Q41" s="177"/>
      <c r="R41" s="177"/>
      <c r="S41" s="177"/>
      <c r="T41" s="189">
        <f t="shared" si="14"/>
        <v>0</v>
      </c>
      <c r="U41" s="95" t="str">
        <f t="shared" ref="U41:U72" si="25">IF(SUM($F41:$S41)&gt;0,(((PeakHourPercentageUse*(SUM(Y41+AB41+AE41+AH41)*1000*8))/3600)/1000000)*(Bandwidth_Headroom+1.2)+SUM(AA41+AD41+AG41+AJ41),"-")</f>
        <v>-</v>
      </c>
      <c r="V41" s="96" t="str">
        <f t="shared" ref="V41:V72" si="26">IF(SUM($F41:$S41)&gt;0,(((PeakHourPercentageUse*(SUM(Z41+AC41+AF41+AI41)*1000*8))/3600)/1000000)*(Bandwidth_Headroom+1.2),"-")</f>
        <v>-</v>
      </c>
      <c r="W41" s="202" t="str">
        <f t="shared" si="15"/>
        <v>-</v>
      </c>
      <c r="X41" s="190" t="str">
        <f t="shared" si="16"/>
        <v>-</v>
      </c>
      <c r="Y41" s="200">
        <f t="shared" si="17"/>
        <v>0</v>
      </c>
      <c r="Z41" s="200">
        <f t="shared" si="18"/>
        <v>0</v>
      </c>
      <c r="AA41" s="201">
        <f t="shared" ref="AA41:AA72" si="27">IF(SUM(F41,G41,H41,J41,K41,M41,N41)&gt;0,IF(C41="Light",P1_Min_OST_Throughput_Requirements,0),0)</f>
        <v>0</v>
      </c>
      <c r="AB41" s="200">
        <f t="shared" si="19"/>
        <v>0</v>
      </c>
      <c r="AC41" s="200">
        <f t="shared" si="20"/>
        <v>0</v>
      </c>
      <c r="AD41" s="201">
        <f>IF(SUM(F41,G41,H41,J41,K41,M41,N41)&gt;0,IF(Table2613513[[#This Row],[Column5]]="medium",P2_Min_OST_Throughput_Requirements,0),0)</f>
        <v>0</v>
      </c>
      <c r="AE41" s="199">
        <f t="shared" si="21"/>
        <v>0</v>
      </c>
      <c r="AF41" s="199">
        <f t="shared" si="22"/>
        <v>0</v>
      </c>
      <c r="AG41" s="199">
        <f>IF(SUM(F41,G41,H41,J41,K41,M41,N41)&gt;0,IF(Table2613513[[#This Row],[Column5]]="heavy",P3_Min_OST_Throughput_Requirements,0),0)</f>
        <v>0</v>
      </c>
      <c r="AH41" s="199">
        <f t="shared" si="23"/>
        <v>0</v>
      </c>
      <c r="AI41" s="199">
        <f t="shared" si="24"/>
        <v>0</v>
      </c>
      <c r="AJ41" s="199">
        <f>IF(SUM(F41,G41,H41,J41,K41,M41,N41)&gt;0,IF(Table2613513[[#This Row],[Column5]]="very heavy",P4_Min_OST_Throughput_Requirements,0),0)</f>
        <v>0</v>
      </c>
    </row>
    <row r="42" spans="2:36" s="176" customFormat="1" hidden="1" outlineLevel="1">
      <c r="B42" s="86" t="s">
        <v>202</v>
      </c>
      <c r="C42" s="87" t="s">
        <v>121</v>
      </c>
      <c r="D42" s="221" t="s">
        <v>303</v>
      </c>
      <c r="E42" s="88">
        <v>1</v>
      </c>
      <c r="F42" s="177"/>
      <c r="G42" s="177"/>
      <c r="H42" s="177"/>
      <c r="I42" s="177"/>
      <c r="J42" s="177"/>
      <c r="K42" s="177"/>
      <c r="L42" s="177"/>
      <c r="M42" s="177"/>
      <c r="N42" s="177"/>
      <c r="O42" s="177"/>
      <c r="P42" s="177"/>
      <c r="Q42" s="177"/>
      <c r="R42" s="177"/>
      <c r="S42" s="177"/>
      <c r="T42" s="189">
        <f t="shared" si="14"/>
        <v>0</v>
      </c>
      <c r="U42" s="95" t="str">
        <f t="shared" si="25"/>
        <v>-</v>
      </c>
      <c r="V42" s="96" t="str">
        <f t="shared" si="26"/>
        <v>-</v>
      </c>
      <c r="W42" s="202" t="str">
        <f t="shared" si="15"/>
        <v>-</v>
      </c>
      <c r="X42" s="190" t="str">
        <f t="shared" si="16"/>
        <v>-</v>
      </c>
      <c r="Y42" s="200">
        <f t="shared" si="17"/>
        <v>0</v>
      </c>
      <c r="Z42" s="200">
        <f t="shared" si="18"/>
        <v>0</v>
      </c>
      <c r="AA42" s="201">
        <f t="shared" si="27"/>
        <v>0</v>
      </c>
      <c r="AB42" s="200">
        <f t="shared" si="19"/>
        <v>0</v>
      </c>
      <c r="AC42" s="200">
        <f t="shared" si="20"/>
        <v>0</v>
      </c>
      <c r="AD42" s="201">
        <f>IF(SUM(F42,G42,H42,J42,K42,M42,N42)&gt;0,IF(Table2613513[[#This Row],[Column5]]="medium",P2_Min_OST_Throughput_Requirements,0),0)</f>
        <v>0</v>
      </c>
      <c r="AE42" s="199">
        <f t="shared" si="21"/>
        <v>0</v>
      </c>
      <c r="AF42" s="199">
        <f t="shared" si="22"/>
        <v>0</v>
      </c>
      <c r="AG42" s="199">
        <f>IF(SUM(F42,G42,H42,J42,K42,M42,N42)&gt;0,IF(Table2613513[[#This Row],[Column5]]="heavy",P3_Min_OST_Throughput_Requirements,0),0)</f>
        <v>0</v>
      </c>
      <c r="AH42" s="199">
        <f t="shared" si="23"/>
        <v>0</v>
      </c>
      <c r="AI42" s="199">
        <f t="shared" si="24"/>
        <v>0</v>
      </c>
      <c r="AJ42" s="199">
        <f>IF(SUM(F42,G42,H42,J42,K42,M42,N42)&gt;0,IF(Table2613513[[#This Row],[Column5]]="very heavy",P4_Min_OST_Throughput_Requirements,0),0)</f>
        <v>0</v>
      </c>
    </row>
    <row r="43" spans="2:36" s="176" customFormat="1" hidden="1" outlineLevel="1">
      <c r="B43" s="86" t="s">
        <v>203</v>
      </c>
      <c r="C43" s="87" t="s">
        <v>121</v>
      </c>
      <c r="D43" s="221" t="s">
        <v>303</v>
      </c>
      <c r="E43" s="88">
        <v>1</v>
      </c>
      <c r="F43" s="177"/>
      <c r="G43" s="177"/>
      <c r="H43" s="177"/>
      <c r="I43" s="177"/>
      <c r="J43" s="177"/>
      <c r="K43" s="177"/>
      <c r="L43" s="177"/>
      <c r="M43" s="177"/>
      <c r="N43" s="177"/>
      <c r="O43" s="177"/>
      <c r="P43" s="177"/>
      <c r="Q43" s="177"/>
      <c r="R43" s="177"/>
      <c r="S43" s="177"/>
      <c r="T43" s="189">
        <f t="shared" si="14"/>
        <v>0</v>
      </c>
      <c r="U43" s="95" t="str">
        <f t="shared" si="25"/>
        <v>-</v>
      </c>
      <c r="V43" s="96" t="str">
        <f t="shared" si="26"/>
        <v>-</v>
      </c>
      <c r="W43" s="202" t="str">
        <f t="shared" si="15"/>
        <v>-</v>
      </c>
      <c r="X43" s="190" t="str">
        <f t="shared" si="16"/>
        <v>-</v>
      </c>
      <c r="Y43" s="200">
        <f t="shared" si="17"/>
        <v>0</v>
      </c>
      <c r="Z43" s="200">
        <f t="shared" si="18"/>
        <v>0</v>
      </c>
      <c r="AA43" s="201">
        <f t="shared" si="27"/>
        <v>0</v>
      </c>
      <c r="AB43" s="200">
        <f t="shared" si="19"/>
        <v>0</v>
      </c>
      <c r="AC43" s="200">
        <f t="shared" si="20"/>
        <v>0</v>
      </c>
      <c r="AD43" s="201">
        <f>IF(SUM(F43,G43,H43,J43,K43,M43,N43)&gt;0,IF(Table2613513[[#This Row],[Column5]]="medium",P2_Min_OST_Throughput_Requirements,0),0)</f>
        <v>0</v>
      </c>
      <c r="AE43" s="199">
        <f t="shared" si="21"/>
        <v>0</v>
      </c>
      <c r="AF43" s="199">
        <f t="shared" si="22"/>
        <v>0</v>
      </c>
      <c r="AG43" s="199">
        <f>IF(SUM(F43,G43,H43,J43,K43,M43,N43)&gt;0,IF(Table2613513[[#This Row],[Column5]]="heavy",P3_Min_OST_Throughput_Requirements,0),0)</f>
        <v>0</v>
      </c>
      <c r="AH43" s="199">
        <f t="shared" si="23"/>
        <v>0</v>
      </c>
      <c r="AI43" s="199">
        <f t="shared" si="24"/>
        <v>0</v>
      </c>
      <c r="AJ43" s="199">
        <f>IF(SUM(F43,G43,H43,J43,K43,M43,N43)&gt;0,IF(Table2613513[[#This Row],[Column5]]="very heavy",P4_Min_OST_Throughput_Requirements,0),0)</f>
        <v>0</v>
      </c>
    </row>
    <row r="44" spans="2:36" s="176" customFormat="1" hidden="1" outlineLevel="1">
      <c r="B44" s="86" t="s">
        <v>204</v>
      </c>
      <c r="C44" s="87" t="s">
        <v>121</v>
      </c>
      <c r="D44" s="221" t="s">
        <v>303</v>
      </c>
      <c r="E44" s="88">
        <v>1</v>
      </c>
      <c r="F44" s="177"/>
      <c r="G44" s="177"/>
      <c r="H44" s="177"/>
      <c r="I44" s="177"/>
      <c r="J44" s="177"/>
      <c r="K44" s="177"/>
      <c r="L44" s="177"/>
      <c r="M44" s="177"/>
      <c r="N44" s="177"/>
      <c r="O44" s="177"/>
      <c r="P44" s="177"/>
      <c r="Q44" s="177"/>
      <c r="R44" s="177"/>
      <c r="S44" s="177"/>
      <c r="T44" s="189">
        <f t="shared" si="14"/>
        <v>0</v>
      </c>
      <c r="U44" s="95" t="str">
        <f t="shared" si="25"/>
        <v>-</v>
      </c>
      <c r="V44" s="96" t="str">
        <f t="shared" si="26"/>
        <v>-</v>
      </c>
      <c r="W44" s="202" t="str">
        <f t="shared" si="15"/>
        <v>-</v>
      </c>
      <c r="X44" s="190" t="str">
        <f t="shared" si="16"/>
        <v>-</v>
      </c>
      <c r="Y44" s="200">
        <f t="shared" si="17"/>
        <v>0</v>
      </c>
      <c r="Z44" s="200">
        <f t="shared" si="18"/>
        <v>0</v>
      </c>
      <c r="AA44" s="201">
        <f t="shared" si="27"/>
        <v>0</v>
      </c>
      <c r="AB44" s="200">
        <f t="shared" si="19"/>
        <v>0</v>
      </c>
      <c r="AC44" s="200">
        <f t="shared" si="20"/>
        <v>0</v>
      </c>
      <c r="AD44" s="201">
        <f>IF(SUM(F44,G44,H44,J44,K44,M44,N44)&gt;0,IF(Table2613513[[#This Row],[Column5]]="medium",P2_Min_OST_Throughput_Requirements,0),0)</f>
        <v>0</v>
      </c>
      <c r="AE44" s="199">
        <f t="shared" si="21"/>
        <v>0</v>
      </c>
      <c r="AF44" s="199">
        <f t="shared" si="22"/>
        <v>0</v>
      </c>
      <c r="AG44" s="199">
        <f>IF(SUM(F44,G44,H44,J44,K44,M44,N44)&gt;0,IF(Table2613513[[#This Row],[Column5]]="heavy",P3_Min_OST_Throughput_Requirements,0),0)</f>
        <v>0</v>
      </c>
      <c r="AH44" s="199">
        <f t="shared" si="23"/>
        <v>0</v>
      </c>
      <c r="AI44" s="199">
        <f t="shared" si="24"/>
        <v>0</v>
      </c>
      <c r="AJ44" s="199">
        <f>IF(SUM(F44,G44,H44,J44,K44,M44,N44)&gt;0,IF(Table2613513[[#This Row],[Column5]]="very heavy",P4_Min_OST_Throughput_Requirements,0),0)</f>
        <v>0</v>
      </c>
    </row>
    <row r="45" spans="2:36" s="176" customFormat="1" hidden="1" outlineLevel="1">
      <c r="B45" s="86" t="s">
        <v>205</v>
      </c>
      <c r="C45" s="87" t="s">
        <v>121</v>
      </c>
      <c r="D45" s="221" t="s">
        <v>303</v>
      </c>
      <c r="E45" s="88">
        <v>1</v>
      </c>
      <c r="F45" s="177"/>
      <c r="G45" s="177"/>
      <c r="H45" s="177"/>
      <c r="I45" s="177"/>
      <c r="J45" s="177"/>
      <c r="K45" s="177"/>
      <c r="L45" s="177"/>
      <c r="M45" s="177"/>
      <c r="N45" s="177"/>
      <c r="O45" s="177"/>
      <c r="P45" s="177"/>
      <c r="Q45" s="177"/>
      <c r="R45" s="177"/>
      <c r="S45" s="177"/>
      <c r="T45" s="189">
        <f t="shared" si="14"/>
        <v>0</v>
      </c>
      <c r="U45" s="95" t="str">
        <f t="shared" si="25"/>
        <v>-</v>
      </c>
      <c r="V45" s="96" t="str">
        <f t="shared" si="26"/>
        <v>-</v>
      </c>
      <c r="W45" s="202" t="str">
        <f t="shared" si="15"/>
        <v>-</v>
      </c>
      <c r="X45" s="190" t="str">
        <f t="shared" si="16"/>
        <v>-</v>
      </c>
      <c r="Y45" s="200">
        <f t="shared" si="17"/>
        <v>0</v>
      </c>
      <c r="Z45" s="200">
        <f t="shared" si="18"/>
        <v>0</v>
      </c>
      <c r="AA45" s="201">
        <f t="shared" si="27"/>
        <v>0</v>
      </c>
      <c r="AB45" s="200">
        <f t="shared" si="19"/>
        <v>0</v>
      </c>
      <c r="AC45" s="200">
        <f t="shared" si="20"/>
        <v>0</v>
      </c>
      <c r="AD45" s="201">
        <f>IF(SUM(F45,G45,H45,J45,K45,M45,N45)&gt;0,IF(Table2613513[[#This Row],[Column5]]="medium",P2_Min_OST_Throughput_Requirements,0),0)</f>
        <v>0</v>
      </c>
      <c r="AE45" s="199">
        <f t="shared" si="21"/>
        <v>0</v>
      </c>
      <c r="AF45" s="199">
        <f t="shared" si="22"/>
        <v>0</v>
      </c>
      <c r="AG45" s="199">
        <f>IF(SUM(F45,G45,H45,J45,K45,M45,N45)&gt;0,IF(Table2613513[[#This Row],[Column5]]="heavy",P3_Min_OST_Throughput_Requirements,0),0)</f>
        <v>0</v>
      </c>
      <c r="AH45" s="199">
        <f t="shared" si="23"/>
        <v>0</v>
      </c>
      <c r="AI45" s="199">
        <f t="shared" si="24"/>
        <v>0</v>
      </c>
      <c r="AJ45" s="199">
        <f>IF(SUM(F45,G45,H45,J45,K45,M45,N45)&gt;0,IF(Table2613513[[#This Row],[Column5]]="very heavy",P4_Min_OST_Throughput_Requirements,0),0)</f>
        <v>0</v>
      </c>
    </row>
    <row r="46" spans="2:36" s="176" customFormat="1" hidden="1" outlineLevel="1">
      <c r="B46" s="86" t="s">
        <v>206</v>
      </c>
      <c r="C46" s="87" t="s">
        <v>121</v>
      </c>
      <c r="D46" s="221" t="s">
        <v>303</v>
      </c>
      <c r="E46" s="88">
        <v>1</v>
      </c>
      <c r="F46" s="177"/>
      <c r="G46" s="177"/>
      <c r="H46" s="177"/>
      <c r="I46" s="177"/>
      <c r="J46" s="177"/>
      <c r="K46" s="177"/>
      <c r="L46" s="177"/>
      <c r="M46" s="177"/>
      <c r="N46" s="177"/>
      <c r="O46" s="177"/>
      <c r="P46" s="177"/>
      <c r="Q46" s="177"/>
      <c r="R46" s="177"/>
      <c r="S46" s="177"/>
      <c r="T46" s="189">
        <f t="shared" si="14"/>
        <v>0</v>
      </c>
      <c r="U46" s="95" t="str">
        <f t="shared" si="25"/>
        <v>-</v>
      </c>
      <c r="V46" s="96" t="str">
        <f t="shared" si="26"/>
        <v>-</v>
      </c>
      <c r="W46" s="202" t="str">
        <f t="shared" si="15"/>
        <v>-</v>
      </c>
      <c r="X46" s="190" t="str">
        <f t="shared" si="16"/>
        <v>-</v>
      </c>
      <c r="Y46" s="200">
        <f t="shared" si="17"/>
        <v>0</v>
      </c>
      <c r="Z46" s="200">
        <f t="shared" si="18"/>
        <v>0</v>
      </c>
      <c r="AA46" s="201">
        <f t="shared" si="27"/>
        <v>0</v>
      </c>
      <c r="AB46" s="200">
        <f t="shared" si="19"/>
        <v>0</v>
      </c>
      <c r="AC46" s="200">
        <f t="shared" si="20"/>
        <v>0</v>
      </c>
      <c r="AD46" s="201">
        <f>IF(SUM(F46,G46,H46,J46,K46,M46,N46)&gt;0,IF(Table2613513[[#This Row],[Column5]]="medium",P2_Min_OST_Throughput_Requirements,0),0)</f>
        <v>0</v>
      </c>
      <c r="AE46" s="199">
        <f t="shared" si="21"/>
        <v>0</v>
      </c>
      <c r="AF46" s="199">
        <f t="shared" si="22"/>
        <v>0</v>
      </c>
      <c r="AG46" s="199">
        <f>IF(SUM(F46,G46,H46,J46,K46,M46,N46)&gt;0,IF(Table2613513[[#This Row],[Column5]]="heavy",P3_Min_OST_Throughput_Requirements,0),0)</f>
        <v>0</v>
      </c>
      <c r="AH46" s="199">
        <f t="shared" si="23"/>
        <v>0</v>
      </c>
      <c r="AI46" s="199">
        <f t="shared" si="24"/>
        <v>0</v>
      </c>
      <c r="AJ46" s="199">
        <f>IF(SUM(F46,G46,H46,J46,K46,M46,N46)&gt;0,IF(Table2613513[[#This Row],[Column5]]="very heavy",P4_Min_OST_Throughput_Requirements,0),0)</f>
        <v>0</v>
      </c>
    </row>
    <row r="47" spans="2:36" s="176" customFormat="1" hidden="1" outlineLevel="1">
      <c r="B47" s="86" t="s">
        <v>207</v>
      </c>
      <c r="C47" s="87" t="s">
        <v>121</v>
      </c>
      <c r="D47" s="221" t="s">
        <v>303</v>
      </c>
      <c r="E47" s="88">
        <v>1</v>
      </c>
      <c r="F47" s="177"/>
      <c r="G47" s="177"/>
      <c r="H47" s="177"/>
      <c r="I47" s="177"/>
      <c r="J47" s="177"/>
      <c r="K47" s="177"/>
      <c r="L47" s="177"/>
      <c r="M47" s="177"/>
      <c r="N47" s="177"/>
      <c r="O47" s="177"/>
      <c r="P47" s="177"/>
      <c r="Q47" s="177"/>
      <c r="R47" s="177"/>
      <c r="S47" s="177"/>
      <c r="T47" s="189">
        <f t="shared" si="14"/>
        <v>0</v>
      </c>
      <c r="U47" s="95" t="str">
        <f t="shared" si="25"/>
        <v>-</v>
      </c>
      <c r="V47" s="96" t="str">
        <f t="shared" si="26"/>
        <v>-</v>
      </c>
      <c r="W47" s="202" t="str">
        <f t="shared" si="15"/>
        <v>-</v>
      </c>
      <c r="X47" s="190" t="str">
        <f t="shared" si="16"/>
        <v>-</v>
      </c>
      <c r="Y47" s="200">
        <f t="shared" si="17"/>
        <v>0</v>
      </c>
      <c r="Z47" s="200">
        <f t="shared" si="18"/>
        <v>0</v>
      </c>
      <c r="AA47" s="201">
        <f t="shared" si="27"/>
        <v>0</v>
      </c>
      <c r="AB47" s="200">
        <f t="shared" si="19"/>
        <v>0</v>
      </c>
      <c r="AC47" s="200">
        <f t="shared" si="20"/>
        <v>0</v>
      </c>
      <c r="AD47" s="201">
        <f>IF(SUM(F47,G47,H47,J47,K47,M47,N47)&gt;0,IF(Table2613513[[#This Row],[Column5]]="medium",P2_Min_OST_Throughput_Requirements,0),0)</f>
        <v>0</v>
      </c>
      <c r="AE47" s="199">
        <f t="shared" si="21"/>
        <v>0</v>
      </c>
      <c r="AF47" s="199">
        <f t="shared" si="22"/>
        <v>0</v>
      </c>
      <c r="AG47" s="199">
        <f>IF(SUM(F47,G47,H47,J47,K47,M47,N47)&gt;0,IF(Table2613513[[#This Row],[Column5]]="heavy",P3_Min_OST_Throughput_Requirements,0),0)</f>
        <v>0</v>
      </c>
      <c r="AH47" s="199">
        <f t="shared" si="23"/>
        <v>0</v>
      </c>
      <c r="AI47" s="199">
        <f t="shared" si="24"/>
        <v>0</v>
      </c>
      <c r="AJ47" s="199">
        <f>IF(SUM(F47,G47,H47,J47,K47,M47,N47)&gt;0,IF(Table2613513[[#This Row],[Column5]]="very heavy",P4_Min_OST_Throughput_Requirements,0),0)</f>
        <v>0</v>
      </c>
    </row>
    <row r="48" spans="2:36" s="176" customFormat="1" hidden="1" outlineLevel="1">
      <c r="B48" s="86" t="s">
        <v>208</v>
      </c>
      <c r="C48" s="87" t="s">
        <v>121</v>
      </c>
      <c r="D48" s="221" t="s">
        <v>303</v>
      </c>
      <c r="E48" s="88">
        <v>1</v>
      </c>
      <c r="F48" s="177"/>
      <c r="G48" s="177"/>
      <c r="H48" s="177"/>
      <c r="I48" s="177"/>
      <c r="J48" s="177"/>
      <c r="K48" s="177"/>
      <c r="L48" s="177"/>
      <c r="M48" s="177"/>
      <c r="N48" s="177"/>
      <c r="O48" s="177"/>
      <c r="P48" s="177"/>
      <c r="Q48" s="177"/>
      <c r="R48" s="177"/>
      <c r="S48" s="177"/>
      <c r="T48" s="189">
        <f t="shared" si="14"/>
        <v>0</v>
      </c>
      <c r="U48" s="95" t="str">
        <f t="shared" si="25"/>
        <v>-</v>
      </c>
      <c r="V48" s="96" t="str">
        <f t="shared" si="26"/>
        <v>-</v>
      </c>
      <c r="W48" s="202" t="str">
        <f t="shared" si="15"/>
        <v>-</v>
      </c>
      <c r="X48" s="190" t="str">
        <f t="shared" si="16"/>
        <v>-</v>
      </c>
      <c r="Y48" s="200">
        <f t="shared" si="17"/>
        <v>0</v>
      </c>
      <c r="Z48" s="200">
        <f t="shared" si="18"/>
        <v>0</v>
      </c>
      <c r="AA48" s="201">
        <f t="shared" si="27"/>
        <v>0</v>
      </c>
      <c r="AB48" s="200">
        <f t="shared" si="19"/>
        <v>0</v>
      </c>
      <c r="AC48" s="200">
        <f t="shared" si="20"/>
        <v>0</v>
      </c>
      <c r="AD48" s="201">
        <f>IF(SUM(F48,G48,H48,J48,K48,M48,N48)&gt;0,IF(Table2613513[[#This Row],[Column5]]="medium",P2_Min_OST_Throughput_Requirements,0),0)</f>
        <v>0</v>
      </c>
      <c r="AE48" s="199">
        <f t="shared" si="21"/>
        <v>0</v>
      </c>
      <c r="AF48" s="199">
        <f t="shared" si="22"/>
        <v>0</v>
      </c>
      <c r="AG48" s="199">
        <f>IF(SUM(F48,G48,H48,J48,K48,M48,N48)&gt;0,IF(Table2613513[[#This Row],[Column5]]="heavy",P3_Min_OST_Throughput_Requirements,0),0)</f>
        <v>0</v>
      </c>
      <c r="AH48" s="199">
        <f t="shared" si="23"/>
        <v>0</v>
      </c>
      <c r="AI48" s="199">
        <f t="shared" si="24"/>
        <v>0</v>
      </c>
      <c r="AJ48" s="199">
        <f>IF(SUM(F48,G48,H48,J48,K48,M48,N48)&gt;0,IF(Table2613513[[#This Row],[Column5]]="very heavy",P4_Min_OST_Throughput_Requirements,0),0)</f>
        <v>0</v>
      </c>
    </row>
    <row r="49" spans="2:36" s="176" customFormat="1" hidden="1" outlineLevel="1">
      <c r="B49" s="86" t="s">
        <v>209</v>
      </c>
      <c r="C49" s="87" t="s">
        <v>121</v>
      </c>
      <c r="D49" s="221" t="s">
        <v>303</v>
      </c>
      <c r="E49" s="88">
        <v>1</v>
      </c>
      <c r="F49" s="177"/>
      <c r="G49" s="177"/>
      <c r="H49" s="177"/>
      <c r="I49" s="177"/>
      <c r="J49" s="177"/>
      <c r="K49" s="177"/>
      <c r="L49" s="177"/>
      <c r="M49" s="177"/>
      <c r="N49" s="177"/>
      <c r="O49" s="177"/>
      <c r="P49" s="177"/>
      <c r="Q49" s="177"/>
      <c r="R49" s="177"/>
      <c r="S49" s="177"/>
      <c r="T49" s="189">
        <f t="shared" si="14"/>
        <v>0</v>
      </c>
      <c r="U49" s="95" t="str">
        <f t="shared" si="25"/>
        <v>-</v>
      </c>
      <c r="V49" s="96" t="str">
        <f t="shared" si="26"/>
        <v>-</v>
      </c>
      <c r="W49" s="202" t="str">
        <f t="shared" si="15"/>
        <v>-</v>
      </c>
      <c r="X49" s="190" t="str">
        <f t="shared" si="16"/>
        <v>-</v>
      </c>
      <c r="Y49" s="200">
        <f t="shared" si="17"/>
        <v>0</v>
      </c>
      <c r="Z49" s="200">
        <f t="shared" si="18"/>
        <v>0</v>
      </c>
      <c r="AA49" s="201">
        <f t="shared" si="27"/>
        <v>0</v>
      </c>
      <c r="AB49" s="200">
        <f t="shared" si="19"/>
        <v>0</v>
      </c>
      <c r="AC49" s="200">
        <f t="shared" si="20"/>
        <v>0</v>
      </c>
      <c r="AD49" s="201">
        <f>IF(SUM(F49,G49,H49,J49,K49,M49,N49)&gt;0,IF(Table2613513[[#This Row],[Column5]]="medium",P2_Min_OST_Throughput_Requirements,0),0)</f>
        <v>0</v>
      </c>
      <c r="AE49" s="199">
        <f t="shared" si="21"/>
        <v>0</v>
      </c>
      <c r="AF49" s="199">
        <f t="shared" si="22"/>
        <v>0</v>
      </c>
      <c r="AG49" s="199">
        <f>IF(SUM(F49,G49,H49,J49,K49,M49,N49)&gt;0,IF(Table2613513[[#This Row],[Column5]]="heavy",P3_Min_OST_Throughput_Requirements,0),0)</f>
        <v>0</v>
      </c>
      <c r="AH49" s="199">
        <f t="shared" si="23"/>
        <v>0</v>
      </c>
      <c r="AI49" s="199">
        <f t="shared" si="24"/>
        <v>0</v>
      </c>
      <c r="AJ49" s="199">
        <f>IF(SUM(F49,G49,H49,J49,K49,M49,N49)&gt;0,IF(Table2613513[[#This Row],[Column5]]="very heavy",P4_Min_OST_Throughput_Requirements,0),0)</f>
        <v>0</v>
      </c>
    </row>
    <row r="50" spans="2:36" s="176" customFormat="1" hidden="1" outlineLevel="1">
      <c r="B50" s="86" t="s">
        <v>210</v>
      </c>
      <c r="C50" s="87" t="s">
        <v>121</v>
      </c>
      <c r="D50" s="221" t="s">
        <v>303</v>
      </c>
      <c r="E50" s="88">
        <v>1</v>
      </c>
      <c r="F50" s="177"/>
      <c r="G50" s="177"/>
      <c r="H50" s="177"/>
      <c r="I50" s="177"/>
      <c r="J50" s="177"/>
      <c r="K50" s="177"/>
      <c r="L50" s="177"/>
      <c r="M50" s="177"/>
      <c r="N50" s="177"/>
      <c r="O50" s="177"/>
      <c r="P50" s="177"/>
      <c r="Q50" s="177"/>
      <c r="R50" s="177"/>
      <c r="S50" s="177"/>
      <c r="T50" s="189">
        <f t="shared" si="14"/>
        <v>0</v>
      </c>
      <c r="U50" s="95" t="str">
        <f t="shared" si="25"/>
        <v>-</v>
      </c>
      <c r="V50" s="96" t="str">
        <f t="shared" si="26"/>
        <v>-</v>
      </c>
      <c r="W50" s="202" t="str">
        <f t="shared" si="15"/>
        <v>-</v>
      </c>
      <c r="X50" s="190" t="str">
        <f t="shared" si="16"/>
        <v>-</v>
      </c>
      <c r="Y50" s="200">
        <f t="shared" si="17"/>
        <v>0</v>
      </c>
      <c r="Z50" s="200">
        <f t="shared" si="18"/>
        <v>0</v>
      </c>
      <c r="AA50" s="201">
        <f t="shared" si="27"/>
        <v>0</v>
      </c>
      <c r="AB50" s="200">
        <f t="shared" si="19"/>
        <v>0</v>
      </c>
      <c r="AC50" s="200">
        <f t="shared" si="20"/>
        <v>0</v>
      </c>
      <c r="AD50" s="201">
        <f>IF(SUM(F50,G50,H50,J50,K50,M50,N50)&gt;0,IF(Table2613513[[#This Row],[Column5]]="medium",P2_Min_OST_Throughput_Requirements,0),0)</f>
        <v>0</v>
      </c>
      <c r="AE50" s="199">
        <f t="shared" si="21"/>
        <v>0</v>
      </c>
      <c r="AF50" s="199">
        <f t="shared" si="22"/>
        <v>0</v>
      </c>
      <c r="AG50" s="199">
        <f>IF(SUM(F50,G50,H50,J50,K50,M50,N50)&gt;0,IF(Table2613513[[#This Row],[Column5]]="heavy",P3_Min_OST_Throughput_Requirements,0),0)</f>
        <v>0</v>
      </c>
      <c r="AH50" s="199">
        <f t="shared" si="23"/>
        <v>0</v>
      </c>
      <c r="AI50" s="199">
        <f t="shared" si="24"/>
        <v>0</v>
      </c>
      <c r="AJ50" s="199">
        <f>IF(SUM(F50,G50,H50,J50,K50,M50,N50)&gt;0,IF(Table2613513[[#This Row],[Column5]]="very heavy",P4_Min_OST_Throughput_Requirements,0),0)</f>
        <v>0</v>
      </c>
    </row>
    <row r="51" spans="2:36" s="176" customFormat="1" hidden="1" outlineLevel="1">
      <c r="B51" s="86" t="s">
        <v>211</v>
      </c>
      <c r="C51" s="87" t="s">
        <v>121</v>
      </c>
      <c r="D51" s="221" t="s">
        <v>303</v>
      </c>
      <c r="E51" s="88">
        <v>1</v>
      </c>
      <c r="F51" s="177"/>
      <c r="G51" s="177"/>
      <c r="H51" s="177"/>
      <c r="I51" s="177"/>
      <c r="J51" s="177"/>
      <c r="K51" s="177"/>
      <c r="L51" s="177"/>
      <c r="M51" s="177"/>
      <c r="N51" s="177"/>
      <c r="O51" s="177"/>
      <c r="P51" s="177"/>
      <c r="Q51" s="177"/>
      <c r="R51" s="177"/>
      <c r="S51" s="177"/>
      <c r="T51" s="189">
        <f t="shared" si="14"/>
        <v>0</v>
      </c>
      <c r="U51" s="95" t="str">
        <f t="shared" si="25"/>
        <v>-</v>
      </c>
      <c r="V51" s="96" t="str">
        <f t="shared" si="26"/>
        <v>-</v>
      </c>
      <c r="W51" s="202" t="str">
        <f t="shared" si="15"/>
        <v>-</v>
      </c>
      <c r="X51" s="190" t="str">
        <f t="shared" si="16"/>
        <v>-</v>
      </c>
      <c r="Y51" s="200">
        <f t="shared" si="17"/>
        <v>0</v>
      </c>
      <c r="Z51" s="200">
        <f t="shared" si="18"/>
        <v>0</v>
      </c>
      <c r="AA51" s="201">
        <f t="shared" si="27"/>
        <v>0</v>
      </c>
      <c r="AB51" s="200">
        <f t="shared" si="19"/>
        <v>0</v>
      </c>
      <c r="AC51" s="200">
        <f t="shared" si="20"/>
        <v>0</v>
      </c>
      <c r="AD51" s="201">
        <f>IF(SUM(F51,G51,H51,J51,K51,M51,N51)&gt;0,IF(Table2613513[[#This Row],[Column5]]="medium",P2_Min_OST_Throughput_Requirements,0),0)</f>
        <v>0</v>
      </c>
      <c r="AE51" s="199">
        <f t="shared" si="21"/>
        <v>0</v>
      </c>
      <c r="AF51" s="199">
        <f t="shared" si="22"/>
        <v>0</v>
      </c>
      <c r="AG51" s="199">
        <f>IF(SUM(F51,G51,H51,J51,K51,M51,N51)&gt;0,IF(Table2613513[[#This Row],[Column5]]="heavy",P3_Min_OST_Throughput_Requirements,0),0)</f>
        <v>0</v>
      </c>
      <c r="AH51" s="199">
        <f t="shared" si="23"/>
        <v>0</v>
      </c>
      <c r="AI51" s="199">
        <f t="shared" si="24"/>
        <v>0</v>
      </c>
      <c r="AJ51" s="199">
        <f>IF(SUM(F51,G51,H51,J51,K51,M51,N51)&gt;0,IF(Table2613513[[#This Row],[Column5]]="very heavy",P4_Min_OST_Throughput_Requirements,0),0)</f>
        <v>0</v>
      </c>
    </row>
    <row r="52" spans="2:36" s="176" customFormat="1" hidden="1" outlineLevel="1">
      <c r="B52" s="86" t="s">
        <v>212</v>
      </c>
      <c r="C52" s="87" t="s">
        <v>121</v>
      </c>
      <c r="D52" s="221" t="s">
        <v>303</v>
      </c>
      <c r="E52" s="88">
        <v>1</v>
      </c>
      <c r="F52" s="177"/>
      <c r="G52" s="177"/>
      <c r="H52" s="177"/>
      <c r="I52" s="177"/>
      <c r="J52" s="177"/>
      <c r="K52" s="177"/>
      <c r="L52" s="177"/>
      <c r="M52" s="177"/>
      <c r="N52" s="177"/>
      <c r="O52" s="177"/>
      <c r="P52" s="177"/>
      <c r="Q52" s="177"/>
      <c r="R52" s="177"/>
      <c r="S52" s="177"/>
      <c r="T52" s="189">
        <f t="shared" si="14"/>
        <v>0</v>
      </c>
      <c r="U52" s="95" t="str">
        <f t="shared" si="25"/>
        <v>-</v>
      </c>
      <c r="V52" s="96" t="str">
        <f t="shared" si="26"/>
        <v>-</v>
      </c>
      <c r="W52" s="202" t="str">
        <f t="shared" si="15"/>
        <v>-</v>
      </c>
      <c r="X52" s="190" t="str">
        <f t="shared" si="16"/>
        <v>-</v>
      </c>
      <c r="Y52" s="200">
        <f t="shared" si="17"/>
        <v>0</v>
      </c>
      <c r="Z52" s="200">
        <f t="shared" si="18"/>
        <v>0</v>
      </c>
      <c r="AA52" s="201">
        <f t="shared" si="27"/>
        <v>0</v>
      </c>
      <c r="AB52" s="200">
        <f t="shared" si="19"/>
        <v>0</v>
      </c>
      <c r="AC52" s="200">
        <f t="shared" si="20"/>
        <v>0</v>
      </c>
      <c r="AD52" s="201">
        <f>IF(SUM(F52,G52,H52,J52,K52,M52,N52)&gt;0,IF(Table2613513[[#This Row],[Column5]]="medium",P2_Min_OST_Throughput_Requirements,0),0)</f>
        <v>0</v>
      </c>
      <c r="AE52" s="199">
        <f t="shared" si="21"/>
        <v>0</v>
      </c>
      <c r="AF52" s="199">
        <f t="shared" si="22"/>
        <v>0</v>
      </c>
      <c r="AG52" s="199">
        <f>IF(SUM(F52,G52,H52,J52,K52,M52,N52)&gt;0,IF(Table2613513[[#This Row],[Column5]]="heavy",P3_Min_OST_Throughput_Requirements,0),0)</f>
        <v>0</v>
      </c>
      <c r="AH52" s="199">
        <f t="shared" si="23"/>
        <v>0</v>
      </c>
      <c r="AI52" s="199">
        <f t="shared" si="24"/>
        <v>0</v>
      </c>
      <c r="AJ52" s="199">
        <f>IF(SUM(F52,G52,H52,J52,K52,M52,N52)&gt;0,IF(Table2613513[[#This Row],[Column5]]="very heavy",P4_Min_OST_Throughput_Requirements,0),0)</f>
        <v>0</v>
      </c>
    </row>
    <row r="53" spans="2:36" s="176" customFormat="1" hidden="1" outlineLevel="1">
      <c r="B53" s="86" t="s">
        <v>213</v>
      </c>
      <c r="C53" s="87" t="s">
        <v>121</v>
      </c>
      <c r="D53" s="221" t="s">
        <v>303</v>
      </c>
      <c r="E53" s="88">
        <v>1</v>
      </c>
      <c r="F53" s="177"/>
      <c r="G53" s="177"/>
      <c r="H53" s="177"/>
      <c r="I53" s="177"/>
      <c r="J53" s="177"/>
      <c r="K53" s="177"/>
      <c r="L53" s="177"/>
      <c r="M53" s="177"/>
      <c r="N53" s="177"/>
      <c r="O53" s="177"/>
      <c r="P53" s="177"/>
      <c r="Q53" s="177"/>
      <c r="R53" s="177"/>
      <c r="S53" s="177"/>
      <c r="T53" s="189">
        <f t="shared" si="14"/>
        <v>0</v>
      </c>
      <c r="U53" s="95" t="str">
        <f t="shared" si="25"/>
        <v>-</v>
      </c>
      <c r="V53" s="96" t="str">
        <f t="shared" si="26"/>
        <v>-</v>
      </c>
      <c r="W53" s="202" t="str">
        <f t="shared" si="15"/>
        <v>-</v>
      </c>
      <c r="X53" s="190" t="str">
        <f t="shared" si="16"/>
        <v>-</v>
      </c>
      <c r="Y53" s="200">
        <f t="shared" si="17"/>
        <v>0</v>
      </c>
      <c r="Z53" s="200">
        <f t="shared" si="18"/>
        <v>0</v>
      </c>
      <c r="AA53" s="201">
        <f t="shared" si="27"/>
        <v>0</v>
      </c>
      <c r="AB53" s="200">
        <f t="shared" si="19"/>
        <v>0</v>
      </c>
      <c r="AC53" s="200">
        <f t="shared" si="20"/>
        <v>0</v>
      </c>
      <c r="AD53" s="201">
        <f>IF(SUM(F53,G53,H53,J53,K53,M53,N53)&gt;0,IF(Table2613513[[#This Row],[Column5]]="medium",P2_Min_OST_Throughput_Requirements,0),0)</f>
        <v>0</v>
      </c>
      <c r="AE53" s="199">
        <f t="shared" si="21"/>
        <v>0</v>
      </c>
      <c r="AF53" s="199">
        <f t="shared" si="22"/>
        <v>0</v>
      </c>
      <c r="AG53" s="199">
        <f>IF(SUM(F53,G53,H53,J53,K53,M53,N53)&gt;0,IF(Table2613513[[#This Row],[Column5]]="heavy",P3_Min_OST_Throughput_Requirements,0),0)</f>
        <v>0</v>
      </c>
      <c r="AH53" s="199">
        <f t="shared" si="23"/>
        <v>0</v>
      </c>
      <c r="AI53" s="199">
        <f t="shared" si="24"/>
        <v>0</v>
      </c>
      <c r="AJ53" s="199">
        <f>IF(SUM(F53,G53,H53,J53,K53,M53,N53)&gt;0,IF(Table2613513[[#This Row],[Column5]]="very heavy",P4_Min_OST_Throughput_Requirements,0),0)</f>
        <v>0</v>
      </c>
    </row>
    <row r="54" spans="2:36" s="176" customFormat="1" hidden="1" outlineLevel="1">
      <c r="B54" s="86" t="s">
        <v>214</v>
      </c>
      <c r="C54" s="87" t="s">
        <v>121</v>
      </c>
      <c r="D54" s="221" t="s">
        <v>303</v>
      </c>
      <c r="E54" s="88">
        <v>1</v>
      </c>
      <c r="F54" s="177"/>
      <c r="G54" s="177"/>
      <c r="H54" s="177"/>
      <c r="I54" s="177"/>
      <c r="J54" s="177"/>
      <c r="K54" s="177"/>
      <c r="L54" s="177"/>
      <c r="M54" s="177"/>
      <c r="N54" s="177"/>
      <c r="O54" s="177"/>
      <c r="P54" s="177"/>
      <c r="Q54" s="177"/>
      <c r="R54" s="177"/>
      <c r="S54" s="177"/>
      <c r="T54" s="189">
        <f t="shared" si="14"/>
        <v>0</v>
      </c>
      <c r="U54" s="95" t="str">
        <f t="shared" si="25"/>
        <v>-</v>
      </c>
      <c r="V54" s="96" t="str">
        <f t="shared" si="26"/>
        <v>-</v>
      </c>
      <c r="W54" s="202" t="str">
        <f t="shared" si="15"/>
        <v>-</v>
      </c>
      <c r="X54" s="190" t="str">
        <f t="shared" si="16"/>
        <v>-</v>
      </c>
      <c r="Y54" s="200">
        <f t="shared" si="17"/>
        <v>0</v>
      </c>
      <c r="Z54" s="200">
        <f t="shared" si="18"/>
        <v>0</v>
      </c>
      <c r="AA54" s="201">
        <f t="shared" si="27"/>
        <v>0</v>
      </c>
      <c r="AB54" s="200">
        <f t="shared" si="19"/>
        <v>0</v>
      </c>
      <c r="AC54" s="200">
        <f t="shared" si="20"/>
        <v>0</v>
      </c>
      <c r="AD54" s="201">
        <f>IF(SUM(F54,G54,H54,J54,K54,M54,N54)&gt;0,IF(Table2613513[[#This Row],[Column5]]="medium",P2_Min_OST_Throughput_Requirements,0),0)</f>
        <v>0</v>
      </c>
      <c r="AE54" s="199">
        <f t="shared" si="21"/>
        <v>0</v>
      </c>
      <c r="AF54" s="199">
        <f t="shared" si="22"/>
        <v>0</v>
      </c>
      <c r="AG54" s="199">
        <f>IF(SUM(F54,G54,H54,J54,K54,M54,N54)&gt;0,IF(Table2613513[[#This Row],[Column5]]="heavy",P3_Min_OST_Throughput_Requirements,0),0)</f>
        <v>0</v>
      </c>
      <c r="AH54" s="199">
        <f t="shared" si="23"/>
        <v>0</v>
      </c>
      <c r="AI54" s="199">
        <f t="shared" si="24"/>
        <v>0</v>
      </c>
      <c r="AJ54" s="199">
        <f>IF(SUM(F54,G54,H54,J54,K54,M54,N54)&gt;0,IF(Table2613513[[#This Row],[Column5]]="very heavy",P4_Min_OST_Throughput_Requirements,0),0)</f>
        <v>0</v>
      </c>
    </row>
    <row r="55" spans="2:36" s="176" customFormat="1" hidden="1" outlineLevel="1">
      <c r="B55" s="86" t="s">
        <v>215</v>
      </c>
      <c r="C55" s="87" t="s">
        <v>121</v>
      </c>
      <c r="D55" s="221" t="s">
        <v>303</v>
      </c>
      <c r="E55" s="88">
        <v>1</v>
      </c>
      <c r="F55" s="177"/>
      <c r="G55" s="177"/>
      <c r="H55" s="177"/>
      <c r="I55" s="177"/>
      <c r="J55" s="177"/>
      <c r="K55" s="177"/>
      <c r="L55" s="177"/>
      <c r="M55" s="177"/>
      <c r="N55" s="177"/>
      <c r="O55" s="177"/>
      <c r="P55" s="177"/>
      <c r="Q55" s="177"/>
      <c r="R55" s="177"/>
      <c r="S55" s="177"/>
      <c r="T55" s="189">
        <f t="shared" si="14"/>
        <v>0</v>
      </c>
      <c r="U55" s="95" t="str">
        <f t="shared" si="25"/>
        <v>-</v>
      </c>
      <c r="V55" s="96" t="str">
        <f t="shared" si="26"/>
        <v>-</v>
      </c>
      <c r="W55" s="202" t="str">
        <f t="shared" si="15"/>
        <v>-</v>
      </c>
      <c r="X55" s="190" t="str">
        <f t="shared" si="16"/>
        <v>-</v>
      </c>
      <c r="Y55" s="200">
        <f t="shared" si="17"/>
        <v>0</v>
      </c>
      <c r="Z55" s="200">
        <f t="shared" si="18"/>
        <v>0</v>
      </c>
      <c r="AA55" s="201">
        <f t="shared" si="27"/>
        <v>0</v>
      </c>
      <c r="AB55" s="200">
        <f t="shared" si="19"/>
        <v>0</v>
      </c>
      <c r="AC55" s="200">
        <f t="shared" si="20"/>
        <v>0</v>
      </c>
      <c r="AD55" s="201">
        <f>IF(SUM(F55,G55,H55,J55,K55,M55,N55)&gt;0,IF(Table2613513[[#This Row],[Column5]]="medium",P2_Min_OST_Throughput_Requirements,0),0)</f>
        <v>0</v>
      </c>
      <c r="AE55" s="199">
        <f t="shared" si="21"/>
        <v>0</v>
      </c>
      <c r="AF55" s="199">
        <f t="shared" si="22"/>
        <v>0</v>
      </c>
      <c r="AG55" s="199">
        <f>IF(SUM(F55,G55,H55,J55,K55,M55,N55)&gt;0,IF(Table2613513[[#This Row],[Column5]]="heavy",P3_Min_OST_Throughput_Requirements,0),0)</f>
        <v>0</v>
      </c>
      <c r="AH55" s="199">
        <f t="shared" si="23"/>
        <v>0</v>
      </c>
      <c r="AI55" s="199">
        <f t="shared" si="24"/>
        <v>0</v>
      </c>
      <c r="AJ55" s="199">
        <f>IF(SUM(F55,G55,H55,J55,K55,M55,N55)&gt;0,IF(Table2613513[[#This Row],[Column5]]="very heavy",P4_Min_OST_Throughput_Requirements,0),0)</f>
        <v>0</v>
      </c>
    </row>
    <row r="56" spans="2:36" s="176" customFormat="1" hidden="1" outlineLevel="1">
      <c r="B56" s="86" t="s">
        <v>216</v>
      </c>
      <c r="C56" s="87" t="s">
        <v>121</v>
      </c>
      <c r="D56" s="221" t="s">
        <v>303</v>
      </c>
      <c r="E56" s="88">
        <v>1</v>
      </c>
      <c r="F56" s="177"/>
      <c r="G56" s="177"/>
      <c r="H56" s="177"/>
      <c r="I56" s="177"/>
      <c r="J56" s="177"/>
      <c r="K56" s="177"/>
      <c r="L56" s="177"/>
      <c r="M56" s="177"/>
      <c r="N56" s="177"/>
      <c r="O56" s="177"/>
      <c r="P56" s="177"/>
      <c r="Q56" s="177"/>
      <c r="R56" s="177"/>
      <c r="S56" s="177"/>
      <c r="T56" s="189">
        <f t="shared" si="14"/>
        <v>0</v>
      </c>
      <c r="U56" s="95" t="str">
        <f t="shared" si="25"/>
        <v>-</v>
      </c>
      <c r="V56" s="96" t="str">
        <f t="shared" si="26"/>
        <v>-</v>
      </c>
      <c r="W56" s="202" t="str">
        <f t="shared" si="15"/>
        <v>-</v>
      </c>
      <c r="X56" s="190" t="str">
        <f t="shared" si="16"/>
        <v>-</v>
      </c>
      <c r="Y56" s="200">
        <f t="shared" si="17"/>
        <v>0</v>
      </c>
      <c r="Z56" s="200">
        <f t="shared" si="18"/>
        <v>0</v>
      </c>
      <c r="AA56" s="201">
        <f t="shared" si="27"/>
        <v>0</v>
      </c>
      <c r="AB56" s="200">
        <f t="shared" si="19"/>
        <v>0</v>
      </c>
      <c r="AC56" s="200">
        <f t="shared" si="20"/>
        <v>0</v>
      </c>
      <c r="AD56" s="201">
        <f>IF(SUM(F56,G56,H56,J56,K56,M56,N56)&gt;0,IF(Table2613513[[#This Row],[Column5]]="medium",P2_Min_OST_Throughput_Requirements,0),0)</f>
        <v>0</v>
      </c>
      <c r="AE56" s="199">
        <f t="shared" si="21"/>
        <v>0</v>
      </c>
      <c r="AF56" s="199">
        <f t="shared" si="22"/>
        <v>0</v>
      </c>
      <c r="AG56" s="199">
        <f>IF(SUM(F56,G56,H56,J56,K56,M56,N56)&gt;0,IF(Table2613513[[#This Row],[Column5]]="heavy",P3_Min_OST_Throughput_Requirements,0),0)</f>
        <v>0</v>
      </c>
      <c r="AH56" s="199">
        <f t="shared" si="23"/>
        <v>0</v>
      </c>
      <c r="AI56" s="199">
        <f t="shared" si="24"/>
        <v>0</v>
      </c>
      <c r="AJ56" s="199">
        <f>IF(SUM(F56,G56,H56,J56,K56,M56,N56)&gt;0,IF(Table2613513[[#This Row],[Column5]]="very heavy",P4_Min_OST_Throughput_Requirements,0),0)</f>
        <v>0</v>
      </c>
    </row>
    <row r="57" spans="2:36" s="176" customFormat="1" hidden="1" outlineLevel="1">
      <c r="B57" s="86" t="s">
        <v>217</v>
      </c>
      <c r="C57" s="87" t="s">
        <v>121</v>
      </c>
      <c r="D57" s="221" t="s">
        <v>303</v>
      </c>
      <c r="E57" s="88">
        <v>1</v>
      </c>
      <c r="F57" s="177"/>
      <c r="G57" s="177"/>
      <c r="H57" s="177"/>
      <c r="I57" s="177"/>
      <c r="J57" s="177"/>
      <c r="K57" s="177"/>
      <c r="L57" s="177"/>
      <c r="M57" s="177"/>
      <c r="N57" s="177"/>
      <c r="O57" s="177"/>
      <c r="P57" s="177"/>
      <c r="Q57" s="177"/>
      <c r="R57" s="177"/>
      <c r="S57" s="177"/>
      <c r="T57" s="189">
        <f t="shared" si="14"/>
        <v>0</v>
      </c>
      <c r="U57" s="95" t="str">
        <f t="shared" si="25"/>
        <v>-</v>
      </c>
      <c r="V57" s="96" t="str">
        <f t="shared" si="26"/>
        <v>-</v>
      </c>
      <c r="W57" s="202" t="str">
        <f t="shared" si="15"/>
        <v>-</v>
      </c>
      <c r="X57" s="190" t="str">
        <f t="shared" si="16"/>
        <v>-</v>
      </c>
      <c r="Y57" s="200">
        <f t="shared" si="17"/>
        <v>0</v>
      </c>
      <c r="Z57" s="200">
        <f t="shared" si="18"/>
        <v>0</v>
      </c>
      <c r="AA57" s="201">
        <f t="shared" si="27"/>
        <v>0</v>
      </c>
      <c r="AB57" s="200">
        <f t="shared" si="19"/>
        <v>0</v>
      </c>
      <c r="AC57" s="200">
        <f t="shared" si="20"/>
        <v>0</v>
      </c>
      <c r="AD57" s="201">
        <f>IF(SUM(F57,G57,H57,J57,K57,M57,N57)&gt;0,IF(Table2613513[[#This Row],[Column5]]="medium",P2_Min_OST_Throughput_Requirements,0),0)</f>
        <v>0</v>
      </c>
      <c r="AE57" s="199">
        <f t="shared" si="21"/>
        <v>0</v>
      </c>
      <c r="AF57" s="199">
        <f t="shared" si="22"/>
        <v>0</v>
      </c>
      <c r="AG57" s="199">
        <f>IF(SUM(F57,G57,H57,J57,K57,M57,N57)&gt;0,IF(Table2613513[[#This Row],[Column5]]="heavy",P3_Min_OST_Throughput_Requirements,0),0)</f>
        <v>0</v>
      </c>
      <c r="AH57" s="199">
        <f t="shared" si="23"/>
        <v>0</v>
      </c>
      <c r="AI57" s="199">
        <f t="shared" si="24"/>
        <v>0</v>
      </c>
      <c r="AJ57" s="199">
        <f>IF(SUM(F57,G57,H57,J57,K57,M57,N57)&gt;0,IF(Table2613513[[#This Row],[Column5]]="very heavy",P4_Min_OST_Throughput_Requirements,0),0)</f>
        <v>0</v>
      </c>
    </row>
    <row r="58" spans="2:36" s="176" customFormat="1" hidden="1" outlineLevel="1">
      <c r="B58" s="86" t="s">
        <v>218</v>
      </c>
      <c r="C58" s="87" t="s">
        <v>121</v>
      </c>
      <c r="D58" s="221" t="s">
        <v>303</v>
      </c>
      <c r="E58" s="88">
        <v>1</v>
      </c>
      <c r="F58" s="177"/>
      <c r="G58" s="177"/>
      <c r="H58" s="177"/>
      <c r="I58" s="177"/>
      <c r="J58" s="177"/>
      <c r="K58" s="177"/>
      <c r="L58" s="177"/>
      <c r="M58" s="177"/>
      <c r="N58" s="177"/>
      <c r="O58" s="177"/>
      <c r="P58" s="177"/>
      <c r="Q58" s="177"/>
      <c r="R58" s="177"/>
      <c r="S58" s="177"/>
      <c r="T58" s="189">
        <f t="shared" si="14"/>
        <v>0</v>
      </c>
      <c r="U58" s="95" t="str">
        <f t="shared" si="25"/>
        <v>-</v>
      </c>
      <c r="V58" s="96" t="str">
        <f t="shared" si="26"/>
        <v>-</v>
      </c>
      <c r="W58" s="202" t="str">
        <f t="shared" si="15"/>
        <v>-</v>
      </c>
      <c r="X58" s="190" t="str">
        <f t="shared" si="16"/>
        <v>-</v>
      </c>
      <c r="Y58" s="200">
        <f t="shared" si="17"/>
        <v>0</v>
      </c>
      <c r="Z58" s="200">
        <f t="shared" si="18"/>
        <v>0</v>
      </c>
      <c r="AA58" s="201">
        <f t="shared" si="27"/>
        <v>0</v>
      </c>
      <c r="AB58" s="200">
        <f t="shared" si="19"/>
        <v>0</v>
      </c>
      <c r="AC58" s="200">
        <f t="shared" si="20"/>
        <v>0</v>
      </c>
      <c r="AD58" s="201">
        <f>IF(SUM(F58,G58,H58,J58,K58,M58,N58)&gt;0,IF(Table2613513[[#This Row],[Column5]]="medium",P2_Min_OST_Throughput_Requirements,0),0)</f>
        <v>0</v>
      </c>
      <c r="AE58" s="199">
        <f t="shared" si="21"/>
        <v>0</v>
      </c>
      <c r="AF58" s="199">
        <f t="shared" si="22"/>
        <v>0</v>
      </c>
      <c r="AG58" s="199">
        <f>IF(SUM(F58,G58,H58,J58,K58,M58,N58)&gt;0,IF(Table2613513[[#This Row],[Column5]]="heavy",P3_Min_OST_Throughput_Requirements,0),0)</f>
        <v>0</v>
      </c>
      <c r="AH58" s="199">
        <f t="shared" si="23"/>
        <v>0</v>
      </c>
      <c r="AI58" s="199">
        <f t="shared" si="24"/>
        <v>0</v>
      </c>
      <c r="AJ58" s="199">
        <f>IF(SUM(F58,G58,H58,J58,K58,M58,N58)&gt;0,IF(Table2613513[[#This Row],[Column5]]="very heavy",P4_Min_OST_Throughput_Requirements,0),0)</f>
        <v>0</v>
      </c>
    </row>
    <row r="59" spans="2:36" s="176" customFormat="1" hidden="1" outlineLevel="1">
      <c r="B59" s="86" t="s">
        <v>219</v>
      </c>
      <c r="C59" s="87" t="s">
        <v>121</v>
      </c>
      <c r="D59" s="221" t="s">
        <v>303</v>
      </c>
      <c r="E59" s="88">
        <v>1</v>
      </c>
      <c r="F59" s="177"/>
      <c r="G59" s="177"/>
      <c r="H59" s="177"/>
      <c r="I59" s="177"/>
      <c r="J59" s="177"/>
      <c r="K59" s="177"/>
      <c r="L59" s="177"/>
      <c r="M59" s="177"/>
      <c r="N59" s="177"/>
      <c r="O59" s="177"/>
      <c r="P59" s="177"/>
      <c r="Q59" s="177"/>
      <c r="R59" s="177"/>
      <c r="S59" s="177"/>
      <c r="T59" s="189">
        <f t="shared" si="14"/>
        <v>0</v>
      </c>
      <c r="U59" s="95" t="str">
        <f t="shared" si="25"/>
        <v>-</v>
      </c>
      <c r="V59" s="96" t="str">
        <f t="shared" si="26"/>
        <v>-</v>
      </c>
      <c r="W59" s="202" t="str">
        <f t="shared" si="15"/>
        <v>-</v>
      </c>
      <c r="X59" s="190" t="str">
        <f t="shared" si="16"/>
        <v>-</v>
      </c>
      <c r="Y59" s="200">
        <f t="shared" si="17"/>
        <v>0</v>
      </c>
      <c r="Z59" s="200">
        <f t="shared" si="18"/>
        <v>0</v>
      </c>
      <c r="AA59" s="201">
        <f t="shared" si="27"/>
        <v>0</v>
      </c>
      <c r="AB59" s="200">
        <f t="shared" si="19"/>
        <v>0</v>
      </c>
      <c r="AC59" s="200">
        <f t="shared" si="20"/>
        <v>0</v>
      </c>
      <c r="AD59" s="201">
        <f>IF(SUM(F59,G59,H59,J59,K59,M59,N59)&gt;0,IF(Table2613513[[#This Row],[Column5]]="medium",P2_Min_OST_Throughput_Requirements,0),0)</f>
        <v>0</v>
      </c>
      <c r="AE59" s="199">
        <f t="shared" si="21"/>
        <v>0</v>
      </c>
      <c r="AF59" s="199">
        <f t="shared" si="22"/>
        <v>0</v>
      </c>
      <c r="AG59" s="199">
        <f>IF(SUM(F59,G59,H59,J59,K59,M59,N59)&gt;0,IF(Table2613513[[#This Row],[Column5]]="heavy",P3_Min_OST_Throughput_Requirements,0),0)</f>
        <v>0</v>
      </c>
      <c r="AH59" s="199">
        <f t="shared" si="23"/>
        <v>0</v>
      </c>
      <c r="AI59" s="199">
        <f t="shared" si="24"/>
        <v>0</v>
      </c>
      <c r="AJ59" s="199">
        <f>IF(SUM(F59,G59,H59,J59,K59,M59,N59)&gt;0,IF(Table2613513[[#This Row],[Column5]]="very heavy",P4_Min_OST_Throughput_Requirements,0),0)</f>
        <v>0</v>
      </c>
    </row>
    <row r="60" spans="2:36" s="176" customFormat="1" hidden="1" outlineLevel="1">
      <c r="B60" s="86" t="s">
        <v>220</v>
      </c>
      <c r="C60" s="87" t="s">
        <v>121</v>
      </c>
      <c r="D60" s="221" t="s">
        <v>303</v>
      </c>
      <c r="E60" s="88">
        <v>1</v>
      </c>
      <c r="F60" s="177"/>
      <c r="G60" s="177"/>
      <c r="H60" s="177"/>
      <c r="I60" s="177"/>
      <c r="J60" s="177"/>
      <c r="K60" s="177"/>
      <c r="L60" s="177"/>
      <c r="M60" s="177"/>
      <c r="N60" s="177"/>
      <c r="O60" s="177"/>
      <c r="P60" s="177"/>
      <c r="Q60" s="177"/>
      <c r="R60" s="177"/>
      <c r="S60" s="177"/>
      <c r="T60" s="189">
        <f t="shared" si="14"/>
        <v>0</v>
      </c>
      <c r="U60" s="95" t="str">
        <f t="shared" si="25"/>
        <v>-</v>
      </c>
      <c r="V60" s="96" t="str">
        <f t="shared" si="26"/>
        <v>-</v>
      </c>
      <c r="W60" s="202" t="str">
        <f t="shared" si="15"/>
        <v>-</v>
      </c>
      <c r="X60" s="190" t="str">
        <f t="shared" si="16"/>
        <v>-</v>
      </c>
      <c r="Y60" s="200">
        <f t="shared" si="17"/>
        <v>0</v>
      </c>
      <c r="Z60" s="200">
        <f t="shared" si="18"/>
        <v>0</v>
      </c>
      <c r="AA60" s="201">
        <f t="shared" si="27"/>
        <v>0</v>
      </c>
      <c r="AB60" s="200">
        <f t="shared" si="19"/>
        <v>0</v>
      </c>
      <c r="AC60" s="200">
        <f t="shared" si="20"/>
        <v>0</v>
      </c>
      <c r="AD60" s="201">
        <f>IF(SUM(F60,G60,H60,J60,K60,M60,N60)&gt;0,IF(Table2613513[[#This Row],[Column5]]="medium",P2_Min_OST_Throughput_Requirements,0),0)</f>
        <v>0</v>
      </c>
      <c r="AE60" s="199">
        <f t="shared" si="21"/>
        <v>0</v>
      </c>
      <c r="AF60" s="199">
        <f t="shared" si="22"/>
        <v>0</v>
      </c>
      <c r="AG60" s="199">
        <f>IF(SUM(F60,G60,H60,J60,K60,M60,N60)&gt;0,IF(Table2613513[[#This Row],[Column5]]="heavy",P3_Min_OST_Throughput_Requirements,0),0)</f>
        <v>0</v>
      </c>
      <c r="AH60" s="199">
        <f t="shared" si="23"/>
        <v>0</v>
      </c>
      <c r="AI60" s="199">
        <f t="shared" si="24"/>
        <v>0</v>
      </c>
      <c r="AJ60" s="199">
        <f>IF(SUM(F60,G60,H60,J60,K60,M60,N60)&gt;0,IF(Table2613513[[#This Row],[Column5]]="very heavy",P4_Min_OST_Throughput_Requirements,0),0)</f>
        <v>0</v>
      </c>
    </row>
    <row r="61" spans="2:36" s="176" customFormat="1" hidden="1" outlineLevel="1">
      <c r="B61" s="86" t="s">
        <v>221</v>
      </c>
      <c r="C61" s="87" t="s">
        <v>121</v>
      </c>
      <c r="D61" s="221" t="s">
        <v>303</v>
      </c>
      <c r="E61" s="88">
        <v>1</v>
      </c>
      <c r="F61" s="177"/>
      <c r="G61" s="177"/>
      <c r="H61" s="177"/>
      <c r="I61" s="177"/>
      <c r="J61" s="177"/>
      <c r="K61" s="177"/>
      <c r="L61" s="177"/>
      <c r="M61" s="177"/>
      <c r="N61" s="177"/>
      <c r="O61" s="177"/>
      <c r="P61" s="177"/>
      <c r="Q61" s="177"/>
      <c r="R61" s="177"/>
      <c r="S61" s="177"/>
      <c r="T61" s="189">
        <f t="shared" ref="T61:T92" si="28">SUM(F61:S61)</f>
        <v>0</v>
      </c>
      <c r="U61" s="95" t="str">
        <f t="shared" si="25"/>
        <v>-</v>
      </c>
      <c r="V61" s="96" t="str">
        <f t="shared" si="26"/>
        <v>-</v>
      </c>
      <c r="W61" s="202" t="str">
        <f t="shared" ref="W61:W92" si="29">IF(MAX(I61,L61,O61,M61,N61)&gt;0,110,IF(MAX(F61,G61,H61,J61,K61,P61,Q61)&gt;0,320,IF(MAX(G61:S61)&gt;0,500,"-")))</f>
        <v>-</v>
      </c>
      <c r="X61" s="190" t="str">
        <f t="shared" ref="X61:X92" si="30">IF(SUM(F61:S61)&gt;0,((F61*Outlook_2011__EWS__TCP)+(G61*Outlook_2010__OA_Cached__TCP)+(H61*Outlook_2010__MAPI_Cached__TCP)+(I61*Outlook_2010__MAPI_Online__TCP)+(J61*Outlook_2007__OA_Cached__TCP)+(K61*Outlook_2007__MAPI_Cached__TCP)+(L61*Outlook_2007__MAPI_Online__TCP)+(M61*Outlook_2003__OA_Cached__TCP)+(N61*Outlook_2003__MAPI_Cached__TCP)+(O61*Outlook_2003__MAPI_Online__TCP)+(P61*OWA_2010_TCP)+(Q61*OWA_2007_TCP)+(R61*Windows_Phone_7.x_TCP)+(S61*Windows_Mobile_6.x_TCP))*E61*1.2,"-")</f>
        <v>-</v>
      </c>
      <c r="Y61" s="200">
        <f t="shared" ref="Y61:Y92" si="31">IF(C61="light",IF(SUM(F61:S61)&gt;0,(((((G61*E61*P1_Outlook_2010__OA_Cached__Received)+(S61*E61*P1_Windows_Mobile_6.x_Received)+(H61*E61*P1_Outlook_2010__MAPI_Cached__Received)+(I61*E61*P1_Outlook_2010__MAPI_Online__Received)+(J61*E61*P1_Outlook_2007__OA_Cached__Received)+(K61*E61*P1_Outlook_2007__MAPI_Cached__Received)+(L61*E61*P1_Outlook_2007__MAPI_Online__Received)+(N61*E61*P1_Outlook_2003__MAPI_Cached__Received)+(O61*E61*P1_Outlook_2003__MAPI_Online__Received)+(R61*E61*P1_Windows_Phone_7.x_Received)+(M61*E61*P1_Outlook_2003__OA_Cached__Received)+(P61*E61*P1_OWA_2010_Received)+(Q61*E61*P1_OWA_2007_Received)+(F61*E61*P1_Outlook_2011__EWS__Received))))),0),0)</f>
        <v>0</v>
      </c>
      <c r="Z61" s="200">
        <f t="shared" ref="Z61:Z92" si="32">IF(C61="light",IF(SUM(F61:S61)&gt;0,(((((G61*E61*P1_Outlook_2010__OA_Cached__Sent)+(S61*E61*P1_Windows_Mobile_6.x_Sent)+(H61*E61*P1_Outlook_2010__MAPI_Cached__Sent)+(I61*E61*P1_Outlook_2010__MAPI_Online__Sent)+(J61*E61*P1_Outlook_2007__OA_Cached__Sent)+(K61*E61*P1_Outlook_2007__MAPI_Cached__Sent)+(L61*E61*P1_Outlook_2007__MAPI_Online__Sent)+(N61*E61*P1_Outlook_2003__MAPI_Cached__Sent)+(O61*E61*P1_Outlook_2003__MAPI_Online__Sent)+(R61*E61*P1_Windows_Phone_7.x_Sent)+(M61*E61*P1_Outlook_2003__OA_Cached__Sent)+(P61*E61*P1_OWA_2010_Sent)+(Q61*E61*P1_OWA_2007_Sent)+(F61*E61*P1_Outlook_2011__EWS__Sent))))),0),0)</f>
        <v>0</v>
      </c>
      <c r="AA61" s="201">
        <f t="shared" si="27"/>
        <v>0</v>
      </c>
      <c r="AB61" s="200">
        <f t="shared" ref="AB61:AB92" si="33">IF(C61="medium",IF(SUM(F61:S61)&gt;0,(((((G61*E61*P2_Outlook_2010__OA_Cached__Received)+(S61*E61*P2_Windows_Mobile_6.x_Received)+(H61*E61*P2_Outlook_2010__MAPI_Cached__Received)+(I61*E61*P2_Outlook_2010__MAPI_Online__Received)+(J61*E61*P2_Outlook_2007__OA_Cached__Received)+(K61*E61*P2_Outlook_2007__MAPI_Cached__Received)+(L61*E61*P2_Outlook_2007__MAPI_Online__Received)+(N61*E61*P2_Outlook_2003__MAPI_Cached__Received)+(O61*E61*P2_Outlook_2003__MAPI_Online__Received)+(R61*E61*P2_Windows_Phone_7.x_Received)+(M61*E61*P2_Outlook_2003__OA_Cached__Received)+(P61*E61*P2_OWA_2010_Received)+(Q61*E61*P2_OWA_2007_Received)+(F61*E61*P2_Outlook_2011__EWS__Received))))),0),0)</f>
        <v>0</v>
      </c>
      <c r="AC61" s="200">
        <f t="shared" ref="AC61:AC92" si="34">IF(C61="medium",IF(SUM(F61:S61)&gt;0,(((((G61*E61*P2_Outlook_2010__OA_Cached__Sent)+(S61*E61*P2_Windows_Mobile_6.x_Sent)+(H61*E61*P2_Outlook_2010__MAPI_Cached__Sent)+(I61*E61*P2_Outlook_2010__MAPI_Online__Sent)+(J61*E61*P2_Outlook_2007__OA_Cached__Sent)+(K61*E61*P2_Outlook_2007__MAPI_Cached__Sent)+(L61*E61*P2_Outlook_2007__MAPI_Online__Sent)+(N61*E61*P2_Outlook_2003__MAPI_Cached__Sent)+(O61*E61*P2_Outlook_2003__MAPI_Online__Sent)+(R61*E61*P2_Windows_Phone_7.x_Sent)+(M61*E61*P2_Outlook_2003__OA_Cached__Sent)+(P61*E61*P2_OWA_2010_Sent)+(Q61*E61*P2_OWA_2007_Sent)+(F61*E61*P2_Outlook_2011__EWS__Sent))))),0),0)</f>
        <v>0</v>
      </c>
      <c r="AD61" s="201">
        <f>IF(SUM(F61,G61,H61,J61,K61,M61,N61)&gt;0,IF(Table2613513[[#This Row],[Column5]]="medium",P2_Min_OST_Throughput_Requirements,0),0)</f>
        <v>0</v>
      </c>
      <c r="AE61" s="199">
        <f t="shared" ref="AE61:AE92" si="35">IF(C61="heavy",IF(SUM(F61:S61)&gt;0,(((((G61*E61*P3_Outlook_2010__OA_Cached__Received)+(S61*E61*P3_Windows_Mobile_6.x_Received)+(H61*E61*P3_Outlook_2010__MAPI_Cached__Received)+(I61*E61*P3_Outlook_2010__MAPI_Online__Received)+(J61*E61*P3_Outlook_2007__OA_Cached__Received)+(K61*E61*P3_Outlook_2007__MAPI_Cached__Received)+(L61*E61*P3_Outlook_2007__MAPI_Online__Received)+(N61*E61*P3_Outlook_2003__MAPI_Cached__Received)+(O61*E61*P3_Outlook_2003__MAPI_Online__Received)+(R61*E61*P3_Windows_Phone_7.x_Received)+(M61*E61*P3_Outlook_2003__OA_Cached__Received)+(P61*E61*P3_OWA_2010_Received)+(Q61*E61*P3_OWA_2007_Received)+(F61*E61*P3_Outlook_2011__EWS__Received))))),0),0)</f>
        <v>0</v>
      </c>
      <c r="AF61" s="199">
        <f t="shared" ref="AF61:AF92" si="36">IF(C61="heavy",IF(SUM(F61:S61)&gt;0,(((((G61*E61*P3_Outlook_2010__OA_Cached__Sent)+(S61*E61*P3_Windows_Mobile_6.x_Sent)+(H61*E61*P3_Outlook_2010__MAPI_Cached__Sent)+(I61*E61*P3_Outlook_2010__MAPI_Online__Sent)+(J61*E61*P3_Outlook_2007__OA_Cached__Sent)+(K61*E61*P3_Outlook_2007__MAPI_Cached__Sent)+(L61*E61*P3_Outlook_2007__MAPI_Online__Sent)+(N61*E61*P3_Outlook_2003__MAPI_Cached__Sent)+(O61*E61*P3_Outlook_2003__MAPI_Online__Sent)+(R61*E61*P3_Windows_Phone_7.x_Sent)+(M61*E61*P3_Outlook_2003__OA_Cached__Sent)+(P61*E61*P3_OWA_2010_Sent)+(Q61*E61*P3_OWA_2007_Sent)+(F61*E61*P3_Outlook_2011__EWS__Sent))))),0),0)</f>
        <v>0</v>
      </c>
      <c r="AG61" s="199">
        <f>IF(SUM(F61,G61,H61,J61,K61,M61,N61)&gt;0,IF(Table2613513[[#This Row],[Column5]]="heavy",P3_Min_OST_Throughput_Requirements,0),0)</f>
        <v>0</v>
      </c>
      <c r="AH61" s="199">
        <f t="shared" ref="AH61:AH92" si="37">IF(C61="very heavy",IF(SUM(F61:S61)&gt;0,(((((G61*E61*P4_Outlook_2010__OA_Cached__Received)+(S61*E61*P4_Windows_Mobile_6.x_Received)+(H61*E61*P4_Outlook_2010__MAPI_Cached__Received)+(I61*E61*P4_Outlook_2010__MAPI_Online__Received)+(J61*E61*P4_Outlook_2007__OA_Cached__Received)+(K61*E61*P4_Outlook_2007__MAPI_Cached__Received)+(L61*E61*P4_Outlook_2007__MAPI_Online__Received)+(N61*E61*P4_Outlook_2003__MAPI_Cached__Received)+(O61*E61*P4_Outlook_2003__MAPI_Online__Received)+(R61*E61*P4_Windows_Phone_7.x_Received)+(M61*E61*P4_Outlook_2003__OA_Cached__Received)+(P61*E61*P4_OWA_2010_Received)+(Q61*E61*P4_OWA_2007_Received)+(F61*E61*P4_Outlook_2011__EWS__Received))))),0),0)</f>
        <v>0</v>
      </c>
      <c r="AI61" s="199">
        <f t="shared" ref="AI61:AI92" si="38">IF(C61="very heavy",IF(SUM(F61:S61)&gt;0,(((((G61*E61*P4_Outlook_2010__OA_Cached__Sent)+(S61*E61*P4_Windows_Mobile_6.x_Sent)+(H61*E61*P4_Outlook_2010__MAPI_Cached__Sent)+(I61*E61*P4_Outlook_2010__MAPI_Online__Sent)+(J61*E61*P4_Outlook_2007__OA_Cached__Sent)+(K61*E61*P4_Outlook_2007__MAPI_Cached__Sent)+(L61*E61*P4_Outlook_2007__MAPI_Online__Sent)+(N61*E61*P4_Outlook_2003__MAPI_Cached__Sent)+(O61*E61*P4_Outlook_2003__MAPI_Online__Sent)+(R61*E61*P4_Windows_Phone_7.x_Sent)+(M61*E61*P4_Outlook_2003__OA_Cached__Sent)+(P61*E61*P4_OWA_2010_Sent)+(Q61*E61*P4_OWA_2007_Sent)+(F61*E61*P4_Outlook_2011__EWS__Sent))))),0),0)</f>
        <v>0</v>
      </c>
      <c r="AJ61" s="199">
        <f>IF(SUM(F61,G61,H61,J61,K61,M61,N61)&gt;0,IF(Table2613513[[#This Row],[Column5]]="very heavy",P4_Min_OST_Throughput_Requirements,0),0)</f>
        <v>0</v>
      </c>
    </row>
    <row r="62" spans="2:36" s="176" customFormat="1" hidden="1" outlineLevel="1">
      <c r="B62" s="86" t="s">
        <v>222</v>
      </c>
      <c r="C62" s="87" t="s">
        <v>121</v>
      </c>
      <c r="D62" s="221" t="s">
        <v>303</v>
      </c>
      <c r="E62" s="88">
        <v>1</v>
      </c>
      <c r="F62" s="177"/>
      <c r="G62" s="177"/>
      <c r="H62" s="177"/>
      <c r="I62" s="177"/>
      <c r="J62" s="177"/>
      <c r="K62" s="177"/>
      <c r="L62" s="177"/>
      <c r="M62" s="177"/>
      <c r="N62" s="177"/>
      <c r="O62" s="177"/>
      <c r="P62" s="177"/>
      <c r="Q62" s="177"/>
      <c r="R62" s="177"/>
      <c r="S62" s="177"/>
      <c r="T62" s="189">
        <f t="shared" si="28"/>
        <v>0</v>
      </c>
      <c r="U62" s="95" t="str">
        <f t="shared" si="25"/>
        <v>-</v>
      </c>
      <c r="V62" s="96" t="str">
        <f t="shared" si="26"/>
        <v>-</v>
      </c>
      <c r="W62" s="202" t="str">
        <f t="shared" si="29"/>
        <v>-</v>
      </c>
      <c r="X62" s="190" t="str">
        <f t="shared" si="30"/>
        <v>-</v>
      </c>
      <c r="Y62" s="200">
        <f t="shared" si="31"/>
        <v>0</v>
      </c>
      <c r="Z62" s="200">
        <f t="shared" si="32"/>
        <v>0</v>
      </c>
      <c r="AA62" s="201">
        <f t="shared" si="27"/>
        <v>0</v>
      </c>
      <c r="AB62" s="200">
        <f t="shared" si="33"/>
        <v>0</v>
      </c>
      <c r="AC62" s="200">
        <f t="shared" si="34"/>
        <v>0</v>
      </c>
      <c r="AD62" s="201">
        <f>IF(SUM(F62,G62,H62,J62,K62,M62,N62)&gt;0,IF(Table2613513[[#This Row],[Column5]]="medium",P2_Min_OST_Throughput_Requirements,0),0)</f>
        <v>0</v>
      </c>
      <c r="AE62" s="199">
        <f t="shared" si="35"/>
        <v>0</v>
      </c>
      <c r="AF62" s="199">
        <f t="shared" si="36"/>
        <v>0</v>
      </c>
      <c r="AG62" s="199">
        <f>IF(SUM(F62,G62,H62,J62,K62,M62,N62)&gt;0,IF(Table2613513[[#This Row],[Column5]]="heavy",P3_Min_OST_Throughput_Requirements,0),0)</f>
        <v>0</v>
      </c>
      <c r="AH62" s="199">
        <f t="shared" si="37"/>
        <v>0</v>
      </c>
      <c r="AI62" s="199">
        <f t="shared" si="38"/>
        <v>0</v>
      </c>
      <c r="AJ62" s="199">
        <f>IF(SUM(F62,G62,H62,J62,K62,M62,N62)&gt;0,IF(Table2613513[[#This Row],[Column5]]="very heavy",P4_Min_OST_Throughput_Requirements,0),0)</f>
        <v>0</v>
      </c>
    </row>
    <row r="63" spans="2:36" s="176" customFormat="1" hidden="1" outlineLevel="1">
      <c r="B63" s="86" t="s">
        <v>223</v>
      </c>
      <c r="C63" s="87" t="s">
        <v>121</v>
      </c>
      <c r="D63" s="221" t="s">
        <v>303</v>
      </c>
      <c r="E63" s="88">
        <v>1</v>
      </c>
      <c r="F63" s="177"/>
      <c r="G63" s="177"/>
      <c r="H63" s="177"/>
      <c r="I63" s="177"/>
      <c r="J63" s="177"/>
      <c r="K63" s="177"/>
      <c r="L63" s="177"/>
      <c r="M63" s="177"/>
      <c r="N63" s="177"/>
      <c r="O63" s="177"/>
      <c r="P63" s="177"/>
      <c r="Q63" s="177"/>
      <c r="R63" s="177"/>
      <c r="S63" s="177"/>
      <c r="T63" s="189">
        <f t="shared" si="28"/>
        <v>0</v>
      </c>
      <c r="U63" s="95" t="str">
        <f t="shared" si="25"/>
        <v>-</v>
      </c>
      <c r="V63" s="96" t="str">
        <f t="shared" si="26"/>
        <v>-</v>
      </c>
      <c r="W63" s="202" t="str">
        <f t="shared" si="29"/>
        <v>-</v>
      </c>
      <c r="X63" s="190" t="str">
        <f t="shared" si="30"/>
        <v>-</v>
      </c>
      <c r="Y63" s="200">
        <f t="shared" si="31"/>
        <v>0</v>
      </c>
      <c r="Z63" s="200">
        <f t="shared" si="32"/>
        <v>0</v>
      </c>
      <c r="AA63" s="201">
        <f t="shared" si="27"/>
        <v>0</v>
      </c>
      <c r="AB63" s="200">
        <f t="shared" si="33"/>
        <v>0</v>
      </c>
      <c r="AC63" s="200">
        <f t="shared" si="34"/>
        <v>0</v>
      </c>
      <c r="AD63" s="201">
        <f>IF(SUM(F63,G63,H63,J63,K63,M63,N63)&gt;0,IF(Table2613513[[#This Row],[Column5]]="medium",P2_Min_OST_Throughput_Requirements,0),0)</f>
        <v>0</v>
      </c>
      <c r="AE63" s="199">
        <f t="shared" si="35"/>
        <v>0</v>
      </c>
      <c r="AF63" s="199">
        <f t="shared" si="36"/>
        <v>0</v>
      </c>
      <c r="AG63" s="199">
        <f>IF(SUM(F63,G63,H63,J63,K63,M63,N63)&gt;0,IF(Table2613513[[#This Row],[Column5]]="heavy",P3_Min_OST_Throughput_Requirements,0),0)</f>
        <v>0</v>
      </c>
      <c r="AH63" s="199">
        <f t="shared" si="37"/>
        <v>0</v>
      </c>
      <c r="AI63" s="199">
        <f t="shared" si="38"/>
        <v>0</v>
      </c>
      <c r="AJ63" s="199">
        <f>IF(SUM(F63,G63,H63,J63,K63,M63,N63)&gt;0,IF(Table2613513[[#This Row],[Column5]]="very heavy",P4_Min_OST_Throughput_Requirements,0),0)</f>
        <v>0</v>
      </c>
    </row>
    <row r="64" spans="2:36" s="176" customFormat="1" hidden="1" outlineLevel="1">
      <c r="B64" s="86" t="s">
        <v>224</v>
      </c>
      <c r="C64" s="87" t="s">
        <v>121</v>
      </c>
      <c r="D64" s="221" t="s">
        <v>303</v>
      </c>
      <c r="E64" s="88">
        <v>1</v>
      </c>
      <c r="F64" s="177"/>
      <c r="G64" s="177"/>
      <c r="H64" s="177"/>
      <c r="I64" s="177"/>
      <c r="J64" s="177"/>
      <c r="K64" s="177"/>
      <c r="L64" s="177"/>
      <c r="M64" s="177"/>
      <c r="N64" s="177"/>
      <c r="O64" s="177"/>
      <c r="P64" s="177"/>
      <c r="Q64" s="177"/>
      <c r="R64" s="177"/>
      <c r="S64" s="177"/>
      <c r="T64" s="189">
        <f t="shared" si="28"/>
        <v>0</v>
      </c>
      <c r="U64" s="95" t="str">
        <f t="shared" si="25"/>
        <v>-</v>
      </c>
      <c r="V64" s="96" t="str">
        <f t="shared" si="26"/>
        <v>-</v>
      </c>
      <c r="W64" s="202" t="str">
        <f t="shared" si="29"/>
        <v>-</v>
      </c>
      <c r="X64" s="190" t="str">
        <f t="shared" si="30"/>
        <v>-</v>
      </c>
      <c r="Y64" s="200">
        <f t="shared" si="31"/>
        <v>0</v>
      </c>
      <c r="Z64" s="200">
        <f t="shared" si="32"/>
        <v>0</v>
      </c>
      <c r="AA64" s="201">
        <f t="shared" si="27"/>
        <v>0</v>
      </c>
      <c r="AB64" s="200">
        <f t="shared" si="33"/>
        <v>0</v>
      </c>
      <c r="AC64" s="200">
        <f t="shared" si="34"/>
        <v>0</v>
      </c>
      <c r="AD64" s="201">
        <f>IF(SUM(F64,G64,H64,J64,K64,M64,N64)&gt;0,IF(Table2613513[[#This Row],[Column5]]="medium",P2_Min_OST_Throughput_Requirements,0),0)</f>
        <v>0</v>
      </c>
      <c r="AE64" s="199">
        <f t="shared" si="35"/>
        <v>0</v>
      </c>
      <c r="AF64" s="199">
        <f t="shared" si="36"/>
        <v>0</v>
      </c>
      <c r="AG64" s="199">
        <f>IF(SUM(F64,G64,H64,J64,K64,M64,N64)&gt;0,IF(Table2613513[[#This Row],[Column5]]="heavy",P3_Min_OST_Throughput_Requirements,0),0)</f>
        <v>0</v>
      </c>
      <c r="AH64" s="199">
        <f t="shared" si="37"/>
        <v>0</v>
      </c>
      <c r="AI64" s="199">
        <f t="shared" si="38"/>
        <v>0</v>
      </c>
      <c r="AJ64" s="199">
        <f>IF(SUM(F64,G64,H64,J64,K64,M64,N64)&gt;0,IF(Table2613513[[#This Row],[Column5]]="very heavy",P4_Min_OST_Throughput_Requirements,0),0)</f>
        <v>0</v>
      </c>
    </row>
    <row r="65" spans="2:36" s="176" customFormat="1" hidden="1" outlineLevel="1">
      <c r="B65" s="86" t="s">
        <v>225</v>
      </c>
      <c r="C65" s="87" t="s">
        <v>121</v>
      </c>
      <c r="D65" s="221" t="s">
        <v>303</v>
      </c>
      <c r="E65" s="88">
        <v>1</v>
      </c>
      <c r="F65" s="177"/>
      <c r="G65" s="177"/>
      <c r="H65" s="177"/>
      <c r="I65" s="177"/>
      <c r="J65" s="177"/>
      <c r="K65" s="177"/>
      <c r="L65" s="177"/>
      <c r="M65" s="177"/>
      <c r="N65" s="177"/>
      <c r="O65" s="177"/>
      <c r="P65" s="177"/>
      <c r="Q65" s="177"/>
      <c r="R65" s="177"/>
      <c r="S65" s="177"/>
      <c r="T65" s="189">
        <f t="shared" si="28"/>
        <v>0</v>
      </c>
      <c r="U65" s="95" t="str">
        <f t="shared" si="25"/>
        <v>-</v>
      </c>
      <c r="V65" s="96" t="str">
        <f t="shared" si="26"/>
        <v>-</v>
      </c>
      <c r="W65" s="202" t="str">
        <f t="shared" si="29"/>
        <v>-</v>
      </c>
      <c r="X65" s="190" t="str">
        <f t="shared" si="30"/>
        <v>-</v>
      </c>
      <c r="Y65" s="200">
        <f t="shared" si="31"/>
        <v>0</v>
      </c>
      <c r="Z65" s="200">
        <f t="shared" si="32"/>
        <v>0</v>
      </c>
      <c r="AA65" s="201">
        <f t="shared" si="27"/>
        <v>0</v>
      </c>
      <c r="AB65" s="200">
        <f t="shared" si="33"/>
        <v>0</v>
      </c>
      <c r="AC65" s="200">
        <f t="shared" si="34"/>
        <v>0</v>
      </c>
      <c r="AD65" s="201">
        <f>IF(SUM(F65,G65,H65,J65,K65,M65,N65)&gt;0,IF(Table2613513[[#This Row],[Column5]]="medium",P2_Min_OST_Throughput_Requirements,0),0)</f>
        <v>0</v>
      </c>
      <c r="AE65" s="199">
        <f t="shared" si="35"/>
        <v>0</v>
      </c>
      <c r="AF65" s="199">
        <f t="shared" si="36"/>
        <v>0</v>
      </c>
      <c r="AG65" s="199">
        <f>IF(SUM(F65,G65,H65,J65,K65,M65,N65)&gt;0,IF(Table2613513[[#This Row],[Column5]]="heavy",P3_Min_OST_Throughput_Requirements,0),0)</f>
        <v>0</v>
      </c>
      <c r="AH65" s="199">
        <f t="shared" si="37"/>
        <v>0</v>
      </c>
      <c r="AI65" s="199">
        <f t="shared" si="38"/>
        <v>0</v>
      </c>
      <c r="AJ65" s="199">
        <f>IF(SUM(F65,G65,H65,J65,K65,M65,N65)&gt;0,IF(Table2613513[[#This Row],[Column5]]="very heavy",P4_Min_OST_Throughput_Requirements,0),0)</f>
        <v>0</v>
      </c>
    </row>
    <row r="66" spans="2:36" s="176" customFormat="1" hidden="1" outlineLevel="1">
      <c r="B66" s="86" t="s">
        <v>226</v>
      </c>
      <c r="C66" s="87" t="s">
        <v>121</v>
      </c>
      <c r="D66" s="221" t="s">
        <v>303</v>
      </c>
      <c r="E66" s="88">
        <v>1</v>
      </c>
      <c r="F66" s="177"/>
      <c r="G66" s="177"/>
      <c r="H66" s="177"/>
      <c r="I66" s="177"/>
      <c r="J66" s="177"/>
      <c r="K66" s="177"/>
      <c r="L66" s="177"/>
      <c r="M66" s="177"/>
      <c r="N66" s="177"/>
      <c r="O66" s="177"/>
      <c r="P66" s="177"/>
      <c r="Q66" s="177"/>
      <c r="R66" s="177"/>
      <c r="S66" s="177"/>
      <c r="T66" s="189">
        <f t="shared" si="28"/>
        <v>0</v>
      </c>
      <c r="U66" s="95" t="str">
        <f t="shared" si="25"/>
        <v>-</v>
      </c>
      <c r="V66" s="96" t="str">
        <f t="shared" si="26"/>
        <v>-</v>
      </c>
      <c r="W66" s="202" t="str">
        <f t="shared" si="29"/>
        <v>-</v>
      </c>
      <c r="X66" s="190" t="str">
        <f t="shared" si="30"/>
        <v>-</v>
      </c>
      <c r="Y66" s="200">
        <f t="shared" si="31"/>
        <v>0</v>
      </c>
      <c r="Z66" s="200">
        <f t="shared" si="32"/>
        <v>0</v>
      </c>
      <c r="AA66" s="201">
        <f t="shared" si="27"/>
        <v>0</v>
      </c>
      <c r="AB66" s="200">
        <f t="shared" si="33"/>
        <v>0</v>
      </c>
      <c r="AC66" s="200">
        <f t="shared" si="34"/>
        <v>0</v>
      </c>
      <c r="AD66" s="201">
        <f>IF(SUM(F66,G66,H66,J66,K66,M66,N66)&gt;0,IF(Table2613513[[#This Row],[Column5]]="medium",P2_Min_OST_Throughput_Requirements,0),0)</f>
        <v>0</v>
      </c>
      <c r="AE66" s="199">
        <f t="shared" si="35"/>
        <v>0</v>
      </c>
      <c r="AF66" s="199">
        <f t="shared" si="36"/>
        <v>0</v>
      </c>
      <c r="AG66" s="199">
        <f>IF(SUM(F66,G66,H66,J66,K66,M66,N66)&gt;0,IF(Table2613513[[#This Row],[Column5]]="heavy",P3_Min_OST_Throughput_Requirements,0),0)</f>
        <v>0</v>
      </c>
      <c r="AH66" s="199">
        <f t="shared" si="37"/>
        <v>0</v>
      </c>
      <c r="AI66" s="199">
        <f t="shared" si="38"/>
        <v>0</v>
      </c>
      <c r="AJ66" s="199">
        <f>IF(SUM(F66,G66,H66,J66,K66,M66,N66)&gt;0,IF(Table2613513[[#This Row],[Column5]]="very heavy",P4_Min_OST_Throughput_Requirements,0),0)</f>
        <v>0</v>
      </c>
    </row>
    <row r="67" spans="2:36" s="176" customFormat="1" hidden="1" outlineLevel="1">
      <c r="B67" s="86" t="s">
        <v>227</v>
      </c>
      <c r="C67" s="87" t="s">
        <v>121</v>
      </c>
      <c r="D67" s="221" t="s">
        <v>303</v>
      </c>
      <c r="E67" s="88">
        <v>1</v>
      </c>
      <c r="F67" s="177"/>
      <c r="G67" s="177"/>
      <c r="H67" s="177"/>
      <c r="I67" s="177"/>
      <c r="J67" s="177"/>
      <c r="K67" s="177"/>
      <c r="L67" s="177"/>
      <c r="M67" s="177"/>
      <c r="N67" s="177"/>
      <c r="O67" s="177"/>
      <c r="P67" s="177"/>
      <c r="Q67" s="177"/>
      <c r="R67" s="177"/>
      <c r="S67" s="177"/>
      <c r="T67" s="189">
        <f t="shared" si="28"/>
        <v>0</v>
      </c>
      <c r="U67" s="95" t="str">
        <f t="shared" si="25"/>
        <v>-</v>
      </c>
      <c r="V67" s="96" t="str">
        <f t="shared" si="26"/>
        <v>-</v>
      </c>
      <c r="W67" s="202" t="str">
        <f t="shared" si="29"/>
        <v>-</v>
      </c>
      <c r="X67" s="190" t="str">
        <f t="shared" si="30"/>
        <v>-</v>
      </c>
      <c r="Y67" s="200">
        <f t="shared" si="31"/>
        <v>0</v>
      </c>
      <c r="Z67" s="200">
        <f t="shared" si="32"/>
        <v>0</v>
      </c>
      <c r="AA67" s="201">
        <f t="shared" si="27"/>
        <v>0</v>
      </c>
      <c r="AB67" s="200">
        <f t="shared" si="33"/>
        <v>0</v>
      </c>
      <c r="AC67" s="200">
        <f t="shared" si="34"/>
        <v>0</v>
      </c>
      <c r="AD67" s="201">
        <f>IF(SUM(F67,G67,H67,J67,K67,M67,N67)&gt;0,IF(Table2613513[[#This Row],[Column5]]="medium",P2_Min_OST_Throughput_Requirements,0),0)</f>
        <v>0</v>
      </c>
      <c r="AE67" s="199">
        <f t="shared" si="35"/>
        <v>0</v>
      </c>
      <c r="AF67" s="199">
        <f t="shared" si="36"/>
        <v>0</v>
      </c>
      <c r="AG67" s="199">
        <f>IF(SUM(F67,G67,H67,J67,K67,M67,N67)&gt;0,IF(Table2613513[[#This Row],[Column5]]="heavy",P3_Min_OST_Throughput_Requirements,0),0)</f>
        <v>0</v>
      </c>
      <c r="AH67" s="199">
        <f t="shared" si="37"/>
        <v>0</v>
      </c>
      <c r="AI67" s="199">
        <f t="shared" si="38"/>
        <v>0</v>
      </c>
      <c r="AJ67" s="199">
        <f>IF(SUM(F67,G67,H67,J67,K67,M67,N67)&gt;0,IF(Table2613513[[#This Row],[Column5]]="very heavy",P4_Min_OST_Throughput_Requirements,0),0)</f>
        <v>0</v>
      </c>
    </row>
    <row r="68" spans="2:36" s="176" customFormat="1" hidden="1" outlineLevel="1">
      <c r="B68" s="86" t="s">
        <v>228</v>
      </c>
      <c r="C68" s="87" t="s">
        <v>121</v>
      </c>
      <c r="D68" s="221" t="s">
        <v>303</v>
      </c>
      <c r="E68" s="88">
        <v>1</v>
      </c>
      <c r="F68" s="177"/>
      <c r="G68" s="177"/>
      <c r="H68" s="177"/>
      <c r="I68" s="177"/>
      <c r="J68" s="177"/>
      <c r="K68" s="177"/>
      <c r="L68" s="177"/>
      <c r="M68" s="177"/>
      <c r="N68" s="177"/>
      <c r="O68" s="177"/>
      <c r="P68" s="177"/>
      <c r="Q68" s="177"/>
      <c r="R68" s="177"/>
      <c r="S68" s="177"/>
      <c r="T68" s="189">
        <f t="shared" si="28"/>
        <v>0</v>
      </c>
      <c r="U68" s="95" t="str">
        <f t="shared" si="25"/>
        <v>-</v>
      </c>
      <c r="V68" s="96" t="str">
        <f t="shared" si="26"/>
        <v>-</v>
      </c>
      <c r="W68" s="202" t="str">
        <f t="shared" si="29"/>
        <v>-</v>
      </c>
      <c r="X68" s="190" t="str">
        <f t="shared" si="30"/>
        <v>-</v>
      </c>
      <c r="Y68" s="200">
        <f t="shared" si="31"/>
        <v>0</v>
      </c>
      <c r="Z68" s="200">
        <f t="shared" si="32"/>
        <v>0</v>
      </c>
      <c r="AA68" s="201">
        <f t="shared" si="27"/>
        <v>0</v>
      </c>
      <c r="AB68" s="200">
        <f t="shared" si="33"/>
        <v>0</v>
      </c>
      <c r="AC68" s="200">
        <f t="shared" si="34"/>
        <v>0</v>
      </c>
      <c r="AD68" s="201">
        <f>IF(SUM(F68,G68,H68,J68,K68,M68,N68)&gt;0,IF(Table2613513[[#This Row],[Column5]]="medium",P2_Min_OST_Throughput_Requirements,0),0)</f>
        <v>0</v>
      </c>
      <c r="AE68" s="199">
        <f t="shared" si="35"/>
        <v>0</v>
      </c>
      <c r="AF68" s="199">
        <f t="shared" si="36"/>
        <v>0</v>
      </c>
      <c r="AG68" s="199">
        <f>IF(SUM(F68,G68,H68,J68,K68,M68,N68)&gt;0,IF(Table2613513[[#This Row],[Column5]]="heavy",P3_Min_OST_Throughput_Requirements,0),0)</f>
        <v>0</v>
      </c>
      <c r="AH68" s="199">
        <f t="shared" si="37"/>
        <v>0</v>
      </c>
      <c r="AI68" s="199">
        <f t="shared" si="38"/>
        <v>0</v>
      </c>
      <c r="AJ68" s="199">
        <f>IF(SUM(F68,G68,H68,J68,K68,M68,N68)&gt;0,IF(Table2613513[[#This Row],[Column5]]="very heavy",P4_Min_OST_Throughput_Requirements,0),0)</f>
        <v>0</v>
      </c>
    </row>
    <row r="69" spans="2:36" s="176" customFormat="1" hidden="1" outlineLevel="1">
      <c r="B69" s="86" t="s">
        <v>229</v>
      </c>
      <c r="C69" s="87" t="s">
        <v>121</v>
      </c>
      <c r="D69" s="221" t="s">
        <v>303</v>
      </c>
      <c r="E69" s="88">
        <v>1</v>
      </c>
      <c r="F69" s="177"/>
      <c r="G69" s="177"/>
      <c r="H69" s="177"/>
      <c r="I69" s="177"/>
      <c r="J69" s="177"/>
      <c r="K69" s="177"/>
      <c r="L69" s="177"/>
      <c r="M69" s="177"/>
      <c r="N69" s="177"/>
      <c r="O69" s="177"/>
      <c r="P69" s="177"/>
      <c r="Q69" s="177"/>
      <c r="R69" s="177"/>
      <c r="S69" s="177"/>
      <c r="T69" s="189">
        <f t="shared" si="28"/>
        <v>0</v>
      </c>
      <c r="U69" s="95" t="str">
        <f t="shared" si="25"/>
        <v>-</v>
      </c>
      <c r="V69" s="96" t="str">
        <f t="shared" si="26"/>
        <v>-</v>
      </c>
      <c r="W69" s="202" t="str">
        <f t="shared" si="29"/>
        <v>-</v>
      </c>
      <c r="X69" s="190" t="str">
        <f t="shared" si="30"/>
        <v>-</v>
      </c>
      <c r="Y69" s="200">
        <f t="shared" si="31"/>
        <v>0</v>
      </c>
      <c r="Z69" s="200">
        <f t="shared" si="32"/>
        <v>0</v>
      </c>
      <c r="AA69" s="201">
        <f t="shared" si="27"/>
        <v>0</v>
      </c>
      <c r="AB69" s="200">
        <f t="shared" si="33"/>
        <v>0</v>
      </c>
      <c r="AC69" s="200">
        <f t="shared" si="34"/>
        <v>0</v>
      </c>
      <c r="AD69" s="201">
        <f>IF(SUM(F69,G69,H69,J69,K69,M69,N69)&gt;0,IF(Table2613513[[#This Row],[Column5]]="medium",P2_Min_OST_Throughput_Requirements,0),0)</f>
        <v>0</v>
      </c>
      <c r="AE69" s="199">
        <f t="shared" si="35"/>
        <v>0</v>
      </c>
      <c r="AF69" s="199">
        <f t="shared" si="36"/>
        <v>0</v>
      </c>
      <c r="AG69" s="199">
        <f>IF(SUM(F69,G69,H69,J69,K69,M69,N69)&gt;0,IF(Table2613513[[#This Row],[Column5]]="heavy",P3_Min_OST_Throughput_Requirements,0),0)</f>
        <v>0</v>
      </c>
      <c r="AH69" s="199">
        <f t="shared" si="37"/>
        <v>0</v>
      </c>
      <c r="AI69" s="199">
        <f t="shared" si="38"/>
        <v>0</v>
      </c>
      <c r="AJ69" s="199">
        <f>IF(SUM(F69,G69,H69,J69,K69,M69,N69)&gt;0,IF(Table2613513[[#This Row],[Column5]]="very heavy",P4_Min_OST_Throughput_Requirements,0),0)</f>
        <v>0</v>
      </c>
    </row>
    <row r="70" spans="2:36" s="176" customFormat="1" hidden="1" outlineLevel="1">
      <c r="B70" s="86" t="s">
        <v>230</v>
      </c>
      <c r="C70" s="87" t="s">
        <v>121</v>
      </c>
      <c r="D70" s="221" t="s">
        <v>303</v>
      </c>
      <c r="E70" s="88">
        <v>1</v>
      </c>
      <c r="F70" s="177"/>
      <c r="G70" s="177"/>
      <c r="H70" s="177"/>
      <c r="I70" s="177"/>
      <c r="J70" s="177"/>
      <c r="K70" s="177"/>
      <c r="L70" s="177"/>
      <c r="M70" s="177"/>
      <c r="N70" s="177"/>
      <c r="O70" s="177"/>
      <c r="P70" s="177"/>
      <c r="Q70" s="177"/>
      <c r="R70" s="177"/>
      <c r="S70" s="177"/>
      <c r="T70" s="189">
        <f t="shared" si="28"/>
        <v>0</v>
      </c>
      <c r="U70" s="95" t="str">
        <f t="shared" si="25"/>
        <v>-</v>
      </c>
      <c r="V70" s="96" t="str">
        <f t="shared" si="26"/>
        <v>-</v>
      </c>
      <c r="W70" s="202" t="str">
        <f t="shared" si="29"/>
        <v>-</v>
      </c>
      <c r="X70" s="190" t="str">
        <f t="shared" si="30"/>
        <v>-</v>
      </c>
      <c r="Y70" s="200">
        <f t="shared" si="31"/>
        <v>0</v>
      </c>
      <c r="Z70" s="200">
        <f t="shared" si="32"/>
        <v>0</v>
      </c>
      <c r="AA70" s="201">
        <f t="shared" si="27"/>
        <v>0</v>
      </c>
      <c r="AB70" s="200">
        <f t="shared" si="33"/>
        <v>0</v>
      </c>
      <c r="AC70" s="200">
        <f t="shared" si="34"/>
        <v>0</v>
      </c>
      <c r="AD70" s="201">
        <f>IF(SUM(F70,G70,H70,J70,K70,M70,N70)&gt;0,IF(Table2613513[[#This Row],[Column5]]="medium",P2_Min_OST_Throughput_Requirements,0),0)</f>
        <v>0</v>
      </c>
      <c r="AE70" s="199">
        <f t="shared" si="35"/>
        <v>0</v>
      </c>
      <c r="AF70" s="199">
        <f t="shared" si="36"/>
        <v>0</v>
      </c>
      <c r="AG70" s="199">
        <f>IF(SUM(F70,G70,H70,J70,K70,M70,N70)&gt;0,IF(Table2613513[[#This Row],[Column5]]="heavy",P3_Min_OST_Throughput_Requirements,0),0)</f>
        <v>0</v>
      </c>
      <c r="AH70" s="199">
        <f t="shared" si="37"/>
        <v>0</v>
      </c>
      <c r="AI70" s="199">
        <f t="shared" si="38"/>
        <v>0</v>
      </c>
      <c r="AJ70" s="199">
        <f>IF(SUM(F70,G70,H70,J70,K70,M70,N70)&gt;0,IF(Table2613513[[#This Row],[Column5]]="very heavy",P4_Min_OST_Throughput_Requirements,0),0)</f>
        <v>0</v>
      </c>
    </row>
    <row r="71" spans="2:36" s="176" customFormat="1" hidden="1" outlineLevel="1">
      <c r="B71" s="86" t="s">
        <v>231</v>
      </c>
      <c r="C71" s="87" t="s">
        <v>121</v>
      </c>
      <c r="D71" s="221" t="s">
        <v>303</v>
      </c>
      <c r="E71" s="88">
        <v>1</v>
      </c>
      <c r="F71" s="177"/>
      <c r="G71" s="177"/>
      <c r="H71" s="177"/>
      <c r="I71" s="177"/>
      <c r="J71" s="177"/>
      <c r="K71" s="177"/>
      <c r="L71" s="177"/>
      <c r="M71" s="177"/>
      <c r="N71" s="177"/>
      <c r="O71" s="177"/>
      <c r="P71" s="177"/>
      <c r="Q71" s="177"/>
      <c r="R71" s="177"/>
      <c r="S71" s="177"/>
      <c r="T71" s="189">
        <f t="shared" si="28"/>
        <v>0</v>
      </c>
      <c r="U71" s="95" t="str">
        <f t="shared" si="25"/>
        <v>-</v>
      </c>
      <c r="V71" s="96" t="str">
        <f t="shared" si="26"/>
        <v>-</v>
      </c>
      <c r="W71" s="202" t="str">
        <f t="shared" si="29"/>
        <v>-</v>
      </c>
      <c r="X71" s="190" t="str">
        <f t="shared" si="30"/>
        <v>-</v>
      </c>
      <c r="Y71" s="200">
        <f t="shared" si="31"/>
        <v>0</v>
      </c>
      <c r="Z71" s="200">
        <f t="shared" si="32"/>
        <v>0</v>
      </c>
      <c r="AA71" s="201">
        <f t="shared" si="27"/>
        <v>0</v>
      </c>
      <c r="AB71" s="200">
        <f t="shared" si="33"/>
        <v>0</v>
      </c>
      <c r="AC71" s="200">
        <f t="shared" si="34"/>
        <v>0</v>
      </c>
      <c r="AD71" s="201">
        <f>IF(SUM(F71,G71,H71,J71,K71,M71,N71)&gt;0,IF(Table2613513[[#This Row],[Column5]]="medium",P2_Min_OST_Throughput_Requirements,0),0)</f>
        <v>0</v>
      </c>
      <c r="AE71" s="199">
        <f t="shared" si="35"/>
        <v>0</v>
      </c>
      <c r="AF71" s="199">
        <f t="shared" si="36"/>
        <v>0</v>
      </c>
      <c r="AG71" s="199">
        <f>IF(SUM(F71,G71,H71,J71,K71,M71,N71)&gt;0,IF(Table2613513[[#This Row],[Column5]]="heavy",P3_Min_OST_Throughput_Requirements,0),0)</f>
        <v>0</v>
      </c>
      <c r="AH71" s="199">
        <f t="shared" si="37"/>
        <v>0</v>
      </c>
      <c r="AI71" s="199">
        <f t="shared" si="38"/>
        <v>0</v>
      </c>
      <c r="AJ71" s="199">
        <f>IF(SUM(F71,G71,H71,J71,K71,M71,N71)&gt;0,IF(Table2613513[[#This Row],[Column5]]="very heavy",P4_Min_OST_Throughput_Requirements,0),0)</f>
        <v>0</v>
      </c>
    </row>
    <row r="72" spans="2:36" s="176" customFormat="1" hidden="1" outlineLevel="1">
      <c r="B72" s="86" t="s">
        <v>232</v>
      </c>
      <c r="C72" s="87" t="s">
        <v>121</v>
      </c>
      <c r="D72" s="221" t="s">
        <v>303</v>
      </c>
      <c r="E72" s="88">
        <v>1</v>
      </c>
      <c r="F72" s="177"/>
      <c r="G72" s="177"/>
      <c r="H72" s="177"/>
      <c r="I72" s="177"/>
      <c r="J72" s="177"/>
      <c r="K72" s="177"/>
      <c r="L72" s="177"/>
      <c r="M72" s="177"/>
      <c r="N72" s="177"/>
      <c r="O72" s="177"/>
      <c r="P72" s="177"/>
      <c r="Q72" s="177"/>
      <c r="R72" s="177"/>
      <c r="S72" s="177"/>
      <c r="T72" s="189">
        <f t="shared" si="28"/>
        <v>0</v>
      </c>
      <c r="U72" s="95" t="str">
        <f t="shared" si="25"/>
        <v>-</v>
      </c>
      <c r="V72" s="96" t="str">
        <f t="shared" si="26"/>
        <v>-</v>
      </c>
      <c r="W72" s="202" t="str">
        <f t="shared" si="29"/>
        <v>-</v>
      </c>
      <c r="X72" s="190" t="str">
        <f t="shared" si="30"/>
        <v>-</v>
      </c>
      <c r="Y72" s="200">
        <f t="shared" si="31"/>
        <v>0</v>
      </c>
      <c r="Z72" s="200">
        <f t="shared" si="32"/>
        <v>0</v>
      </c>
      <c r="AA72" s="201">
        <f t="shared" si="27"/>
        <v>0</v>
      </c>
      <c r="AB72" s="200">
        <f t="shared" si="33"/>
        <v>0</v>
      </c>
      <c r="AC72" s="200">
        <f t="shared" si="34"/>
        <v>0</v>
      </c>
      <c r="AD72" s="201">
        <f>IF(SUM(F72,G72,H72,J72,K72,M72,N72)&gt;0,IF(Table2613513[[#This Row],[Column5]]="medium",P2_Min_OST_Throughput_Requirements,0),0)</f>
        <v>0</v>
      </c>
      <c r="AE72" s="199">
        <f t="shared" si="35"/>
        <v>0</v>
      </c>
      <c r="AF72" s="199">
        <f t="shared" si="36"/>
        <v>0</v>
      </c>
      <c r="AG72" s="199">
        <f>IF(SUM(F72,G72,H72,J72,K72,M72,N72)&gt;0,IF(Table2613513[[#This Row],[Column5]]="heavy",P3_Min_OST_Throughput_Requirements,0),0)</f>
        <v>0</v>
      </c>
      <c r="AH72" s="199">
        <f t="shared" si="37"/>
        <v>0</v>
      </c>
      <c r="AI72" s="199">
        <f t="shared" si="38"/>
        <v>0</v>
      </c>
      <c r="AJ72" s="199">
        <f>IF(SUM(F72,G72,H72,J72,K72,M72,N72)&gt;0,IF(Table2613513[[#This Row],[Column5]]="very heavy",P4_Min_OST_Throughput_Requirements,0),0)</f>
        <v>0</v>
      </c>
    </row>
    <row r="73" spans="2:36" s="176" customFormat="1" hidden="1" outlineLevel="1">
      <c r="B73" s="86" t="s">
        <v>233</v>
      </c>
      <c r="C73" s="87" t="s">
        <v>121</v>
      </c>
      <c r="D73" s="221" t="s">
        <v>303</v>
      </c>
      <c r="E73" s="88">
        <v>1</v>
      </c>
      <c r="F73" s="177"/>
      <c r="G73" s="177"/>
      <c r="H73" s="177"/>
      <c r="I73" s="177"/>
      <c r="J73" s="177"/>
      <c r="K73" s="177"/>
      <c r="L73" s="177"/>
      <c r="M73" s="177"/>
      <c r="N73" s="177"/>
      <c r="O73" s="177"/>
      <c r="P73" s="177"/>
      <c r="Q73" s="177"/>
      <c r="R73" s="177"/>
      <c r="S73" s="177"/>
      <c r="T73" s="189">
        <f t="shared" si="28"/>
        <v>0</v>
      </c>
      <c r="U73" s="95" t="str">
        <f t="shared" ref="U73:U107" si="39">IF(SUM($F73:$S73)&gt;0,(((PeakHourPercentageUse*(SUM(Y73+AB73+AE73+AH73)*1000*8))/3600)/1000000)*(Bandwidth_Headroom+1.2)+SUM(AA73+AD73+AG73+AJ73),"-")</f>
        <v>-</v>
      </c>
      <c r="V73" s="96" t="str">
        <f t="shared" ref="V73:V107" si="40">IF(SUM($F73:$S73)&gt;0,(((PeakHourPercentageUse*(SUM(Z73+AC73+AF73+AI73)*1000*8))/3600)/1000000)*(Bandwidth_Headroom+1.2),"-")</f>
        <v>-</v>
      </c>
      <c r="W73" s="202" t="str">
        <f t="shared" si="29"/>
        <v>-</v>
      </c>
      <c r="X73" s="190" t="str">
        <f t="shared" si="30"/>
        <v>-</v>
      </c>
      <c r="Y73" s="200">
        <f t="shared" si="31"/>
        <v>0</v>
      </c>
      <c r="Z73" s="200">
        <f t="shared" si="32"/>
        <v>0</v>
      </c>
      <c r="AA73" s="201">
        <f t="shared" ref="AA73:AA107" si="41">IF(SUM(F73,G73,H73,J73,K73,M73,N73)&gt;0,IF(C73="Light",P1_Min_OST_Throughput_Requirements,0),0)</f>
        <v>0</v>
      </c>
      <c r="AB73" s="200">
        <f t="shared" si="33"/>
        <v>0</v>
      </c>
      <c r="AC73" s="200">
        <f t="shared" si="34"/>
        <v>0</v>
      </c>
      <c r="AD73" s="201">
        <f>IF(SUM(F73,G73,H73,J73,K73,M73,N73)&gt;0,IF(Table2613513[[#This Row],[Column5]]="medium",P2_Min_OST_Throughput_Requirements,0),0)</f>
        <v>0</v>
      </c>
      <c r="AE73" s="199">
        <f t="shared" si="35"/>
        <v>0</v>
      </c>
      <c r="AF73" s="199">
        <f t="shared" si="36"/>
        <v>0</v>
      </c>
      <c r="AG73" s="199">
        <f>IF(SUM(F73,G73,H73,J73,K73,M73,N73)&gt;0,IF(Table2613513[[#This Row],[Column5]]="heavy",P3_Min_OST_Throughput_Requirements,0),0)</f>
        <v>0</v>
      </c>
      <c r="AH73" s="199">
        <f t="shared" si="37"/>
        <v>0</v>
      </c>
      <c r="AI73" s="199">
        <f t="shared" si="38"/>
        <v>0</v>
      </c>
      <c r="AJ73" s="199">
        <f>IF(SUM(F73,G73,H73,J73,K73,M73,N73)&gt;0,IF(Table2613513[[#This Row],[Column5]]="very heavy",P4_Min_OST_Throughput_Requirements,0),0)</f>
        <v>0</v>
      </c>
    </row>
    <row r="74" spans="2:36" s="176" customFormat="1" hidden="1" outlineLevel="1">
      <c r="B74" s="86" t="s">
        <v>234</v>
      </c>
      <c r="C74" s="87" t="s">
        <v>121</v>
      </c>
      <c r="D74" s="221" t="s">
        <v>303</v>
      </c>
      <c r="E74" s="88">
        <v>1</v>
      </c>
      <c r="F74" s="177"/>
      <c r="G74" s="177"/>
      <c r="H74" s="177"/>
      <c r="I74" s="177"/>
      <c r="J74" s="177"/>
      <c r="K74" s="177"/>
      <c r="L74" s="177"/>
      <c r="M74" s="177"/>
      <c r="N74" s="177"/>
      <c r="O74" s="177"/>
      <c r="P74" s="177"/>
      <c r="Q74" s="177"/>
      <c r="R74" s="177"/>
      <c r="S74" s="177"/>
      <c r="T74" s="189">
        <f t="shared" si="28"/>
        <v>0</v>
      </c>
      <c r="U74" s="95" t="str">
        <f t="shared" si="39"/>
        <v>-</v>
      </c>
      <c r="V74" s="96" t="str">
        <f t="shared" si="40"/>
        <v>-</v>
      </c>
      <c r="W74" s="202" t="str">
        <f t="shared" si="29"/>
        <v>-</v>
      </c>
      <c r="X74" s="190" t="str">
        <f t="shared" si="30"/>
        <v>-</v>
      </c>
      <c r="Y74" s="200">
        <f t="shared" si="31"/>
        <v>0</v>
      </c>
      <c r="Z74" s="200">
        <f t="shared" si="32"/>
        <v>0</v>
      </c>
      <c r="AA74" s="201">
        <f t="shared" si="41"/>
        <v>0</v>
      </c>
      <c r="AB74" s="200">
        <f t="shared" si="33"/>
        <v>0</v>
      </c>
      <c r="AC74" s="200">
        <f t="shared" si="34"/>
        <v>0</v>
      </c>
      <c r="AD74" s="201">
        <f>IF(SUM(F74,G74,H74,J74,K74,M74,N74)&gt;0,IF(Table2613513[[#This Row],[Column5]]="medium",P2_Min_OST_Throughput_Requirements,0),0)</f>
        <v>0</v>
      </c>
      <c r="AE74" s="199">
        <f t="shared" si="35"/>
        <v>0</v>
      </c>
      <c r="AF74" s="199">
        <f t="shared" si="36"/>
        <v>0</v>
      </c>
      <c r="AG74" s="199">
        <f>IF(SUM(F74,G74,H74,J74,K74,M74,N74)&gt;0,IF(Table2613513[[#This Row],[Column5]]="heavy",P3_Min_OST_Throughput_Requirements,0),0)</f>
        <v>0</v>
      </c>
      <c r="AH74" s="199">
        <f t="shared" si="37"/>
        <v>0</v>
      </c>
      <c r="AI74" s="199">
        <f t="shared" si="38"/>
        <v>0</v>
      </c>
      <c r="AJ74" s="199">
        <f>IF(SUM(F74,G74,H74,J74,K74,M74,N74)&gt;0,IF(Table2613513[[#This Row],[Column5]]="very heavy",P4_Min_OST_Throughput_Requirements,0),0)</f>
        <v>0</v>
      </c>
    </row>
    <row r="75" spans="2:36" s="176" customFormat="1" hidden="1" outlineLevel="1">
      <c r="B75" s="86" t="s">
        <v>235</v>
      </c>
      <c r="C75" s="87" t="s">
        <v>121</v>
      </c>
      <c r="D75" s="221" t="s">
        <v>303</v>
      </c>
      <c r="E75" s="88">
        <v>1</v>
      </c>
      <c r="F75" s="177"/>
      <c r="G75" s="177"/>
      <c r="H75" s="177"/>
      <c r="I75" s="177"/>
      <c r="J75" s="177"/>
      <c r="K75" s="177"/>
      <c r="L75" s="177"/>
      <c r="M75" s="177"/>
      <c r="N75" s="177"/>
      <c r="O75" s="177"/>
      <c r="P75" s="177"/>
      <c r="Q75" s="177"/>
      <c r="R75" s="177"/>
      <c r="S75" s="177"/>
      <c r="T75" s="189">
        <f t="shared" si="28"/>
        <v>0</v>
      </c>
      <c r="U75" s="95" t="str">
        <f t="shared" si="39"/>
        <v>-</v>
      </c>
      <c r="V75" s="96" t="str">
        <f t="shared" si="40"/>
        <v>-</v>
      </c>
      <c r="W75" s="202" t="str">
        <f t="shared" si="29"/>
        <v>-</v>
      </c>
      <c r="X75" s="190" t="str">
        <f t="shared" si="30"/>
        <v>-</v>
      </c>
      <c r="Y75" s="200">
        <f t="shared" si="31"/>
        <v>0</v>
      </c>
      <c r="Z75" s="200">
        <f t="shared" si="32"/>
        <v>0</v>
      </c>
      <c r="AA75" s="201">
        <f t="shared" si="41"/>
        <v>0</v>
      </c>
      <c r="AB75" s="200">
        <f t="shared" si="33"/>
        <v>0</v>
      </c>
      <c r="AC75" s="200">
        <f t="shared" si="34"/>
        <v>0</v>
      </c>
      <c r="AD75" s="201">
        <f>IF(SUM(F75,G75,H75,J75,K75,M75,N75)&gt;0,IF(Table2613513[[#This Row],[Column5]]="medium",P2_Min_OST_Throughput_Requirements,0),0)</f>
        <v>0</v>
      </c>
      <c r="AE75" s="199">
        <f t="shared" si="35"/>
        <v>0</v>
      </c>
      <c r="AF75" s="199">
        <f t="shared" si="36"/>
        <v>0</v>
      </c>
      <c r="AG75" s="199">
        <f>IF(SUM(F75,G75,H75,J75,K75,M75,N75)&gt;0,IF(Table2613513[[#This Row],[Column5]]="heavy",P3_Min_OST_Throughput_Requirements,0),0)</f>
        <v>0</v>
      </c>
      <c r="AH75" s="199">
        <f t="shared" si="37"/>
        <v>0</v>
      </c>
      <c r="AI75" s="199">
        <f t="shared" si="38"/>
        <v>0</v>
      </c>
      <c r="AJ75" s="199">
        <f>IF(SUM(F75,G75,H75,J75,K75,M75,N75)&gt;0,IF(Table2613513[[#This Row],[Column5]]="very heavy",P4_Min_OST_Throughput_Requirements,0),0)</f>
        <v>0</v>
      </c>
    </row>
    <row r="76" spans="2:36" s="176" customFormat="1" hidden="1" outlineLevel="1">
      <c r="B76" s="86" t="s">
        <v>236</v>
      </c>
      <c r="C76" s="87" t="s">
        <v>121</v>
      </c>
      <c r="D76" s="221" t="s">
        <v>303</v>
      </c>
      <c r="E76" s="88">
        <v>1</v>
      </c>
      <c r="F76" s="177"/>
      <c r="G76" s="177"/>
      <c r="H76" s="177"/>
      <c r="I76" s="177"/>
      <c r="J76" s="177"/>
      <c r="K76" s="177"/>
      <c r="L76" s="177"/>
      <c r="M76" s="177"/>
      <c r="N76" s="177"/>
      <c r="O76" s="177"/>
      <c r="P76" s="177"/>
      <c r="Q76" s="177"/>
      <c r="R76" s="177"/>
      <c r="S76" s="177"/>
      <c r="T76" s="189">
        <f t="shared" si="28"/>
        <v>0</v>
      </c>
      <c r="U76" s="95" t="str">
        <f t="shared" si="39"/>
        <v>-</v>
      </c>
      <c r="V76" s="96" t="str">
        <f t="shared" si="40"/>
        <v>-</v>
      </c>
      <c r="W76" s="202" t="str">
        <f t="shared" si="29"/>
        <v>-</v>
      </c>
      <c r="X76" s="190" t="str">
        <f t="shared" si="30"/>
        <v>-</v>
      </c>
      <c r="Y76" s="200">
        <f t="shared" si="31"/>
        <v>0</v>
      </c>
      <c r="Z76" s="200">
        <f t="shared" si="32"/>
        <v>0</v>
      </c>
      <c r="AA76" s="201">
        <f t="shared" si="41"/>
        <v>0</v>
      </c>
      <c r="AB76" s="200">
        <f t="shared" si="33"/>
        <v>0</v>
      </c>
      <c r="AC76" s="200">
        <f t="shared" si="34"/>
        <v>0</v>
      </c>
      <c r="AD76" s="201">
        <f>IF(SUM(F76,G76,H76,J76,K76,M76,N76)&gt;0,IF(Table2613513[[#This Row],[Column5]]="medium",P2_Min_OST_Throughput_Requirements,0),0)</f>
        <v>0</v>
      </c>
      <c r="AE76" s="199">
        <f t="shared" si="35"/>
        <v>0</v>
      </c>
      <c r="AF76" s="199">
        <f t="shared" si="36"/>
        <v>0</v>
      </c>
      <c r="AG76" s="199">
        <f>IF(SUM(F76,G76,H76,J76,K76,M76,N76)&gt;0,IF(Table2613513[[#This Row],[Column5]]="heavy",P3_Min_OST_Throughput_Requirements,0),0)</f>
        <v>0</v>
      </c>
      <c r="AH76" s="199">
        <f t="shared" si="37"/>
        <v>0</v>
      </c>
      <c r="AI76" s="199">
        <f t="shared" si="38"/>
        <v>0</v>
      </c>
      <c r="AJ76" s="199">
        <f>IF(SUM(F76,G76,H76,J76,K76,M76,N76)&gt;0,IF(Table2613513[[#This Row],[Column5]]="very heavy",P4_Min_OST_Throughput_Requirements,0),0)</f>
        <v>0</v>
      </c>
    </row>
    <row r="77" spans="2:36" s="176" customFormat="1" hidden="1" outlineLevel="1">
      <c r="B77" s="86" t="s">
        <v>237</v>
      </c>
      <c r="C77" s="87" t="s">
        <v>121</v>
      </c>
      <c r="D77" s="221" t="s">
        <v>303</v>
      </c>
      <c r="E77" s="88">
        <v>1</v>
      </c>
      <c r="F77" s="177"/>
      <c r="G77" s="177"/>
      <c r="H77" s="177"/>
      <c r="I77" s="177"/>
      <c r="J77" s="177"/>
      <c r="K77" s="177"/>
      <c r="L77" s="177"/>
      <c r="M77" s="177"/>
      <c r="N77" s="177"/>
      <c r="O77" s="177"/>
      <c r="P77" s="177"/>
      <c r="Q77" s="177"/>
      <c r="R77" s="177"/>
      <c r="S77" s="177"/>
      <c r="T77" s="189">
        <f t="shared" si="28"/>
        <v>0</v>
      </c>
      <c r="U77" s="95" t="str">
        <f t="shared" si="39"/>
        <v>-</v>
      </c>
      <c r="V77" s="96" t="str">
        <f t="shared" si="40"/>
        <v>-</v>
      </c>
      <c r="W77" s="202" t="str">
        <f t="shared" si="29"/>
        <v>-</v>
      </c>
      <c r="X77" s="190" t="str">
        <f t="shared" si="30"/>
        <v>-</v>
      </c>
      <c r="Y77" s="200">
        <f t="shared" si="31"/>
        <v>0</v>
      </c>
      <c r="Z77" s="200">
        <f t="shared" si="32"/>
        <v>0</v>
      </c>
      <c r="AA77" s="201">
        <f t="shared" si="41"/>
        <v>0</v>
      </c>
      <c r="AB77" s="200">
        <f t="shared" si="33"/>
        <v>0</v>
      </c>
      <c r="AC77" s="200">
        <f t="shared" si="34"/>
        <v>0</v>
      </c>
      <c r="AD77" s="201">
        <f>IF(SUM(F77,G77,H77,J77,K77,M77,N77)&gt;0,IF(Table2613513[[#This Row],[Column5]]="medium",P2_Min_OST_Throughput_Requirements,0),0)</f>
        <v>0</v>
      </c>
      <c r="AE77" s="199">
        <f t="shared" si="35"/>
        <v>0</v>
      </c>
      <c r="AF77" s="199">
        <f t="shared" si="36"/>
        <v>0</v>
      </c>
      <c r="AG77" s="199">
        <f>IF(SUM(F77,G77,H77,J77,K77,M77,N77)&gt;0,IF(Table2613513[[#This Row],[Column5]]="heavy",P3_Min_OST_Throughput_Requirements,0),0)</f>
        <v>0</v>
      </c>
      <c r="AH77" s="199">
        <f t="shared" si="37"/>
        <v>0</v>
      </c>
      <c r="AI77" s="199">
        <f t="shared" si="38"/>
        <v>0</v>
      </c>
      <c r="AJ77" s="199">
        <f>IF(SUM(F77,G77,H77,J77,K77,M77,N77)&gt;0,IF(Table2613513[[#This Row],[Column5]]="very heavy",P4_Min_OST_Throughput_Requirements,0),0)</f>
        <v>0</v>
      </c>
    </row>
    <row r="78" spans="2:36" s="176" customFormat="1" hidden="1" outlineLevel="1">
      <c r="B78" s="86" t="s">
        <v>238</v>
      </c>
      <c r="C78" s="87" t="s">
        <v>121</v>
      </c>
      <c r="D78" s="221" t="s">
        <v>303</v>
      </c>
      <c r="E78" s="88">
        <v>1</v>
      </c>
      <c r="F78" s="177"/>
      <c r="G78" s="177"/>
      <c r="H78" s="177"/>
      <c r="I78" s="177"/>
      <c r="J78" s="177"/>
      <c r="K78" s="177"/>
      <c r="L78" s="177"/>
      <c r="M78" s="177"/>
      <c r="N78" s="177"/>
      <c r="O78" s="177"/>
      <c r="P78" s="177"/>
      <c r="Q78" s="177"/>
      <c r="R78" s="177"/>
      <c r="S78" s="177"/>
      <c r="T78" s="189">
        <f t="shared" si="28"/>
        <v>0</v>
      </c>
      <c r="U78" s="95" t="str">
        <f t="shared" si="39"/>
        <v>-</v>
      </c>
      <c r="V78" s="96" t="str">
        <f t="shared" si="40"/>
        <v>-</v>
      </c>
      <c r="W78" s="202" t="str">
        <f t="shared" si="29"/>
        <v>-</v>
      </c>
      <c r="X78" s="190" t="str">
        <f t="shared" si="30"/>
        <v>-</v>
      </c>
      <c r="Y78" s="200">
        <f t="shared" si="31"/>
        <v>0</v>
      </c>
      <c r="Z78" s="200">
        <f t="shared" si="32"/>
        <v>0</v>
      </c>
      <c r="AA78" s="201">
        <f t="shared" si="41"/>
        <v>0</v>
      </c>
      <c r="AB78" s="200">
        <f t="shared" si="33"/>
        <v>0</v>
      </c>
      <c r="AC78" s="200">
        <f t="shared" si="34"/>
        <v>0</v>
      </c>
      <c r="AD78" s="201">
        <f>IF(SUM(F78,G78,H78,J78,K78,M78,N78)&gt;0,IF(Table2613513[[#This Row],[Column5]]="medium",P2_Min_OST_Throughput_Requirements,0),0)</f>
        <v>0</v>
      </c>
      <c r="AE78" s="199">
        <f t="shared" si="35"/>
        <v>0</v>
      </c>
      <c r="AF78" s="199">
        <f t="shared" si="36"/>
        <v>0</v>
      </c>
      <c r="AG78" s="199">
        <f>IF(SUM(F78,G78,H78,J78,K78,M78,N78)&gt;0,IF(Table2613513[[#This Row],[Column5]]="heavy",P3_Min_OST_Throughput_Requirements,0),0)</f>
        <v>0</v>
      </c>
      <c r="AH78" s="199">
        <f t="shared" si="37"/>
        <v>0</v>
      </c>
      <c r="AI78" s="199">
        <f t="shared" si="38"/>
        <v>0</v>
      </c>
      <c r="AJ78" s="199">
        <f>IF(SUM(F78,G78,H78,J78,K78,M78,N78)&gt;0,IF(Table2613513[[#This Row],[Column5]]="very heavy",P4_Min_OST_Throughput_Requirements,0),0)</f>
        <v>0</v>
      </c>
    </row>
    <row r="79" spans="2:36" s="176" customFormat="1" hidden="1" outlineLevel="1">
      <c r="B79" s="86" t="s">
        <v>239</v>
      </c>
      <c r="C79" s="87" t="s">
        <v>121</v>
      </c>
      <c r="D79" s="221" t="s">
        <v>303</v>
      </c>
      <c r="E79" s="88">
        <v>1</v>
      </c>
      <c r="F79" s="177"/>
      <c r="G79" s="177"/>
      <c r="H79" s="177"/>
      <c r="I79" s="177"/>
      <c r="J79" s="177"/>
      <c r="K79" s="177"/>
      <c r="L79" s="177"/>
      <c r="M79" s="177"/>
      <c r="N79" s="177"/>
      <c r="O79" s="177"/>
      <c r="P79" s="177"/>
      <c r="Q79" s="177"/>
      <c r="R79" s="177"/>
      <c r="S79" s="177"/>
      <c r="T79" s="189">
        <f t="shared" si="28"/>
        <v>0</v>
      </c>
      <c r="U79" s="95" t="str">
        <f t="shared" si="39"/>
        <v>-</v>
      </c>
      <c r="V79" s="96" t="str">
        <f t="shared" si="40"/>
        <v>-</v>
      </c>
      <c r="W79" s="202" t="str">
        <f t="shared" si="29"/>
        <v>-</v>
      </c>
      <c r="X79" s="190" t="str">
        <f t="shared" si="30"/>
        <v>-</v>
      </c>
      <c r="Y79" s="200">
        <f t="shared" si="31"/>
        <v>0</v>
      </c>
      <c r="Z79" s="200">
        <f t="shared" si="32"/>
        <v>0</v>
      </c>
      <c r="AA79" s="201">
        <f t="shared" si="41"/>
        <v>0</v>
      </c>
      <c r="AB79" s="200">
        <f t="shared" si="33"/>
        <v>0</v>
      </c>
      <c r="AC79" s="200">
        <f t="shared" si="34"/>
        <v>0</v>
      </c>
      <c r="AD79" s="201">
        <f>IF(SUM(F79,G79,H79,J79,K79,M79,N79)&gt;0,IF(Table2613513[[#This Row],[Column5]]="medium",P2_Min_OST_Throughput_Requirements,0),0)</f>
        <v>0</v>
      </c>
      <c r="AE79" s="199">
        <f t="shared" si="35"/>
        <v>0</v>
      </c>
      <c r="AF79" s="199">
        <f t="shared" si="36"/>
        <v>0</v>
      </c>
      <c r="AG79" s="199">
        <f>IF(SUM(F79,G79,H79,J79,K79,M79,N79)&gt;0,IF(Table2613513[[#This Row],[Column5]]="heavy",P3_Min_OST_Throughput_Requirements,0),0)</f>
        <v>0</v>
      </c>
      <c r="AH79" s="199">
        <f t="shared" si="37"/>
        <v>0</v>
      </c>
      <c r="AI79" s="199">
        <f t="shared" si="38"/>
        <v>0</v>
      </c>
      <c r="AJ79" s="199">
        <f>IF(SUM(F79,G79,H79,J79,K79,M79,N79)&gt;0,IF(Table2613513[[#This Row],[Column5]]="very heavy",P4_Min_OST_Throughput_Requirements,0),0)</f>
        <v>0</v>
      </c>
    </row>
    <row r="80" spans="2:36" s="176" customFormat="1" hidden="1" outlineLevel="1">
      <c r="B80" s="86" t="s">
        <v>240</v>
      </c>
      <c r="C80" s="87" t="s">
        <v>121</v>
      </c>
      <c r="D80" s="221" t="s">
        <v>303</v>
      </c>
      <c r="E80" s="88">
        <v>1</v>
      </c>
      <c r="F80" s="177"/>
      <c r="G80" s="177"/>
      <c r="H80" s="177"/>
      <c r="I80" s="177"/>
      <c r="J80" s="177"/>
      <c r="K80" s="177"/>
      <c r="L80" s="177"/>
      <c r="M80" s="177"/>
      <c r="N80" s="177"/>
      <c r="O80" s="177"/>
      <c r="P80" s="177"/>
      <c r="Q80" s="177"/>
      <c r="R80" s="177"/>
      <c r="S80" s="177"/>
      <c r="T80" s="189">
        <f t="shared" si="28"/>
        <v>0</v>
      </c>
      <c r="U80" s="95" t="str">
        <f t="shared" si="39"/>
        <v>-</v>
      </c>
      <c r="V80" s="96" t="str">
        <f t="shared" si="40"/>
        <v>-</v>
      </c>
      <c r="W80" s="202" t="str">
        <f t="shared" si="29"/>
        <v>-</v>
      </c>
      <c r="X80" s="190" t="str">
        <f t="shared" si="30"/>
        <v>-</v>
      </c>
      <c r="Y80" s="200">
        <f t="shared" si="31"/>
        <v>0</v>
      </c>
      <c r="Z80" s="200">
        <f t="shared" si="32"/>
        <v>0</v>
      </c>
      <c r="AA80" s="201">
        <f t="shared" si="41"/>
        <v>0</v>
      </c>
      <c r="AB80" s="200">
        <f t="shared" si="33"/>
        <v>0</v>
      </c>
      <c r="AC80" s="200">
        <f t="shared" si="34"/>
        <v>0</v>
      </c>
      <c r="AD80" s="201">
        <f>IF(SUM(F80,G80,H80,J80,K80,M80,N80)&gt;0,IF(Table2613513[[#This Row],[Column5]]="medium",P2_Min_OST_Throughput_Requirements,0),0)</f>
        <v>0</v>
      </c>
      <c r="AE80" s="199">
        <f t="shared" si="35"/>
        <v>0</v>
      </c>
      <c r="AF80" s="199">
        <f t="shared" si="36"/>
        <v>0</v>
      </c>
      <c r="AG80" s="199">
        <f>IF(SUM(F80,G80,H80,J80,K80,M80,N80)&gt;0,IF(Table2613513[[#This Row],[Column5]]="heavy",P3_Min_OST_Throughput_Requirements,0),0)</f>
        <v>0</v>
      </c>
      <c r="AH80" s="199">
        <f t="shared" si="37"/>
        <v>0</v>
      </c>
      <c r="AI80" s="199">
        <f t="shared" si="38"/>
        <v>0</v>
      </c>
      <c r="AJ80" s="199">
        <f>IF(SUM(F80,G80,H80,J80,K80,M80,N80)&gt;0,IF(Table2613513[[#This Row],[Column5]]="very heavy",P4_Min_OST_Throughput_Requirements,0),0)</f>
        <v>0</v>
      </c>
    </row>
    <row r="81" spans="2:36" s="176" customFormat="1" hidden="1" outlineLevel="1">
      <c r="B81" s="86" t="s">
        <v>241</v>
      </c>
      <c r="C81" s="87" t="s">
        <v>121</v>
      </c>
      <c r="D81" s="221" t="s">
        <v>303</v>
      </c>
      <c r="E81" s="88">
        <v>1</v>
      </c>
      <c r="F81" s="177"/>
      <c r="G81" s="177"/>
      <c r="H81" s="177"/>
      <c r="I81" s="177"/>
      <c r="J81" s="177"/>
      <c r="K81" s="177"/>
      <c r="L81" s="177"/>
      <c r="M81" s="177"/>
      <c r="N81" s="177"/>
      <c r="O81" s="177"/>
      <c r="P81" s="177"/>
      <c r="Q81" s="177"/>
      <c r="R81" s="177"/>
      <c r="S81" s="177"/>
      <c r="T81" s="189">
        <f t="shared" si="28"/>
        <v>0</v>
      </c>
      <c r="U81" s="95" t="str">
        <f t="shared" si="39"/>
        <v>-</v>
      </c>
      <c r="V81" s="96" t="str">
        <f t="shared" si="40"/>
        <v>-</v>
      </c>
      <c r="W81" s="202" t="str">
        <f t="shared" si="29"/>
        <v>-</v>
      </c>
      <c r="X81" s="190" t="str">
        <f t="shared" si="30"/>
        <v>-</v>
      </c>
      <c r="Y81" s="200">
        <f t="shared" si="31"/>
        <v>0</v>
      </c>
      <c r="Z81" s="200">
        <f t="shared" si="32"/>
        <v>0</v>
      </c>
      <c r="AA81" s="201">
        <f t="shared" si="41"/>
        <v>0</v>
      </c>
      <c r="AB81" s="200">
        <f t="shared" si="33"/>
        <v>0</v>
      </c>
      <c r="AC81" s="200">
        <f t="shared" si="34"/>
        <v>0</v>
      </c>
      <c r="AD81" s="201">
        <f>IF(SUM(F81,G81,H81,J81,K81,M81,N81)&gt;0,IF(Table2613513[[#This Row],[Column5]]="medium",P2_Min_OST_Throughput_Requirements,0),0)</f>
        <v>0</v>
      </c>
      <c r="AE81" s="199">
        <f t="shared" si="35"/>
        <v>0</v>
      </c>
      <c r="AF81" s="199">
        <f t="shared" si="36"/>
        <v>0</v>
      </c>
      <c r="AG81" s="199">
        <f>IF(SUM(F81,G81,H81,J81,K81,M81,N81)&gt;0,IF(Table2613513[[#This Row],[Column5]]="heavy",P3_Min_OST_Throughput_Requirements,0),0)</f>
        <v>0</v>
      </c>
      <c r="AH81" s="199">
        <f t="shared" si="37"/>
        <v>0</v>
      </c>
      <c r="AI81" s="199">
        <f t="shared" si="38"/>
        <v>0</v>
      </c>
      <c r="AJ81" s="199">
        <f>IF(SUM(F81,G81,H81,J81,K81,M81,N81)&gt;0,IF(Table2613513[[#This Row],[Column5]]="very heavy",P4_Min_OST_Throughput_Requirements,0),0)</f>
        <v>0</v>
      </c>
    </row>
    <row r="82" spans="2:36" s="176" customFormat="1" hidden="1" outlineLevel="1">
      <c r="B82" s="86" t="s">
        <v>242</v>
      </c>
      <c r="C82" s="87" t="s">
        <v>121</v>
      </c>
      <c r="D82" s="221" t="s">
        <v>303</v>
      </c>
      <c r="E82" s="88">
        <v>1</v>
      </c>
      <c r="F82" s="177"/>
      <c r="G82" s="177"/>
      <c r="H82" s="177"/>
      <c r="I82" s="177"/>
      <c r="J82" s="177"/>
      <c r="K82" s="177"/>
      <c r="L82" s="177"/>
      <c r="M82" s="177"/>
      <c r="N82" s="177"/>
      <c r="O82" s="177"/>
      <c r="P82" s="177"/>
      <c r="Q82" s="177"/>
      <c r="R82" s="177"/>
      <c r="S82" s="177"/>
      <c r="T82" s="189">
        <f t="shared" si="28"/>
        <v>0</v>
      </c>
      <c r="U82" s="95" t="str">
        <f t="shared" si="39"/>
        <v>-</v>
      </c>
      <c r="V82" s="96" t="str">
        <f t="shared" si="40"/>
        <v>-</v>
      </c>
      <c r="W82" s="202" t="str">
        <f t="shared" si="29"/>
        <v>-</v>
      </c>
      <c r="X82" s="190" t="str">
        <f t="shared" si="30"/>
        <v>-</v>
      </c>
      <c r="Y82" s="200">
        <f t="shared" si="31"/>
        <v>0</v>
      </c>
      <c r="Z82" s="200">
        <f t="shared" si="32"/>
        <v>0</v>
      </c>
      <c r="AA82" s="201">
        <f t="shared" si="41"/>
        <v>0</v>
      </c>
      <c r="AB82" s="200">
        <f t="shared" si="33"/>
        <v>0</v>
      </c>
      <c r="AC82" s="200">
        <f t="shared" si="34"/>
        <v>0</v>
      </c>
      <c r="AD82" s="201">
        <f>IF(SUM(F82,G82,H82,J82,K82,M82,N82)&gt;0,IF(Table2613513[[#This Row],[Column5]]="medium",P2_Min_OST_Throughput_Requirements,0),0)</f>
        <v>0</v>
      </c>
      <c r="AE82" s="199">
        <f t="shared" si="35"/>
        <v>0</v>
      </c>
      <c r="AF82" s="199">
        <f t="shared" si="36"/>
        <v>0</v>
      </c>
      <c r="AG82" s="199">
        <f>IF(SUM(F82,G82,H82,J82,K82,M82,N82)&gt;0,IF(Table2613513[[#This Row],[Column5]]="heavy",P3_Min_OST_Throughput_Requirements,0),0)</f>
        <v>0</v>
      </c>
      <c r="AH82" s="199">
        <f t="shared" si="37"/>
        <v>0</v>
      </c>
      <c r="AI82" s="199">
        <f t="shared" si="38"/>
        <v>0</v>
      </c>
      <c r="AJ82" s="199">
        <f>IF(SUM(F82,G82,H82,J82,K82,M82,N82)&gt;0,IF(Table2613513[[#This Row],[Column5]]="very heavy",P4_Min_OST_Throughput_Requirements,0),0)</f>
        <v>0</v>
      </c>
    </row>
    <row r="83" spans="2:36" s="176" customFormat="1" hidden="1" outlineLevel="1">
      <c r="B83" s="86" t="s">
        <v>243</v>
      </c>
      <c r="C83" s="87" t="s">
        <v>121</v>
      </c>
      <c r="D83" s="221" t="s">
        <v>303</v>
      </c>
      <c r="E83" s="88">
        <v>1</v>
      </c>
      <c r="F83" s="177"/>
      <c r="G83" s="177"/>
      <c r="H83" s="177"/>
      <c r="I83" s="177"/>
      <c r="J83" s="177"/>
      <c r="K83" s="177"/>
      <c r="L83" s="177"/>
      <c r="M83" s="177"/>
      <c r="N83" s="177"/>
      <c r="O83" s="177"/>
      <c r="P83" s="177"/>
      <c r="Q83" s="177"/>
      <c r="R83" s="177"/>
      <c r="S83" s="177"/>
      <c r="T83" s="189">
        <f t="shared" si="28"/>
        <v>0</v>
      </c>
      <c r="U83" s="95" t="str">
        <f t="shared" si="39"/>
        <v>-</v>
      </c>
      <c r="V83" s="96" t="str">
        <f t="shared" si="40"/>
        <v>-</v>
      </c>
      <c r="W83" s="202" t="str">
        <f t="shared" si="29"/>
        <v>-</v>
      </c>
      <c r="X83" s="190" t="str">
        <f t="shared" si="30"/>
        <v>-</v>
      </c>
      <c r="Y83" s="200">
        <f t="shared" si="31"/>
        <v>0</v>
      </c>
      <c r="Z83" s="200">
        <f t="shared" si="32"/>
        <v>0</v>
      </c>
      <c r="AA83" s="201">
        <f t="shared" si="41"/>
        <v>0</v>
      </c>
      <c r="AB83" s="200">
        <f t="shared" si="33"/>
        <v>0</v>
      </c>
      <c r="AC83" s="200">
        <f t="shared" si="34"/>
        <v>0</v>
      </c>
      <c r="AD83" s="201">
        <f>IF(SUM(F83,G83,H83,J83,K83,M83,N83)&gt;0,IF(Table2613513[[#This Row],[Column5]]="medium",P2_Min_OST_Throughput_Requirements,0),0)</f>
        <v>0</v>
      </c>
      <c r="AE83" s="199">
        <f t="shared" si="35"/>
        <v>0</v>
      </c>
      <c r="AF83" s="199">
        <f t="shared" si="36"/>
        <v>0</v>
      </c>
      <c r="AG83" s="199">
        <f>IF(SUM(F83,G83,H83,J83,K83,M83,N83)&gt;0,IF(Table2613513[[#This Row],[Column5]]="heavy",P3_Min_OST_Throughput_Requirements,0),0)</f>
        <v>0</v>
      </c>
      <c r="AH83" s="199">
        <f t="shared" si="37"/>
        <v>0</v>
      </c>
      <c r="AI83" s="199">
        <f t="shared" si="38"/>
        <v>0</v>
      </c>
      <c r="AJ83" s="199">
        <f>IF(SUM(F83,G83,H83,J83,K83,M83,N83)&gt;0,IF(Table2613513[[#This Row],[Column5]]="very heavy",P4_Min_OST_Throughput_Requirements,0),0)</f>
        <v>0</v>
      </c>
    </row>
    <row r="84" spans="2:36" s="176" customFormat="1" hidden="1" outlineLevel="1">
      <c r="B84" s="86" t="s">
        <v>244</v>
      </c>
      <c r="C84" s="87" t="s">
        <v>121</v>
      </c>
      <c r="D84" s="221" t="s">
        <v>303</v>
      </c>
      <c r="E84" s="88">
        <v>1</v>
      </c>
      <c r="F84" s="177"/>
      <c r="G84" s="177"/>
      <c r="H84" s="177"/>
      <c r="I84" s="177"/>
      <c r="J84" s="177"/>
      <c r="K84" s="177"/>
      <c r="L84" s="177"/>
      <c r="M84" s="177"/>
      <c r="N84" s="177"/>
      <c r="O84" s="177"/>
      <c r="P84" s="177"/>
      <c r="Q84" s="177"/>
      <c r="R84" s="177"/>
      <c r="S84" s="177"/>
      <c r="T84" s="189">
        <f t="shared" si="28"/>
        <v>0</v>
      </c>
      <c r="U84" s="95" t="str">
        <f t="shared" si="39"/>
        <v>-</v>
      </c>
      <c r="V84" s="96" t="str">
        <f t="shared" si="40"/>
        <v>-</v>
      </c>
      <c r="W84" s="202" t="str">
        <f t="shared" si="29"/>
        <v>-</v>
      </c>
      <c r="X84" s="190" t="str">
        <f t="shared" si="30"/>
        <v>-</v>
      </c>
      <c r="Y84" s="200">
        <f t="shared" si="31"/>
        <v>0</v>
      </c>
      <c r="Z84" s="200">
        <f t="shared" si="32"/>
        <v>0</v>
      </c>
      <c r="AA84" s="201">
        <f t="shared" si="41"/>
        <v>0</v>
      </c>
      <c r="AB84" s="200">
        <f t="shared" si="33"/>
        <v>0</v>
      </c>
      <c r="AC84" s="200">
        <f t="shared" si="34"/>
        <v>0</v>
      </c>
      <c r="AD84" s="201">
        <f>IF(SUM(F84,G84,H84,J84,K84,M84,N84)&gt;0,IF(Table2613513[[#This Row],[Column5]]="medium",P2_Min_OST_Throughput_Requirements,0),0)</f>
        <v>0</v>
      </c>
      <c r="AE84" s="199">
        <f t="shared" si="35"/>
        <v>0</v>
      </c>
      <c r="AF84" s="199">
        <f t="shared" si="36"/>
        <v>0</v>
      </c>
      <c r="AG84" s="199">
        <f>IF(SUM(F84,G84,H84,J84,K84,M84,N84)&gt;0,IF(Table2613513[[#This Row],[Column5]]="heavy",P3_Min_OST_Throughput_Requirements,0),0)</f>
        <v>0</v>
      </c>
      <c r="AH84" s="199">
        <f t="shared" si="37"/>
        <v>0</v>
      </c>
      <c r="AI84" s="199">
        <f t="shared" si="38"/>
        <v>0</v>
      </c>
      <c r="AJ84" s="199">
        <f>IF(SUM(F84,G84,H84,J84,K84,M84,N84)&gt;0,IF(Table2613513[[#This Row],[Column5]]="very heavy",P4_Min_OST_Throughput_Requirements,0),0)</f>
        <v>0</v>
      </c>
    </row>
    <row r="85" spans="2:36" s="176" customFormat="1" hidden="1" outlineLevel="1">
      <c r="B85" s="86" t="s">
        <v>245</v>
      </c>
      <c r="C85" s="87" t="s">
        <v>121</v>
      </c>
      <c r="D85" s="221" t="s">
        <v>303</v>
      </c>
      <c r="E85" s="88">
        <v>1</v>
      </c>
      <c r="F85" s="177"/>
      <c r="G85" s="177"/>
      <c r="H85" s="177"/>
      <c r="I85" s="177"/>
      <c r="J85" s="177"/>
      <c r="K85" s="177"/>
      <c r="L85" s="177"/>
      <c r="M85" s="177"/>
      <c r="N85" s="177"/>
      <c r="O85" s="177"/>
      <c r="P85" s="177"/>
      <c r="Q85" s="177"/>
      <c r="R85" s="177"/>
      <c r="S85" s="177"/>
      <c r="T85" s="189">
        <f t="shared" si="28"/>
        <v>0</v>
      </c>
      <c r="U85" s="95" t="str">
        <f t="shared" si="39"/>
        <v>-</v>
      </c>
      <c r="V85" s="96" t="str">
        <f t="shared" si="40"/>
        <v>-</v>
      </c>
      <c r="W85" s="202" t="str">
        <f t="shared" si="29"/>
        <v>-</v>
      </c>
      <c r="X85" s="190" t="str">
        <f t="shared" si="30"/>
        <v>-</v>
      </c>
      <c r="Y85" s="200">
        <f t="shared" si="31"/>
        <v>0</v>
      </c>
      <c r="Z85" s="200">
        <f t="shared" si="32"/>
        <v>0</v>
      </c>
      <c r="AA85" s="201">
        <f t="shared" si="41"/>
        <v>0</v>
      </c>
      <c r="AB85" s="200">
        <f t="shared" si="33"/>
        <v>0</v>
      </c>
      <c r="AC85" s="200">
        <f t="shared" si="34"/>
        <v>0</v>
      </c>
      <c r="AD85" s="201">
        <f>IF(SUM(F85,G85,H85,J85,K85,M85,N85)&gt;0,IF(Table2613513[[#This Row],[Column5]]="medium",P2_Min_OST_Throughput_Requirements,0),0)</f>
        <v>0</v>
      </c>
      <c r="AE85" s="199">
        <f t="shared" si="35"/>
        <v>0</v>
      </c>
      <c r="AF85" s="199">
        <f t="shared" si="36"/>
        <v>0</v>
      </c>
      <c r="AG85" s="199">
        <f>IF(SUM(F85,G85,H85,J85,K85,M85,N85)&gt;0,IF(Table2613513[[#This Row],[Column5]]="heavy",P3_Min_OST_Throughput_Requirements,0),0)</f>
        <v>0</v>
      </c>
      <c r="AH85" s="199">
        <f t="shared" si="37"/>
        <v>0</v>
      </c>
      <c r="AI85" s="199">
        <f t="shared" si="38"/>
        <v>0</v>
      </c>
      <c r="AJ85" s="199">
        <f>IF(SUM(F85,G85,H85,J85,K85,M85,N85)&gt;0,IF(Table2613513[[#This Row],[Column5]]="very heavy",P4_Min_OST_Throughput_Requirements,0),0)</f>
        <v>0</v>
      </c>
    </row>
    <row r="86" spans="2:36" s="176" customFormat="1" hidden="1" outlineLevel="1">
      <c r="B86" s="86" t="s">
        <v>246</v>
      </c>
      <c r="C86" s="87" t="s">
        <v>121</v>
      </c>
      <c r="D86" s="221" t="s">
        <v>303</v>
      </c>
      <c r="E86" s="88">
        <v>1</v>
      </c>
      <c r="F86" s="177"/>
      <c r="G86" s="177"/>
      <c r="H86" s="177"/>
      <c r="I86" s="177"/>
      <c r="J86" s="177"/>
      <c r="K86" s="177"/>
      <c r="L86" s="177"/>
      <c r="M86" s="177"/>
      <c r="N86" s="177"/>
      <c r="O86" s="177"/>
      <c r="P86" s="177"/>
      <c r="Q86" s="177"/>
      <c r="R86" s="177"/>
      <c r="S86" s="177"/>
      <c r="T86" s="189">
        <f t="shared" si="28"/>
        <v>0</v>
      </c>
      <c r="U86" s="95" t="str">
        <f t="shared" si="39"/>
        <v>-</v>
      </c>
      <c r="V86" s="96" t="str">
        <f t="shared" si="40"/>
        <v>-</v>
      </c>
      <c r="W86" s="202" t="str">
        <f t="shared" si="29"/>
        <v>-</v>
      </c>
      <c r="X86" s="190" t="str">
        <f t="shared" si="30"/>
        <v>-</v>
      </c>
      <c r="Y86" s="200">
        <f t="shared" si="31"/>
        <v>0</v>
      </c>
      <c r="Z86" s="200">
        <f t="shared" si="32"/>
        <v>0</v>
      </c>
      <c r="AA86" s="201">
        <f t="shared" si="41"/>
        <v>0</v>
      </c>
      <c r="AB86" s="200">
        <f t="shared" si="33"/>
        <v>0</v>
      </c>
      <c r="AC86" s="200">
        <f t="shared" si="34"/>
        <v>0</v>
      </c>
      <c r="AD86" s="201">
        <f>IF(SUM(F86,G86,H86,J86,K86,M86,N86)&gt;0,IF(Table2613513[[#This Row],[Column5]]="medium",P2_Min_OST_Throughput_Requirements,0),0)</f>
        <v>0</v>
      </c>
      <c r="AE86" s="199">
        <f t="shared" si="35"/>
        <v>0</v>
      </c>
      <c r="AF86" s="199">
        <f t="shared" si="36"/>
        <v>0</v>
      </c>
      <c r="AG86" s="199">
        <f>IF(SUM(F86,G86,H86,J86,K86,M86,N86)&gt;0,IF(Table2613513[[#This Row],[Column5]]="heavy",P3_Min_OST_Throughput_Requirements,0),0)</f>
        <v>0</v>
      </c>
      <c r="AH86" s="199">
        <f t="shared" si="37"/>
        <v>0</v>
      </c>
      <c r="AI86" s="199">
        <f t="shared" si="38"/>
        <v>0</v>
      </c>
      <c r="AJ86" s="199">
        <f>IF(SUM(F86,G86,H86,J86,K86,M86,N86)&gt;0,IF(Table2613513[[#This Row],[Column5]]="very heavy",P4_Min_OST_Throughput_Requirements,0),0)</f>
        <v>0</v>
      </c>
    </row>
    <row r="87" spans="2:36" s="176" customFormat="1" hidden="1" outlineLevel="1">
      <c r="B87" s="86" t="s">
        <v>247</v>
      </c>
      <c r="C87" s="87" t="s">
        <v>121</v>
      </c>
      <c r="D87" s="221" t="s">
        <v>303</v>
      </c>
      <c r="E87" s="88">
        <v>1</v>
      </c>
      <c r="F87" s="177"/>
      <c r="G87" s="177"/>
      <c r="H87" s="177"/>
      <c r="I87" s="177"/>
      <c r="J87" s="177"/>
      <c r="K87" s="177"/>
      <c r="L87" s="177"/>
      <c r="M87" s="177"/>
      <c r="N87" s="177"/>
      <c r="O87" s="177"/>
      <c r="P87" s="177"/>
      <c r="Q87" s="177"/>
      <c r="R87" s="177"/>
      <c r="S87" s="177"/>
      <c r="T87" s="189">
        <f t="shared" si="28"/>
        <v>0</v>
      </c>
      <c r="U87" s="95" t="str">
        <f t="shared" si="39"/>
        <v>-</v>
      </c>
      <c r="V87" s="96" t="str">
        <f t="shared" si="40"/>
        <v>-</v>
      </c>
      <c r="W87" s="202" t="str">
        <f t="shared" si="29"/>
        <v>-</v>
      </c>
      <c r="X87" s="190" t="str">
        <f t="shared" si="30"/>
        <v>-</v>
      </c>
      <c r="Y87" s="200">
        <f t="shared" si="31"/>
        <v>0</v>
      </c>
      <c r="Z87" s="200">
        <f t="shared" si="32"/>
        <v>0</v>
      </c>
      <c r="AA87" s="201">
        <f t="shared" si="41"/>
        <v>0</v>
      </c>
      <c r="AB87" s="200">
        <f t="shared" si="33"/>
        <v>0</v>
      </c>
      <c r="AC87" s="200">
        <f t="shared" si="34"/>
        <v>0</v>
      </c>
      <c r="AD87" s="201">
        <f>IF(SUM(F87,G87,H87,J87,K87,M87,N87)&gt;0,IF(Table2613513[[#This Row],[Column5]]="medium",P2_Min_OST_Throughput_Requirements,0),0)</f>
        <v>0</v>
      </c>
      <c r="AE87" s="199">
        <f t="shared" si="35"/>
        <v>0</v>
      </c>
      <c r="AF87" s="199">
        <f t="shared" si="36"/>
        <v>0</v>
      </c>
      <c r="AG87" s="199">
        <f>IF(SUM(F87,G87,H87,J87,K87,M87,N87)&gt;0,IF(Table2613513[[#This Row],[Column5]]="heavy",P3_Min_OST_Throughput_Requirements,0),0)</f>
        <v>0</v>
      </c>
      <c r="AH87" s="199">
        <f t="shared" si="37"/>
        <v>0</v>
      </c>
      <c r="AI87" s="199">
        <f t="shared" si="38"/>
        <v>0</v>
      </c>
      <c r="AJ87" s="199">
        <f>IF(SUM(F87,G87,H87,J87,K87,M87,N87)&gt;0,IF(Table2613513[[#This Row],[Column5]]="very heavy",P4_Min_OST_Throughput_Requirements,0),0)</f>
        <v>0</v>
      </c>
    </row>
    <row r="88" spans="2:36" s="176" customFormat="1" hidden="1" outlineLevel="1">
      <c r="B88" s="86" t="s">
        <v>248</v>
      </c>
      <c r="C88" s="87" t="s">
        <v>121</v>
      </c>
      <c r="D88" s="221" t="s">
        <v>303</v>
      </c>
      <c r="E88" s="88">
        <v>1</v>
      </c>
      <c r="F88" s="177"/>
      <c r="G88" s="177"/>
      <c r="H88" s="177"/>
      <c r="I88" s="177"/>
      <c r="J88" s="177"/>
      <c r="K88" s="177"/>
      <c r="L88" s="177"/>
      <c r="M88" s="177"/>
      <c r="N88" s="177"/>
      <c r="O88" s="177"/>
      <c r="P88" s="177"/>
      <c r="Q88" s="177"/>
      <c r="R88" s="177"/>
      <c r="S88" s="177"/>
      <c r="T88" s="189">
        <f t="shared" si="28"/>
        <v>0</v>
      </c>
      <c r="U88" s="95" t="str">
        <f t="shared" si="39"/>
        <v>-</v>
      </c>
      <c r="V88" s="96" t="str">
        <f t="shared" si="40"/>
        <v>-</v>
      </c>
      <c r="W88" s="202" t="str">
        <f t="shared" si="29"/>
        <v>-</v>
      </c>
      <c r="X88" s="190" t="str">
        <f t="shared" si="30"/>
        <v>-</v>
      </c>
      <c r="Y88" s="200">
        <f t="shared" si="31"/>
        <v>0</v>
      </c>
      <c r="Z88" s="200">
        <f t="shared" si="32"/>
        <v>0</v>
      </c>
      <c r="AA88" s="201">
        <f t="shared" si="41"/>
        <v>0</v>
      </c>
      <c r="AB88" s="200">
        <f t="shared" si="33"/>
        <v>0</v>
      </c>
      <c r="AC88" s="200">
        <f t="shared" si="34"/>
        <v>0</v>
      </c>
      <c r="AD88" s="201">
        <f>IF(SUM(F88,G88,H88,J88,K88,M88,N88)&gt;0,IF(Table2613513[[#This Row],[Column5]]="medium",P2_Min_OST_Throughput_Requirements,0),0)</f>
        <v>0</v>
      </c>
      <c r="AE88" s="199">
        <f t="shared" si="35"/>
        <v>0</v>
      </c>
      <c r="AF88" s="199">
        <f t="shared" si="36"/>
        <v>0</v>
      </c>
      <c r="AG88" s="199">
        <f>IF(SUM(F88,G88,H88,J88,K88,M88,N88)&gt;0,IF(Table2613513[[#This Row],[Column5]]="heavy",P3_Min_OST_Throughput_Requirements,0),0)</f>
        <v>0</v>
      </c>
      <c r="AH88" s="199">
        <f t="shared" si="37"/>
        <v>0</v>
      </c>
      <c r="AI88" s="199">
        <f t="shared" si="38"/>
        <v>0</v>
      </c>
      <c r="AJ88" s="199">
        <f>IF(SUM(F88,G88,H88,J88,K88,M88,N88)&gt;0,IF(Table2613513[[#This Row],[Column5]]="very heavy",P4_Min_OST_Throughput_Requirements,0),0)</f>
        <v>0</v>
      </c>
    </row>
    <row r="89" spans="2:36" s="176" customFormat="1" hidden="1" outlineLevel="1">
      <c r="B89" s="86" t="s">
        <v>249</v>
      </c>
      <c r="C89" s="87" t="s">
        <v>121</v>
      </c>
      <c r="D89" s="221" t="s">
        <v>312</v>
      </c>
      <c r="E89" s="88">
        <v>1</v>
      </c>
      <c r="F89" s="177"/>
      <c r="G89" s="177"/>
      <c r="H89" s="177"/>
      <c r="I89" s="177"/>
      <c r="J89" s="177"/>
      <c r="K89" s="177"/>
      <c r="L89" s="177"/>
      <c r="M89" s="177"/>
      <c r="N89" s="177"/>
      <c r="O89" s="177"/>
      <c r="P89" s="177"/>
      <c r="Q89" s="177"/>
      <c r="R89" s="177"/>
      <c r="S89" s="177"/>
      <c r="T89" s="189">
        <f t="shared" si="28"/>
        <v>0</v>
      </c>
      <c r="U89" s="95" t="str">
        <f t="shared" si="39"/>
        <v>-</v>
      </c>
      <c r="V89" s="96" t="str">
        <f t="shared" si="40"/>
        <v>-</v>
      </c>
      <c r="W89" s="202" t="str">
        <f t="shared" si="29"/>
        <v>-</v>
      </c>
      <c r="X89" s="190" t="str">
        <f t="shared" si="30"/>
        <v>-</v>
      </c>
      <c r="Y89" s="200">
        <f t="shared" si="31"/>
        <v>0</v>
      </c>
      <c r="Z89" s="200">
        <f t="shared" si="32"/>
        <v>0</v>
      </c>
      <c r="AA89" s="201">
        <f t="shared" si="41"/>
        <v>0</v>
      </c>
      <c r="AB89" s="200">
        <f t="shared" si="33"/>
        <v>0</v>
      </c>
      <c r="AC89" s="200">
        <f t="shared" si="34"/>
        <v>0</v>
      </c>
      <c r="AD89" s="201">
        <f>IF(SUM(F89,G89,H89,J89,K89,M89,N89)&gt;0,IF(Table2613513[[#This Row],[Column5]]="medium",P2_Min_OST_Throughput_Requirements,0),0)</f>
        <v>0</v>
      </c>
      <c r="AE89" s="199">
        <f t="shared" si="35"/>
        <v>0</v>
      </c>
      <c r="AF89" s="199">
        <f t="shared" si="36"/>
        <v>0</v>
      </c>
      <c r="AG89" s="199">
        <f>IF(SUM(F89,G89,H89,J89,K89,M89,N89)&gt;0,IF(Table2613513[[#This Row],[Column5]]="heavy",P3_Min_OST_Throughput_Requirements,0),0)</f>
        <v>0</v>
      </c>
      <c r="AH89" s="199">
        <f t="shared" si="37"/>
        <v>0</v>
      </c>
      <c r="AI89" s="199">
        <f t="shared" si="38"/>
        <v>0</v>
      </c>
      <c r="AJ89" s="199">
        <f>IF(SUM(F89,G89,H89,J89,K89,M89,N89)&gt;0,IF(Table2613513[[#This Row],[Column5]]="very heavy",P4_Min_OST_Throughput_Requirements,0),0)</f>
        <v>0</v>
      </c>
    </row>
    <row r="90" spans="2:36" s="176" customFormat="1" hidden="1" outlineLevel="1">
      <c r="B90" s="86" t="s">
        <v>250</v>
      </c>
      <c r="C90" s="87" t="s">
        <v>121</v>
      </c>
      <c r="D90" s="221" t="s">
        <v>319</v>
      </c>
      <c r="E90" s="88">
        <v>1</v>
      </c>
      <c r="F90" s="177"/>
      <c r="G90" s="177"/>
      <c r="H90" s="177"/>
      <c r="I90" s="177"/>
      <c r="J90" s="177"/>
      <c r="K90" s="177"/>
      <c r="L90" s="177"/>
      <c r="M90" s="177"/>
      <c r="N90" s="177"/>
      <c r="O90" s="177"/>
      <c r="P90" s="177"/>
      <c r="Q90" s="177"/>
      <c r="R90" s="177"/>
      <c r="S90" s="177"/>
      <c r="T90" s="189">
        <f t="shared" si="28"/>
        <v>0</v>
      </c>
      <c r="U90" s="95" t="str">
        <f t="shared" si="39"/>
        <v>-</v>
      </c>
      <c r="V90" s="96" t="str">
        <f t="shared" si="40"/>
        <v>-</v>
      </c>
      <c r="W90" s="202" t="str">
        <f t="shared" si="29"/>
        <v>-</v>
      </c>
      <c r="X90" s="190" t="str">
        <f t="shared" si="30"/>
        <v>-</v>
      </c>
      <c r="Y90" s="200">
        <f t="shared" si="31"/>
        <v>0</v>
      </c>
      <c r="Z90" s="200">
        <f t="shared" si="32"/>
        <v>0</v>
      </c>
      <c r="AA90" s="201">
        <f t="shared" si="41"/>
        <v>0</v>
      </c>
      <c r="AB90" s="200">
        <f t="shared" si="33"/>
        <v>0</v>
      </c>
      <c r="AC90" s="200">
        <f t="shared" si="34"/>
        <v>0</v>
      </c>
      <c r="AD90" s="201">
        <f>IF(SUM(F90,G90,H90,J90,K90,M90,N90)&gt;0,IF(Table2613513[[#This Row],[Column5]]="medium",P2_Min_OST_Throughput_Requirements,0),0)</f>
        <v>0</v>
      </c>
      <c r="AE90" s="199">
        <f t="shared" si="35"/>
        <v>0</v>
      </c>
      <c r="AF90" s="199">
        <f t="shared" si="36"/>
        <v>0</v>
      </c>
      <c r="AG90" s="199">
        <f>IF(SUM(F90,G90,H90,J90,K90,M90,N90)&gt;0,IF(Table2613513[[#This Row],[Column5]]="heavy",P3_Min_OST_Throughput_Requirements,0),0)</f>
        <v>0</v>
      </c>
      <c r="AH90" s="199">
        <f t="shared" si="37"/>
        <v>0</v>
      </c>
      <c r="AI90" s="199">
        <f t="shared" si="38"/>
        <v>0</v>
      </c>
      <c r="AJ90" s="199">
        <f>IF(SUM(F90,G90,H90,J90,K90,M90,N90)&gt;0,IF(Table2613513[[#This Row],[Column5]]="very heavy",P4_Min_OST_Throughput_Requirements,0),0)</f>
        <v>0</v>
      </c>
    </row>
    <row r="91" spans="2:36" s="176" customFormat="1" hidden="1" outlineLevel="1">
      <c r="B91" s="86" t="s">
        <v>251</v>
      </c>
      <c r="C91" s="87" t="s">
        <v>121</v>
      </c>
      <c r="D91" s="221" t="s">
        <v>314</v>
      </c>
      <c r="E91" s="88">
        <v>1</v>
      </c>
      <c r="F91" s="177"/>
      <c r="G91" s="177"/>
      <c r="H91" s="177"/>
      <c r="I91" s="177"/>
      <c r="J91" s="177"/>
      <c r="K91" s="177"/>
      <c r="L91" s="177"/>
      <c r="M91" s="177"/>
      <c r="N91" s="177"/>
      <c r="O91" s="177"/>
      <c r="P91" s="177"/>
      <c r="Q91" s="177"/>
      <c r="R91" s="177"/>
      <c r="S91" s="177"/>
      <c r="T91" s="189">
        <f t="shared" si="28"/>
        <v>0</v>
      </c>
      <c r="U91" s="95" t="str">
        <f t="shared" si="39"/>
        <v>-</v>
      </c>
      <c r="V91" s="96" t="str">
        <f t="shared" si="40"/>
        <v>-</v>
      </c>
      <c r="W91" s="202" t="str">
        <f t="shared" si="29"/>
        <v>-</v>
      </c>
      <c r="X91" s="190" t="str">
        <f t="shared" si="30"/>
        <v>-</v>
      </c>
      <c r="Y91" s="200">
        <f t="shared" si="31"/>
        <v>0</v>
      </c>
      <c r="Z91" s="200">
        <f t="shared" si="32"/>
        <v>0</v>
      </c>
      <c r="AA91" s="201">
        <f t="shared" si="41"/>
        <v>0</v>
      </c>
      <c r="AB91" s="200">
        <f t="shared" si="33"/>
        <v>0</v>
      </c>
      <c r="AC91" s="200">
        <f t="shared" si="34"/>
        <v>0</v>
      </c>
      <c r="AD91" s="201">
        <f>IF(SUM(F91,G91,H91,J91,K91,M91,N91)&gt;0,IF(Table2613513[[#This Row],[Column5]]="medium",P2_Min_OST_Throughput_Requirements,0),0)</f>
        <v>0</v>
      </c>
      <c r="AE91" s="199">
        <f t="shared" si="35"/>
        <v>0</v>
      </c>
      <c r="AF91" s="199">
        <f t="shared" si="36"/>
        <v>0</v>
      </c>
      <c r="AG91" s="199">
        <f>IF(SUM(F91,G91,H91,J91,K91,M91,N91)&gt;0,IF(Table2613513[[#This Row],[Column5]]="heavy",P3_Min_OST_Throughput_Requirements,0),0)</f>
        <v>0</v>
      </c>
      <c r="AH91" s="199">
        <f t="shared" si="37"/>
        <v>0</v>
      </c>
      <c r="AI91" s="199">
        <f t="shared" si="38"/>
        <v>0</v>
      </c>
      <c r="AJ91" s="199">
        <f>IF(SUM(F91,G91,H91,J91,K91,M91,N91)&gt;0,IF(Table2613513[[#This Row],[Column5]]="very heavy",P4_Min_OST_Throughput_Requirements,0),0)</f>
        <v>0</v>
      </c>
    </row>
    <row r="92" spans="2:36" s="176" customFormat="1" hidden="1" outlineLevel="1">
      <c r="B92" s="86" t="s">
        <v>252</v>
      </c>
      <c r="C92" s="87" t="s">
        <v>121</v>
      </c>
      <c r="D92" s="221" t="s">
        <v>303</v>
      </c>
      <c r="E92" s="88">
        <v>1</v>
      </c>
      <c r="F92" s="177"/>
      <c r="G92" s="177"/>
      <c r="H92" s="177"/>
      <c r="I92" s="177"/>
      <c r="J92" s="177"/>
      <c r="K92" s="177"/>
      <c r="L92" s="177"/>
      <c r="M92" s="177"/>
      <c r="N92" s="177"/>
      <c r="O92" s="177"/>
      <c r="P92" s="177"/>
      <c r="Q92" s="177"/>
      <c r="R92" s="177"/>
      <c r="S92" s="177"/>
      <c r="T92" s="189">
        <f t="shared" si="28"/>
        <v>0</v>
      </c>
      <c r="U92" s="95" t="str">
        <f t="shared" si="39"/>
        <v>-</v>
      </c>
      <c r="V92" s="96" t="str">
        <f t="shared" si="40"/>
        <v>-</v>
      </c>
      <c r="W92" s="202" t="str">
        <f t="shared" si="29"/>
        <v>-</v>
      </c>
      <c r="X92" s="190" t="str">
        <f t="shared" si="30"/>
        <v>-</v>
      </c>
      <c r="Y92" s="200">
        <f t="shared" si="31"/>
        <v>0</v>
      </c>
      <c r="Z92" s="200">
        <f t="shared" si="32"/>
        <v>0</v>
      </c>
      <c r="AA92" s="201">
        <f t="shared" si="41"/>
        <v>0</v>
      </c>
      <c r="AB92" s="200">
        <f t="shared" si="33"/>
        <v>0</v>
      </c>
      <c r="AC92" s="200">
        <f t="shared" si="34"/>
        <v>0</v>
      </c>
      <c r="AD92" s="201">
        <f>IF(SUM(F92,G92,H92,J92,K92,M92,N92)&gt;0,IF(Table2613513[[#This Row],[Column5]]="medium",P2_Min_OST_Throughput_Requirements,0),0)</f>
        <v>0</v>
      </c>
      <c r="AE92" s="199">
        <f t="shared" si="35"/>
        <v>0</v>
      </c>
      <c r="AF92" s="199">
        <f t="shared" si="36"/>
        <v>0</v>
      </c>
      <c r="AG92" s="199">
        <f>IF(SUM(F92,G92,H92,J92,K92,M92,N92)&gt;0,IF(Table2613513[[#This Row],[Column5]]="heavy",P3_Min_OST_Throughput_Requirements,0),0)</f>
        <v>0</v>
      </c>
      <c r="AH92" s="199">
        <f t="shared" si="37"/>
        <v>0</v>
      </c>
      <c r="AI92" s="199">
        <f t="shared" si="38"/>
        <v>0</v>
      </c>
      <c r="AJ92" s="199">
        <f>IF(SUM(F92,G92,H92,J92,K92,M92,N92)&gt;0,IF(Table2613513[[#This Row],[Column5]]="very heavy",P4_Min_OST_Throughput_Requirements,0),0)</f>
        <v>0</v>
      </c>
    </row>
    <row r="93" spans="2:36" s="176" customFormat="1" hidden="1" outlineLevel="1">
      <c r="B93" s="86" t="s">
        <v>253</v>
      </c>
      <c r="C93" s="87" t="s">
        <v>121</v>
      </c>
      <c r="D93" s="221" t="s">
        <v>303</v>
      </c>
      <c r="E93" s="88">
        <v>1</v>
      </c>
      <c r="F93" s="177"/>
      <c r="G93" s="177"/>
      <c r="H93" s="177"/>
      <c r="I93" s="177"/>
      <c r="J93" s="177"/>
      <c r="K93" s="177"/>
      <c r="L93" s="177"/>
      <c r="M93" s="177"/>
      <c r="N93" s="177"/>
      <c r="O93" s="177"/>
      <c r="P93" s="177"/>
      <c r="Q93" s="177"/>
      <c r="R93" s="177"/>
      <c r="S93" s="177"/>
      <c r="T93" s="189">
        <f t="shared" ref="T93:T107" si="42">SUM(F93:S93)</f>
        <v>0</v>
      </c>
      <c r="U93" s="95" t="str">
        <f t="shared" si="39"/>
        <v>-</v>
      </c>
      <c r="V93" s="96" t="str">
        <f t="shared" si="40"/>
        <v>-</v>
      </c>
      <c r="W93" s="202" t="str">
        <f t="shared" ref="W93:W107" si="43">IF(MAX(I93,L93,O93,M93,N93)&gt;0,110,IF(MAX(F93,G93,H93,J93,K93,P93,Q93)&gt;0,320,IF(MAX(G93:S93)&gt;0,500,"-")))</f>
        <v>-</v>
      </c>
      <c r="X93" s="190" t="str">
        <f t="shared" ref="X93:X107" si="44">IF(SUM(F93:S93)&gt;0,((F93*Outlook_2011__EWS__TCP)+(G93*Outlook_2010__OA_Cached__TCP)+(H93*Outlook_2010__MAPI_Cached__TCP)+(I93*Outlook_2010__MAPI_Online__TCP)+(J93*Outlook_2007__OA_Cached__TCP)+(K93*Outlook_2007__MAPI_Cached__TCP)+(L93*Outlook_2007__MAPI_Online__TCP)+(M93*Outlook_2003__OA_Cached__TCP)+(N93*Outlook_2003__MAPI_Cached__TCP)+(O93*Outlook_2003__MAPI_Online__TCP)+(P93*OWA_2010_TCP)+(Q93*OWA_2007_TCP)+(R93*Windows_Phone_7.x_TCP)+(S93*Windows_Mobile_6.x_TCP))*E93*1.2,"-")</f>
        <v>-</v>
      </c>
      <c r="Y93" s="200">
        <f t="shared" ref="Y93:Y107" si="45">IF(C93="light",IF(SUM(F93:S93)&gt;0,(((((G93*E93*P1_Outlook_2010__OA_Cached__Received)+(S93*E93*P1_Windows_Mobile_6.x_Received)+(H93*E93*P1_Outlook_2010__MAPI_Cached__Received)+(I93*E93*P1_Outlook_2010__MAPI_Online__Received)+(J93*E93*P1_Outlook_2007__OA_Cached__Received)+(K93*E93*P1_Outlook_2007__MAPI_Cached__Received)+(L93*E93*P1_Outlook_2007__MAPI_Online__Received)+(N93*E93*P1_Outlook_2003__MAPI_Cached__Received)+(O93*E93*P1_Outlook_2003__MAPI_Online__Received)+(R93*E93*P1_Windows_Phone_7.x_Received)+(M93*E93*P1_Outlook_2003__OA_Cached__Received)+(P93*E93*P1_OWA_2010_Received)+(Q93*E93*P1_OWA_2007_Received)+(F93*E93*P1_Outlook_2011__EWS__Received))))),0),0)</f>
        <v>0</v>
      </c>
      <c r="Z93" s="200">
        <f t="shared" ref="Z93:Z107" si="46">IF(C93="light",IF(SUM(F93:S93)&gt;0,(((((G93*E93*P1_Outlook_2010__OA_Cached__Sent)+(S93*E93*P1_Windows_Mobile_6.x_Sent)+(H93*E93*P1_Outlook_2010__MAPI_Cached__Sent)+(I93*E93*P1_Outlook_2010__MAPI_Online__Sent)+(J93*E93*P1_Outlook_2007__OA_Cached__Sent)+(K93*E93*P1_Outlook_2007__MAPI_Cached__Sent)+(L93*E93*P1_Outlook_2007__MAPI_Online__Sent)+(N93*E93*P1_Outlook_2003__MAPI_Cached__Sent)+(O93*E93*P1_Outlook_2003__MAPI_Online__Sent)+(R93*E93*P1_Windows_Phone_7.x_Sent)+(M93*E93*P1_Outlook_2003__OA_Cached__Sent)+(P93*E93*P1_OWA_2010_Sent)+(Q93*E93*P1_OWA_2007_Sent)+(F93*E93*P1_Outlook_2011__EWS__Sent))))),0),0)</f>
        <v>0</v>
      </c>
      <c r="AA93" s="201">
        <f t="shared" si="41"/>
        <v>0</v>
      </c>
      <c r="AB93" s="200">
        <f t="shared" ref="AB93:AB107" si="47">IF(C93="medium",IF(SUM(F93:S93)&gt;0,(((((G93*E93*P2_Outlook_2010__OA_Cached__Received)+(S93*E93*P2_Windows_Mobile_6.x_Received)+(H93*E93*P2_Outlook_2010__MAPI_Cached__Received)+(I93*E93*P2_Outlook_2010__MAPI_Online__Received)+(J93*E93*P2_Outlook_2007__OA_Cached__Received)+(K93*E93*P2_Outlook_2007__MAPI_Cached__Received)+(L93*E93*P2_Outlook_2007__MAPI_Online__Received)+(N93*E93*P2_Outlook_2003__MAPI_Cached__Received)+(O93*E93*P2_Outlook_2003__MAPI_Online__Received)+(R93*E93*P2_Windows_Phone_7.x_Received)+(M93*E93*P2_Outlook_2003__OA_Cached__Received)+(P93*E93*P2_OWA_2010_Received)+(Q93*E93*P2_OWA_2007_Received)+(F93*E93*P2_Outlook_2011__EWS__Received))))),0),0)</f>
        <v>0</v>
      </c>
      <c r="AC93" s="200">
        <f t="shared" ref="AC93:AC107" si="48">IF(C93="medium",IF(SUM(F93:S93)&gt;0,(((((G93*E93*P2_Outlook_2010__OA_Cached__Sent)+(S93*E93*P2_Windows_Mobile_6.x_Sent)+(H93*E93*P2_Outlook_2010__MAPI_Cached__Sent)+(I93*E93*P2_Outlook_2010__MAPI_Online__Sent)+(J93*E93*P2_Outlook_2007__OA_Cached__Sent)+(K93*E93*P2_Outlook_2007__MAPI_Cached__Sent)+(L93*E93*P2_Outlook_2007__MAPI_Online__Sent)+(N93*E93*P2_Outlook_2003__MAPI_Cached__Sent)+(O93*E93*P2_Outlook_2003__MAPI_Online__Sent)+(R93*E93*P2_Windows_Phone_7.x_Sent)+(M93*E93*P2_Outlook_2003__OA_Cached__Sent)+(P93*E93*P2_OWA_2010_Sent)+(Q93*E93*P2_OWA_2007_Sent)+(F93*E93*P2_Outlook_2011__EWS__Sent))))),0),0)</f>
        <v>0</v>
      </c>
      <c r="AD93" s="201">
        <f>IF(SUM(F93,G93,H93,J93,K93,M93,N93)&gt;0,IF(Table2613513[[#This Row],[Column5]]="medium",P2_Min_OST_Throughput_Requirements,0),0)</f>
        <v>0</v>
      </c>
      <c r="AE93" s="199">
        <f t="shared" ref="AE93:AE107" si="49">IF(C93="heavy",IF(SUM(F93:S93)&gt;0,(((((G93*E93*P3_Outlook_2010__OA_Cached__Received)+(S93*E93*P3_Windows_Mobile_6.x_Received)+(H93*E93*P3_Outlook_2010__MAPI_Cached__Received)+(I93*E93*P3_Outlook_2010__MAPI_Online__Received)+(J93*E93*P3_Outlook_2007__OA_Cached__Received)+(K93*E93*P3_Outlook_2007__MAPI_Cached__Received)+(L93*E93*P3_Outlook_2007__MAPI_Online__Received)+(N93*E93*P3_Outlook_2003__MAPI_Cached__Received)+(O93*E93*P3_Outlook_2003__MAPI_Online__Received)+(R93*E93*P3_Windows_Phone_7.x_Received)+(M93*E93*P3_Outlook_2003__OA_Cached__Received)+(P93*E93*P3_OWA_2010_Received)+(Q93*E93*P3_OWA_2007_Received)+(F93*E93*P3_Outlook_2011__EWS__Received))))),0),0)</f>
        <v>0</v>
      </c>
      <c r="AF93" s="199">
        <f t="shared" ref="AF93:AF107" si="50">IF(C93="heavy",IF(SUM(F93:S93)&gt;0,(((((G93*E93*P3_Outlook_2010__OA_Cached__Sent)+(S93*E93*P3_Windows_Mobile_6.x_Sent)+(H93*E93*P3_Outlook_2010__MAPI_Cached__Sent)+(I93*E93*P3_Outlook_2010__MAPI_Online__Sent)+(J93*E93*P3_Outlook_2007__OA_Cached__Sent)+(K93*E93*P3_Outlook_2007__MAPI_Cached__Sent)+(L93*E93*P3_Outlook_2007__MAPI_Online__Sent)+(N93*E93*P3_Outlook_2003__MAPI_Cached__Sent)+(O93*E93*P3_Outlook_2003__MAPI_Online__Sent)+(R93*E93*P3_Windows_Phone_7.x_Sent)+(M93*E93*P3_Outlook_2003__OA_Cached__Sent)+(P93*E93*P3_OWA_2010_Sent)+(Q93*E93*P3_OWA_2007_Sent)+(F93*E93*P3_Outlook_2011__EWS__Sent))))),0),0)</f>
        <v>0</v>
      </c>
      <c r="AG93" s="199">
        <f>IF(SUM(F93,G93,H93,J93,K93,M93,N93)&gt;0,IF(Table2613513[[#This Row],[Column5]]="heavy",P3_Min_OST_Throughput_Requirements,0),0)</f>
        <v>0</v>
      </c>
      <c r="AH93" s="199">
        <f t="shared" ref="AH93:AH107" si="51">IF(C93="very heavy",IF(SUM(F93:S93)&gt;0,(((((G93*E93*P4_Outlook_2010__OA_Cached__Received)+(S93*E93*P4_Windows_Mobile_6.x_Received)+(H93*E93*P4_Outlook_2010__MAPI_Cached__Received)+(I93*E93*P4_Outlook_2010__MAPI_Online__Received)+(J93*E93*P4_Outlook_2007__OA_Cached__Received)+(K93*E93*P4_Outlook_2007__MAPI_Cached__Received)+(L93*E93*P4_Outlook_2007__MAPI_Online__Received)+(N93*E93*P4_Outlook_2003__MAPI_Cached__Received)+(O93*E93*P4_Outlook_2003__MAPI_Online__Received)+(R93*E93*P4_Windows_Phone_7.x_Received)+(M93*E93*P4_Outlook_2003__OA_Cached__Received)+(P93*E93*P4_OWA_2010_Received)+(Q93*E93*P4_OWA_2007_Received)+(F93*E93*P4_Outlook_2011__EWS__Received))))),0),0)</f>
        <v>0</v>
      </c>
      <c r="AI93" s="199">
        <f t="shared" ref="AI93:AI107" si="52">IF(C93="very heavy",IF(SUM(F93:S93)&gt;0,(((((G93*E93*P4_Outlook_2010__OA_Cached__Sent)+(S93*E93*P4_Windows_Mobile_6.x_Sent)+(H93*E93*P4_Outlook_2010__MAPI_Cached__Sent)+(I93*E93*P4_Outlook_2010__MAPI_Online__Sent)+(J93*E93*P4_Outlook_2007__OA_Cached__Sent)+(K93*E93*P4_Outlook_2007__MAPI_Cached__Sent)+(L93*E93*P4_Outlook_2007__MAPI_Online__Sent)+(N93*E93*P4_Outlook_2003__MAPI_Cached__Sent)+(O93*E93*P4_Outlook_2003__MAPI_Online__Sent)+(R93*E93*P4_Windows_Phone_7.x_Sent)+(M93*E93*P4_Outlook_2003__OA_Cached__Sent)+(P93*E93*P4_OWA_2010_Sent)+(Q93*E93*P4_OWA_2007_Sent)+(F93*E93*P4_Outlook_2011__EWS__Sent))))),0),0)</f>
        <v>0</v>
      </c>
      <c r="AJ93" s="199">
        <f>IF(SUM(F93,G93,H93,J93,K93,M93,N93)&gt;0,IF(Table2613513[[#This Row],[Column5]]="very heavy",P4_Min_OST_Throughput_Requirements,0),0)</f>
        <v>0</v>
      </c>
    </row>
    <row r="94" spans="2:36" s="176" customFormat="1" hidden="1" outlineLevel="1">
      <c r="B94" s="86" t="s">
        <v>254</v>
      </c>
      <c r="C94" s="87" t="s">
        <v>121</v>
      </c>
      <c r="D94" s="221" t="s">
        <v>303</v>
      </c>
      <c r="E94" s="88">
        <v>1</v>
      </c>
      <c r="F94" s="177"/>
      <c r="G94" s="177"/>
      <c r="H94" s="177"/>
      <c r="I94" s="177"/>
      <c r="J94" s="177"/>
      <c r="K94" s="177"/>
      <c r="L94" s="177"/>
      <c r="M94" s="177"/>
      <c r="N94" s="177"/>
      <c r="O94" s="177"/>
      <c r="P94" s="177"/>
      <c r="Q94" s="177"/>
      <c r="R94" s="177"/>
      <c r="S94" s="177"/>
      <c r="T94" s="189">
        <f t="shared" si="42"/>
        <v>0</v>
      </c>
      <c r="U94" s="95" t="str">
        <f t="shared" si="39"/>
        <v>-</v>
      </c>
      <c r="V94" s="96" t="str">
        <f t="shared" si="40"/>
        <v>-</v>
      </c>
      <c r="W94" s="202" t="str">
        <f t="shared" si="43"/>
        <v>-</v>
      </c>
      <c r="X94" s="190" t="str">
        <f t="shared" si="44"/>
        <v>-</v>
      </c>
      <c r="Y94" s="200">
        <f t="shared" si="45"/>
        <v>0</v>
      </c>
      <c r="Z94" s="200">
        <f t="shared" si="46"/>
        <v>0</v>
      </c>
      <c r="AA94" s="201">
        <f t="shared" si="41"/>
        <v>0</v>
      </c>
      <c r="AB94" s="200">
        <f t="shared" si="47"/>
        <v>0</v>
      </c>
      <c r="AC94" s="200">
        <f t="shared" si="48"/>
        <v>0</v>
      </c>
      <c r="AD94" s="201">
        <f>IF(SUM(F94,G94,H94,J94,K94,M94,N94)&gt;0,IF(Table2613513[[#This Row],[Column5]]="medium",P2_Min_OST_Throughput_Requirements,0),0)</f>
        <v>0</v>
      </c>
      <c r="AE94" s="199">
        <f t="shared" si="49"/>
        <v>0</v>
      </c>
      <c r="AF94" s="199">
        <f t="shared" si="50"/>
        <v>0</v>
      </c>
      <c r="AG94" s="199">
        <f>IF(SUM(F94,G94,H94,J94,K94,M94,N94)&gt;0,IF(Table2613513[[#This Row],[Column5]]="heavy",P3_Min_OST_Throughput_Requirements,0),0)</f>
        <v>0</v>
      </c>
      <c r="AH94" s="199">
        <f t="shared" si="51"/>
        <v>0</v>
      </c>
      <c r="AI94" s="199">
        <f t="shared" si="52"/>
        <v>0</v>
      </c>
      <c r="AJ94" s="199">
        <f>IF(SUM(F94,G94,H94,J94,K94,M94,N94)&gt;0,IF(Table2613513[[#This Row],[Column5]]="very heavy",P4_Min_OST_Throughput_Requirements,0),0)</f>
        <v>0</v>
      </c>
    </row>
    <row r="95" spans="2:36" s="176" customFormat="1" hidden="1" outlineLevel="1">
      <c r="B95" s="86" t="s">
        <v>255</v>
      </c>
      <c r="C95" s="87" t="s">
        <v>121</v>
      </c>
      <c r="D95" s="221" t="s">
        <v>303</v>
      </c>
      <c r="E95" s="88">
        <v>1</v>
      </c>
      <c r="F95" s="177"/>
      <c r="G95" s="177"/>
      <c r="H95" s="177"/>
      <c r="I95" s="177"/>
      <c r="J95" s="177"/>
      <c r="K95" s="177"/>
      <c r="L95" s="177"/>
      <c r="M95" s="177"/>
      <c r="N95" s="177"/>
      <c r="O95" s="177"/>
      <c r="P95" s="177"/>
      <c r="Q95" s="177"/>
      <c r="R95" s="177"/>
      <c r="S95" s="177"/>
      <c r="T95" s="189">
        <f t="shared" si="42"/>
        <v>0</v>
      </c>
      <c r="U95" s="95" t="str">
        <f t="shared" si="39"/>
        <v>-</v>
      </c>
      <c r="V95" s="96" t="str">
        <f t="shared" si="40"/>
        <v>-</v>
      </c>
      <c r="W95" s="202" t="str">
        <f t="shared" si="43"/>
        <v>-</v>
      </c>
      <c r="X95" s="190" t="str">
        <f t="shared" si="44"/>
        <v>-</v>
      </c>
      <c r="Y95" s="200">
        <f t="shared" si="45"/>
        <v>0</v>
      </c>
      <c r="Z95" s="200">
        <f t="shared" si="46"/>
        <v>0</v>
      </c>
      <c r="AA95" s="201">
        <f t="shared" si="41"/>
        <v>0</v>
      </c>
      <c r="AB95" s="200">
        <f t="shared" si="47"/>
        <v>0</v>
      </c>
      <c r="AC95" s="200">
        <f t="shared" si="48"/>
        <v>0</v>
      </c>
      <c r="AD95" s="201">
        <f>IF(SUM(F95,G95,H95,J95,K95,M95,N95)&gt;0,IF(Table2613513[[#This Row],[Column5]]="medium",P2_Min_OST_Throughput_Requirements,0),0)</f>
        <v>0</v>
      </c>
      <c r="AE95" s="199">
        <f t="shared" si="49"/>
        <v>0</v>
      </c>
      <c r="AF95" s="199">
        <f t="shared" si="50"/>
        <v>0</v>
      </c>
      <c r="AG95" s="199">
        <f>IF(SUM(F95,G95,H95,J95,K95,M95,N95)&gt;0,IF(Table2613513[[#This Row],[Column5]]="heavy",P3_Min_OST_Throughput_Requirements,0),0)</f>
        <v>0</v>
      </c>
      <c r="AH95" s="199">
        <f t="shared" si="51"/>
        <v>0</v>
      </c>
      <c r="AI95" s="199">
        <f t="shared" si="52"/>
        <v>0</v>
      </c>
      <c r="AJ95" s="199">
        <f>IF(SUM(F95,G95,H95,J95,K95,M95,N95)&gt;0,IF(Table2613513[[#This Row],[Column5]]="very heavy",P4_Min_OST_Throughput_Requirements,0),0)</f>
        <v>0</v>
      </c>
    </row>
    <row r="96" spans="2:36" s="176" customFormat="1" hidden="1" outlineLevel="1">
      <c r="B96" s="86" t="s">
        <v>256</v>
      </c>
      <c r="C96" s="87" t="s">
        <v>121</v>
      </c>
      <c r="D96" s="221" t="s">
        <v>303</v>
      </c>
      <c r="E96" s="88">
        <v>1</v>
      </c>
      <c r="F96" s="177"/>
      <c r="G96" s="177"/>
      <c r="H96" s="177"/>
      <c r="I96" s="177"/>
      <c r="J96" s="177"/>
      <c r="K96" s="177"/>
      <c r="L96" s="177"/>
      <c r="M96" s="177"/>
      <c r="N96" s="177"/>
      <c r="O96" s="177"/>
      <c r="P96" s="177"/>
      <c r="Q96" s="177"/>
      <c r="R96" s="177"/>
      <c r="S96" s="177"/>
      <c r="T96" s="189">
        <f t="shared" si="42"/>
        <v>0</v>
      </c>
      <c r="U96" s="95" t="str">
        <f t="shared" si="39"/>
        <v>-</v>
      </c>
      <c r="V96" s="96" t="str">
        <f t="shared" si="40"/>
        <v>-</v>
      </c>
      <c r="W96" s="202" t="str">
        <f t="shared" si="43"/>
        <v>-</v>
      </c>
      <c r="X96" s="190" t="str">
        <f t="shared" si="44"/>
        <v>-</v>
      </c>
      <c r="Y96" s="200">
        <f t="shared" si="45"/>
        <v>0</v>
      </c>
      <c r="Z96" s="200">
        <f t="shared" si="46"/>
        <v>0</v>
      </c>
      <c r="AA96" s="201">
        <f t="shared" si="41"/>
        <v>0</v>
      </c>
      <c r="AB96" s="200">
        <f t="shared" si="47"/>
        <v>0</v>
      </c>
      <c r="AC96" s="200">
        <f t="shared" si="48"/>
        <v>0</v>
      </c>
      <c r="AD96" s="201">
        <f>IF(SUM(F96,G96,H96,J96,K96,M96,N96)&gt;0,IF(Table2613513[[#This Row],[Column5]]="medium",P2_Min_OST_Throughput_Requirements,0),0)</f>
        <v>0</v>
      </c>
      <c r="AE96" s="199">
        <f t="shared" si="49"/>
        <v>0</v>
      </c>
      <c r="AF96" s="199">
        <f t="shared" si="50"/>
        <v>0</v>
      </c>
      <c r="AG96" s="199">
        <f>IF(SUM(F96,G96,H96,J96,K96,M96,N96)&gt;0,IF(Table2613513[[#This Row],[Column5]]="heavy",P3_Min_OST_Throughput_Requirements,0),0)</f>
        <v>0</v>
      </c>
      <c r="AH96" s="199">
        <f t="shared" si="51"/>
        <v>0</v>
      </c>
      <c r="AI96" s="199">
        <f t="shared" si="52"/>
        <v>0</v>
      </c>
      <c r="AJ96" s="199">
        <f>IF(SUM(F96,G96,H96,J96,K96,M96,N96)&gt;0,IF(Table2613513[[#This Row],[Column5]]="very heavy",P4_Min_OST_Throughput_Requirements,0),0)</f>
        <v>0</v>
      </c>
    </row>
    <row r="97" spans="2:39" s="176" customFormat="1" hidden="1" outlineLevel="1">
      <c r="B97" s="86" t="s">
        <v>257</v>
      </c>
      <c r="C97" s="87" t="s">
        <v>121</v>
      </c>
      <c r="D97" s="221" t="s">
        <v>303</v>
      </c>
      <c r="E97" s="88">
        <v>1</v>
      </c>
      <c r="F97" s="177"/>
      <c r="G97" s="177"/>
      <c r="H97" s="177"/>
      <c r="I97" s="177"/>
      <c r="J97" s="177"/>
      <c r="K97" s="177"/>
      <c r="L97" s="177"/>
      <c r="M97" s="177"/>
      <c r="N97" s="177"/>
      <c r="O97" s="177"/>
      <c r="P97" s="177"/>
      <c r="Q97" s="177"/>
      <c r="R97" s="177"/>
      <c r="S97" s="177"/>
      <c r="T97" s="189">
        <f t="shared" si="42"/>
        <v>0</v>
      </c>
      <c r="U97" s="95" t="str">
        <f t="shared" si="39"/>
        <v>-</v>
      </c>
      <c r="V97" s="96" t="str">
        <f t="shared" si="40"/>
        <v>-</v>
      </c>
      <c r="W97" s="202" t="str">
        <f t="shared" si="43"/>
        <v>-</v>
      </c>
      <c r="X97" s="190" t="str">
        <f t="shared" si="44"/>
        <v>-</v>
      </c>
      <c r="Y97" s="200">
        <f t="shared" si="45"/>
        <v>0</v>
      </c>
      <c r="Z97" s="200">
        <f t="shared" si="46"/>
        <v>0</v>
      </c>
      <c r="AA97" s="201">
        <f t="shared" si="41"/>
        <v>0</v>
      </c>
      <c r="AB97" s="200">
        <f t="shared" si="47"/>
        <v>0</v>
      </c>
      <c r="AC97" s="200">
        <f t="shared" si="48"/>
        <v>0</v>
      </c>
      <c r="AD97" s="201">
        <f>IF(SUM(F97,G97,H97,J97,K97,M97,N97)&gt;0,IF(Table2613513[[#This Row],[Column5]]="medium",P2_Min_OST_Throughput_Requirements,0),0)</f>
        <v>0</v>
      </c>
      <c r="AE97" s="199">
        <f t="shared" si="49"/>
        <v>0</v>
      </c>
      <c r="AF97" s="199">
        <f t="shared" si="50"/>
        <v>0</v>
      </c>
      <c r="AG97" s="199">
        <f>IF(SUM(F97,G97,H97,J97,K97,M97,N97)&gt;0,IF(Table2613513[[#This Row],[Column5]]="heavy",P3_Min_OST_Throughput_Requirements,0),0)</f>
        <v>0</v>
      </c>
      <c r="AH97" s="199">
        <f t="shared" si="51"/>
        <v>0</v>
      </c>
      <c r="AI97" s="199">
        <f t="shared" si="52"/>
        <v>0</v>
      </c>
      <c r="AJ97" s="199">
        <f>IF(SUM(F97,G97,H97,J97,K97,M97,N97)&gt;0,IF(Table2613513[[#This Row],[Column5]]="very heavy",P4_Min_OST_Throughput_Requirements,0),0)</f>
        <v>0</v>
      </c>
    </row>
    <row r="98" spans="2:39" s="176" customFormat="1" hidden="1" outlineLevel="1">
      <c r="B98" s="86" t="s">
        <v>258</v>
      </c>
      <c r="C98" s="87" t="s">
        <v>121</v>
      </c>
      <c r="D98" s="221" t="s">
        <v>303</v>
      </c>
      <c r="E98" s="88">
        <v>1</v>
      </c>
      <c r="F98" s="177"/>
      <c r="G98" s="177"/>
      <c r="H98" s="177"/>
      <c r="I98" s="177"/>
      <c r="J98" s="177"/>
      <c r="K98" s="177"/>
      <c r="L98" s="177"/>
      <c r="M98" s="177"/>
      <c r="N98" s="177"/>
      <c r="O98" s="177"/>
      <c r="P98" s="177"/>
      <c r="Q98" s="177"/>
      <c r="R98" s="177"/>
      <c r="S98" s="177"/>
      <c r="T98" s="189">
        <f t="shared" si="42"/>
        <v>0</v>
      </c>
      <c r="U98" s="95" t="str">
        <f t="shared" si="39"/>
        <v>-</v>
      </c>
      <c r="V98" s="96" t="str">
        <f t="shared" si="40"/>
        <v>-</v>
      </c>
      <c r="W98" s="202" t="str">
        <f t="shared" si="43"/>
        <v>-</v>
      </c>
      <c r="X98" s="190" t="str">
        <f t="shared" si="44"/>
        <v>-</v>
      </c>
      <c r="Y98" s="200">
        <f t="shared" si="45"/>
        <v>0</v>
      </c>
      <c r="Z98" s="200">
        <f t="shared" si="46"/>
        <v>0</v>
      </c>
      <c r="AA98" s="201">
        <f t="shared" si="41"/>
        <v>0</v>
      </c>
      <c r="AB98" s="200">
        <f t="shared" si="47"/>
        <v>0</v>
      </c>
      <c r="AC98" s="200">
        <f t="shared" si="48"/>
        <v>0</v>
      </c>
      <c r="AD98" s="201">
        <f>IF(SUM(F98,G98,H98,J98,K98,M98,N98)&gt;0,IF(Table2613513[[#This Row],[Column5]]="medium",P2_Min_OST_Throughput_Requirements,0),0)</f>
        <v>0</v>
      </c>
      <c r="AE98" s="199">
        <f t="shared" si="49"/>
        <v>0</v>
      </c>
      <c r="AF98" s="199">
        <f t="shared" si="50"/>
        <v>0</v>
      </c>
      <c r="AG98" s="199">
        <f>IF(SUM(F98,G98,H98,J98,K98,M98,N98)&gt;0,IF(Table2613513[[#This Row],[Column5]]="heavy",P3_Min_OST_Throughput_Requirements,0),0)</f>
        <v>0</v>
      </c>
      <c r="AH98" s="199">
        <f t="shared" si="51"/>
        <v>0</v>
      </c>
      <c r="AI98" s="199">
        <f t="shared" si="52"/>
        <v>0</v>
      </c>
      <c r="AJ98" s="199">
        <f>IF(SUM(F98,G98,H98,J98,K98,M98,N98)&gt;0,IF(Table2613513[[#This Row],[Column5]]="very heavy",P4_Min_OST_Throughput_Requirements,0),0)</f>
        <v>0</v>
      </c>
    </row>
    <row r="99" spans="2:39" s="176" customFormat="1" hidden="1" outlineLevel="1">
      <c r="B99" s="86" t="s">
        <v>259</v>
      </c>
      <c r="C99" s="87" t="s">
        <v>121</v>
      </c>
      <c r="D99" s="221" t="s">
        <v>303</v>
      </c>
      <c r="E99" s="88">
        <v>1</v>
      </c>
      <c r="F99" s="177"/>
      <c r="G99" s="177"/>
      <c r="H99" s="177"/>
      <c r="I99" s="177"/>
      <c r="J99" s="177"/>
      <c r="K99" s="177"/>
      <c r="L99" s="177"/>
      <c r="M99" s="177"/>
      <c r="N99" s="177"/>
      <c r="O99" s="177"/>
      <c r="P99" s="177"/>
      <c r="Q99" s="177"/>
      <c r="R99" s="177"/>
      <c r="S99" s="177"/>
      <c r="T99" s="189">
        <f t="shared" si="42"/>
        <v>0</v>
      </c>
      <c r="U99" s="95" t="str">
        <f t="shared" si="39"/>
        <v>-</v>
      </c>
      <c r="V99" s="96" t="str">
        <f t="shared" si="40"/>
        <v>-</v>
      </c>
      <c r="W99" s="202" t="str">
        <f t="shared" si="43"/>
        <v>-</v>
      </c>
      <c r="X99" s="190" t="str">
        <f t="shared" si="44"/>
        <v>-</v>
      </c>
      <c r="Y99" s="200">
        <f t="shared" si="45"/>
        <v>0</v>
      </c>
      <c r="Z99" s="200">
        <f t="shared" si="46"/>
        <v>0</v>
      </c>
      <c r="AA99" s="201">
        <f t="shared" si="41"/>
        <v>0</v>
      </c>
      <c r="AB99" s="200">
        <f t="shared" si="47"/>
        <v>0</v>
      </c>
      <c r="AC99" s="200">
        <f t="shared" si="48"/>
        <v>0</v>
      </c>
      <c r="AD99" s="201">
        <f>IF(SUM(F99,G99,H99,J99,K99,M99,N99)&gt;0,IF(Table2613513[[#This Row],[Column5]]="medium",P2_Min_OST_Throughput_Requirements,0),0)</f>
        <v>0</v>
      </c>
      <c r="AE99" s="199">
        <f t="shared" si="49"/>
        <v>0</v>
      </c>
      <c r="AF99" s="199">
        <f t="shared" si="50"/>
        <v>0</v>
      </c>
      <c r="AG99" s="199">
        <f>IF(SUM(F99,G99,H99,J99,K99,M99,N99)&gt;0,IF(Table2613513[[#This Row],[Column5]]="heavy",P3_Min_OST_Throughput_Requirements,0),0)</f>
        <v>0</v>
      </c>
      <c r="AH99" s="199">
        <f t="shared" si="51"/>
        <v>0</v>
      </c>
      <c r="AI99" s="199">
        <f t="shared" si="52"/>
        <v>0</v>
      </c>
      <c r="AJ99" s="199">
        <f>IF(SUM(F99,G99,H99,J99,K99,M99,N99)&gt;0,IF(Table2613513[[#This Row],[Column5]]="very heavy",P4_Min_OST_Throughput_Requirements,0),0)</f>
        <v>0</v>
      </c>
    </row>
    <row r="100" spans="2:39" s="176" customFormat="1" hidden="1" outlineLevel="1">
      <c r="B100" s="86" t="s">
        <v>260</v>
      </c>
      <c r="C100" s="87" t="s">
        <v>121</v>
      </c>
      <c r="D100" s="221" t="s">
        <v>303</v>
      </c>
      <c r="E100" s="88">
        <v>1</v>
      </c>
      <c r="F100" s="177"/>
      <c r="G100" s="177"/>
      <c r="H100" s="177"/>
      <c r="I100" s="177"/>
      <c r="J100" s="177"/>
      <c r="K100" s="177"/>
      <c r="L100" s="177"/>
      <c r="M100" s="177"/>
      <c r="N100" s="177"/>
      <c r="O100" s="177"/>
      <c r="P100" s="177"/>
      <c r="Q100" s="177"/>
      <c r="R100" s="177"/>
      <c r="S100" s="177"/>
      <c r="T100" s="189">
        <f t="shared" si="42"/>
        <v>0</v>
      </c>
      <c r="U100" s="95" t="str">
        <f t="shared" si="39"/>
        <v>-</v>
      </c>
      <c r="V100" s="96" t="str">
        <f t="shared" si="40"/>
        <v>-</v>
      </c>
      <c r="W100" s="202" t="str">
        <f t="shared" si="43"/>
        <v>-</v>
      </c>
      <c r="X100" s="190" t="str">
        <f t="shared" si="44"/>
        <v>-</v>
      </c>
      <c r="Y100" s="200">
        <f t="shared" si="45"/>
        <v>0</v>
      </c>
      <c r="Z100" s="200">
        <f t="shared" si="46"/>
        <v>0</v>
      </c>
      <c r="AA100" s="201">
        <f t="shared" si="41"/>
        <v>0</v>
      </c>
      <c r="AB100" s="200">
        <f t="shared" si="47"/>
        <v>0</v>
      </c>
      <c r="AC100" s="200">
        <f t="shared" si="48"/>
        <v>0</v>
      </c>
      <c r="AD100" s="201">
        <f>IF(SUM(F100,G100,H100,J100,K100,M100,N100)&gt;0,IF(Table2613513[[#This Row],[Column5]]="medium",P2_Min_OST_Throughput_Requirements,0),0)</f>
        <v>0</v>
      </c>
      <c r="AE100" s="199">
        <f t="shared" si="49"/>
        <v>0</v>
      </c>
      <c r="AF100" s="199">
        <f t="shared" si="50"/>
        <v>0</v>
      </c>
      <c r="AG100" s="199">
        <f>IF(SUM(F100,G100,H100,J100,K100,M100,N100)&gt;0,IF(Table2613513[[#This Row],[Column5]]="heavy",P3_Min_OST_Throughput_Requirements,0),0)</f>
        <v>0</v>
      </c>
      <c r="AH100" s="199">
        <f t="shared" si="51"/>
        <v>0</v>
      </c>
      <c r="AI100" s="199">
        <f t="shared" si="52"/>
        <v>0</v>
      </c>
      <c r="AJ100" s="199">
        <f>IF(SUM(F100,G100,H100,J100,K100,M100,N100)&gt;0,IF(Table2613513[[#This Row],[Column5]]="very heavy",P4_Min_OST_Throughput_Requirements,0),0)</f>
        <v>0</v>
      </c>
    </row>
    <row r="101" spans="2:39" s="176" customFormat="1" hidden="1" outlineLevel="1">
      <c r="B101" s="86" t="s">
        <v>261</v>
      </c>
      <c r="C101" s="87" t="s">
        <v>121</v>
      </c>
      <c r="D101" s="221" t="s">
        <v>303</v>
      </c>
      <c r="E101" s="88">
        <v>1</v>
      </c>
      <c r="F101" s="177"/>
      <c r="G101" s="177"/>
      <c r="H101" s="177"/>
      <c r="I101" s="177"/>
      <c r="J101" s="177"/>
      <c r="K101" s="177"/>
      <c r="L101" s="177"/>
      <c r="M101" s="177"/>
      <c r="N101" s="177"/>
      <c r="O101" s="177"/>
      <c r="P101" s="177"/>
      <c r="Q101" s="177"/>
      <c r="R101" s="177"/>
      <c r="S101" s="177"/>
      <c r="T101" s="189">
        <f t="shared" si="42"/>
        <v>0</v>
      </c>
      <c r="U101" s="95" t="str">
        <f t="shared" si="39"/>
        <v>-</v>
      </c>
      <c r="V101" s="96" t="str">
        <f t="shared" si="40"/>
        <v>-</v>
      </c>
      <c r="W101" s="202" t="str">
        <f t="shared" si="43"/>
        <v>-</v>
      </c>
      <c r="X101" s="190" t="str">
        <f t="shared" si="44"/>
        <v>-</v>
      </c>
      <c r="Y101" s="200">
        <f t="shared" si="45"/>
        <v>0</v>
      </c>
      <c r="Z101" s="200">
        <f t="shared" si="46"/>
        <v>0</v>
      </c>
      <c r="AA101" s="201">
        <f t="shared" si="41"/>
        <v>0</v>
      </c>
      <c r="AB101" s="200">
        <f t="shared" si="47"/>
        <v>0</v>
      </c>
      <c r="AC101" s="200">
        <f t="shared" si="48"/>
        <v>0</v>
      </c>
      <c r="AD101" s="201">
        <f>IF(SUM(F101,G101,H101,J101,K101,M101,N101)&gt;0,IF(Table2613513[[#This Row],[Column5]]="medium",P2_Min_OST_Throughput_Requirements,0),0)</f>
        <v>0</v>
      </c>
      <c r="AE101" s="199">
        <f t="shared" si="49"/>
        <v>0</v>
      </c>
      <c r="AF101" s="199">
        <f t="shared" si="50"/>
        <v>0</v>
      </c>
      <c r="AG101" s="199">
        <f>IF(SUM(F101,G101,H101,J101,K101,M101,N101)&gt;0,IF(Table2613513[[#This Row],[Column5]]="heavy",P3_Min_OST_Throughput_Requirements,0),0)</f>
        <v>0</v>
      </c>
      <c r="AH101" s="199">
        <f t="shared" si="51"/>
        <v>0</v>
      </c>
      <c r="AI101" s="199">
        <f t="shared" si="52"/>
        <v>0</v>
      </c>
      <c r="AJ101" s="199">
        <f>IF(SUM(F101,G101,H101,J101,K101,M101,N101)&gt;0,IF(Table2613513[[#This Row],[Column5]]="very heavy",P4_Min_OST_Throughput_Requirements,0),0)</f>
        <v>0</v>
      </c>
    </row>
    <row r="102" spans="2:39" s="176" customFormat="1" hidden="1" outlineLevel="1">
      <c r="B102" s="86" t="s">
        <v>262</v>
      </c>
      <c r="C102" s="87" t="s">
        <v>121</v>
      </c>
      <c r="D102" s="221" t="s">
        <v>303</v>
      </c>
      <c r="E102" s="88">
        <v>1</v>
      </c>
      <c r="F102" s="177"/>
      <c r="G102" s="177"/>
      <c r="H102" s="177"/>
      <c r="I102" s="177"/>
      <c r="J102" s="177"/>
      <c r="K102" s="177"/>
      <c r="L102" s="177"/>
      <c r="M102" s="177"/>
      <c r="N102" s="177"/>
      <c r="O102" s="177"/>
      <c r="P102" s="177"/>
      <c r="Q102" s="177"/>
      <c r="R102" s="177"/>
      <c r="S102" s="177"/>
      <c r="T102" s="189">
        <f t="shared" si="42"/>
        <v>0</v>
      </c>
      <c r="U102" s="95" t="str">
        <f t="shared" si="39"/>
        <v>-</v>
      </c>
      <c r="V102" s="96" t="str">
        <f t="shared" si="40"/>
        <v>-</v>
      </c>
      <c r="W102" s="202" t="str">
        <f t="shared" si="43"/>
        <v>-</v>
      </c>
      <c r="X102" s="190" t="str">
        <f t="shared" si="44"/>
        <v>-</v>
      </c>
      <c r="Y102" s="200">
        <f t="shared" si="45"/>
        <v>0</v>
      </c>
      <c r="Z102" s="200">
        <f t="shared" si="46"/>
        <v>0</v>
      </c>
      <c r="AA102" s="201">
        <f t="shared" si="41"/>
        <v>0</v>
      </c>
      <c r="AB102" s="200">
        <f t="shared" si="47"/>
        <v>0</v>
      </c>
      <c r="AC102" s="200">
        <f t="shared" si="48"/>
        <v>0</v>
      </c>
      <c r="AD102" s="201">
        <f>IF(SUM(F102,G102,H102,J102,K102,M102,N102)&gt;0,IF(Table2613513[[#This Row],[Column5]]="medium",P2_Min_OST_Throughput_Requirements,0),0)</f>
        <v>0</v>
      </c>
      <c r="AE102" s="199">
        <f t="shared" si="49"/>
        <v>0</v>
      </c>
      <c r="AF102" s="199">
        <f t="shared" si="50"/>
        <v>0</v>
      </c>
      <c r="AG102" s="199">
        <f>IF(SUM(F102,G102,H102,J102,K102,M102,N102)&gt;0,IF(Table2613513[[#This Row],[Column5]]="heavy",P3_Min_OST_Throughput_Requirements,0),0)</f>
        <v>0</v>
      </c>
      <c r="AH102" s="199">
        <f t="shared" si="51"/>
        <v>0</v>
      </c>
      <c r="AI102" s="199">
        <f t="shared" si="52"/>
        <v>0</v>
      </c>
      <c r="AJ102" s="199">
        <f>IF(SUM(F102,G102,H102,J102,K102,M102,N102)&gt;0,IF(Table2613513[[#This Row],[Column5]]="very heavy",P4_Min_OST_Throughput_Requirements,0),0)</f>
        <v>0</v>
      </c>
    </row>
    <row r="103" spans="2:39" s="176" customFormat="1" hidden="1" outlineLevel="1">
      <c r="B103" s="86" t="s">
        <v>263</v>
      </c>
      <c r="C103" s="87" t="s">
        <v>121</v>
      </c>
      <c r="D103" s="221" t="s">
        <v>303</v>
      </c>
      <c r="E103" s="88">
        <v>1</v>
      </c>
      <c r="F103" s="177"/>
      <c r="G103" s="177"/>
      <c r="H103" s="177"/>
      <c r="I103" s="177"/>
      <c r="J103" s="177"/>
      <c r="K103" s="177"/>
      <c r="L103" s="177"/>
      <c r="M103" s="177"/>
      <c r="N103" s="177"/>
      <c r="O103" s="177"/>
      <c r="P103" s="177"/>
      <c r="Q103" s="177"/>
      <c r="R103" s="177"/>
      <c r="S103" s="177"/>
      <c r="T103" s="189">
        <f t="shared" si="42"/>
        <v>0</v>
      </c>
      <c r="U103" s="95" t="str">
        <f t="shared" si="39"/>
        <v>-</v>
      </c>
      <c r="V103" s="96" t="str">
        <f t="shared" si="40"/>
        <v>-</v>
      </c>
      <c r="W103" s="202" t="str">
        <f t="shared" si="43"/>
        <v>-</v>
      </c>
      <c r="X103" s="190" t="str">
        <f t="shared" si="44"/>
        <v>-</v>
      </c>
      <c r="Y103" s="200">
        <f t="shared" si="45"/>
        <v>0</v>
      </c>
      <c r="Z103" s="200">
        <f t="shared" si="46"/>
        <v>0</v>
      </c>
      <c r="AA103" s="201">
        <f t="shared" si="41"/>
        <v>0</v>
      </c>
      <c r="AB103" s="200">
        <f t="shared" si="47"/>
        <v>0</v>
      </c>
      <c r="AC103" s="200">
        <f t="shared" si="48"/>
        <v>0</v>
      </c>
      <c r="AD103" s="201">
        <f>IF(SUM(F103,G103,H103,J103,K103,M103,N103)&gt;0,IF(Table2613513[[#This Row],[Column5]]="medium",P2_Min_OST_Throughput_Requirements,0),0)</f>
        <v>0</v>
      </c>
      <c r="AE103" s="199">
        <f t="shared" si="49"/>
        <v>0</v>
      </c>
      <c r="AF103" s="199">
        <f t="shared" si="50"/>
        <v>0</v>
      </c>
      <c r="AG103" s="199">
        <f>IF(SUM(F103,G103,H103,J103,K103,M103,N103)&gt;0,IF(Table2613513[[#This Row],[Column5]]="heavy",P3_Min_OST_Throughput_Requirements,0),0)</f>
        <v>0</v>
      </c>
      <c r="AH103" s="199">
        <f t="shared" si="51"/>
        <v>0</v>
      </c>
      <c r="AI103" s="199">
        <f t="shared" si="52"/>
        <v>0</v>
      </c>
      <c r="AJ103" s="199">
        <f>IF(SUM(F103,G103,H103,J103,K103,M103,N103)&gt;0,IF(Table2613513[[#This Row],[Column5]]="very heavy",P4_Min_OST_Throughput_Requirements,0),0)</f>
        <v>0</v>
      </c>
    </row>
    <row r="104" spans="2:39" s="176" customFormat="1" hidden="1" outlineLevel="1">
      <c r="B104" s="86" t="s">
        <v>264</v>
      </c>
      <c r="C104" s="87" t="s">
        <v>121</v>
      </c>
      <c r="D104" s="221" t="s">
        <v>303</v>
      </c>
      <c r="E104" s="88">
        <v>1</v>
      </c>
      <c r="F104" s="177"/>
      <c r="G104" s="177"/>
      <c r="H104" s="177"/>
      <c r="I104" s="177"/>
      <c r="J104" s="177"/>
      <c r="K104" s="177"/>
      <c r="L104" s="177"/>
      <c r="M104" s="177"/>
      <c r="N104" s="177"/>
      <c r="O104" s="177"/>
      <c r="P104" s="177"/>
      <c r="Q104" s="177"/>
      <c r="R104" s="177"/>
      <c r="S104" s="177"/>
      <c r="T104" s="189">
        <f t="shared" si="42"/>
        <v>0</v>
      </c>
      <c r="U104" s="95" t="str">
        <f t="shared" si="39"/>
        <v>-</v>
      </c>
      <c r="V104" s="96" t="str">
        <f t="shared" si="40"/>
        <v>-</v>
      </c>
      <c r="W104" s="202" t="str">
        <f t="shared" si="43"/>
        <v>-</v>
      </c>
      <c r="X104" s="190" t="str">
        <f t="shared" si="44"/>
        <v>-</v>
      </c>
      <c r="Y104" s="200">
        <f t="shared" si="45"/>
        <v>0</v>
      </c>
      <c r="Z104" s="200">
        <f t="shared" si="46"/>
        <v>0</v>
      </c>
      <c r="AA104" s="201">
        <f t="shared" si="41"/>
        <v>0</v>
      </c>
      <c r="AB104" s="200">
        <f t="shared" si="47"/>
        <v>0</v>
      </c>
      <c r="AC104" s="200">
        <f t="shared" si="48"/>
        <v>0</v>
      </c>
      <c r="AD104" s="201">
        <f>IF(SUM(F104,G104,H104,J104,K104,M104,N104)&gt;0,IF(Table2613513[[#This Row],[Column5]]="medium",P2_Min_OST_Throughput_Requirements,0),0)</f>
        <v>0</v>
      </c>
      <c r="AE104" s="199">
        <f t="shared" si="49"/>
        <v>0</v>
      </c>
      <c r="AF104" s="199">
        <f t="shared" si="50"/>
        <v>0</v>
      </c>
      <c r="AG104" s="199">
        <f>IF(SUM(F104,G104,H104,J104,K104,M104,N104)&gt;0,IF(Table2613513[[#This Row],[Column5]]="heavy",P3_Min_OST_Throughput_Requirements,0),0)</f>
        <v>0</v>
      </c>
      <c r="AH104" s="199">
        <f t="shared" si="51"/>
        <v>0</v>
      </c>
      <c r="AI104" s="199">
        <f t="shared" si="52"/>
        <v>0</v>
      </c>
      <c r="AJ104" s="199">
        <f>IF(SUM(F104,G104,H104,J104,K104,M104,N104)&gt;0,IF(Table2613513[[#This Row],[Column5]]="very heavy",P4_Min_OST_Throughput_Requirements,0),0)</f>
        <v>0</v>
      </c>
    </row>
    <row r="105" spans="2:39" s="176" customFormat="1" hidden="1" outlineLevel="1">
      <c r="B105" s="86" t="s">
        <v>265</v>
      </c>
      <c r="C105" s="87" t="s">
        <v>121</v>
      </c>
      <c r="D105" s="221" t="s">
        <v>303</v>
      </c>
      <c r="E105" s="88">
        <v>1</v>
      </c>
      <c r="F105" s="177"/>
      <c r="G105" s="177"/>
      <c r="H105" s="177"/>
      <c r="I105" s="177"/>
      <c r="J105" s="177"/>
      <c r="K105" s="177"/>
      <c r="L105" s="177"/>
      <c r="M105" s="177"/>
      <c r="N105" s="177"/>
      <c r="O105" s="177"/>
      <c r="P105" s="177"/>
      <c r="Q105" s="177"/>
      <c r="R105" s="177"/>
      <c r="S105" s="177"/>
      <c r="T105" s="189">
        <f t="shared" si="42"/>
        <v>0</v>
      </c>
      <c r="U105" s="95" t="str">
        <f t="shared" si="39"/>
        <v>-</v>
      </c>
      <c r="V105" s="96" t="str">
        <f t="shared" si="40"/>
        <v>-</v>
      </c>
      <c r="W105" s="202" t="str">
        <f t="shared" si="43"/>
        <v>-</v>
      </c>
      <c r="X105" s="190" t="str">
        <f t="shared" si="44"/>
        <v>-</v>
      </c>
      <c r="Y105" s="200">
        <f t="shared" si="45"/>
        <v>0</v>
      </c>
      <c r="Z105" s="200">
        <f t="shared" si="46"/>
        <v>0</v>
      </c>
      <c r="AA105" s="201">
        <f t="shared" si="41"/>
        <v>0</v>
      </c>
      <c r="AB105" s="200">
        <f t="shared" si="47"/>
        <v>0</v>
      </c>
      <c r="AC105" s="200">
        <f t="shared" si="48"/>
        <v>0</v>
      </c>
      <c r="AD105" s="201">
        <f>IF(SUM(F105,G105,H105,J105,K105,M105,N105)&gt;0,IF(Table2613513[[#This Row],[Column5]]="medium",P2_Min_OST_Throughput_Requirements,0),0)</f>
        <v>0</v>
      </c>
      <c r="AE105" s="199">
        <f t="shared" si="49"/>
        <v>0</v>
      </c>
      <c r="AF105" s="199">
        <f t="shared" si="50"/>
        <v>0</v>
      </c>
      <c r="AG105" s="199">
        <f>IF(SUM(F105,G105,H105,J105,K105,M105,N105)&gt;0,IF(Table2613513[[#This Row],[Column5]]="heavy",P3_Min_OST_Throughput_Requirements,0),0)</f>
        <v>0</v>
      </c>
      <c r="AH105" s="199">
        <f t="shared" si="51"/>
        <v>0</v>
      </c>
      <c r="AI105" s="199">
        <f t="shared" si="52"/>
        <v>0</v>
      </c>
      <c r="AJ105" s="199">
        <f>IF(SUM(F105,G105,H105,J105,K105,M105,N105)&gt;0,IF(Table2613513[[#This Row],[Column5]]="very heavy",P4_Min_OST_Throughput_Requirements,0),0)</f>
        <v>0</v>
      </c>
    </row>
    <row r="106" spans="2:39" s="176" customFormat="1" hidden="1" outlineLevel="1">
      <c r="B106" s="86" t="s">
        <v>266</v>
      </c>
      <c r="C106" s="87" t="s">
        <v>121</v>
      </c>
      <c r="D106" s="221" t="s">
        <v>303</v>
      </c>
      <c r="E106" s="88">
        <v>1</v>
      </c>
      <c r="F106" s="177"/>
      <c r="G106" s="177"/>
      <c r="H106" s="177"/>
      <c r="I106" s="177"/>
      <c r="J106" s="177"/>
      <c r="K106" s="177"/>
      <c r="L106" s="177"/>
      <c r="M106" s="177"/>
      <c r="N106" s="177"/>
      <c r="O106" s="177"/>
      <c r="P106" s="177"/>
      <c r="Q106" s="177"/>
      <c r="R106" s="177"/>
      <c r="S106" s="177"/>
      <c r="T106" s="189">
        <f t="shared" si="42"/>
        <v>0</v>
      </c>
      <c r="U106" s="95" t="str">
        <f t="shared" si="39"/>
        <v>-</v>
      </c>
      <c r="V106" s="96" t="str">
        <f t="shared" si="40"/>
        <v>-</v>
      </c>
      <c r="W106" s="202" t="str">
        <f t="shared" si="43"/>
        <v>-</v>
      </c>
      <c r="X106" s="190" t="str">
        <f t="shared" si="44"/>
        <v>-</v>
      </c>
      <c r="Y106" s="200">
        <f t="shared" si="45"/>
        <v>0</v>
      </c>
      <c r="Z106" s="200">
        <f t="shared" si="46"/>
        <v>0</v>
      </c>
      <c r="AA106" s="201">
        <f t="shared" si="41"/>
        <v>0</v>
      </c>
      <c r="AB106" s="200">
        <f t="shared" si="47"/>
        <v>0</v>
      </c>
      <c r="AC106" s="200">
        <f t="shared" si="48"/>
        <v>0</v>
      </c>
      <c r="AD106" s="201">
        <f>IF(SUM(F106,G106,H106,J106,K106,M106,N106)&gt;0,IF(Table2613513[[#This Row],[Column5]]="medium",P2_Min_OST_Throughput_Requirements,0),0)</f>
        <v>0</v>
      </c>
      <c r="AE106" s="199">
        <f t="shared" si="49"/>
        <v>0</v>
      </c>
      <c r="AF106" s="199">
        <f t="shared" si="50"/>
        <v>0</v>
      </c>
      <c r="AG106" s="199">
        <f>IF(SUM(F106,G106,H106,J106,K106,M106,N106)&gt;0,IF(Table2613513[[#This Row],[Column5]]="heavy",P3_Min_OST_Throughput_Requirements,0),0)</f>
        <v>0</v>
      </c>
      <c r="AH106" s="199">
        <f t="shared" si="51"/>
        <v>0</v>
      </c>
      <c r="AI106" s="199">
        <f t="shared" si="52"/>
        <v>0</v>
      </c>
      <c r="AJ106" s="199">
        <f>IF(SUM(F106,G106,H106,J106,K106,M106,N106)&gt;0,IF(Table2613513[[#This Row],[Column5]]="very heavy",P4_Min_OST_Throughput_Requirements,0),0)</f>
        <v>0</v>
      </c>
    </row>
    <row r="107" spans="2:39" s="176" customFormat="1" hidden="1" outlineLevel="1">
      <c r="B107" s="86" t="s">
        <v>267</v>
      </c>
      <c r="C107" s="87" t="s">
        <v>121</v>
      </c>
      <c r="D107" s="221" t="s">
        <v>303</v>
      </c>
      <c r="E107" s="88">
        <v>1</v>
      </c>
      <c r="F107" s="177"/>
      <c r="G107" s="177"/>
      <c r="H107" s="177"/>
      <c r="I107" s="177"/>
      <c r="J107" s="177"/>
      <c r="K107" s="177"/>
      <c r="L107" s="177"/>
      <c r="M107" s="177"/>
      <c r="N107" s="177"/>
      <c r="O107" s="177"/>
      <c r="P107" s="177"/>
      <c r="Q107" s="177"/>
      <c r="R107" s="177"/>
      <c r="S107" s="177"/>
      <c r="T107" s="189">
        <f t="shared" si="42"/>
        <v>0</v>
      </c>
      <c r="U107" s="95" t="str">
        <f t="shared" si="39"/>
        <v>-</v>
      </c>
      <c r="V107" s="96" t="str">
        <f t="shared" si="40"/>
        <v>-</v>
      </c>
      <c r="W107" s="203" t="str">
        <f t="shared" si="43"/>
        <v>-</v>
      </c>
      <c r="X107" s="185" t="str">
        <f t="shared" si="44"/>
        <v>-</v>
      </c>
      <c r="Y107" s="200">
        <f t="shared" si="45"/>
        <v>0</v>
      </c>
      <c r="Z107" s="200">
        <f t="shared" si="46"/>
        <v>0</v>
      </c>
      <c r="AA107" s="201">
        <f t="shared" si="41"/>
        <v>0</v>
      </c>
      <c r="AB107" s="200">
        <f t="shared" si="47"/>
        <v>0</v>
      </c>
      <c r="AC107" s="200">
        <f t="shared" si="48"/>
        <v>0</v>
      </c>
      <c r="AD107" s="201">
        <f>IF(SUM(F107,G107,H107,J107,K107,M107,N107)&gt;0,IF(Table2613513[[#This Row],[Column5]]="medium",P2_Min_OST_Throughput_Requirements,0),0)</f>
        <v>0</v>
      </c>
      <c r="AE107" s="199">
        <f t="shared" si="49"/>
        <v>0</v>
      </c>
      <c r="AF107" s="199">
        <f t="shared" si="50"/>
        <v>0</v>
      </c>
      <c r="AG107" s="199">
        <f>IF(SUM(F107,G107,H107,J107,K107,M107,N107)&gt;0,IF(Table2613513[[#This Row],[Column5]]="heavy",P3_Min_OST_Throughput_Requirements,0),0)</f>
        <v>0</v>
      </c>
      <c r="AH107" s="199">
        <f t="shared" si="51"/>
        <v>0</v>
      </c>
      <c r="AI107" s="199">
        <f t="shared" si="52"/>
        <v>0</v>
      </c>
      <c r="AJ107" s="199">
        <f>IF(SUM(F107,G107,H107,J107,K107,M107,N107)&gt;0,IF(Table2613513[[#This Row],[Column5]]="very heavy",P4_Min_OST_Throughput_Requirements,0),0)</f>
        <v>0</v>
      </c>
    </row>
    <row r="108" spans="2:39" s="176" customFormat="1" collapsed="1">
      <c r="B108" s="343"/>
      <c r="C108" s="343"/>
      <c r="D108" s="343"/>
      <c r="E108" s="343"/>
      <c r="F108" s="344">
        <f t="shared" ref="F108:S108" si="53">SUBTOTAL(109,F9:F107)</f>
        <v>0</v>
      </c>
      <c r="G108" s="344">
        <f t="shared" si="53"/>
        <v>0</v>
      </c>
      <c r="H108" s="344">
        <f t="shared" si="53"/>
        <v>0</v>
      </c>
      <c r="I108" s="344">
        <f t="shared" si="53"/>
        <v>0</v>
      </c>
      <c r="J108" s="344">
        <f t="shared" si="53"/>
        <v>0</v>
      </c>
      <c r="K108" s="344">
        <f t="shared" si="53"/>
        <v>0</v>
      </c>
      <c r="L108" s="344">
        <f t="shared" si="53"/>
        <v>0</v>
      </c>
      <c r="M108" s="344">
        <f t="shared" si="53"/>
        <v>0</v>
      </c>
      <c r="N108" s="344">
        <f t="shared" si="53"/>
        <v>0</v>
      </c>
      <c r="O108" s="344">
        <f t="shared" si="53"/>
        <v>0</v>
      </c>
      <c r="P108" s="344">
        <f t="shared" si="53"/>
        <v>0</v>
      </c>
      <c r="Q108" s="344">
        <f t="shared" si="53"/>
        <v>0</v>
      </c>
      <c r="R108" s="344">
        <f t="shared" si="53"/>
        <v>0</v>
      </c>
      <c r="S108" s="345">
        <f t="shared" si="53"/>
        <v>0</v>
      </c>
      <c r="T108" s="191">
        <f>SUBTOTAL(109,Table48[Total])</f>
        <v>0</v>
      </c>
      <c r="U108" s="127">
        <f>AZ241</f>
        <v>0</v>
      </c>
      <c r="V108" s="127">
        <f>CY241</f>
        <v>0</v>
      </c>
      <c r="W108" s="192">
        <f>SUBTOTAL(104,W9:W107)</f>
        <v>0</v>
      </c>
      <c r="X108" s="193">
        <f>SUBTOTAL(109,X9:X107)</f>
        <v>0</v>
      </c>
      <c r="Y108" s="199">
        <f>SUBTOTAL(109,Table40[Column1])</f>
        <v>0</v>
      </c>
      <c r="Z108" s="199">
        <f>SUBTOTAL(109,Table40[Column2])</f>
        <v>0</v>
      </c>
      <c r="AA108" s="199">
        <f>SUBTOTAL(104,Table40[Column3])</f>
        <v>0</v>
      </c>
      <c r="AB108" s="199">
        <f>SUBTOTAL(109,Table4042[Column1])</f>
        <v>0</v>
      </c>
      <c r="AC108" s="199">
        <f>SUBTOTAL(109,Table4042[Column2])</f>
        <v>0</v>
      </c>
      <c r="AD108" s="199">
        <f>SUBTOTAL(104,Table4042[Column3])</f>
        <v>0</v>
      </c>
      <c r="AE108" s="199">
        <f>SUBTOTAL(109,Table4043[Column1])</f>
        <v>0</v>
      </c>
      <c r="AF108" s="199">
        <f>SUBTOTAL(109,Table4043[Column2])</f>
        <v>0</v>
      </c>
      <c r="AG108" s="199">
        <f>SUBTOTAL(104,Table4043[Column3])</f>
        <v>0</v>
      </c>
      <c r="AH108" s="199">
        <f>SUBTOTAL(109,Table4044[Column1])</f>
        <v>0</v>
      </c>
      <c r="AI108" s="199">
        <f>SUBTOTAL(109,Table4044[Column2])</f>
        <v>0</v>
      </c>
      <c r="AJ108" s="199">
        <f>SUBTOTAL(104,Table4044[Column3])</f>
        <v>0</v>
      </c>
    </row>
    <row r="109" spans="2:39" s="176" customFormat="1">
      <c r="AL109" s="218"/>
      <c r="AM109" s="218"/>
    </row>
    <row r="110" spans="2:39" s="176" customFormat="1">
      <c r="AL110" s="262" t="s">
        <v>362</v>
      </c>
      <c r="AM110" s="262" t="s">
        <v>361</v>
      </c>
    </row>
    <row r="111" spans="2:39" s="176" customFormat="1">
      <c r="AL111" s="263">
        <v>1</v>
      </c>
      <c r="AM111" s="264" t="str">
        <f>IF(SUM($P$241:$AM$241)&gt;0,P$241/SUM($P$241:$AM$241),"0")</f>
        <v>0</v>
      </c>
    </row>
    <row r="112" spans="2:39" s="176" customFormat="1">
      <c r="AL112" s="263">
        <v>2</v>
      </c>
      <c r="AM112" s="264" t="str">
        <f>IF(SUM($P$241:$AM$241)&gt;0,Q$241/SUM($P$241:$AM$241),"0")</f>
        <v>0</v>
      </c>
    </row>
    <row r="113" spans="2:39" s="176" customFormat="1">
      <c r="AL113" s="263">
        <v>3</v>
      </c>
      <c r="AM113" s="264" t="str">
        <f>IF(SUM($P$241:$AM$241)&gt;0,R$241/SUM($P$241:$AM$241),"0")</f>
        <v>0</v>
      </c>
    </row>
    <row r="114" spans="2:39" s="176" customFormat="1">
      <c r="AL114" s="263">
        <v>4</v>
      </c>
      <c r="AM114" s="264" t="str">
        <f>IF(SUM($P$241:$AM$241)&gt;0,S$241/SUM($P$241:$AM$241),"0")</f>
        <v>0</v>
      </c>
    </row>
    <row r="115" spans="2:39">
      <c r="U115" s="217"/>
      <c r="V115" s="217"/>
      <c r="AL115" s="263">
        <v>5</v>
      </c>
      <c r="AM115" s="264" t="str">
        <f>IF(SUM($P$241:$AM$241)&gt;0,T$241/SUM($P$241:$AM$241),"0")</f>
        <v>0</v>
      </c>
    </row>
    <row r="116" spans="2:39">
      <c r="U116" s="217"/>
      <c r="AL116" s="263">
        <v>6</v>
      </c>
      <c r="AM116" s="264" t="str">
        <f>IF(SUM($P$241:$AM$241)&gt;0,U$241/SUM($P$241:$AM$241),"0")</f>
        <v>0</v>
      </c>
    </row>
    <row r="117" spans="2:39">
      <c r="AL117" s="263">
        <v>7</v>
      </c>
      <c r="AM117" s="264" t="str">
        <f>IF(SUM($P$241:$AM$241)&gt;0,V$241/SUM($P$241:$AM$241),"0")</f>
        <v>0</v>
      </c>
    </row>
    <row r="118" spans="2:39">
      <c r="AL118" s="263">
        <v>8</v>
      </c>
      <c r="AM118" s="264" t="str">
        <f>IF(SUM($P$241:$AM$241)&gt;0,W$241/SUM($P$241:$AM$241),"0")</f>
        <v>0</v>
      </c>
    </row>
    <row r="119" spans="2:39">
      <c r="B119" s="176"/>
      <c r="C119" s="17"/>
      <c r="D119" s="17"/>
      <c r="E119" s="17"/>
      <c r="F119" s="17"/>
      <c r="X119" s="17"/>
      <c r="AA119" s="17"/>
      <c r="AL119" s="263">
        <v>9</v>
      </c>
      <c r="AM119" s="264" t="str">
        <f>IF(SUM($P$241:$AM$241)&gt;0,X$241/SUM($P$241:$AM$241),"0")</f>
        <v>0</v>
      </c>
    </row>
    <row r="120" spans="2:39">
      <c r="AL120" s="263">
        <v>10</v>
      </c>
      <c r="AM120" s="264" t="str">
        <f>IF(SUM($P$241:$AM$241)&gt;0,Y$241/SUM($P$241:$AM$241),"0")</f>
        <v>0</v>
      </c>
    </row>
    <row r="121" spans="2:39">
      <c r="AL121" s="263">
        <v>11</v>
      </c>
      <c r="AM121" s="264" t="str">
        <f>IF(SUM($P$241:$AM$241)&gt;0,Z$241/SUM($P$241:$AM$241),"0")</f>
        <v>0</v>
      </c>
    </row>
    <row r="122" spans="2:39">
      <c r="AL122" s="263">
        <v>12</v>
      </c>
      <c r="AM122" s="264" t="str">
        <f>IF(SUM($P$241:$AM$241)&gt;0,AA$241/SUM($P$241:$AM$241),"0")</f>
        <v>0</v>
      </c>
    </row>
    <row r="123" spans="2:39">
      <c r="AL123" s="263">
        <v>13</v>
      </c>
      <c r="AM123" s="264" t="str">
        <f>IF(SUM($P$241:$AM$241)&gt;0,AB$241/SUM($P$241:$AM$241),"0")</f>
        <v>0</v>
      </c>
    </row>
    <row r="124" spans="2:39">
      <c r="AL124" s="263">
        <v>14</v>
      </c>
      <c r="AM124" s="264" t="str">
        <f>IF(SUM($P$241:$AM$241)&gt;0,AC$241/SUM($P$241:$AM$241),"0")</f>
        <v>0</v>
      </c>
    </row>
    <row r="125" spans="2:39">
      <c r="AL125" s="263">
        <v>15</v>
      </c>
      <c r="AM125" s="264" t="str">
        <f>IF(SUM($P$241:$AM$241)&gt;0,AD$241/SUM($P$241:$AM$241),"0")</f>
        <v>0</v>
      </c>
    </row>
    <row r="126" spans="2:39" s="176" customFormat="1">
      <c r="AL126" s="263">
        <v>16</v>
      </c>
      <c r="AM126" s="264" t="str">
        <f>IF(SUM($P$241:$AM$241)&gt;0,AE$241/SUM($P$241:$AM$241),"0")</f>
        <v>0</v>
      </c>
    </row>
    <row r="127" spans="2:39">
      <c r="AL127" s="263">
        <v>17</v>
      </c>
      <c r="AM127" s="264" t="str">
        <f>IF(SUM($P$241:$AM$241)&gt;0,AF$241/SUM($P$241:$AM$241),"0")</f>
        <v>0</v>
      </c>
    </row>
    <row r="128" spans="2:39">
      <c r="AL128" s="263">
        <v>18</v>
      </c>
      <c r="AM128" s="264" t="str">
        <f>IF(SUM($P$241:$AM$241)&gt;0,AG$241/SUM($P$241:$AM$241),"0")</f>
        <v>0</v>
      </c>
    </row>
    <row r="129" spans="2:103">
      <c r="AL129" s="263">
        <v>19</v>
      </c>
      <c r="AM129" s="264" t="str">
        <f>IF(SUM($P$241:$AM$241)&gt;0,AH$241/SUM($P$241:$AM$241),"0")</f>
        <v>0</v>
      </c>
    </row>
    <row r="130" spans="2:103">
      <c r="AL130" s="263">
        <v>20</v>
      </c>
      <c r="AM130" s="264" t="str">
        <f>IF(SUM($P$241:$AM$241)&gt;0,AI$241/SUM($P$241:$AM$241),"0")</f>
        <v>0</v>
      </c>
    </row>
    <row r="131" spans="2:103">
      <c r="AL131" s="263">
        <v>21</v>
      </c>
      <c r="AM131" s="264" t="str">
        <f>IF(SUM($P$241:$AM$241)&gt;0,AJ$241/SUM($P$241:$AM$241),"0")</f>
        <v>0</v>
      </c>
    </row>
    <row r="132" spans="2:103">
      <c r="AL132" s="263">
        <v>22</v>
      </c>
      <c r="AM132" s="264" t="str">
        <f>IF(SUM($P$241:$AM$241)&gt;0,AK$241/SUM($P$241:$AM$241),"0")</f>
        <v>0</v>
      </c>
    </row>
    <row r="133" spans="2:103">
      <c r="AL133" s="263">
        <v>23</v>
      </c>
      <c r="AM133" s="264" t="str">
        <f>IF(SUM($P$241:$AM$241)&gt;0,AL$241/SUM($P$241:$AM$241),"0")</f>
        <v>0</v>
      </c>
    </row>
    <row r="134" spans="2:103" s="176" customFormat="1">
      <c r="AL134" s="265">
        <v>24</v>
      </c>
      <c r="AM134" s="266" t="str">
        <f>IF(SUM($P$241:$AN$241)&gt;0,AM$241/SUM($P$241:$AM$241),"0")</f>
        <v>0</v>
      </c>
    </row>
    <row r="135" spans="2:103">
      <c r="AM135" s="259"/>
    </row>
    <row r="136" spans="2:103" hidden="1" outlineLevel="1">
      <c r="B136" s="176"/>
      <c r="C136" s="287" t="s">
        <v>360</v>
      </c>
      <c r="D136" s="287"/>
      <c r="E136" s="287"/>
      <c r="F136" s="287"/>
      <c r="G136" s="287"/>
      <c r="H136" s="287"/>
      <c r="I136" s="287"/>
      <c r="J136" s="287"/>
      <c r="K136" s="287"/>
      <c r="L136" s="287"/>
      <c r="M136" s="287"/>
      <c r="N136" s="287"/>
      <c r="O136" s="287"/>
      <c r="P136" s="287"/>
      <c r="Q136" s="287"/>
      <c r="R136" s="287"/>
      <c r="S136" s="287"/>
      <c r="T136" s="287"/>
      <c r="U136" s="287"/>
      <c r="V136" s="287"/>
      <c r="W136" s="287"/>
      <c r="X136" s="287"/>
      <c r="Y136" s="287"/>
      <c r="Z136" s="287"/>
      <c r="AA136" s="287"/>
      <c r="AB136" s="287"/>
      <c r="AC136" s="287"/>
      <c r="AD136" s="287"/>
      <c r="AE136" s="287"/>
      <c r="AF136" s="287"/>
      <c r="AG136" s="287"/>
      <c r="AH136" s="287"/>
      <c r="AI136" s="287"/>
      <c r="AJ136" s="287"/>
      <c r="AK136" s="287"/>
      <c r="AL136" s="287"/>
      <c r="AM136" s="287"/>
      <c r="AN136" s="287"/>
      <c r="AO136" s="287"/>
      <c r="AP136" s="287"/>
      <c r="AQ136" s="287"/>
      <c r="AR136" s="287"/>
      <c r="AS136" s="287"/>
      <c r="AT136" s="287"/>
      <c r="AU136" s="287"/>
      <c r="AV136" s="287"/>
      <c r="AW136" s="287"/>
      <c r="AX136" s="287"/>
      <c r="AY136" s="287"/>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c r="CS136" s="176"/>
      <c r="CT136" s="176"/>
      <c r="CU136" s="176"/>
      <c r="CV136" s="176"/>
      <c r="CW136" s="176"/>
      <c r="CX136" s="176"/>
      <c r="CY136" s="176"/>
    </row>
    <row r="137" spans="2:103" hidden="1" outlineLevel="1">
      <c r="B137" s="218"/>
      <c r="C137" s="226">
        <f>MAX(D137:AY137)</f>
        <v>1.1353352832366128</v>
      </c>
      <c r="D137" s="222">
        <f t="shared" ref="D137:AY137" si="54">(EXP(-(1/(Morning_Peak_Duration__hours*2))*(D$141-(Morning_Peak_Time__24hr_clock))^2))+(EXP(-(1/(Afternoon_Peak_Duration__hours*2))*(D$141-(Afternoon_Peak_Time__24hr_clock))^2))</f>
        <v>2.0050087819616545E-37</v>
      </c>
      <c r="E137" s="222">
        <f t="shared" si="54"/>
        <v>1.1769109439216855E-34</v>
      </c>
      <c r="F137" s="222">
        <f t="shared" si="54"/>
        <v>5.3801861600248583E-32</v>
      </c>
      <c r="G137" s="222">
        <f t="shared" si="54"/>
        <v>1.915478952030963E-29</v>
      </c>
      <c r="H137" s="222">
        <f t="shared" si="54"/>
        <v>5.3110922563187722E-27</v>
      </c>
      <c r="I137" s="222">
        <f t="shared" si="54"/>
        <v>1.146876624126528E-24</v>
      </c>
      <c r="J137" s="222">
        <f t="shared" si="54"/>
        <v>1.9287514517748083E-22</v>
      </c>
      <c r="K137" s="222">
        <f t="shared" si="54"/>
        <v>2.5262010145569102E-20</v>
      </c>
      <c r="L137" s="222">
        <f t="shared" si="54"/>
        <v>2.5772813977213174E-18</v>
      </c>
      <c r="M137" s="222">
        <f t="shared" si="54"/>
        <v>2.0514494456059226E-16</v>
      </c>
      <c r="N137" s="222">
        <f t="shared" si="54"/>
        <v>1.2896117832118532E-14</v>
      </c>
      <c r="O137" s="222">
        <f t="shared" si="54"/>
        <v>6.8307090871872928E-13</v>
      </c>
      <c r="P137" s="222">
        <f t="shared" si="54"/>
        <v>3.6785292321419554E-11</v>
      </c>
      <c r="Q137" s="222">
        <f t="shared" si="54"/>
        <v>2.2743866643148897E-9</v>
      </c>
      <c r="R137" s="222">
        <f t="shared" si="54"/>
        <v>1.2776515446397176E-7</v>
      </c>
      <c r="S137" s="222">
        <f t="shared" si="54"/>
        <v>5.0550752424653098E-6</v>
      </c>
      <c r="T137" s="222">
        <f t="shared" si="54"/>
        <v>1.2713645725875823E-4</v>
      </c>
      <c r="U137" s="222">
        <f t="shared" si="54"/>
        <v>1.9705194336206602E-3</v>
      </c>
      <c r="V137" s="222">
        <f t="shared" si="54"/>
        <v>1.8651101516636692E-2</v>
      </c>
      <c r="W137" s="222">
        <f t="shared" si="54"/>
        <v>0.10758671568004721</v>
      </c>
      <c r="X137" s="222">
        <f t="shared" si="54"/>
        <v>0.37898843770968466</v>
      </c>
      <c r="Y137" s="222">
        <f t="shared" si="54"/>
        <v>0.82273771669481233</v>
      </c>
      <c r="Z137" s="222">
        <f t="shared" si="54"/>
        <v>1.1353352832366128</v>
      </c>
      <c r="AA137" s="222">
        <f t="shared" si="54"/>
        <v>1.1034532504297547</v>
      </c>
      <c r="AB137" s="222">
        <f t="shared" si="54"/>
        <v>0.97441010088407576</v>
      </c>
      <c r="AC137" s="222">
        <f t="shared" si="54"/>
        <v>0.9878961271464598</v>
      </c>
      <c r="AD137" s="222">
        <f t="shared" si="54"/>
        <v>1.0183156388887342</v>
      </c>
      <c r="AE137" s="222">
        <f t="shared" si="54"/>
        <v>0.88442735672082318</v>
      </c>
      <c r="AF137" s="222">
        <f t="shared" si="54"/>
        <v>0.60665406951672007</v>
      </c>
      <c r="AG137" s="222">
        <f t="shared" si="54"/>
        <v>0.32465725247574184</v>
      </c>
      <c r="AH137" s="222">
        <f t="shared" si="54"/>
        <v>0.13533539577178741</v>
      </c>
      <c r="AI137" s="222">
        <f t="shared" si="54"/>
        <v>4.3936935228635475E-2</v>
      </c>
      <c r="AJ137" s="222">
        <f t="shared" si="54"/>
        <v>1.1108996552130251E-2</v>
      </c>
      <c r="AK137" s="222">
        <f t="shared" si="54"/>
        <v>2.1874911182557621E-3</v>
      </c>
      <c r="AL137" s="222">
        <f t="shared" si="54"/>
        <v>3.3546262790274382E-4</v>
      </c>
      <c r="AM137" s="222">
        <f t="shared" si="54"/>
        <v>4.0065297392951516E-5</v>
      </c>
      <c r="AN137" s="222">
        <f t="shared" si="54"/>
        <v>3.7266531720786714E-6</v>
      </c>
      <c r="AO137" s="222">
        <f t="shared" si="54"/>
        <v>2.6995785033630141E-7</v>
      </c>
      <c r="AP137" s="222">
        <f t="shared" si="54"/>
        <v>1.5229979744712629E-8</v>
      </c>
      <c r="AQ137" s="222">
        <f t="shared" si="54"/>
        <v>6.6915860912927816E-10</v>
      </c>
      <c r="AR137" s="222">
        <f t="shared" si="54"/>
        <v>2.289734845645553E-11</v>
      </c>
      <c r="AS137" s="222">
        <f t="shared" si="54"/>
        <v>6.1019366776053239E-13</v>
      </c>
      <c r="AT137" s="222">
        <f t="shared" si="54"/>
        <v>1.2664165549094176E-14</v>
      </c>
      <c r="AU137" s="222">
        <f t="shared" si="54"/>
        <v>2.0469717131642043E-16</v>
      </c>
      <c r="AV137" s="222">
        <f t="shared" si="54"/>
        <v>2.576757109154981E-18</v>
      </c>
      <c r="AW137" s="222">
        <f t="shared" si="54"/>
        <v>2.5261637809256925E-20</v>
      </c>
      <c r="AX137" s="222">
        <f t="shared" si="54"/>
        <v>1.9287498479639178E-22</v>
      </c>
      <c r="AY137" s="222">
        <f t="shared" si="54"/>
        <v>1.146876582225596E-24</v>
      </c>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c r="CS137" s="176"/>
      <c r="CT137" s="176"/>
      <c r="CU137" s="176"/>
      <c r="CV137" s="176"/>
      <c r="CW137" s="176"/>
      <c r="CX137" s="176"/>
      <c r="CY137" s="176"/>
    </row>
    <row r="138" spans="2:103" hidden="1" outlineLevel="1">
      <c r="B138" s="176"/>
      <c r="C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c r="CS138" s="176"/>
      <c r="CT138" s="176"/>
      <c r="CU138" s="176"/>
      <c r="CV138" s="176"/>
      <c r="CW138" s="176"/>
      <c r="CX138" s="176"/>
      <c r="CY138" s="176"/>
    </row>
    <row r="139" spans="2:103" hidden="1" outlineLevel="1">
      <c r="B139" s="286" t="s">
        <v>302</v>
      </c>
      <c r="C139" s="286"/>
      <c r="D139" s="286"/>
      <c r="E139" s="286"/>
      <c r="F139" s="286"/>
      <c r="G139" s="286"/>
      <c r="H139" s="286"/>
      <c r="I139" s="286"/>
      <c r="J139" s="286"/>
      <c r="K139" s="286"/>
      <c r="L139" s="286"/>
      <c r="M139" s="286"/>
      <c r="N139" s="286"/>
      <c r="O139" s="286"/>
      <c r="P139" s="286"/>
      <c r="Q139" s="286"/>
      <c r="R139" s="286"/>
      <c r="S139" s="286"/>
      <c r="T139" s="286"/>
      <c r="U139" s="286"/>
      <c r="V139" s="286"/>
      <c r="W139" s="286"/>
      <c r="X139" s="286"/>
      <c r="Y139" s="286"/>
      <c r="Z139" s="286"/>
      <c r="AA139" s="286"/>
      <c r="AB139" s="286"/>
      <c r="AC139" s="286"/>
      <c r="AD139" s="286"/>
      <c r="AE139" s="286"/>
      <c r="AF139" s="286"/>
      <c r="AG139" s="286"/>
      <c r="AH139" s="286"/>
      <c r="AI139" s="286"/>
      <c r="AJ139" s="286"/>
      <c r="AK139" s="286"/>
      <c r="AL139" s="286"/>
      <c r="AM139" s="286"/>
      <c r="AN139" s="286"/>
      <c r="AO139" s="286"/>
      <c r="AP139" s="286"/>
      <c r="AQ139" s="286"/>
      <c r="AR139" s="286"/>
      <c r="AS139" s="286"/>
      <c r="AT139" s="286"/>
      <c r="AU139" s="286"/>
      <c r="AV139" s="286"/>
      <c r="AW139" s="286"/>
      <c r="AX139" s="286"/>
      <c r="AY139" s="286"/>
      <c r="AZ139" s="176"/>
      <c r="BA139" s="176"/>
      <c r="BB139" s="286" t="s">
        <v>302</v>
      </c>
      <c r="BC139" s="286"/>
      <c r="BD139" s="286"/>
      <c r="BE139" s="286"/>
      <c r="BF139" s="286"/>
      <c r="BG139" s="286"/>
      <c r="BH139" s="286"/>
      <c r="BI139" s="286"/>
      <c r="BJ139" s="286"/>
      <c r="BK139" s="286"/>
      <c r="BL139" s="286"/>
      <c r="BM139" s="286"/>
      <c r="BN139" s="286"/>
      <c r="BO139" s="286"/>
      <c r="BP139" s="286"/>
      <c r="BQ139" s="286"/>
      <c r="BR139" s="286"/>
      <c r="BS139" s="286"/>
      <c r="BT139" s="286"/>
      <c r="BU139" s="286"/>
      <c r="BV139" s="286"/>
      <c r="BW139" s="286"/>
      <c r="BX139" s="286"/>
      <c r="BY139" s="286"/>
      <c r="BZ139" s="286"/>
      <c r="CA139" s="286"/>
      <c r="CB139" s="286"/>
      <c r="CC139" s="286"/>
      <c r="CD139" s="286"/>
      <c r="CE139" s="286"/>
      <c r="CF139" s="286"/>
      <c r="CG139" s="286"/>
      <c r="CH139" s="286"/>
      <c r="CI139" s="286"/>
      <c r="CJ139" s="286"/>
      <c r="CK139" s="286"/>
      <c r="CL139" s="286"/>
      <c r="CM139" s="286"/>
      <c r="CN139" s="286"/>
      <c r="CO139" s="286"/>
      <c r="CP139" s="286"/>
      <c r="CQ139" s="286"/>
      <c r="CR139" s="286"/>
      <c r="CS139" s="286"/>
      <c r="CT139" s="286"/>
      <c r="CU139" s="286"/>
      <c r="CV139" s="286"/>
      <c r="CW139" s="286"/>
      <c r="CX139" s="286"/>
      <c r="CY139" s="176"/>
    </row>
    <row r="140" spans="2:103" ht="15.75" hidden="1" outlineLevel="1" thickBot="1">
      <c r="B140" s="220"/>
      <c r="C140" s="219"/>
      <c r="D140" s="285" t="s">
        <v>277</v>
      </c>
      <c r="E140" s="285"/>
      <c r="F140" s="285"/>
      <c r="G140" s="285"/>
      <c r="H140" s="285"/>
      <c r="I140" s="285"/>
      <c r="J140" s="285"/>
      <c r="K140" s="285"/>
      <c r="L140" s="285"/>
      <c r="M140" s="285"/>
      <c r="N140" s="285"/>
      <c r="O140" s="285"/>
      <c r="P140" s="285"/>
      <c r="Q140" s="285"/>
      <c r="R140" s="285"/>
      <c r="S140" s="285"/>
      <c r="T140" s="285"/>
      <c r="U140" s="285"/>
      <c r="V140" s="285"/>
      <c r="W140" s="285"/>
      <c r="X140" s="285"/>
      <c r="Y140" s="285"/>
      <c r="Z140" s="285"/>
      <c r="AA140" s="285"/>
      <c r="AB140" s="285"/>
      <c r="AC140" s="285"/>
      <c r="AD140" s="285"/>
      <c r="AE140" s="285"/>
      <c r="AF140" s="285"/>
      <c r="AG140" s="285"/>
      <c r="AH140" s="285"/>
      <c r="AI140" s="285"/>
      <c r="AJ140" s="285"/>
      <c r="AK140" s="285"/>
      <c r="AL140" s="285"/>
      <c r="AM140" s="285"/>
      <c r="AN140" s="285"/>
      <c r="AO140" s="285"/>
      <c r="AP140" s="285"/>
      <c r="AQ140" s="285"/>
      <c r="AR140" s="285"/>
      <c r="AS140" s="285"/>
      <c r="AT140" s="285"/>
      <c r="AU140" s="285"/>
      <c r="AV140" s="285"/>
      <c r="AW140" s="285"/>
      <c r="AX140" s="285"/>
      <c r="AY140" s="285"/>
      <c r="AZ140"/>
      <c r="BA140"/>
      <c r="BB140" s="220"/>
      <c r="BC140" s="285" t="s">
        <v>277</v>
      </c>
      <c r="BD140" s="285"/>
      <c r="BE140" s="285"/>
      <c r="BF140" s="285"/>
      <c r="BG140" s="285"/>
      <c r="BH140" s="285"/>
      <c r="BI140" s="285"/>
      <c r="BJ140" s="285"/>
      <c r="BK140" s="285"/>
      <c r="BL140" s="285"/>
      <c r="BM140" s="285"/>
      <c r="BN140" s="285"/>
      <c r="BO140" s="285"/>
      <c r="BP140" s="285"/>
      <c r="BQ140" s="285"/>
      <c r="BR140" s="285"/>
      <c r="BS140" s="285"/>
      <c r="BT140" s="285"/>
      <c r="BU140" s="285"/>
      <c r="BV140" s="285"/>
      <c r="BW140" s="285"/>
      <c r="BX140" s="285"/>
      <c r="BY140" s="285"/>
      <c r="BZ140" s="285"/>
      <c r="CA140" s="285"/>
      <c r="CB140" s="285"/>
      <c r="CC140" s="285"/>
      <c r="CD140" s="285"/>
      <c r="CE140" s="285"/>
      <c r="CF140" s="285"/>
      <c r="CG140" s="285"/>
      <c r="CH140" s="285"/>
      <c r="CI140" s="285"/>
      <c r="CJ140" s="285"/>
      <c r="CK140" s="285"/>
      <c r="CL140" s="285"/>
      <c r="CM140" s="285"/>
      <c r="CN140" s="285"/>
      <c r="CO140" s="285"/>
      <c r="CP140" s="285"/>
      <c r="CQ140" s="285"/>
      <c r="CR140" s="285"/>
      <c r="CS140" s="285"/>
      <c r="CT140" s="285"/>
      <c r="CU140" s="285"/>
      <c r="CV140" s="285"/>
      <c r="CW140" s="285"/>
      <c r="CX140" s="285"/>
      <c r="CY140" s="176"/>
    </row>
    <row r="141" spans="2:103" hidden="1" outlineLevel="1">
      <c r="B141" t="s">
        <v>275</v>
      </c>
      <c r="C141" s="25" t="s">
        <v>276</v>
      </c>
      <c r="D141" s="225" t="s">
        <v>354</v>
      </c>
      <c r="E141" s="225" t="s">
        <v>353</v>
      </c>
      <c r="F141" s="225" t="s">
        <v>352</v>
      </c>
      <c r="G141" s="225" t="s">
        <v>351</v>
      </c>
      <c r="H141" s="225" t="s">
        <v>350</v>
      </c>
      <c r="I141" s="225" t="s">
        <v>349</v>
      </c>
      <c r="J141" s="225" t="s">
        <v>348</v>
      </c>
      <c r="K141" s="225" t="s">
        <v>347</v>
      </c>
      <c r="L141" s="225" t="s">
        <v>346</v>
      </c>
      <c r="M141" s="225" t="s">
        <v>345</v>
      </c>
      <c r="N141" s="225" t="s">
        <v>344</v>
      </c>
      <c r="O141" s="225" t="s">
        <v>343</v>
      </c>
      <c r="P141" s="227" t="s">
        <v>355</v>
      </c>
      <c r="Q141" s="228" t="s">
        <v>278</v>
      </c>
      <c r="R141" s="228" t="s">
        <v>279</v>
      </c>
      <c r="S141" s="228" t="s">
        <v>280</v>
      </c>
      <c r="T141" s="228" t="s">
        <v>281</v>
      </c>
      <c r="U141" s="228" t="s">
        <v>282</v>
      </c>
      <c r="V141" s="228" t="s">
        <v>283</v>
      </c>
      <c r="W141" s="228" t="s">
        <v>284</v>
      </c>
      <c r="X141" s="228" t="s">
        <v>285</v>
      </c>
      <c r="Y141" s="228" t="s">
        <v>286</v>
      </c>
      <c r="Z141" s="228" t="s">
        <v>287</v>
      </c>
      <c r="AA141" s="228" t="s">
        <v>288</v>
      </c>
      <c r="AB141" s="228" t="s">
        <v>289</v>
      </c>
      <c r="AC141" s="228" t="s">
        <v>290</v>
      </c>
      <c r="AD141" s="228" t="s">
        <v>291</v>
      </c>
      <c r="AE141" s="228" t="s">
        <v>292</v>
      </c>
      <c r="AF141" s="228" t="s">
        <v>293</v>
      </c>
      <c r="AG141" s="228" t="s">
        <v>294</v>
      </c>
      <c r="AH141" s="228" t="s">
        <v>295</v>
      </c>
      <c r="AI141" s="228" t="s">
        <v>296</v>
      </c>
      <c r="AJ141" s="228" t="s">
        <v>297</v>
      </c>
      <c r="AK141" s="228" t="s">
        <v>298</v>
      </c>
      <c r="AL141" s="228" t="s">
        <v>299</v>
      </c>
      <c r="AM141" s="228" t="s">
        <v>300</v>
      </c>
      <c r="AN141" s="223" t="s">
        <v>331</v>
      </c>
      <c r="AO141" s="223" t="s">
        <v>332</v>
      </c>
      <c r="AP141" s="223" t="s">
        <v>333</v>
      </c>
      <c r="AQ141" s="223" t="s">
        <v>334</v>
      </c>
      <c r="AR141" s="223" t="s">
        <v>335</v>
      </c>
      <c r="AS141" s="223" t="s">
        <v>336</v>
      </c>
      <c r="AT141" s="223" t="s">
        <v>337</v>
      </c>
      <c r="AU141" s="223" t="s">
        <v>338</v>
      </c>
      <c r="AV141" s="223" t="s">
        <v>339</v>
      </c>
      <c r="AW141" s="223" t="s">
        <v>340</v>
      </c>
      <c r="AX141" s="223" t="s">
        <v>341</v>
      </c>
      <c r="AY141" s="223" t="s">
        <v>342</v>
      </c>
      <c r="AZ141"/>
      <c r="BA141"/>
      <c r="BB141" s="176" t="s">
        <v>275</v>
      </c>
      <c r="BC141" s="225" t="s">
        <v>354</v>
      </c>
      <c r="BD141" s="225" t="s">
        <v>353</v>
      </c>
      <c r="BE141" s="225" t="s">
        <v>352</v>
      </c>
      <c r="BF141" s="225" t="s">
        <v>351</v>
      </c>
      <c r="BG141" s="225" t="s">
        <v>350</v>
      </c>
      <c r="BH141" s="225" t="s">
        <v>349</v>
      </c>
      <c r="BI141" s="225" t="s">
        <v>348</v>
      </c>
      <c r="BJ141" s="225" t="s">
        <v>347</v>
      </c>
      <c r="BK141" s="225" t="s">
        <v>346</v>
      </c>
      <c r="BL141" s="225" t="s">
        <v>345</v>
      </c>
      <c r="BM141" s="225" t="s">
        <v>344</v>
      </c>
      <c r="BN141" s="225" t="s">
        <v>343</v>
      </c>
      <c r="BO141" s="227" t="s">
        <v>355</v>
      </c>
      <c r="BP141" s="228" t="s">
        <v>278</v>
      </c>
      <c r="BQ141" s="228" t="s">
        <v>279</v>
      </c>
      <c r="BR141" s="228" t="s">
        <v>280</v>
      </c>
      <c r="BS141" s="228" t="s">
        <v>281</v>
      </c>
      <c r="BT141" s="228" t="s">
        <v>282</v>
      </c>
      <c r="BU141" s="228" t="s">
        <v>283</v>
      </c>
      <c r="BV141" s="228" t="s">
        <v>284</v>
      </c>
      <c r="BW141" s="228" t="s">
        <v>285</v>
      </c>
      <c r="BX141" s="228" t="s">
        <v>286</v>
      </c>
      <c r="BY141" s="228" t="s">
        <v>287</v>
      </c>
      <c r="BZ141" s="228" t="s">
        <v>288</v>
      </c>
      <c r="CA141" s="228" t="s">
        <v>289</v>
      </c>
      <c r="CB141" s="228" t="s">
        <v>290</v>
      </c>
      <c r="CC141" s="228" t="s">
        <v>291</v>
      </c>
      <c r="CD141" s="228" t="s">
        <v>292</v>
      </c>
      <c r="CE141" s="228" t="s">
        <v>293</v>
      </c>
      <c r="CF141" s="228" t="s">
        <v>294</v>
      </c>
      <c r="CG141" s="228" t="s">
        <v>295</v>
      </c>
      <c r="CH141" s="228" t="s">
        <v>296</v>
      </c>
      <c r="CI141" s="228" t="s">
        <v>297</v>
      </c>
      <c r="CJ141" s="228" t="s">
        <v>298</v>
      </c>
      <c r="CK141" s="228" t="s">
        <v>299</v>
      </c>
      <c r="CL141" s="228" t="s">
        <v>300</v>
      </c>
      <c r="CM141" s="223" t="s">
        <v>331</v>
      </c>
      <c r="CN141" s="223" t="s">
        <v>332</v>
      </c>
      <c r="CO141" s="223" t="s">
        <v>333</v>
      </c>
      <c r="CP141" s="223" t="s">
        <v>334</v>
      </c>
      <c r="CQ141" s="223" t="s">
        <v>335</v>
      </c>
      <c r="CR141" s="223" t="s">
        <v>336</v>
      </c>
      <c r="CS141" s="223" t="s">
        <v>337</v>
      </c>
      <c r="CT141" s="223" t="s">
        <v>338</v>
      </c>
      <c r="CU141" s="223" t="s">
        <v>339</v>
      </c>
      <c r="CV141" s="223" t="s">
        <v>340</v>
      </c>
      <c r="CW141" s="223" t="s">
        <v>341</v>
      </c>
      <c r="CX141" s="223" t="s">
        <v>342</v>
      </c>
      <c r="CY141" s="218"/>
    </row>
    <row r="142" spans="2:103" hidden="1" outlineLevel="1">
      <c r="B142" t="str">
        <f t="shared" ref="B142:B173" si="55">B9</f>
        <v>Site 1</v>
      </c>
      <c r="C142" s="230">
        <f>VLOOKUP(D9,'Scaling Tables'!$B$123:$C$149,2,FALSE)-VLOOKUP($C$4,'Scaling Tables'!$B$123:$C$149,2,FALSE)</f>
        <v>0</v>
      </c>
      <c r="D142" s="224">
        <f t="shared" ref="D142:O142" si="56">IF($T9&gt;0,(((EXP(-(1/(Morning_Peak_Duration__hours*2))*(D$141-(Morning_Peak_Time__24hr_clock+$C142))^2))+(EXP(-(1/(Afternoon_Peak_Duration__hours*2))*(D$141-(Afternoon_Peak_Time__24hr_clock+$C142))^2)))*$U9)/TZCalibrationValue,0)</f>
        <v>0</v>
      </c>
      <c r="E142" s="224">
        <f t="shared" si="56"/>
        <v>0</v>
      </c>
      <c r="F142" s="224">
        <f t="shared" si="56"/>
        <v>0</v>
      </c>
      <c r="G142" s="224">
        <f t="shared" si="56"/>
        <v>0</v>
      </c>
      <c r="H142" s="224">
        <f t="shared" si="56"/>
        <v>0</v>
      </c>
      <c r="I142" s="224">
        <f t="shared" si="56"/>
        <v>0</v>
      </c>
      <c r="J142" s="224">
        <f t="shared" si="56"/>
        <v>0</v>
      </c>
      <c r="K142" s="224">
        <f t="shared" si="56"/>
        <v>0</v>
      </c>
      <c r="L142" s="224">
        <f t="shared" si="56"/>
        <v>0</v>
      </c>
      <c r="M142" s="224">
        <f t="shared" si="56"/>
        <v>0</v>
      </c>
      <c r="N142" s="224">
        <f t="shared" si="56"/>
        <v>0</v>
      </c>
      <c r="O142" s="224">
        <f t="shared" si="56"/>
        <v>0</v>
      </c>
      <c r="P142" s="229">
        <f t="shared" ref="P142:P173" si="57">IF($T9&gt;0,(((EXP(-(1/(Morning_Peak_Duration__hours*2))*(P$141-(Morning_Peak_Time__24hr_clock+$C142))^2))+(EXP(-(1/(Afternoon_Peak_Duration__hours*2))*(P$141-(Afternoon_Peak_Time__24hr_clock+$C142))^2)))*$U9)/TZCalibrationValue,0)+AN142</f>
        <v>0</v>
      </c>
      <c r="Q142" s="229">
        <f t="shared" ref="Q142:Q173" si="58">IF($T9&gt;0,(((EXP(-(1/(Morning_Peak_Duration__hours*2))*(Q$141-(Morning_Peak_Time__24hr_clock+$C142))^2))+(EXP(-(1/(Afternoon_Peak_Duration__hours*2))*(Q$141-(Afternoon_Peak_Time__24hr_clock+$C142))^2)))*$U9)/TZCalibrationValue,0)+AO142</f>
        <v>0</v>
      </c>
      <c r="R142" s="229">
        <f t="shared" ref="R142:R173" si="59">IF($T9&gt;0,(((EXP(-(1/(Morning_Peak_Duration__hours*2))*(R$141-(Morning_Peak_Time__24hr_clock+$C142))^2))+(EXP(-(1/(Afternoon_Peak_Duration__hours*2))*(R$141-(Afternoon_Peak_Time__24hr_clock+$C142))^2)))*$U9)/TZCalibrationValue,0)+AP142</f>
        <v>0</v>
      </c>
      <c r="S142" s="229">
        <f t="shared" ref="S142:S173" si="60">IF($T9&gt;0,(((EXP(-(1/(Morning_Peak_Duration__hours*2))*(S$141-(Morning_Peak_Time__24hr_clock+$C142))^2))+(EXP(-(1/(Afternoon_Peak_Duration__hours*2))*(S$141-(Afternoon_Peak_Time__24hr_clock+$C142))^2)))*$U9)/TZCalibrationValue,0)+AQ142</f>
        <v>0</v>
      </c>
      <c r="T142" s="229">
        <f t="shared" ref="T142:T173" si="61">IF($T9&gt;0,(((EXP(-(1/(Morning_Peak_Duration__hours*2))*(T$141-(Morning_Peak_Time__24hr_clock+$C142))^2))+(EXP(-(1/(Afternoon_Peak_Duration__hours*2))*(T$141-(Afternoon_Peak_Time__24hr_clock+$C142))^2)))*$U9)/TZCalibrationValue,0)+AR142</f>
        <v>0</v>
      </c>
      <c r="U142" s="229">
        <f t="shared" ref="U142:U173" si="62">IF($T9&gt;0,(((EXP(-(1/(Morning_Peak_Duration__hours*2))*(U$141-(Morning_Peak_Time__24hr_clock+$C142))^2))+(EXP(-(1/(Afternoon_Peak_Duration__hours*2))*(U$141-(Afternoon_Peak_Time__24hr_clock+$C142))^2)))*$U9)/TZCalibrationValue,0)+AS142</f>
        <v>0</v>
      </c>
      <c r="V142" s="229">
        <f t="shared" ref="V142:V173" si="63">IF($T9&gt;0,(((EXP(-(1/(Morning_Peak_Duration__hours*2))*(V$141-(Morning_Peak_Time__24hr_clock+$C142))^2))+(EXP(-(1/(Afternoon_Peak_Duration__hours*2))*(V$141-(Afternoon_Peak_Time__24hr_clock+$C142))^2)))*$U9)/TZCalibrationValue,0)+AT142</f>
        <v>0</v>
      </c>
      <c r="W142" s="229">
        <f t="shared" ref="W142:W173" si="64">IF($T9&gt;0,(((EXP(-(1/(Morning_Peak_Duration__hours*2))*(W$141-(Morning_Peak_Time__24hr_clock+$C142))^2))+(EXP(-(1/(Afternoon_Peak_Duration__hours*2))*(W$141-(Afternoon_Peak_Time__24hr_clock+$C142))^2)))*$U9)/TZCalibrationValue,0)+AU142</f>
        <v>0</v>
      </c>
      <c r="X142" s="229">
        <f t="shared" ref="X142:X173" si="65">IF($T9&gt;0,(((EXP(-(1/(Morning_Peak_Duration__hours*2))*(X$141-(Morning_Peak_Time__24hr_clock+$C142))^2))+(EXP(-(1/(Afternoon_Peak_Duration__hours*2))*(X$141-(Afternoon_Peak_Time__24hr_clock+$C142))^2)))*$U9)/TZCalibrationValue,0)+AV142</f>
        <v>0</v>
      </c>
      <c r="Y142" s="229">
        <f t="shared" ref="Y142:Y173" si="66">IF($T9&gt;0,(((EXP(-(1/(Morning_Peak_Duration__hours*2))*(Y$141-(Morning_Peak_Time__24hr_clock+$C142))^2))+(EXP(-(1/(Afternoon_Peak_Duration__hours*2))*(Y$141-(Afternoon_Peak_Time__24hr_clock+$C142))^2)))*$U9)/TZCalibrationValue,0)+AW142</f>
        <v>0</v>
      </c>
      <c r="Z142" s="229">
        <f t="shared" ref="Z142:Z173" si="67">IF($T9&gt;0,(((EXP(-(1/(Morning_Peak_Duration__hours*2))*(Z$141-(Morning_Peak_Time__24hr_clock+$C142))^2))+(EXP(-(1/(Afternoon_Peak_Duration__hours*2))*(Z$141-(Afternoon_Peak_Time__24hr_clock+$C142))^2)))*$U9)/TZCalibrationValue,0)+AX142</f>
        <v>0</v>
      </c>
      <c r="AA142" s="229">
        <f t="shared" ref="AA142:AA173" si="68">IF($T9&gt;0,(((EXP(-(1/(Morning_Peak_Duration__hours*2))*(AA$141-(Morning_Peak_Time__24hr_clock+$C142))^2))+(EXP(-(1/(Afternoon_Peak_Duration__hours*2))*(AA$141-(Afternoon_Peak_Time__24hr_clock+$C142))^2)))*$U9)/TZCalibrationValue,0)+AY142</f>
        <v>0</v>
      </c>
      <c r="AB142" s="229">
        <f t="shared" ref="AB142:AB173" si="69">IF($T9&gt;0,(((EXP(-(1/(Morning_Peak_Duration__hours*2))*(AB$141-(Morning_Peak_Time__24hr_clock+$C142))^2))+(EXP(-(1/(Afternoon_Peak_Duration__hours*2))*(AB$141-(Afternoon_Peak_Time__24hr_clock+$C142))^2)))*$U9)/TZCalibrationValue,0)+AZ142</f>
        <v>0</v>
      </c>
      <c r="AC142" s="229">
        <f t="shared" ref="AC142:AC173" si="70">IF($T9&gt;0,(((EXP(-(1/(Morning_Peak_Duration__hours*2))*(AC$141-(Morning_Peak_Time__24hr_clock+$C142))^2))+(EXP(-(1/(Afternoon_Peak_Duration__hours*2))*(AC$141-(Afternoon_Peak_Time__24hr_clock+$C142))^2)))*$U9)/TZCalibrationValue,0)+E142</f>
        <v>0</v>
      </c>
      <c r="AD142" s="229">
        <f t="shared" ref="AD142:AD173" si="71">IF($T9&gt;0,(((EXP(-(1/(Morning_Peak_Duration__hours*2))*(AD$141-(Morning_Peak_Time__24hr_clock+$C142))^2))+(EXP(-(1/(Afternoon_Peak_Duration__hours*2))*(AD$141-(Afternoon_Peak_Time__24hr_clock+$C142))^2)))*$U9)/TZCalibrationValue,0)+F142</f>
        <v>0</v>
      </c>
      <c r="AE142" s="229">
        <f t="shared" ref="AE142:AE173" si="72">IF($T9&gt;0,(((EXP(-(1/(Morning_Peak_Duration__hours*2))*(AE$141-(Morning_Peak_Time__24hr_clock+$C142))^2))+(EXP(-(1/(Afternoon_Peak_Duration__hours*2))*(AE$141-(Afternoon_Peak_Time__24hr_clock+$C142))^2)))*$U9)/TZCalibrationValue,0)+G142</f>
        <v>0</v>
      </c>
      <c r="AF142" s="229">
        <f t="shared" ref="AF142:AF173" si="73">IF($T9&gt;0,(((EXP(-(1/(Morning_Peak_Duration__hours*2))*(AF$141-(Morning_Peak_Time__24hr_clock+$C142))^2))+(EXP(-(1/(Afternoon_Peak_Duration__hours*2))*(AF$141-(Afternoon_Peak_Time__24hr_clock+$C142))^2)))*$U9)/TZCalibrationValue,0)+H142</f>
        <v>0</v>
      </c>
      <c r="AG142" s="229">
        <f t="shared" ref="AG142:AG173" si="74">IF($T9&gt;0,(((EXP(-(1/(Morning_Peak_Duration__hours*2))*(AG$141-(Morning_Peak_Time__24hr_clock+$C142))^2))+(EXP(-(1/(Afternoon_Peak_Duration__hours*2))*(AG$141-(Afternoon_Peak_Time__24hr_clock+$C142))^2)))*$U9)/TZCalibrationValue,0)+I142</f>
        <v>0</v>
      </c>
      <c r="AH142" s="229">
        <f t="shared" ref="AH142:AH173" si="75">IF($T9&gt;0,(((EXP(-(1/(Morning_Peak_Duration__hours*2))*(AH$141-(Morning_Peak_Time__24hr_clock+$C142))^2))+(EXP(-(1/(Afternoon_Peak_Duration__hours*2))*(AH$141-(Afternoon_Peak_Time__24hr_clock+$C142))^2)))*$U9)/TZCalibrationValue,0)+J142</f>
        <v>0</v>
      </c>
      <c r="AI142" s="229">
        <f t="shared" ref="AI142:AI173" si="76">IF($T9&gt;0,(((EXP(-(1/(Morning_Peak_Duration__hours*2))*(AI$141-(Morning_Peak_Time__24hr_clock+$C142))^2))+(EXP(-(1/(Afternoon_Peak_Duration__hours*2))*(AI$141-(Afternoon_Peak_Time__24hr_clock+$C142))^2)))*$U9)/TZCalibrationValue,0)+K142</f>
        <v>0</v>
      </c>
      <c r="AJ142" s="229">
        <f t="shared" ref="AJ142:AJ173" si="77">IF($T9&gt;0,(((EXP(-(1/(Morning_Peak_Duration__hours*2))*(AJ$141-(Morning_Peak_Time__24hr_clock+$C142))^2))+(EXP(-(1/(Afternoon_Peak_Duration__hours*2))*(AJ$141-(Afternoon_Peak_Time__24hr_clock+$C142))^2)))*$U9)/TZCalibrationValue,0)+L142</f>
        <v>0</v>
      </c>
      <c r="AK142" s="229">
        <f t="shared" ref="AK142:AK173" si="78">IF($T9&gt;0,(((EXP(-(1/(Morning_Peak_Duration__hours*2))*(AK$141-(Morning_Peak_Time__24hr_clock+$C142))^2))+(EXP(-(1/(Afternoon_Peak_Duration__hours*2))*(AK$141-(Afternoon_Peak_Time__24hr_clock+$C142))^2)))*$U9)/TZCalibrationValue,0)+M142</f>
        <v>0</v>
      </c>
      <c r="AL142" s="229">
        <f t="shared" ref="AL142:AL173" si="79">IF($T9&gt;0,(((EXP(-(1/(Morning_Peak_Duration__hours*2))*(AL$141-(Morning_Peak_Time__24hr_clock+$C142))^2))+(EXP(-(1/(Afternoon_Peak_Duration__hours*2))*(AL$141-(Afternoon_Peak_Time__24hr_clock+$C142))^2)))*$U9)/TZCalibrationValue,0)+N142</f>
        <v>0</v>
      </c>
      <c r="AM142" s="229">
        <f t="shared" ref="AM142:AM173" si="80">IF($T9&gt;0,(((EXP(-(1/(Morning_Peak_Duration__hours*2))*(AM$141-(Morning_Peak_Time__24hr_clock+$C142))^2))+(EXP(-(1/(Afternoon_Peak_Duration__hours*2))*(AM$141-(Afternoon_Peak_Time__24hr_clock+$C142))^2)))*$U9)/TZCalibrationValue,0)+O142</f>
        <v>0</v>
      </c>
      <c r="AN142" s="224">
        <f t="shared" ref="AN142:AY142" si="81">IF($T9&gt;0,(((EXP(-(1/(Morning_Peak_Duration__hours*2))*(AN$141-(Morning_Peak_Time__24hr_clock+$C142))^2))+(EXP(-(1/(Afternoon_Peak_Duration__hours*2))*(AN$141-(Afternoon_Peak_Time__24hr_clock+$C142))^2)))*$U9)/TZCalibrationValue,0)</f>
        <v>0</v>
      </c>
      <c r="AO142" s="224">
        <f t="shared" si="81"/>
        <v>0</v>
      </c>
      <c r="AP142" s="224">
        <f t="shared" si="81"/>
        <v>0</v>
      </c>
      <c r="AQ142" s="224">
        <f t="shared" si="81"/>
        <v>0</v>
      </c>
      <c r="AR142" s="224">
        <f t="shared" si="81"/>
        <v>0</v>
      </c>
      <c r="AS142" s="224">
        <f t="shared" si="81"/>
        <v>0</v>
      </c>
      <c r="AT142" s="224">
        <f t="shared" si="81"/>
        <v>0</v>
      </c>
      <c r="AU142" s="224">
        <f t="shared" si="81"/>
        <v>0</v>
      </c>
      <c r="AV142" s="224">
        <f t="shared" si="81"/>
        <v>0</v>
      </c>
      <c r="AW142" s="224">
        <f t="shared" si="81"/>
        <v>0</v>
      </c>
      <c r="AX142" s="224">
        <f t="shared" si="81"/>
        <v>0</v>
      </c>
      <c r="AY142" s="224">
        <f t="shared" si="81"/>
        <v>0</v>
      </c>
      <c r="AZ142" s="218"/>
      <c r="BA142"/>
      <c r="BB142" s="176" t="str">
        <f t="shared" ref="BB142:BB173" si="82">B142</f>
        <v>Site 1</v>
      </c>
      <c r="BC142" s="224">
        <f t="shared" ref="BC142:BN142" si="83">IF($T9&gt;0,(((EXP(-(1/(Morning_Peak_Duration__hours*2))*(BC$141-(Morning_Peak_Time__24hr_clock+$C142))^2))+(EXP(-(1/(Afternoon_Peak_Duration__hours*2))*(BC$141-(Afternoon_Peak_Time__24hr_clock+$C142))^2)))*$V9)/TZCalibrationValue,0)</f>
        <v>0</v>
      </c>
      <c r="BD142" s="224">
        <f t="shared" si="83"/>
        <v>0</v>
      </c>
      <c r="BE142" s="224">
        <f t="shared" si="83"/>
        <v>0</v>
      </c>
      <c r="BF142" s="224">
        <f t="shared" si="83"/>
        <v>0</v>
      </c>
      <c r="BG142" s="224">
        <f t="shared" si="83"/>
        <v>0</v>
      </c>
      <c r="BH142" s="224">
        <f t="shared" si="83"/>
        <v>0</v>
      </c>
      <c r="BI142" s="224">
        <f t="shared" si="83"/>
        <v>0</v>
      </c>
      <c r="BJ142" s="224">
        <f t="shared" si="83"/>
        <v>0</v>
      </c>
      <c r="BK142" s="224">
        <f t="shared" si="83"/>
        <v>0</v>
      </c>
      <c r="BL142" s="224">
        <f t="shared" si="83"/>
        <v>0</v>
      </c>
      <c r="BM142" s="224">
        <f t="shared" si="83"/>
        <v>0</v>
      </c>
      <c r="BN142" s="224">
        <f t="shared" si="83"/>
        <v>0</v>
      </c>
      <c r="BO142" s="229">
        <f t="shared" ref="BO142:BO173" si="84">IF($T9&gt;0,(((EXP(-(1/(Morning_Peak_Duration__hours*2))*(BO$141-(Morning_Peak_Time__24hr_clock+$C142))^2))+(EXP(-(1/(Afternoon_Peak_Duration__hours*2))*(BO$141-(Afternoon_Peak_Time__24hr_clock+$C142))^2)))*$V9)/TZCalibrationValue,0)+CM142</f>
        <v>0</v>
      </c>
      <c r="BP142" s="229">
        <f t="shared" ref="BP142:BP173" si="85">IF($T9&gt;0,(((EXP(-(1/(Morning_Peak_Duration__hours*2))*(BP$141-(Morning_Peak_Time__24hr_clock+$C142))^2))+(EXP(-(1/(Afternoon_Peak_Duration__hours*2))*(BP$141-(Afternoon_Peak_Time__24hr_clock+$C142))^2)))*$V9)/TZCalibrationValue,0)+CN142</f>
        <v>0</v>
      </c>
      <c r="BQ142" s="229">
        <f t="shared" ref="BQ142:BQ173" si="86">IF($T9&gt;0,(((EXP(-(1/(Morning_Peak_Duration__hours*2))*(BQ$141-(Morning_Peak_Time__24hr_clock+$C142))^2))+(EXP(-(1/(Afternoon_Peak_Duration__hours*2))*(BQ$141-(Afternoon_Peak_Time__24hr_clock+$C142))^2)))*$V9)/TZCalibrationValue,0)+CO142</f>
        <v>0</v>
      </c>
      <c r="BR142" s="229">
        <f t="shared" ref="BR142:BR173" si="87">IF($T9&gt;0,(((EXP(-(1/(Morning_Peak_Duration__hours*2))*(BR$141-(Morning_Peak_Time__24hr_clock+$C142))^2))+(EXP(-(1/(Afternoon_Peak_Duration__hours*2))*(BR$141-(Afternoon_Peak_Time__24hr_clock+$C142))^2)))*$V9)/TZCalibrationValue,0)+CP142</f>
        <v>0</v>
      </c>
      <c r="BS142" s="229">
        <f t="shared" ref="BS142:BS173" si="88">IF($T9&gt;0,(((EXP(-(1/(Morning_Peak_Duration__hours*2))*(BS$141-(Morning_Peak_Time__24hr_clock+$C142))^2))+(EXP(-(1/(Afternoon_Peak_Duration__hours*2))*(BS$141-(Afternoon_Peak_Time__24hr_clock+$C142))^2)))*$V9)/TZCalibrationValue,0)+CQ142</f>
        <v>0</v>
      </c>
      <c r="BT142" s="229">
        <f t="shared" ref="BT142:BT173" si="89">IF($T9&gt;0,(((EXP(-(1/(Morning_Peak_Duration__hours*2))*(BT$141-(Morning_Peak_Time__24hr_clock+$C142))^2))+(EXP(-(1/(Afternoon_Peak_Duration__hours*2))*(BT$141-(Afternoon_Peak_Time__24hr_clock+$C142))^2)))*$V9)/TZCalibrationValue,0)+CR142</f>
        <v>0</v>
      </c>
      <c r="BU142" s="229">
        <f t="shared" ref="BU142:BU173" si="90">IF($T9&gt;0,(((EXP(-(1/(Morning_Peak_Duration__hours*2))*(BU$141-(Morning_Peak_Time__24hr_clock+$C142))^2))+(EXP(-(1/(Afternoon_Peak_Duration__hours*2))*(BU$141-(Afternoon_Peak_Time__24hr_clock+$C142))^2)))*$V9)/TZCalibrationValue,0)+CS142</f>
        <v>0</v>
      </c>
      <c r="BV142" s="229">
        <f t="shared" ref="BV142:BV173" si="91">IF($T9&gt;0,(((EXP(-(1/(Morning_Peak_Duration__hours*2))*(BV$141-(Morning_Peak_Time__24hr_clock+$C142))^2))+(EXP(-(1/(Afternoon_Peak_Duration__hours*2))*(BV$141-(Afternoon_Peak_Time__24hr_clock+$C142))^2)))*$V9)/TZCalibrationValue,0)+CT142</f>
        <v>0</v>
      </c>
      <c r="BW142" s="229">
        <f t="shared" ref="BW142:BW173" si="92">IF($T9&gt;0,(((EXP(-(1/(Morning_Peak_Duration__hours*2))*(BW$141-(Morning_Peak_Time__24hr_clock+$C142))^2))+(EXP(-(1/(Afternoon_Peak_Duration__hours*2))*(BW$141-(Afternoon_Peak_Time__24hr_clock+$C142))^2)))*$V9)/TZCalibrationValue,0)+CU142</f>
        <v>0</v>
      </c>
      <c r="BX142" s="229">
        <f t="shared" ref="BX142:BX173" si="93">IF($T9&gt;0,(((EXP(-(1/(Morning_Peak_Duration__hours*2))*(BX$141-(Morning_Peak_Time__24hr_clock+$C142))^2))+(EXP(-(1/(Afternoon_Peak_Duration__hours*2))*(BX$141-(Afternoon_Peak_Time__24hr_clock+$C142))^2)))*$V9)/TZCalibrationValue,0)+CV142</f>
        <v>0</v>
      </c>
      <c r="BY142" s="229">
        <f t="shared" ref="BY142:BY173" si="94">IF($T9&gt;0,(((EXP(-(1/(Morning_Peak_Duration__hours*2))*(BY$141-(Morning_Peak_Time__24hr_clock+$C142))^2))+(EXP(-(1/(Afternoon_Peak_Duration__hours*2))*(BY$141-(Afternoon_Peak_Time__24hr_clock+$C142))^2)))*$V9)/TZCalibrationValue,0)+CW142</f>
        <v>0</v>
      </c>
      <c r="BZ142" s="229">
        <f t="shared" ref="BZ142:BZ173" si="95">IF($T9&gt;0,(((EXP(-(1/(Morning_Peak_Duration__hours*2))*(BZ$141-(Morning_Peak_Time__24hr_clock+$C142))^2))+(EXP(-(1/(Afternoon_Peak_Duration__hours*2))*(BZ$141-(Afternoon_Peak_Time__24hr_clock+$C142))^2)))*$V9)/TZCalibrationValue,0)+CX142</f>
        <v>0</v>
      </c>
      <c r="CA142" s="229">
        <f t="shared" ref="CA142:CA173" si="96">IF($T9&gt;0,(((EXP(-(1/(Morning_Peak_Duration__hours*2))*(CA$141-(Morning_Peak_Time__24hr_clock+$C142))^2))+(EXP(-(1/(Afternoon_Peak_Duration__hours*2))*(CA$141-(Afternoon_Peak_Time__24hr_clock+$C142))^2)))*$V9)/TZCalibrationValue,0)+BC142</f>
        <v>0</v>
      </c>
      <c r="CB142" s="229">
        <f t="shared" ref="CB142:CB173" si="97">IF($T9&gt;0,(((EXP(-(1/(Morning_Peak_Duration__hours*2))*(CB$141-(Morning_Peak_Time__24hr_clock+$C142))^2))+(EXP(-(1/(Afternoon_Peak_Duration__hours*2))*(CB$141-(Afternoon_Peak_Time__24hr_clock+$C142))^2)))*$V9)/TZCalibrationValue,0)+BD142</f>
        <v>0</v>
      </c>
      <c r="CC142" s="229">
        <f t="shared" ref="CC142:CC173" si="98">IF($T9&gt;0,(((EXP(-(1/(Morning_Peak_Duration__hours*2))*(CC$141-(Morning_Peak_Time__24hr_clock+$C142))^2))+(EXP(-(1/(Afternoon_Peak_Duration__hours*2))*(CC$141-(Afternoon_Peak_Time__24hr_clock+$C142))^2)))*$V9)/TZCalibrationValue,0)+BE142</f>
        <v>0</v>
      </c>
      <c r="CD142" s="229">
        <f t="shared" ref="CD142:CD173" si="99">IF($T9&gt;0,(((EXP(-(1/(Morning_Peak_Duration__hours*2))*(CD$141-(Morning_Peak_Time__24hr_clock+$C142))^2))+(EXP(-(1/(Afternoon_Peak_Duration__hours*2))*(CD$141-(Afternoon_Peak_Time__24hr_clock+$C142))^2)))*$V9)/TZCalibrationValue,0)+BF142</f>
        <v>0</v>
      </c>
      <c r="CE142" s="229">
        <f t="shared" ref="CE142:CE173" si="100">IF($T9&gt;0,(((EXP(-(1/(Morning_Peak_Duration__hours*2))*(CE$141-(Morning_Peak_Time__24hr_clock+$C142))^2))+(EXP(-(1/(Afternoon_Peak_Duration__hours*2))*(CE$141-(Afternoon_Peak_Time__24hr_clock+$C142))^2)))*$V9)/TZCalibrationValue,0)+BG142</f>
        <v>0</v>
      </c>
      <c r="CF142" s="229">
        <f t="shared" ref="CF142:CF173" si="101">IF($T9&gt;0,(((EXP(-(1/(Morning_Peak_Duration__hours*2))*(CF$141-(Morning_Peak_Time__24hr_clock+$C142))^2))+(EXP(-(1/(Afternoon_Peak_Duration__hours*2))*(CF$141-(Afternoon_Peak_Time__24hr_clock+$C142))^2)))*$V9)/TZCalibrationValue,0)+BH142</f>
        <v>0</v>
      </c>
      <c r="CG142" s="229">
        <f t="shared" ref="CG142:CG173" si="102">IF($T9&gt;0,(((EXP(-(1/(Morning_Peak_Duration__hours*2))*(CG$141-(Morning_Peak_Time__24hr_clock+$C142))^2))+(EXP(-(1/(Afternoon_Peak_Duration__hours*2))*(CG$141-(Afternoon_Peak_Time__24hr_clock+$C142))^2)))*$V9)/TZCalibrationValue,0)+BI142</f>
        <v>0</v>
      </c>
      <c r="CH142" s="229">
        <f t="shared" ref="CH142:CH173" si="103">IF($T9&gt;0,(((EXP(-(1/(Morning_Peak_Duration__hours*2))*(CH$141-(Morning_Peak_Time__24hr_clock+$C142))^2))+(EXP(-(1/(Afternoon_Peak_Duration__hours*2))*(CH$141-(Afternoon_Peak_Time__24hr_clock+$C142))^2)))*$V9)/TZCalibrationValue,0)+BJ142</f>
        <v>0</v>
      </c>
      <c r="CI142" s="229">
        <f t="shared" ref="CI142:CI173" si="104">IF($T9&gt;0,(((EXP(-(1/(Morning_Peak_Duration__hours*2))*(CI$141-(Morning_Peak_Time__24hr_clock+$C142))^2))+(EXP(-(1/(Afternoon_Peak_Duration__hours*2))*(CI$141-(Afternoon_Peak_Time__24hr_clock+$C142))^2)))*$V9)/TZCalibrationValue,0)+BK142</f>
        <v>0</v>
      </c>
      <c r="CJ142" s="229">
        <f t="shared" ref="CJ142:CJ173" si="105">IF($T9&gt;0,(((EXP(-(1/(Morning_Peak_Duration__hours*2))*(CJ$141-(Morning_Peak_Time__24hr_clock+$C142))^2))+(EXP(-(1/(Afternoon_Peak_Duration__hours*2))*(CJ$141-(Afternoon_Peak_Time__24hr_clock+$C142))^2)))*$V9)/TZCalibrationValue,0)+BL142</f>
        <v>0</v>
      </c>
      <c r="CK142" s="229">
        <f t="shared" ref="CK142:CK173" si="106">IF($T9&gt;0,(((EXP(-(1/(Morning_Peak_Duration__hours*2))*(CK$141-(Morning_Peak_Time__24hr_clock+$C142))^2))+(EXP(-(1/(Afternoon_Peak_Duration__hours*2))*(CK$141-(Afternoon_Peak_Time__24hr_clock+$C142))^2)))*$V9)/TZCalibrationValue,0)+BM142</f>
        <v>0</v>
      </c>
      <c r="CL142" s="229">
        <f t="shared" ref="CL142:CL173" si="107">IF($T9&gt;0,(((EXP(-(1/(Morning_Peak_Duration__hours*2))*(CL$141-(Morning_Peak_Time__24hr_clock+$C142))^2))+(EXP(-(1/(Afternoon_Peak_Duration__hours*2))*(CL$141-(Afternoon_Peak_Time__24hr_clock+$C142))^2)))*$V9)/TZCalibrationValue,0)+BN142</f>
        <v>0</v>
      </c>
      <c r="CM142" s="224">
        <f t="shared" ref="CM142:CX142" si="108">IF($T9&gt;0,(((EXP(-(1/(Morning_Peak_Duration__hours*2))*(CM$141-(Morning_Peak_Time__24hr_clock+$C142))^2))+(EXP(-(1/(Afternoon_Peak_Duration__hours*2))*(CM$141-(Afternoon_Peak_Time__24hr_clock+$C142))^2)))*$V9)/TZCalibrationValue,0)</f>
        <v>0</v>
      </c>
      <c r="CN142" s="224">
        <f t="shared" si="108"/>
        <v>0</v>
      </c>
      <c r="CO142" s="224">
        <f t="shared" si="108"/>
        <v>0</v>
      </c>
      <c r="CP142" s="224">
        <f t="shared" si="108"/>
        <v>0</v>
      </c>
      <c r="CQ142" s="224">
        <f t="shared" si="108"/>
        <v>0</v>
      </c>
      <c r="CR142" s="224">
        <f t="shared" si="108"/>
        <v>0</v>
      </c>
      <c r="CS142" s="224">
        <f t="shared" si="108"/>
        <v>0</v>
      </c>
      <c r="CT142" s="224">
        <f t="shared" si="108"/>
        <v>0</v>
      </c>
      <c r="CU142" s="224">
        <f t="shared" si="108"/>
        <v>0</v>
      </c>
      <c r="CV142" s="224">
        <f t="shared" si="108"/>
        <v>0</v>
      </c>
      <c r="CW142" s="224">
        <f t="shared" si="108"/>
        <v>0</v>
      </c>
      <c r="CX142" s="224">
        <f t="shared" si="108"/>
        <v>0</v>
      </c>
      <c r="CY142" s="218"/>
    </row>
    <row r="143" spans="2:103" hidden="1" outlineLevel="1">
      <c r="B143" t="str">
        <f t="shared" si="55"/>
        <v>Site 2</v>
      </c>
      <c r="C143" s="230">
        <f>VLOOKUP(D10,'Scaling Tables'!$B$123:$C$149,2,FALSE)-VLOOKUP($C$4,'Scaling Tables'!$B$123:$C$149,2,FALSE)</f>
        <v>0</v>
      </c>
      <c r="D143" s="224">
        <f t="shared" ref="D143:O143" si="109">IF($T10&gt;0,(((EXP(-(1/(Morning_Peak_Duration__hours*2))*(D$141-(Morning_Peak_Time__24hr_clock+$C143))^2))+(EXP(-(1/(Afternoon_Peak_Duration__hours*2))*(D$141-(Afternoon_Peak_Time__24hr_clock+$C143))^2)))*$U10)/TZCalibrationValue,0)</f>
        <v>0</v>
      </c>
      <c r="E143" s="224">
        <f t="shared" si="109"/>
        <v>0</v>
      </c>
      <c r="F143" s="224">
        <f t="shared" si="109"/>
        <v>0</v>
      </c>
      <c r="G143" s="224">
        <f t="shared" si="109"/>
        <v>0</v>
      </c>
      <c r="H143" s="224">
        <f t="shared" si="109"/>
        <v>0</v>
      </c>
      <c r="I143" s="224">
        <f t="shared" si="109"/>
        <v>0</v>
      </c>
      <c r="J143" s="224">
        <f t="shared" si="109"/>
        <v>0</v>
      </c>
      <c r="K143" s="224">
        <f t="shared" si="109"/>
        <v>0</v>
      </c>
      <c r="L143" s="224">
        <f t="shared" si="109"/>
        <v>0</v>
      </c>
      <c r="M143" s="224">
        <f t="shared" si="109"/>
        <v>0</v>
      </c>
      <c r="N143" s="224">
        <f t="shared" si="109"/>
        <v>0</v>
      </c>
      <c r="O143" s="224">
        <f t="shared" si="109"/>
        <v>0</v>
      </c>
      <c r="P143" s="229">
        <f t="shared" si="57"/>
        <v>0</v>
      </c>
      <c r="Q143" s="229">
        <f t="shared" si="58"/>
        <v>0</v>
      </c>
      <c r="R143" s="229">
        <f t="shared" si="59"/>
        <v>0</v>
      </c>
      <c r="S143" s="229">
        <f t="shared" si="60"/>
        <v>0</v>
      </c>
      <c r="T143" s="229">
        <f t="shared" si="61"/>
        <v>0</v>
      </c>
      <c r="U143" s="229">
        <f t="shared" si="62"/>
        <v>0</v>
      </c>
      <c r="V143" s="229">
        <f t="shared" si="63"/>
        <v>0</v>
      </c>
      <c r="W143" s="229">
        <f t="shared" si="64"/>
        <v>0</v>
      </c>
      <c r="X143" s="229">
        <f t="shared" si="65"/>
        <v>0</v>
      </c>
      <c r="Y143" s="229">
        <f t="shared" si="66"/>
        <v>0</v>
      </c>
      <c r="Z143" s="229">
        <f t="shared" si="67"/>
        <v>0</v>
      </c>
      <c r="AA143" s="229">
        <f t="shared" si="68"/>
        <v>0</v>
      </c>
      <c r="AB143" s="229">
        <f t="shared" si="69"/>
        <v>0</v>
      </c>
      <c r="AC143" s="229">
        <f t="shared" si="70"/>
        <v>0</v>
      </c>
      <c r="AD143" s="229">
        <f t="shared" si="71"/>
        <v>0</v>
      </c>
      <c r="AE143" s="229">
        <f t="shared" si="72"/>
        <v>0</v>
      </c>
      <c r="AF143" s="229">
        <f t="shared" si="73"/>
        <v>0</v>
      </c>
      <c r="AG143" s="229">
        <f t="shared" si="74"/>
        <v>0</v>
      </c>
      <c r="AH143" s="229">
        <f t="shared" si="75"/>
        <v>0</v>
      </c>
      <c r="AI143" s="229">
        <f t="shared" si="76"/>
        <v>0</v>
      </c>
      <c r="AJ143" s="229">
        <f t="shared" si="77"/>
        <v>0</v>
      </c>
      <c r="AK143" s="229">
        <f t="shared" si="78"/>
        <v>0</v>
      </c>
      <c r="AL143" s="229">
        <f t="shared" si="79"/>
        <v>0</v>
      </c>
      <c r="AM143" s="229">
        <f t="shared" si="80"/>
        <v>0</v>
      </c>
      <c r="AN143" s="224">
        <f t="shared" ref="AN143:AY143" si="110">IF($T10&gt;0,(((EXP(-(1/(Morning_Peak_Duration__hours*2))*(AN$141-(Morning_Peak_Time__24hr_clock+$C143))^2))+(EXP(-(1/(Afternoon_Peak_Duration__hours*2))*(AN$141-(Afternoon_Peak_Time__24hr_clock+$C143))^2)))*$U10)/TZCalibrationValue,0)</f>
        <v>0</v>
      </c>
      <c r="AO143" s="224">
        <f t="shared" si="110"/>
        <v>0</v>
      </c>
      <c r="AP143" s="224">
        <f t="shared" si="110"/>
        <v>0</v>
      </c>
      <c r="AQ143" s="224">
        <f t="shared" si="110"/>
        <v>0</v>
      </c>
      <c r="AR143" s="224">
        <f t="shared" si="110"/>
        <v>0</v>
      </c>
      <c r="AS143" s="224">
        <f t="shared" si="110"/>
        <v>0</v>
      </c>
      <c r="AT143" s="224">
        <f t="shared" si="110"/>
        <v>0</v>
      </c>
      <c r="AU143" s="224">
        <f t="shared" si="110"/>
        <v>0</v>
      </c>
      <c r="AV143" s="224">
        <f t="shared" si="110"/>
        <v>0</v>
      </c>
      <c r="AW143" s="224">
        <f t="shared" si="110"/>
        <v>0</v>
      </c>
      <c r="AX143" s="224">
        <f t="shared" si="110"/>
        <v>0</v>
      </c>
      <c r="AY143" s="224">
        <f t="shared" si="110"/>
        <v>0</v>
      </c>
      <c r="AZ143" s="218"/>
      <c r="BA143"/>
      <c r="BB143" s="176" t="str">
        <f t="shared" si="82"/>
        <v>Site 2</v>
      </c>
      <c r="BC143" s="224">
        <f t="shared" ref="BC143:BN143" si="111">IF($T10&gt;0,(((EXP(-(1/(Morning_Peak_Duration__hours*2))*(BC$141-(Morning_Peak_Time__24hr_clock+$C143))^2))+(EXP(-(1/(Afternoon_Peak_Duration__hours*2))*(BC$141-(Afternoon_Peak_Time__24hr_clock+$C143))^2)))*$V10)/TZCalibrationValue,0)</f>
        <v>0</v>
      </c>
      <c r="BD143" s="224">
        <f t="shared" si="111"/>
        <v>0</v>
      </c>
      <c r="BE143" s="224">
        <f t="shared" si="111"/>
        <v>0</v>
      </c>
      <c r="BF143" s="224">
        <f t="shared" si="111"/>
        <v>0</v>
      </c>
      <c r="BG143" s="224">
        <f t="shared" si="111"/>
        <v>0</v>
      </c>
      <c r="BH143" s="224">
        <f t="shared" si="111"/>
        <v>0</v>
      </c>
      <c r="BI143" s="224">
        <f t="shared" si="111"/>
        <v>0</v>
      </c>
      <c r="BJ143" s="224">
        <f t="shared" si="111"/>
        <v>0</v>
      </c>
      <c r="BK143" s="224">
        <f t="shared" si="111"/>
        <v>0</v>
      </c>
      <c r="BL143" s="224">
        <f t="shared" si="111"/>
        <v>0</v>
      </c>
      <c r="BM143" s="224">
        <f t="shared" si="111"/>
        <v>0</v>
      </c>
      <c r="BN143" s="224">
        <f t="shared" si="111"/>
        <v>0</v>
      </c>
      <c r="BO143" s="229">
        <f t="shared" si="84"/>
        <v>0</v>
      </c>
      <c r="BP143" s="229">
        <f t="shared" si="85"/>
        <v>0</v>
      </c>
      <c r="BQ143" s="229">
        <f t="shared" si="86"/>
        <v>0</v>
      </c>
      <c r="BR143" s="229">
        <f t="shared" si="87"/>
        <v>0</v>
      </c>
      <c r="BS143" s="229">
        <f t="shared" si="88"/>
        <v>0</v>
      </c>
      <c r="BT143" s="229">
        <f t="shared" si="89"/>
        <v>0</v>
      </c>
      <c r="BU143" s="229">
        <f t="shared" si="90"/>
        <v>0</v>
      </c>
      <c r="BV143" s="229">
        <f t="shared" si="91"/>
        <v>0</v>
      </c>
      <c r="BW143" s="229">
        <f t="shared" si="92"/>
        <v>0</v>
      </c>
      <c r="BX143" s="229">
        <f t="shared" si="93"/>
        <v>0</v>
      </c>
      <c r="BY143" s="229">
        <f t="shared" si="94"/>
        <v>0</v>
      </c>
      <c r="BZ143" s="229">
        <f t="shared" si="95"/>
        <v>0</v>
      </c>
      <c r="CA143" s="229">
        <f t="shared" si="96"/>
        <v>0</v>
      </c>
      <c r="CB143" s="229">
        <f t="shared" si="97"/>
        <v>0</v>
      </c>
      <c r="CC143" s="229">
        <f t="shared" si="98"/>
        <v>0</v>
      </c>
      <c r="CD143" s="229">
        <f t="shared" si="99"/>
        <v>0</v>
      </c>
      <c r="CE143" s="229">
        <f t="shared" si="100"/>
        <v>0</v>
      </c>
      <c r="CF143" s="229">
        <f t="shared" si="101"/>
        <v>0</v>
      </c>
      <c r="CG143" s="229">
        <f t="shared" si="102"/>
        <v>0</v>
      </c>
      <c r="CH143" s="229">
        <f t="shared" si="103"/>
        <v>0</v>
      </c>
      <c r="CI143" s="229">
        <f t="shared" si="104"/>
        <v>0</v>
      </c>
      <c r="CJ143" s="229">
        <f t="shared" si="105"/>
        <v>0</v>
      </c>
      <c r="CK143" s="229">
        <f t="shared" si="106"/>
        <v>0</v>
      </c>
      <c r="CL143" s="229">
        <f t="shared" si="107"/>
        <v>0</v>
      </c>
      <c r="CM143" s="224">
        <f t="shared" ref="CM143:CX143" si="112">IF($T10&gt;0,(((EXP(-(1/(Morning_Peak_Duration__hours*2))*(CM$141-(Morning_Peak_Time__24hr_clock+$C143))^2))+(EXP(-(1/(Afternoon_Peak_Duration__hours*2))*(CM$141-(Afternoon_Peak_Time__24hr_clock+$C143))^2)))*$V10)/TZCalibrationValue,0)</f>
        <v>0</v>
      </c>
      <c r="CN143" s="224">
        <f t="shared" si="112"/>
        <v>0</v>
      </c>
      <c r="CO143" s="224">
        <f t="shared" si="112"/>
        <v>0</v>
      </c>
      <c r="CP143" s="224">
        <f t="shared" si="112"/>
        <v>0</v>
      </c>
      <c r="CQ143" s="224">
        <f t="shared" si="112"/>
        <v>0</v>
      </c>
      <c r="CR143" s="224">
        <f t="shared" si="112"/>
        <v>0</v>
      </c>
      <c r="CS143" s="224">
        <f t="shared" si="112"/>
        <v>0</v>
      </c>
      <c r="CT143" s="224">
        <f t="shared" si="112"/>
        <v>0</v>
      </c>
      <c r="CU143" s="224">
        <f t="shared" si="112"/>
        <v>0</v>
      </c>
      <c r="CV143" s="224">
        <f t="shared" si="112"/>
        <v>0</v>
      </c>
      <c r="CW143" s="224">
        <f t="shared" si="112"/>
        <v>0</v>
      </c>
      <c r="CX143" s="224">
        <f t="shared" si="112"/>
        <v>0</v>
      </c>
      <c r="CY143" s="218"/>
    </row>
    <row r="144" spans="2:103" hidden="1" outlineLevel="1">
      <c r="B144" t="str">
        <f t="shared" si="55"/>
        <v>Site 3</v>
      </c>
      <c r="C144" s="230">
        <f>VLOOKUP(D11,'Scaling Tables'!$B$123:$C$149,2,FALSE)-VLOOKUP($C$4,'Scaling Tables'!$B$123:$C$149,2,FALSE)</f>
        <v>0</v>
      </c>
      <c r="D144" s="224">
        <f t="shared" ref="D144:O144" si="113">IF($T11&gt;0,(((EXP(-(1/(Morning_Peak_Duration__hours*2))*(D$141-(Morning_Peak_Time__24hr_clock+$C144))^2))+(EXP(-(1/(Afternoon_Peak_Duration__hours*2))*(D$141-(Afternoon_Peak_Time__24hr_clock+$C144))^2)))*$U11)/TZCalibrationValue,0)</f>
        <v>0</v>
      </c>
      <c r="E144" s="224">
        <f t="shared" si="113"/>
        <v>0</v>
      </c>
      <c r="F144" s="224">
        <f t="shared" si="113"/>
        <v>0</v>
      </c>
      <c r="G144" s="224">
        <f t="shared" si="113"/>
        <v>0</v>
      </c>
      <c r="H144" s="224">
        <f t="shared" si="113"/>
        <v>0</v>
      </c>
      <c r="I144" s="224">
        <f t="shared" si="113"/>
        <v>0</v>
      </c>
      <c r="J144" s="224">
        <f t="shared" si="113"/>
        <v>0</v>
      </c>
      <c r="K144" s="224">
        <f t="shared" si="113"/>
        <v>0</v>
      </c>
      <c r="L144" s="224">
        <f t="shared" si="113"/>
        <v>0</v>
      </c>
      <c r="M144" s="224">
        <f t="shared" si="113"/>
        <v>0</v>
      </c>
      <c r="N144" s="224">
        <f t="shared" si="113"/>
        <v>0</v>
      </c>
      <c r="O144" s="224">
        <f t="shared" si="113"/>
        <v>0</v>
      </c>
      <c r="P144" s="229">
        <f t="shared" si="57"/>
        <v>0</v>
      </c>
      <c r="Q144" s="229">
        <f t="shared" si="58"/>
        <v>0</v>
      </c>
      <c r="R144" s="229">
        <f t="shared" si="59"/>
        <v>0</v>
      </c>
      <c r="S144" s="229">
        <f t="shared" si="60"/>
        <v>0</v>
      </c>
      <c r="T144" s="229">
        <f t="shared" si="61"/>
        <v>0</v>
      </c>
      <c r="U144" s="229">
        <f t="shared" si="62"/>
        <v>0</v>
      </c>
      <c r="V144" s="229">
        <f t="shared" si="63"/>
        <v>0</v>
      </c>
      <c r="W144" s="229">
        <f t="shared" si="64"/>
        <v>0</v>
      </c>
      <c r="X144" s="229">
        <f t="shared" si="65"/>
        <v>0</v>
      </c>
      <c r="Y144" s="229">
        <f t="shared" si="66"/>
        <v>0</v>
      </c>
      <c r="Z144" s="229">
        <f t="shared" si="67"/>
        <v>0</v>
      </c>
      <c r="AA144" s="229">
        <f t="shared" si="68"/>
        <v>0</v>
      </c>
      <c r="AB144" s="229">
        <f t="shared" si="69"/>
        <v>0</v>
      </c>
      <c r="AC144" s="229">
        <f t="shared" si="70"/>
        <v>0</v>
      </c>
      <c r="AD144" s="229">
        <f t="shared" si="71"/>
        <v>0</v>
      </c>
      <c r="AE144" s="229">
        <f t="shared" si="72"/>
        <v>0</v>
      </c>
      <c r="AF144" s="229">
        <f t="shared" si="73"/>
        <v>0</v>
      </c>
      <c r="AG144" s="229">
        <f t="shared" si="74"/>
        <v>0</v>
      </c>
      <c r="AH144" s="229">
        <f t="shared" si="75"/>
        <v>0</v>
      </c>
      <c r="AI144" s="229">
        <f t="shared" si="76"/>
        <v>0</v>
      </c>
      <c r="AJ144" s="229">
        <f t="shared" si="77"/>
        <v>0</v>
      </c>
      <c r="AK144" s="229">
        <f t="shared" si="78"/>
        <v>0</v>
      </c>
      <c r="AL144" s="229">
        <f t="shared" si="79"/>
        <v>0</v>
      </c>
      <c r="AM144" s="229">
        <f t="shared" si="80"/>
        <v>0</v>
      </c>
      <c r="AN144" s="224">
        <f t="shared" ref="AN144:AY144" si="114">IF($T11&gt;0,(((EXP(-(1/(Morning_Peak_Duration__hours*2))*(AN$141-(Morning_Peak_Time__24hr_clock+$C144))^2))+(EXP(-(1/(Afternoon_Peak_Duration__hours*2))*(AN$141-(Afternoon_Peak_Time__24hr_clock+$C144))^2)))*$U11)/TZCalibrationValue,0)</f>
        <v>0</v>
      </c>
      <c r="AO144" s="224">
        <f t="shared" si="114"/>
        <v>0</v>
      </c>
      <c r="AP144" s="224">
        <f t="shared" si="114"/>
        <v>0</v>
      </c>
      <c r="AQ144" s="224">
        <f t="shared" si="114"/>
        <v>0</v>
      </c>
      <c r="AR144" s="224">
        <f t="shared" si="114"/>
        <v>0</v>
      </c>
      <c r="AS144" s="224">
        <f t="shared" si="114"/>
        <v>0</v>
      </c>
      <c r="AT144" s="224">
        <f t="shared" si="114"/>
        <v>0</v>
      </c>
      <c r="AU144" s="224">
        <f t="shared" si="114"/>
        <v>0</v>
      </c>
      <c r="AV144" s="224">
        <f t="shared" si="114"/>
        <v>0</v>
      </c>
      <c r="AW144" s="224">
        <f t="shared" si="114"/>
        <v>0</v>
      </c>
      <c r="AX144" s="224">
        <f t="shared" si="114"/>
        <v>0</v>
      </c>
      <c r="AY144" s="224">
        <f t="shared" si="114"/>
        <v>0</v>
      </c>
      <c r="AZ144" s="218"/>
      <c r="BA144"/>
      <c r="BB144" s="176" t="str">
        <f t="shared" si="82"/>
        <v>Site 3</v>
      </c>
      <c r="BC144" s="224">
        <f t="shared" ref="BC144:BN144" si="115">IF($T11&gt;0,(((EXP(-(1/(Morning_Peak_Duration__hours*2))*(BC$141-(Morning_Peak_Time__24hr_clock+$C144))^2))+(EXP(-(1/(Afternoon_Peak_Duration__hours*2))*(BC$141-(Afternoon_Peak_Time__24hr_clock+$C144))^2)))*$V11)/TZCalibrationValue,0)</f>
        <v>0</v>
      </c>
      <c r="BD144" s="224">
        <f t="shared" si="115"/>
        <v>0</v>
      </c>
      <c r="BE144" s="224">
        <f t="shared" si="115"/>
        <v>0</v>
      </c>
      <c r="BF144" s="224">
        <f t="shared" si="115"/>
        <v>0</v>
      </c>
      <c r="BG144" s="224">
        <f t="shared" si="115"/>
        <v>0</v>
      </c>
      <c r="BH144" s="224">
        <f t="shared" si="115"/>
        <v>0</v>
      </c>
      <c r="BI144" s="224">
        <f t="shared" si="115"/>
        <v>0</v>
      </c>
      <c r="BJ144" s="224">
        <f t="shared" si="115"/>
        <v>0</v>
      </c>
      <c r="BK144" s="224">
        <f t="shared" si="115"/>
        <v>0</v>
      </c>
      <c r="BL144" s="224">
        <f t="shared" si="115"/>
        <v>0</v>
      </c>
      <c r="BM144" s="224">
        <f t="shared" si="115"/>
        <v>0</v>
      </c>
      <c r="BN144" s="224">
        <f t="shared" si="115"/>
        <v>0</v>
      </c>
      <c r="BO144" s="229">
        <f t="shared" si="84"/>
        <v>0</v>
      </c>
      <c r="BP144" s="229">
        <f t="shared" si="85"/>
        <v>0</v>
      </c>
      <c r="BQ144" s="229">
        <f t="shared" si="86"/>
        <v>0</v>
      </c>
      <c r="BR144" s="229">
        <f t="shared" si="87"/>
        <v>0</v>
      </c>
      <c r="BS144" s="229">
        <f t="shared" si="88"/>
        <v>0</v>
      </c>
      <c r="BT144" s="229">
        <f t="shared" si="89"/>
        <v>0</v>
      </c>
      <c r="BU144" s="229">
        <f t="shared" si="90"/>
        <v>0</v>
      </c>
      <c r="BV144" s="229">
        <f t="shared" si="91"/>
        <v>0</v>
      </c>
      <c r="BW144" s="229">
        <f t="shared" si="92"/>
        <v>0</v>
      </c>
      <c r="BX144" s="229">
        <f t="shared" si="93"/>
        <v>0</v>
      </c>
      <c r="BY144" s="229">
        <f t="shared" si="94"/>
        <v>0</v>
      </c>
      <c r="BZ144" s="229">
        <f t="shared" si="95"/>
        <v>0</v>
      </c>
      <c r="CA144" s="229">
        <f t="shared" si="96"/>
        <v>0</v>
      </c>
      <c r="CB144" s="229">
        <f t="shared" si="97"/>
        <v>0</v>
      </c>
      <c r="CC144" s="229">
        <f t="shared" si="98"/>
        <v>0</v>
      </c>
      <c r="CD144" s="229">
        <f t="shared" si="99"/>
        <v>0</v>
      </c>
      <c r="CE144" s="229">
        <f t="shared" si="100"/>
        <v>0</v>
      </c>
      <c r="CF144" s="229">
        <f t="shared" si="101"/>
        <v>0</v>
      </c>
      <c r="CG144" s="229">
        <f t="shared" si="102"/>
        <v>0</v>
      </c>
      <c r="CH144" s="229">
        <f t="shared" si="103"/>
        <v>0</v>
      </c>
      <c r="CI144" s="229">
        <f t="shared" si="104"/>
        <v>0</v>
      </c>
      <c r="CJ144" s="229">
        <f t="shared" si="105"/>
        <v>0</v>
      </c>
      <c r="CK144" s="229">
        <f t="shared" si="106"/>
        <v>0</v>
      </c>
      <c r="CL144" s="229">
        <f t="shared" si="107"/>
        <v>0</v>
      </c>
      <c r="CM144" s="224">
        <f t="shared" ref="CM144:CX144" si="116">IF($T11&gt;0,(((EXP(-(1/(Morning_Peak_Duration__hours*2))*(CM$141-(Morning_Peak_Time__24hr_clock+$C144))^2))+(EXP(-(1/(Afternoon_Peak_Duration__hours*2))*(CM$141-(Afternoon_Peak_Time__24hr_clock+$C144))^2)))*$V11)/TZCalibrationValue,0)</f>
        <v>0</v>
      </c>
      <c r="CN144" s="224">
        <f t="shared" si="116"/>
        <v>0</v>
      </c>
      <c r="CO144" s="224">
        <f t="shared" si="116"/>
        <v>0</v>
      </c>
      <c r="CP144" s="224">
        <f t="shared" si="116"/>
        <v>0</v>
      </c>
      <c r="CQ144" s="224">
        <f t="shared" si="116"/>
        <v>0</v>
      </c>
      <c r="CR144" s="224">
        <f t="shared" si="116"/>
        <v>0</v>
      </c>
      <c r="CS144" s="224">
        <f t="shared" si="116"/>
        <v>0</v>
      </c>
      <c r="CT144" s="224">
        <f t="shared" si="116"/>
        <v>0</v>
      </c>
      <c r="CU144" s="224">
        <f t="shared" si="116"/>
        <v>0</v>
      </c>
      <c r="CV144" s="224">
        <f t="shared" si="116"/>
        <v>0</v>
      </c>
      <c r="CW144" s="224">
        <f t="shared" si="116"/>
        <v>0</v>
      </c>
      <c r="CX144" s="224">
        <f t="shared" si="116"/>
        <v>0</v>
      </c>
      <c r="CY144" s="218"/>
    </row>
    <row r="145" spans="2:103" hidden="1" outlineLevel="1">
      <c r="B145" t="str">
        <f t="shared" si="55"/>
        <v>Site 4</v>
      </c>
      <c r="C145" s="230">
        <f>VLOOKUP(D12,'Scaling Tables'!$B$123:$C$149,2,FALSE)-VLOOKUP($C$4,'Scaling Tables'!$B$123:$C$149,2,FALSE)</f>
        <v>0</v>
      </c>
      <c r="D145" s="224">
        <f t="shared" ref="D145:O145" si="117">IF($T12&gt;0,(((EXP(-(1/(Morning_Peak_Duration__hours*2))*(D$141-(Morning_Peak_Time__24hr_clock+$C145))^2))+(EXP(-(1/(Afternoon_Peak_Duration__hours*2))*(D$141-(Afternoon_Peak_Time__24hr_clock+$C145))^2)))*$U12)/TZCalibrationValue,0)</f>
        <v>0</v>
      </c>
      <c r="E145" s="224">
        <f t="shared" si="117"/>
        <v>0</v>
      </c>
      <c r="F145" s="224">
        <f t="shared" si="117"/>
        <v>0</v>
      </c>
      <c r="G145" s="224">
        <f t="shared" si="117"/>
        <v>0</v>
      </c>
      <c r="H145" s="224">
        <f t="shared" si="117"/>
        <v>0</v>
      </c>
      <c r="I145" s="224">
        <f t="shared" si="117"/>
        <v>0</v>
      </c>
      <c r="J145" s="224">
        <f t="shared" si="117"/>
        <v>0</v>
      </c>
      <c r="K145" s="224">
        <f t="shared" si="117"/>
        <v>0</v>
      </c>
      <c r="L145" s="224">
        <f t="shared" si="117"/>
        <v>0</v>
      </c>
      <c r="M145" s="224">
        <f t="shared" si="117"/>
        <v>0</v>
      </c>
      <c r="N145" s="224">
        <f t="shared" si="117"/>
        <v>0</v>
      </c>
      <c r="O145" s="224">
        <f t="shared" si="117"/>
        <v>0</v>
      </c>
      <c r="P145" s="229">
        <f t="shared" si="57"/>
        <v>0</v>
      </c>
      <c r="Q145" s="229">
        <f t="shared" si="58"/>
        <v>0</v>
      </c>
      <c r="R145" s="229">
        <f t="shared" si="59"/>
        <v>0</v>
      </c>
      <c r="S145" s="229">
        <f t="shared" si="60"/>
        <v>0</v>
      </c>
      <c r="T145" s="229">
        <f t="shared" si="61"/>
        <v>0</v>
      </c>
      <c r="U145" s="229">
        <f t="shared" si="62"/>
        <v>0</v>
      </c>
      <c r="V145" s="229">
        <f t="shared" si="63"/>
        <v>0</v>
      </c>
      <c r="W145" s="229">
        <f t="shared" si="64"/>
        <v>0</v>
      </c>
      <c r="X145" s="229">
        <f t="shared" si="65"/>
        <v>0</v>
      </c>
      <c r="Y145" s="229">
        <f t="shared" si="66"/>
        <v>0</v>
      </c>
      <c r="Z145" s="229">
        <f t="shared" si="67"/>
        <v>0</v>
      </c>
      <c r="AA145" s="229">
        <f t="shared" si="68"/>
        <v>0</v>
      </c>
      <c r="AB145" s="229">
        <f t="shared" si="69"/>
        <v>0</v>
      </c>
      <c r="AC145" s="229">
        <f t="shared" si="70"/>
        <v>0</v>
      </c>
      <c r="AD145" s="229">
        <f t="shared" si="71"/>
        <v>0</v>
      </c>
      <c r="AE145" s="229">
        <f t="shared" si="72"/>
        <v>0</v>
      </c>
      <c r="AF145" s="229">
        <f t="shared" si="73"/>
        <v>0</v>
      </c>
      <c r="AG145" s="229">
        <f t="shared" si="74"/>
        <v>0</v>
      </c>
      <c r="AH145" s="229">
        <f t="shared" si="75"/>
        <v>0</v>
      </c>
      <c r="AI145" s="229">
        <f t="shared" si="76"/>
        <v>0</v>
      </c>
      <c r="AJ145" s="229">
        <f t="shared" si="77"/>
        <v>0</v>
      </c>
      <c r="AK145" s="229">
        <f t="shared" si="78"/>
        <v>0</v>
      </c>
      <c r="AL145" s="229">
        <f t="shared" si="79"/>
        <v>0</v>
      </c>
      <c r="AM145" s="229">
        <f t="shared" si="80"/>
        <v>0</v>
      </c>
      <c r="AN145" s="224">
        <f t="shared" ref="AN145:AY145" si="118">IF($T12&gt;0,(((EXP(-(1/(Morning_Peak_Duration__hours*2))*(AN$141-(Morning_Peak_Time__24hr_clock+$C145))^2))+(EXP(-(1/(Afternoon_Peak_Duration__hours*2))*(AN$141-(Afternoon_Peak_Time__24hr_clock+$C145))^2)))*$U12)/TZCalibrationValue,0)</f>
        <v>0</v>
      </c>
      <c r="AO145" s="224">
        <f t="shared" si="118"/>
        <v>0</v>
      </c>
      <c r="AP145" s="224">
        <f t="shared" si="118"/>
        <v>0</v>
      </c>
      <c r="AQ145" s="224">
        <f t="shared" si="118"/>
        <v>0</v>
      </c>
      <c r="AR145" s="224">
        <f t="shared" si="118"/>
        <v>0</v>
      </c>
      <c r="AS145" s="224">
        <f t="shared" si="118"/>
        <v>0</v>
      </c>
      <c r="AT145" s="224">
        <f t="shared" si="118"/>
        <v>0</v>
      </c>
      <c r="AU145" s="224">
        <f t="shared" si="118"/>
        <v>0</v>
      </c>
      <c r="AV145" s="224">
        <f t="shared" si="118"/>
        <v>0</v>
      </c>
      <c r="AW145" s="224">
        <f t="shared" si="118"/>
        <v>0</v>
      </c>
      <c r="AX145" s="224">
        <f t="shared" si="118"/>
        <v>0</v>
      </c>
      <c r="AY145" s="224">
        <f t="shared" si="118"/>
        <v>0</v>
      </c>
      <c r="AZ145" s="218"/>
      <c r="BA145"/>
      <c r="BB145" s="176" t="str">
        <f t="shared" si="82"/>
        <v>Site 4</v>
      </c>
      <c r="BC145" s="224">
        <f t="shared" ref="BC145:BN145" si="119">IF($T12&gt;0,(((EXP(-(1/(Morning_Peak_Duration__hours*2))*(BC$141-(Morning_Peak_Time__24hr_clock+$C145))^2))+(EXP(-(1/(Afternoon_Peak_Duration__hours*2))*(BC$141-(Afternoon_Peak_Time__24hr_clock+$C145))^2)))*$V12)/TZCalibrationValue,0)</f>
        <v>0</v>
      </c>
      <c r="BD145" s="224">
        <f t="shared" si="119"/>
        <v>0</v>
      </c>
      <c r="BE145" s="224">
        <f t="shared" si="119"/>
        <v>0</v>
      </c>
      <c r="BF145" s="224">
        <f t="shared" si="119"/>
        <v>0</v>
      </c>
      <c r="BG145" s="224">
        <f t="shared" si="119"/>
        <v>0</v>
      </c>
      <c r="BH145" s="224">
        <f t="shared" si="119"/>
        <v>0</v>
      </c>
      <c r="BI145" s="224">
        <f t="shared" si="119"/>
        <v>0</v>
      </c>
      <c r="BJ145" s="224">
        <f t="shared" si="119"/>
        <v>0</v>
      </c>
      <c r="BK145" s="224">
        <f t="shared" si="119"/>
        <v>0</v>
      </c>
      <c r="BL145" s="224">
        <f t="shared" si="119"/>
        <v>0</v>
      </c>
      <c r="BM145" s="224">
        <f t="shared" si="119"/>
        <v>0</v>
      </c>
      <c r="BN145" s="224">
        <f t="shared" si="119"/>
        <v>0</v>
      </c>
      <c r="BO145" s="229">
        <f t="shared" si="84"/>
        <v>0</v>
      </c>
      <c r="BP145" s="229">
        <f t="shared" si="85"/>
        <v>0</v>
      </c>
      <c r="BQ145" s="229">
        <f t="shared" si="86"/>
        <v>0</v>
      </c>
      <c r="BR145" s="229">
        <f t="shared" si="87"/>
        <v>0</v>
      </c>
      <c r="BS145" s="229">
        <f t="shared" si="88"/>
        <v>0</v>
      </c>
      <c r="BT145" s="229">
        <f t="shared" si="89"/>
        <v>0</v>
      </c>
      <c r="BU145" s="229">
        <f t="shared" si="90"/>
        <v>0</v>
      </c>
      <c r="BV145" s="229">
        <f t="shared" si="91"/>
        <v>0</v>
      </c>
      <c r="BW145" s="229">
        <f t="shared" si="92"/>
        <v>0</v>
      </c>
      <c r="BX145" s="229">
        <f t="shared" si="93"/>
        <v>0</v>
      </c>
      <c r="BY145" s="229">
        <f t="shared" si="94"/>
        <v>0</v>
      </c>
      <c r="BZ145" s="229">
        <f t="shared" si="95"/>
        <v>0</v>
      </c>
      <c r="CA145" s="229">
        <f t="shared" si="96"/>
        <v>0</v>
      </c>
      <c r="CB145" s="229">
        <f t="shared" si="97"/>
        <v>0</v>
      </c>
      <c r="CC145" s="229">
        <f t="shared" si="98"/>
        <v>0</v>
      </c>
      <c r="CD145" s="229">
        <f t="shared" si="99"/>
        <v>0</v>
      </c>
      <c r="CE145" s="229">
        <f t="shared" si="100"/>
        <v>0</v>
      </c>
      <c r="CF145" s="229">
        <f t="shared" si="101"/>
        <v>0</v>
      </c>
      <c r="CG145" s="229">
        <f t="shared" si="102"/>
        <v>0</v>
      </c>
      <c r="CH145" s="229">
        <f t="shared" si="103"/>
        <v>0</v>
      </c>
      <c r="CI145" s="229">
        <f t="shared" si="104"/>
        <v>0</v>
      </c>
      <c r="CJ145" s="229">
        <f t="shared" si="105"/>
        <v>0</v>
      </c>
      <c r="CK145" s="229">
        <f t="shared" si="106"/>
        <v>0</v>
      </c>
      <c r="CL145" s="229">
        <f t="shared" si="107"/>
        <v>0</v>
      </c>
      <c r="CM145" s="224">
        <f t="shared" ref="CM145:CX145" si="120">IF($T12&gt;0,(((EXP(-(1/(Morning_Peak_Duration__hours*2))*(CM$141-(Morning_Peak_Time__24hr_clock+$C145))^2))+(EXP(-(1/(Afternoon_Peak_Duration__hours*2))*(CM$141-(Afternoon_Peak_Time__24hr_clock+$C145))^2)))*$V12)/TZCalibrationValue,0)</f>
        <v>0</v>
      </c>
      <c r="CN145" s="224">
        <f t="shared" si="120"/>
        <v>0</v>
      </c>
      <c r="CO145" s="224">
        <f t="shared" si="120"/>
        <v>0</v>
      </c>
      <c r="CP145" s="224">
        <f t="shared" si="120"/>
        <v>0</v>
      </c>
      <c r="CQ145" s="224">
        <f t="shared" si="120"/>
        <v>0</v>
      </c>
      <c r="CR145" s="224">
        <f t="shared" si="120"/>
        <v>0</v>
      </c>
      <c r="CS145" s="224">
        <f t="shared" si="120"/>
        <v>0</v>
      </c>
      <c r="CT145" s="224">
        <f t="shared" si="120"/>
        <v>0</v>
      </c>
      <c r="CU145" s="224">
        <f t="shared" si="120"/>
        <v>0</v>
      </c>
      <c r="CV145" s="224">
        <f t="shared" si="120"/>
        <v>0</v>
      </c>
      <c r="CW145" s="224">
        <f t="shared" si="120"/>
        <v>0</v>
      </c>
      <c r="CX145" s="224">
        <f t="shared" si="120"/>
        <v>0</v>
      </c>
      <c r="CY145" s="218"/>
    </row>
    <row r="146" spans="2:103" hidden="1" outlineLevel="1">
      <c r="B146" t="str">
        <f t="shared" si="55"/>
        <v>Site 5</v>
      </c>
      <c r="C146" s="230">
        <f>VLOOKUP(D13,'Scaling Tables'!$B$123:$C$149,2,FALSE)-VLOOKUP($C$4,'Scaling Tables'!$B$123:$C$149,2,FALSE)</f>
        <v>0</v>
      </c>
      <c r="D146" s="224">
        <f t="shared" ref="D146:O146" si="121">IF($T13&gt;0,(((EXP(-(1/(Morning_Peak_Duration__hours*2))*(D$141-(Morning_Peak_Time__24hr_clock+$C146))^2))+(EXP(-(1/(Afternoon_Peak_Duration__hours*2))*(D$141-(Afternoon_Peak_Time__24hr_clock+$C146))^2)))*$U13)/TZCalibrationValue,0)</f>
        <v>0</v>
      </c>
      <c r="E146" s="224">
        <f t="shared" si="121"/>
        <v>0</v>
      </c>
      <c r="F146" s="224">
        <f t="shared" si="121"/>
        <v>0</v>
      </c>
      <c r="G146" s="224">
        <f t="shared" si="121"/>
        <v>0</v>
      </c>
      <c r="H146" s="224">
        <f t="shared" si="121"/>
        <v>0</v>
      </c>
      <c r="I146" s="224">
        <f t="shared" si="121"/>
        <v>0</v>
      </c>
      <c r="J146" s="224">
        <f t="shared" si="121"/>
        <v>0</v>
      </c>
      <c r="K146" s="224">
        <f t="shared" si="121"/>
        <v>0</v>
      </c>
      <c r="L146" s="224">
        <f t="shared" si="121"/>
        <v>0</v>
      </c>
      <c r="M146" s="224">
        <f t="shared" si="121"/>
        <v>0</v>
      </c>
      <c r="N146" s="224">
        <f t="shared" si="121"/>
        <v>0</v>
      </c>
      <c r="O146" s="224">
        <f t="shared" si="121"/>
        <v>0</v>
      </c>
      <c r="P146" s="229">
        <f t="shared" si="57"/>
        <v>0</v>
      </c>
      <c r="Q146" s="229">
        <f t="shared" si="58"/>
        <v>0</v>
      </c>
      <c r="R146" s="229">
        <f t="shared" si="59"/>
        <v>0</v>
      </c>
      <c r="S146" s="229">
        <f t="shared" si="60"/>
        <v>0</v>
      </c>
      <c r="T146" s="229">
        <f t="shared" si="61"/>
        <v>0</v>
      </c>
      <c r="U146" s="229">
        <f t="shared" si="62"/>
        <v>0</v>
      </c>
      <c r="V146" s="229">
        <f t="shared" si="63"/>
        <v>0</v>
      </c>
      <c r="W146" s="229">
        <f t="shared" si="64"/>
        <v>0</v>
      </c>
      <c r="X146" s="229">
        <f t="shared" si="65"/>
        <v>0</v>
      </c>
      <c r="Y146" s="229">
        <f t="shared" si="66"/>
        <v>0</v>
      </c>
      <c r="Z146" s="229">
        <f t="shared" si="67"/>
        <v>0</v>
      </c>
      <c r="AA146" s="229">
        <f t="shared" si="68"/>
        <v>0</v>
      </c>
      <c r="AB146" s="229">
        <f t="shared" si="69"/>
        <v>0</v>
      </c>
      <c r="AC146" s="229">
        <f t="shared" si="70"/>
        <v>0</v>
      </c>
      <c r="AD146" s="229">
        <f t="shared" si="71"/>
        <v>0</v>
      </c>
      <c r="AE146" s="229">
        <f t="shared" si="72"/>
        <v>0</v>
      </c>
      <c r="AF146" s="229">
        <f t="shared" si="73"/>
        <v>0</v>
      </c>
      <c r="AG146" s="229">
        <f t="shared" si="74"/>
        <v>0</v>
      </c>
      <c r="AH146" s="229">
        <f t="shared" si="75"/>
        <v>0</v>
      </c>
      <c r="AI146" s="229">
        <f t="shared" si="76"/>
        <v>0</v>
      </c>
      <c r="AJ146" s="229">
        <f t="shared" si="77"/>
        <v>0</v>
      </c>
      <c r="AK146" s="229">
        <f t="shared" si="78"/>
        <v>0</v>
      </c>
      <c r="AL146" s="229">
        <f t="shared" si="79"/>
        <v>0</v>
      </c>
      <c r="AM146" s="229">
        <f t="shared" si="80"/>
        <v>0</v>
      </c>
      <c r="AN146" s="224">
        <f t="shared" ref="AN146:AY146" si="122">IF($T13&gt;0,(((EXP(-(1/(Morning_Peak_Duration__hours*2))*(AN$141-(Morning_Peak_Time__24hr_clock+$C146))^2))+(EXP(-(1/(Afternoon_Peak_Duration__hours*2))*(AN$141-(Afternoon_Peak_Time__24hr_clock+$C146))^2)))*$U13)/TZCalibrationValue,0)</f>
        <v>0</v>
      </c>
      <c r="AO146" s="224">
        <f t="shared" si="122"/>
        <v>0</v>
      </c>
      <c r="AP146" s="224">
        <f t="shared" si="122"/>
        <v>0</v>
      </c>
      <c r="AQ146" s="224">
        <f t="shared" si="122"/>
        <v>0</v>
      </c>
      <c r="AR146" s="224">
        <f t="shared" si="122"/>
        <v>0</v>
      </c>
      <c r="AS146" s="224">
        <f t="shared" si="122"/>
        <v>0</v>
      </c>
      <c r="AT146" s="224">
        <f t="shared" si="122"/>
        <v>0</v>
      </c>
      <c r="AU146" s="224">
        <f t="shared" si="122"/>
        <v>0</v>
      </c>
      <c r="AV146" s="224">
        <f t="shared" si="122"/>
        <v>0</v>
      </c>
      <c r="AW146" s="224">
        <f t="shared" si="122"/>
        <v>0</v>
      </c>
      <c r="AX146" s="224">
        <f t="shared" si="122"/>
        <v>0</v>
      </c>
      <c r="AY146" s="224">
        <f t="shared" si="122"/>
        <v>0</v>
      </c>
      <c r="AZ146" s="218"/>
      <c r="BA146"/>
      <c r="BB146" s="176" t="str">
        <f t="shared" si="82"/>
        <v>Site 5</v>
      </c>
      <c r="BC146" s="224">
        <f t="shared" ref="BC146:BN146" si="123">IF($T13&gt;0,(((EXP(-(1/(Morning_Peak_Duration__hours*2))*(BC$141-(Morning_Peak_Time__24hr_clock+$C146))^2))+(EXP(-(1/(Afternoon_Peak_Duration__hours*2))*(BC$141-(Afternoon_Peak_Time__24hr_clock+$C146))^2)))*$V13)/TZCalibrationValue,0)</f>
        <v>0</v>
      </c>
      <c r="BD146" s="224">
        <f t="shared" si="123"/>
        <v>0</v>
      </c>
      <c r="BE146" s="224">
        <f t="shared" si="123"/>
        <v>0</v>
      </c>
      <c r="BF146" s="224">
        <f t="shared" si="123"/>
        <v>0</v>
      </c>
      <c r="BG146" s="224">
        <f t="shared" si="123"/>
        <v>0</v>
      </c>
      <c r="BH146" s="224">
        <f t="shared" si="123"/>
        <v>0</v>
      </c>
      <c r="BI146" s="224">
        <f t="shared" si="123"/>
        <v>0</v>
      </c>
      <c r="BJ146" s="224">
        <f t="shared" si="123"/>
        <v>0</v>
      </c>
      <c r="BK146" s="224">
        <f t="shared" si="123"/>
        <v>0</v>
      </c>
      <c r="BL146" s="224">
        <f t="shared" si="123"/>
        <v>0</v>
      </c>
      <c r="BM146" s="224">
        <f t="shared" si="123"/>
        <v>0</v>
      </c>
      <c r="BN146" s="224">
        <f t="shared" si="123"/>
        <v>0</v>
      </c>
      <c r="BO146" s="229">
        <f t="shared" si="84"/>
        <v>0</v>
      </c>
      <c r="BP146" s="229">
        <f t="shared" si="85"/>
        <v>0</v>
      </c>
      <c r="BQ146" s="229">
        <f t="shared" si="86"/>
        <v>0</v>
      </c>
      <c r="BR146" s="229">
        <f t="shared" si="87"/>
        <v>0</v>
      </c>
      <c r="BS146" s="229">
        <f t="shared" si="88"/>
        <v>0</v>
      </c>
      <c r="BT146" s="229">
        <f t="shared" si="89"/>
        <v>0</v>
      </c>
      <c r="BU146" s="229">
        <f t="shared" si="90"/>
        <v>0</v>
      </c>
      <c r="BV146" s="229">
        <f t="shared" si="91"/>
        <v>0</v>
      </c>
      <c r="BW146" s="229">
        <f t="shared" si="92"/>
        <v>0</v>
      </c>
      <c r="BX146" s="229">
        <f t="shared" si="93"/>
        <v>0</v>
      </c>
      <c r="BY146" s="229">
        <f t="shared" si="94"/>
        <v>0</v>
      </c>
      <c r="BZ146" s="229">
        <f t="shared" si="95"/>
        <v>0</v>
      </c>
      <c r="CA146" s="229">
        <f t="shared" si="96"/>
        <v>0</v>
      </c>
      <c r="CB146" s="229">
        <f t="shared" si="97"/>
        <v>0</v>
      </c>
      <c r="CC146" s="229">
        <f t="shared" si="98"/>
        <v>0</v>
      </c>
      <c r="CD146" s="229">
        <f t="shared" si="99"/>
        <v>0</v>
      </c>
      <c r="CE146" s="229">
        <f t="shared" si="100"/>
        <v>0</v>
      </c>
      <c r="CF146" s="229">
        <f t="shared" si="101"/>
        <v>0</v>
      </c>
      <c r="CG146" s="229">
        <f t="shared" si="102"/>
        <v>0</v>
      </c>
      <c r="CH146" s="229">
        <f t="shared" si="103"/>
        <v>0</v>
      </c>
      <c r="CI146" s="229">
        <f t="shared" si="104"/>
        <v>0</v>
      </c>
      <c r="CJ146" s="229">
        <f t="shared" si="105"/>
        <v>0</v>
      </c>
      <c r="CK146" s="229">
        <f t="shared" si="106"/>
        <v>0</v>
      </c>
      <c r="CL146" s="229">
        <f t="shared" si="107"/>
        <v>0</v>
      </c>
      <c r="CM146" s="224">
        <f t="shared" ref="CM146:CX146" si="124">IF($T13&gt;0,(((EXP(-(1/(Morning_Peak_Duration__hours*2))*(CM$141-(Morning_Peak_Time__24hr_clock+$C146))^2))+(EXP(-(1/(Afternoon_Peak_Duration__hours*2))*(CM$141-(Afternoon_Peak_Time__24hr_clock+$C146))^2)))*$V13)/TZCalibrationValue,0)</f>
        <v>0</v>
      </c>
      <c r="CN146" s="224">
        <f t="shared" si="124"/>
        <v>0</v>
      </c>
      <c r="CO146" s="224">
        <f t="shared" si="124"/>
        <v>0</v>
      </c>
      <c r="CP146" s="224">
        <f t="shared" si="124"/>
        <v>0</v>
      </c>
      <c r="CQ146" s="224">
        <f t="shared" si="124"/>
        <v>0</v>
      </c>
      <c r="CR146" s="224">
        <f t="shared" si="124"/>
        <v>0</v>
      </c>
      <c r="CS146" s="224">
        <f t="shared" si="124"/>
        <v>0</v>
      </c>
      <c r="CT146" s="224">
        <f t="shared" si="124"/>
        <v>0</v>
      </c>
      <c r="CU146" s="224">
        <f t="shared" si="124"/>
        <v>0</v>
      </c>
      <c r="CV146" s="224">
        <f t="shared" si="124"/>
        <v>0</v>
      </c>
      <c r="CW146" s="224">
        <f t="shared" si="124"/>
        <v>0</v>
      </c>
      <c r="CX146" s="224">
        <f t="shared" si="124"/>
        <v>0</v>
      </c>
      <c r="CY146" s="218"/>
    </row>
    <row r="147" spans="2:103" hidden="1" outlineLevel="1">
      <c r="B147" t="str">
        <f t="shared" si="55"/>
        <v>Site 6</v>
      </c>
      <c r="C147" s="230">
        <f>VLOOKUP(D14,'Scaling Tables'!$B$123:$C$149,2,FALSE)-VLOOKUP($C$4,'Scaling Tables'!$B$123:$C$149,2,FALSE)</f>
        <v>0</v>
      </c>
      <c r="D147" s="224">
        <f t="shared" ref="D147:O147" si="125">IF($T14&gt;0,(((EXP(-(1/(Morning_Peak_Duration__hours*2))*(D$141-(Morning_Peak_Time__24hr_clock+$C147))^2))+(EXP(-(1/(Afternoon_Peak_Duration__hours*2))*(D$141-(Afternoon_Peak_Time__24hr_clock+$C147))^2)))*$U14)/TZCalibrationValue,0)</f>
        <v>0</v>
      </c>
      <c r="E147" s="224">
        <f t="shared" si="125"/>
        <v>0</v>
      </c>
      <c r="F147" s="224">
        <f t="shared" si="125"/>
        <v>0</v>
      </c>
      <c r="G147" s="224">
        <f t="shared" si="125"/>
        <v>0</v>
      </c>
      <c r="H147" s="224">
        <f t="shared" si="125"/>
        <v>0</v>
      </c>
      <c r="I147" s="224">
        <f t="shared" si="125"/>
        <v>0</v>
      </c>
      <c r="J147" s="224">
        <f t="shared" si="125"/>
        <v>0</v>
      </c>
      <c r="K147" s="224">
        <f t="shared" si="125"/>
        <v>0</v>
      </c>
      <c r="L147" s="224">
        <f t="shared" si="125"/>
        <v>0</v>
      </c>
      <c r="M147" s="224">
        <f t="shared" si="125"/>
        <v>0</v>
      </c>
      <c r="N147" s="224">
        <f t="shared" si="125"/>
        <v>0</v>
      </c>
      <c r="O147" s="224">
        <f t="shared" si="125"/>
        <v>0</v>
      </c>
      <c r="P147" s="229">
        <f t="shared" si="57"/>
        <v>0</v>
      </c>
      <c r="Q147" s="229">
        <f t="shared" si="58"/>
        <v>0</v>
      </c>
      <c r="R147" s="229">
        <f t="shared" si="59"/>
        <v>0</v>
      </c>
      <c r="S147" s="229">
        <f t="shared" si="60"/>
        <v>0</v>
      </c>
      <c r="T147" s="229">
        <f t="shared" si="61"/>
        <v>0</v>
      </c>
      <c r="U147" s="229">
        <f t="shared" si="62"/>
        <v>0</v>
      </c>
      <c r="V147" s="229">
        <f t="shared" si="63"/>
        <v>0</v>
      </c>
      <c r="W147" s="229">
        <f t="shared" si="64"/>
        <v>0</v>
      </c>
      <c r="X147" s="229">
        <f t="shared" si="65"/>
        <v>0</v>
      </c>
      <c r="Y147" s="229">
        <f t="shared" si="66"/>
        <v>0</v>
      </c>
      <c r="Z147" s="229">
        <f t="shared" si="67"/>
        <v>0</v>
      </c>
      <c r="AA147" s="229">
        <f t="shared" si="68"/>
        <v>0</v>
      </c>
      <c r="AB147" s="229">
        <f t="shared" si="69"/>
        <v>0</v>
      </c>
      <c r="AC147" s="229">
        <f t="shared" si="70"/>
        <v>0</v>
      </c>
      <c r="AD147" s="229">
        <f t="shared" si="71"/>
        <v>0</v>
      </c>
      <c r="AE147" s="229">
        <f t="shared" si="72"/>
        <v>0</v>
      </c>
      <c r="AF147" s="229">
        <f t="shared" si="73"/>
        <v>0</v>
      </c>
      <c r="AG147" s="229">
        <f t="shared" si="74"/>
        <v>0</v>
      </c>
      <c r="AH147" s="229">
        <f t="shared" si="75"/>
        <v>0</v>
      </c>
      <c r="AI147" s="229">
        <f t="shared" si="76"/>
        <v>0</v>
      </c>
      <c r="AJ147" s="229">
        <f t="shared" si="77"/>
        <v>0</v>
      </c>
      <c r="AK147" s="229">
        <f t="shared" si="78"/>
        <v>0</v>
      </c>
      <c r="AL147" s="229">
        <f t="shared" si="79"/>
        <v>0</v>
      </c>
      <c r="AM147" s="229">
        <f t="shared" si="80"/>
        <v>0</v>
      </c>
      <c r="AN147" s="224">
        <f t="shared" ref="AN147:AY147" si="126">IF($T14&gt;0,(((EXP(-(1/(Morning_Peak_Duration__hours*2))*(AN$141-(Morning_Peak_Time__24hr_clock+$C147))^2))+(EXP(-(1/(Afternoon_Peak_Duration__hours*2))*(AN$141-(Afternoon_Peak_Time__24hr_clock+$C147))^2)))*$U14)/TZCalibrationValue,0)</f>
        <v>0</v>
      </c>
      <c r="AO147" s="224">
        <f t="shared" si="126"/>
        <v>0</v>
      </c>
      <c r="AP147" s="224">
        <f t="shared" si="126"/>
        <v>0</v>
      </c>
      <c r="AQ147" s="224">
        <f t="shared" si="126"/>
        <v>0</v>
      </c>
      <c r="AR147" s="224">
        <f t="shared" si="126"/>
        <v>0</v>
      </c>
      <c r="AS147" s="224">
        <f t="shared" si="126"/>
        <v>0</v>
      </c>
      <c r="AT147" s="224">
        <f t="shared" si="126"/>
        <v>0</v>
      </c>
      <c r="AU147" s="224">
        <f t="shared" si="126"/>
        <v>0</v>
      </c>
      <c r="AV147" s="224">
        <f t="shared" si="126"/>
        <v>0</v>
      </c>
      <c r="AW147" s="224">
        <f t="shared" si="126"/>
        <v>0</v>
      </c>
      <c r="AX147" s="224">
        <f t="shared" si="126"/>
        <v>0</v>
      </c>
      <c r="AY147" s="224">
        <f t="shared" si="126"/>
        <v>0</v>
      </c>
      <c r="AZ147" s="218"/>
      <c r="BA147"/>
      <c r="BB147" s="176" t="str">
        <f t="shared" si="82"/>
        <v>Site 6</v>
      </c>
      <c r="BC147" s="224">
        <f t="shared" ref="BC147:BN147" si="127">IF($T14&gt;0,(((EXP(-(1/(Morning_Peak_Duration__hours*2))*(BC$141-(Morning_Peak_Time__24hr_clock+$C147))^2))+(EXP(-(1/(Afternoon_Peak_Duration__hours*2))*(BC$141-(Afternoon_Peak_Time__24hr_clock+$C147))^2)))*$V14)/TZCalibrationValue,0)</f>
        <v>0</v>
      </c>
      <c r="BD147" s="224">
        <f t="shared" si="127"/>
        <v>0</v>
      </c>
      <c r="BE147" s="224">
        <f t="shared" si="127"/>
        <v>0</v>
      </c>
      <c r="BF147" s="224">
        <f t="shared" si="127"/>
        <v>0</v>
      </c>
      <c r="BG147" s="224">
        <f t="shared" si="127"/>
        <v>0</v>
      </c>
      <c r="BH147" s="224">
        <f t="shared" si="127"/>
        <v>0</v>
      </c>
      <c r="BI147" s="224">
        <f t="shared" si="127"/>
        <v>0</v>
      </c>
      <c r="BJ147" s="224">
        <f t="shared" si="127"/>
        <v>0</v>
      </c>
      <c r="BK147" s="224">
        <f t="shared" si="127"/>
        <v>0</v>
      </c>
      <c r="BL147" s="224">
        <f t="shared" si="127"/>
        <v>0</v>
      </c>
      <c r="BM147" s="224">
        <f t="shared" si="127"/>
        <v>0</v>
      </c>
      <c r="BN147" s="224">
        <f t="shared" si="127"/>
        <v>0</v>
      </c>
      <c r="BO147" s="229">
        <f t="shared" si="84"/>
        <v>0</v>
      </c>
      <c r="BP147" s="229">
        <f t="shared" si="85"/>
        <v>0</v>
      </c>
      <c r="BQ147" s="229">
        <f t="shared" si="86"/>
        <v>0</v>
      </c>
      <c r="BR147" s="229">
        <f t="shared" si="87"/>
        <v>0</v>
      </c>
      <c r="BS147" s="229">
        <f t="shared" si="88"/>
        <v>0</v>
      </c>
      <c r="BT147" s="229">
        <f t="shared" si="89"/>
        <v>0</v>
      </c>
      <c r="BU147" s="229">
        <f t="shared" si="90"/>
        <v>0</v>
      </c>
      <c r="BV147" s="229">
        <f t="shared" si="91"/>
        <v>0</v>
      </c>
      <c r="BW147" s="229">
        <f t="shared" si="92"/>
        <v>0</v>
      </c>
      <c r="BX147" s="229">
        <f t="shared" si="93"/>
        <v>0</v>
      </c>
      <c r="BY147" s="229">
        <f t="shared" si="94"/>
        <v>0</v>
      </c>
      <c r="BZ147" s="229">
        <f t="shared" si="95"/>
        <v>0</v>
      </c>
      <c r="CA147" s="229">
        <f t="shared" si="96"/>
        <v>0</v>
      </c>
      <c r="CB147" s="229">
        <f t="shared" si="97"/>
        <v>0</v>
      </c>
      <c r="CC147" s="229">
        <f t="shared" si="98"/>
        <v>0</v>
      </c>
      <c r="CD147" s="229">
        <f t="shared" si="99"/>
        <v>0</v>
      </c>
      <c r="CE147" s="229">
        <f t="shared" si="100"/>
        <v>0</v>
      </c>
      <c r="CF147" s="229">
        <f t="shared" si="101"/>
        <v>0</v>
      </c>
      <c r="CG147" s="229">
        <f t="shared" si="102"/>
        <v>0</v>
      </c>
      <c r="CH147" s="229">
        <f t="shared" si="103"/>
        <v>0</v>
      </c>
      <c r="CI147" s="229">
        <f t="shared" si="104"/>
        <v>0</v>
      </c>
      <c r="CJ147" s="229">
        <f t="shared" si="105"/>
        <v>0</v>
      </c>
      <c r="CK147" s="229">
        <f t="shared" si="106"/>
        <v>0</v>
      </c>
      <c r="CL147" s="229">
        <f t="shared" si="107"/>
        <v>0</v>
      </c>
      <c r="CM147" s="224">
        <f t="shared" ref="CM147:CX147" si="128">IF($T14&gt;0,(((EXP(-(1/(Morning_Peak_Duration__hours*2))*(CM$141-(Morning_Peak_Time__24hr_clock+$C147))^2))+(EXP(-(1/(Afternoon_Peak_Duration__hours*2))*(CM$141-(Afternoon_Peak_Time__24hr_clock+$C147))^2)))*$V14)/TZCalibrationValue,0)</f>
        <v>0</v>
      </c>
      <c r="CN147" s="224">
        <f t="shared" si="128"/>
        <v>0</v>
      </c>
      <c r="CO147" s="224">
        <f t="shared" si="128"/>
        <v>0</v>
      </c>
      <c r="CP147" s="224">
        <f t="shared" si="128"/>
        <v>0</v>
      </c>
      <c r="CQ147" s="224">
        <f t="shared" si="128"/>
        <v>0</v>
      </c>
      <c r="CR147" s="224">
        <f t="shared" si="128"/>
        <v>0</v>
      </c>
      <c r="CS147" s="224">
        <f t="shared" si="128"/>
        <v>0</v>
      </c>
      <c r="CT147" s="224">
        <f t="shared" si="128"/>
        <v>0</v>
      </c>
      <c r="CU147" s="224">
        <f t="shared" si="128"/>
        <v>0</v>
      </c>
      <c r="CV147" s="224">
        <f t="shared" si="128"/>
        <v>0</v>
      </c>
      <c r="CW147" s="224">
        <f t="shared" si="128"/>
        <v>0</v>
      </c>
      <c r="CX147" s="224">
        <f t="shared" si="128"/>
        <v>0</v>
      </c>
      <c r="CY147" s="218"/>
    </row>
    <row r="148" spans="2:103" hidden="1" outlineLevel="1">
      <c r="B148" t="str">
        <f t="shared" si="55"/>
        <v>Site 7</v>
      </c>
      <c r="C148" s="230">
        <f>VLOOKUP(D15,'Scaling Tables'!$B$123:$C$149,2,FALSE)-VLOOKUP($C$4,'Scaling Tables'!$B$123:$C$149,2,FALSE)</f>
        <v>0</v>
      </c>
      <c r="D148" s="224">
        <f t="shared" ref="D148:O148" si="129">IF($T15&gt;0,(((EXP(-(1/(Morning_Peak_Duration__hours*2))*(D$141-(Morning_Peak_Time__24hr_clock+$C148))^2))+(EXP(-(1/(Afternoon_Peak_Duration__hours*2))*(D$141-(Afternoon_Peak_Time__24hr_clock+$C148))^2)))*$U15)/TZCalibrationValue,0)</f>
        <v>0</v>
      </c>
      <c r="E148" s="224">
        <f t="shared" si="129"/>
        <v>0</v>
      </c>
      <c r="F148" s="224">
        <f t="shared" si="129"/>
        <v>0</v>
      </c>
      <c r="G148" s="224">
        <f t="shared" si="129"/>
        <v>0</v>
      </c>
      <c r="H148" s="224">
        <f t="shared" si="129"/>
        <v>0</v>
      </c>
      <c r="I148" s="224">
        <f t="shared" si="129"/>
        <v>0</v>
      </c>
      <c r="J148" s="224">
        <f t="shared" si="129"/>
        <v>0</v>
      </c>
      <c r="K148" s="224">
        <f t="shared" si="129"/>
        <v>0</v>
      </c>
      <c r="L148" s="224">
        <f t="shared" si="129"/>
        <v>0</v>
      </c>
      <c r="M148" s="224">
        <f t="shared" si="129"/>
        <v>0</v>
      </c>
      <c r="N148" s="224">
        <f t="shared" si="129"/>
        <v>0</v>
      </c>
      <c r="O148" s="224">
        <f t="shared" si="129"/>
        <v>0</v>
      </c>
      <c r="P148" s="229">
        <f t="shared" si="57"/>
        <v>0</v>
      </c>
      <c r="Q148" s="229">
        <f t="shared" si="58"/>
        <v>0</v>
      </c>
      <c r="R148" s="229">
        <f t="shared" si="59"/>
        <v>0</v>
      </c>
      <c r="S148" s="229">
        <f t="shared" si="60"/>
        <v>0</v>
      </c>
      <c r="T148" s="229">
        <f t="shared" si="61"/>
        <v>0</v>
      </c>
      <c r="U148" s="229">
        <f t="shared" si="62"/>
        <v>0</v>
      </c>
      <c r="V148" s="229">
        <f t="shared" si="63"/>
        <v>0</v>
      </c>
      <c r="W148" s="229">
        <f t="shared" si="64"/>
        <v>0</v>
      </c>
      <c r="X148" s="229">
        <f t="shared" si="65"/>
        <v>0</v>
      </c>
      <c r="Y148" s="229">
        <f t="shared" si="66"/>
        <v>0</v>
      </c>
      <c r="Z148" s="229">
        <f t="shared" si="67"/>
        <v>0</v>
      </c>
      <c r="AA148" s="229">
        <f t="shared" si="68"/>
        <v>0</v>
      </c>
      <c r="AB148" s="229">
        <f t="shared" si="69"/>
        <v>0</v>
      </c>
      <c r="AC148" s="229">
        <f t="shared" si="70"/>
        <v>0</v>
      </c>
      <c r="AD148" s="229">
        <f t="shared" si="71"/>
        <v>0</v>
      </c>
      <c r="AE148" s="229">
        <f t="shared" si="72"/>
        <v>0</v>
      </c>
      <c r="AF148" s="229">
        <f t="shared" si="73"/>
        <v>0</v>
      </c>
      <c r="AG148" s="229">
        <f t="shared" si="74"/>
        <v>0</v>
      </c>
      <c r="AH148" s="229">
        <f t="shared" si="75"/>
        <v>0</v>
      </c>
      <c r="AI148" s="229">
        <f t="shared" si="76"/>
        <v>0</v>
      </c>
      <c r="AJ148" s="229">
        <f t="shared" si="77"/>
        <v>0</v>
      </c>
      <c r="AK148" s="229">
        <f t="shared" si="78"/>
        <v>0</v>
      </c>
      <c r="AL148" s="229">
        <f t="shared" si="79"/>
        <v>0</v>
      </c>
      <c r="AM148" s="229">
        <f t="shared" si="80"/>
        <v>0</v>
      </c>
      <c r="AN148" s="224">
        <f t="shared" ref="AN148:AY148" si="130">IF($T15&gt;0,(((EXP(-(1/(Morning_Peak_Duration__hours*2))*(AN$141-(Morning_Peak_Time__24hr_clock+$C148))^2))+(EXP(-(1/(Afternoon_Peak_Duration__hours*2))*(AN$141-(Afternoon_Peak_Time__24hr_clock+$C148))^2)))*$U15)/TZCalibrationValue,0)</f>
        <v>0</v>
      </c>
      <c r="AO148" s="224">
        <f t="shared" si="130"/>
        <v>0</v>
      </c>
      <c r="AP148" s="224">
        <f t="shared" si="130"/>
        <v>0</v>
      </c>
      <c r="AQ148" s="224">
        <f t="shared" si="130"/>
        <v>0</v>
      </c>
      <c r="AR148" s="224">
        <f t="shared" si="130"/>
        <v>0</v>
      </c>
      <c r="AS148" s="224">
        <f t="shared" si="130"/>
        <v>0</v>
      </c>
      <c r="AT148" s="224">
        <f t="shared" si="130"/>
        <v>0</v>
      </c>
      <c r="AU148" s="224">
        <f t="shared" si="130"/>
        <v>0</v>
      </c>
      <c r="AV148" s="224">
        <f t="shared" si="130"/>
        <v>0</v>
      </c>
      <c r="AW148" s="224">
        <f t="shared" si="130"/>
        <v>0</v>
      </c>
      <c r="AX148" s="224">
        <f t="shared" si="130"/>
        <v>0</v>
      </c>
      <c r="AY148" s="224">
        <f t="shared" si="130"/>
        <v>0</v>
      </c>
      <c r="AZ148" s="218"/>
      <c r="BA148"/>
      <c r="BB148" s="176" t="str">
        <f t="shared" si="82"/>
        <v>Site 7</v>
      </c>
      <c r="BC148" s="224">
        <f t="shared" ref="BC148:BN148" si="131">IF($T15&gt;0,(((EXP(-(1/(Morning_Peak_Duration__hours*2))*(BC$141-(Morning_Peak_Time__24hr_clock+$C148))^2))+(EXP(-(1/(Afternoon_Peak_Duration__hours*2))*(BC$141-(Afternoon_Peak_Time__24hr_clock+$C148))^2)))*$V15)/TZCalibrationValue,0)</f>
        <v>0</v>
      </c>
      <c r="BD148" s="224">
        <f t="shared" si="131"/>
        <v>0</v>
      </c>
      <c r="BE148" s="224">
        <f t="shared" si="131"/>
        <v>0</v>
      </c>
      <c r="BF148" s="224">
        <f t="shared" si="131"/>
        <v>0</v>
      </c>
      <c r="BG148" s="224">
        <f t="shared" si="131"/>
        <v>0</v>
      </c>
      <c r="BH148" s="224">
        <f t="shared" si="131"/>
        <v>0</v>
      </c>
      <c r="BI148" s="224">
        <f t="shared" si="131"/>
        <v>0</v>
      </c>
      <c r="BJ148" s="224">
        <f t="shared" si="131"/>
        <v>0</v>
      </c>
      <c r="BK148" s="224">
        <f t="shared" si="131"/>
        <v>0</v>
      </c>
      <c r="BL148" s="224">
        <f t="shared" si="131"/>
        <v>0</v>
      </c>
      <c r="BM148" s="224">
        <f t="shared" si="131"/>
        <v>0</v>
      </c>
      <c r="BN148" s="224">
        <f t="shared" si="131"/>
        <v>0</v>
      </c>
      <c r="BO148" s="229">
        <f t="shared" si="84"/>
        <v>0</v>
      </c>
      <c r="BP148" s="229">
        <f t="shared" si="85"/>
        <v>0</v>
      </c>
      <c r="BQ148" s="229">
        <f t="shared" si="86"/>
        <v>0</v>
      </c>
      <c r="BR148" s="229">
        <f t="shared" si="87"/>
        <v>0</v>
      </c>
      <c r="BS148" s="229">
        <f t="shared" si="88"/>
        <v>0</v>
      </c>
      <c r="BT148" s="229">
        <f t="shared" si="89"/>
        <v>0</v>
      </c>
      <c r="BU148" s="229">
        <f t="shared" si="90"/>
        <v>0</v>
      </c>
      <c r="BV148" s="229">
        <f t="shared" si="91"/>
        <v>0</v>
      </c>
      <c r="BW148" s="229">
        <f t="shared" si="92"/>
        <v>0</v>
      </c>
      <c r="BX148" s="229">
        <f t="shared" si="93"/>
        <v>0</v>
      </c>
      <c r="BY148" s="229">
        <f t="shared" si="94"/>
        <v>0</v>
      </c>
      <c r="BZ148" s="229">
        <f t="shared" si="95"/>
        <v>0</v>
      </c>
      <c r="CA148" s="229">
        <f t="shared" si="96"/>
        <v>0</v>
      </c>
      <c r="CB148" s="229">
        <f t="shared" si="97"/>
        <v>0</v>
      </c>
      <c r="CC148" s="229">
        <f t="shared" si="98"/>
        <v>0</v>
      </c>
      <c r="CD148" s="229">
        <f t="shared" si="99"/>
        <v>0</v>
      </c>
      <c r="CE148" s="229">
        <f t="shared" si="100"/>
        <v>0</v>
      </c>
      <c r="CF148" s="229">
        <f t="shared" si="101"/>
        <v>0</v>
      </c>
      <c r="CG148" s="229">
        <f t="shared" si="102"/>
        <v>0</v>
      </c>
      <c r="CH148" s="229">
        <f t="shared" si="103"/>
        <v>0</v>
      </c>
      <c r="CI148" s="229">
        <f t="shared" si="104"/>
        <v>0</v>
      </c>
      <c r="CJ148" s="229">
        <f t="shared" si="105"/>
        <v>0</v>
      </c>
      <c r="CK148" s="229">
        <f t="shared" si="106"/>
        <v>0</v>
      </c>
      <c r="CL148" s="229">
        <f t="shared" si="107"/>
        <v>0</v>
      </c>
      <c r="CM148" s="224">
        <f t="shared" ref="CM148:CX148" si="132">IF($T15&gt;0,(((EXP(-(1/(Morning_Peak_Duration__hours*2))*(CM$141-(Morning_Peak_Time__24hr_clock+$C148))^2))+(EXP(-(1/(Afternoon_Peak_Duration__hours*2))*(CM$141-(Afternoon_Peak_Time__24hr_clock+$C148))^2)))*$V15)/TZCalibrationValue,0)</f>
        <v>0</v>
      </c>
      <c r="CN148" s="224">
        <f t="shared" si="132"/>
        <v>0</v>
      </c>
      <c r="CO148" s="224">
        <f t="shared" si="132"/>
        <v>0</v>
      </c>
      <c r="CP148" s="224">
        <f t="shared" si="132"/>
        <v>0</v>
      </c>
      <c r="CQ148" s="224">
        <f t="shared" si="132"/>
        <v>0</v>
      </c>
      <c r="CR148" s="224">
        <f t="shared" si="132"/>
        <v>0</v>
      </c>
      <c r="CS148" s="224">
        <f t="shared" si="132"/>
        <v>0</v>
      </c>
      <c r="CT148" s="224">
        <f t="shared" si="132"/>
        <v>0</v>
      </c>
      <c r="CU148" s="224">
        <f t="shared" si="132"/>
        <v>0</v>
      </c>
      <c r="CV148" s="224">
        <f t="shared" si="132"/>
        <v>0</v>
      </c>
      <c r="CW148" s="224">
        <f t="shared" si="132"/>
        <v>0</v>
      </c>
      <c r="CX148" s="224">
        <f t="shared" si="132"/>
        <v>0</v>
      </c>
      <c r="CY148" s="218"/>
    </row>
    <row r="149" spans="2:103" hidden="1" outlineLevel="1">
      <c r="B149" t="str">
        <f t="shared" si="55"/>
        <v>Site 8</v>
      </c>
      <c r="C149" s="230">
        <f>VLOOKUP(D16,'Scaling Tables'!$B$123:$C$149,2,FALSE)-VLOOKUP($C$4,'Scaling Tables'!$B$123:$C$149,2,FALSE)</f>
        <v>0</v>
      </c>
      <c r="D149" s="224">
        <f t="shared" ref="D149:O149" si="133">IF($T16&gt;0,(((EXP(-(1/(Morning_Peak_Duration__hours*2))*(D$141-(Morning_Peak_Time__24hr_clock+$C149))^2))+(EXP(-(1/(Afternoon_Peak_Duration__hours*2))*(D$141-(Afternoon_Peak_Time__24hr_clock+$C149))^2)))*$U16)/TZCalibrationValue,0)</f>
        <v>0</v>
      </c>
      <c r="E149" s="224">
        <f t="shared" si="133"/>
        <v>0</v>
      </c>
      <c r="F149" s="224">
        <f t="shared" si="133"/>
        <v>0</v>
      </c>
      <c r="G149" s="224">
        <f t="shared" si="133"/>
        <v>0</v>
      </c>
      <c r="H149" s="224">
        <f t="shared" si="133"/>
        <v>0</v>
      </c>
      <c r="I149" s="224">
        <f t="shared" si="133"/>
        <v>0</v>
      </c>
      <c r="J149" s="224">
        <f t="shared" si="133"/>
        <v>0</v>
      </c>
      <c r="K149" s="224">
        <f t="shared" si="133"/>
        <v>0</v>
      </c>
      <c r="L149" s="224">
        <f t="shared" si="133"/>
        <v>0</v>
      </c>
      <c r="M149" s="224">
        <f t="shared" si="133"/>
        <v>0</v>
      </c>
      <c r="N149" s="224">
        <f t="shared" si="133"/>
        <v>0</v>
      </c>
      <c r="O149" s="224">
        <f t="shared" si="133"/>
        <v>0</v>
      </c>
      <c r="P149" s="229">
        <f t="shared" si="57"/>
        <v>0</v>
      </c>
      <c r="Q149" s="229">
        <f t="shared" si="58"/>
        <v>0</v>
      </c>
      <c r="R149" s="229">
        <f t="shared" si="59"/>
        <v>0</v>
      </c>
      <c r="S149" s="229">
        <f t="shared" si="60"/>
        <v>0</v>
      </c>
      <c r="T149" s="229">
        <f t="shared" si="61"/>
        <v>0</v>
      </c>
      <c r="U149" s="229">
        <f t="shared" si="62"/>
        <v>0</v>
      </c>
      <c r="V149" s="229">
        <f t="shared" si="63"/>
        <v>0</v>
      </c>
      <c r="W149" s="229">
        <f t="shared" si="64"/>
        <v>0</v>
      </c>
      <c r="X149" s="229">
        <f t="shared" si="65"/>
        <v>0</v>
      </c>
      <c r="Y149" s="229">
        <f t="shared" si="66"/>
        <v>0</v>
      </c>
      <c r="Z149" s="229">
        <f t="shared" si="67"/>
        <v>0</v>
      </c>
      <c r="AA149" s="229">
        <f t="shared" si="68"/>
        <v>0</v>
      </c>
      <c r="AB149" s="229">
        <f t="shared" si="69"/>
        <v>0</v>
      </c>
      <c r="AC149" s="229">
        <f t="shared" si="70"/>
        <v>0</v>
      </c>
      <c r="AD149" s="229">
        <f t="shared" si="71"/>
        <v>0</v>
      </c>
      <c r="AE149" s="229">
        <f t="shared" si="72"/>
        <v>0</v>
      </c>
      <c r="AF149" s="229">
        <f t="shared" si="73"/>
        <v>0</v>
      </c>
      <c r="AG149" s="229">
        <f t="shared" si="74"/>
        <v>0</v>
      </c>
      <c r="AH149" s="229">
        <f t="shared" si="75"/>
        <v>0</v>
      </c>
      <c r="AI149" s="229">
        <f t="shared" si="76"/>
        <v>0</v>
      </c>
      <c r="AJ149" s="229">
        <f t="shared" si="77"/>
        <v>0</v>
      </c>
      <c r="AK149" s="229">
        <f t="shared" si="78"/>
        <v>0</v>
      </c>
      <c r="AL149" s="229">
        <f t="shared" si="79"/>
        <v>0</v>
      </c>
      <c r="AM149" s="229">
        <f t="shared" si="80"/>
        <v>0</v>
      </c>
      <c r="AN149" s="224">
        <f t="shared" ref="AN149:AY149" si="134">IF($T16&gt;0,(((EXP(-(1/(Morning_Peak_Duration__hours*2))*(AN$141-(Morning_Peak_Time__24hr_clock+$C149))^2))+(EXP(-(1/(Afternoon_Peak_Duration__hours*2))*(AN$141-(Afternoon_Peak_Time__24hr_clock+$C149))^2)))*$U16)/TZCalibrationValue,0)</f>
        <v>0</v>
      </c>
      <c r="AO149" s="224">
        <f t="shared" si="134"/>
        <v>0</v>
      </c>
      <c r="AP149" s="224">
        <f t="shared" si="134"/>
        <v>0</v>
      </c>
      <c r="AQ149" s="224">
        <f t="shared" si="134"/>
        <v>0</v>
      </c>
      <c r="AR149" s="224">
        <f t="shared" si="134"/>
        <v>0</v>
      </c>
      <c r="AS149" s="224">
        <f t="shared" si="134"/>
        <v>0</v>
      </c>
      <c r="AT149" s="224">
        <f t="shared" si="134"/>
        <v>0</v>
      </c>
      <c r="AU149" s="224">
        <f t="shared" si="134"/>
        <v>0</v>
      </c>
      <c r="AV149" s="224">
        <f t="shared" si="134"/>
        <v>0</v>
      </c>
      <c r="AW149" s="224">
        <f t="shared" si="134"/>
        <v>0</v>
      </c>
      <c r="AX149" s="224">
        <f t="shared" si="134"/>
        <v>0</v>
      </c>
      <c r="AY149" s="224">
        <f t="shared" si="134"/>
        <v>0</v>
      </c>
      <c r="AZ149" s="218"/>
      <c r="BA149"/>
      <c r="BB149" s="176" t="str">
        <f t="shared" si="82"/>
        <v>Site 8</v>
      </c>
      <c r="BC149" s="224">
        <f t="shared" ref="BC149:BN149" si="135">IF($T16&gt;0,(((EXP(-(1/(Morning_Peak_Duration__hours*2))*(BC$141-(Morning_Peak_Time__24hr_clock+$C149))^2))+(EXP(-(1/(Afternoon_Peak_Duration__hours*2))*(BC$141-(Afternoon_Peak_Time__24hr_clock+$C149))^2)))*$V16)/TZCalibrationValue,0)</f>
        <v>0</v>
      </c>
      <c r="BD149" s="224">
        <f t="shared" si="135"/>
        <v>0</v>
      </c>
      <c r="BE149" s="224">
        <f t="shared" si="135"/>
        <v>0</v>
      </c>
      <c r="BF149" s="224">
        <f t="shared" si="135"/>
        <v>0</v>
      </c>
      <c r="BG149" s="224">
        <f t="shared" si="135"/>
        <v>0</v>
      </c>
      <c r="BH149" s="224">
        <f t="shared" si="135"/>
        <v>0</v>
      </c>
      <c r="BI149" s="224">
        <f t="shared" si="135"/>
        <v>0</v>
      </c>
      <c r="BJ149" s="224">
        <f t="shared" si="135"/>
        <v>0</v>
      </c>
      <c r="BK149" s="224">
        <f t="shared" si="135"/>
        <v>0</v>
      </c>
      <c r="BL149" s="224">
        <f t="shared" si="135"/>
        <v>0</v>
      </c>
      <c r="BM149" s="224">
        <f t="shared" si="135"/>
        <v>0</v>
      </c>
      <c r="BN149" s="224">
        <f t="shared" si="135"/>
        <v>0</v>
      </c>
      <c r="BO149" s="229">
        <f t="shared" si="84"/>
        <v>0</v>
      </c>
      <c r="BP149" s="229">
        <f t="shared" si="85"/>
        <v>0</v>
      </c>
      <c r="BQ149" s="229">
        <f t="shared" si="86"/>
        <v>0</v>
      </c>
      <c r="BR149" s="229">
        <f t="shared" si="87"/>
        <v>0</v>
      </c>
      <c r="BS149" s="229">
        <f t="shared" si="88"/>
        <v>0</v>
      </c>
      <c r="BT149" s="229">
        <f t="shared" si="89"/>
        <v>0</v>
      </c>
      <c r="BU149" s="229">
        <f t="shared" si="90"/>
        <v>0</v>
      </c>
      <c r="BV149" s="229">
        <f t="shared" si="91"/>
        <v>0</v>
      </c>
      <c r="BW149" s="229">
        <f t="shared" si="92"/>
        <v>0</v>
      </c>
      <c r="BX149" s="229">
        <f t="shared" si="93"/>
        <v>0</v>
      </c>
      <c r="BY149" s="229">
        <f t="shared" si="94"/>
        <v>0</v>
      </c>
      <c r="BZ149" s="229">
        <f t="shared" si="95"/>
        <v>0</v>
      </c>
      <c r="CA149" s="229">
        <f t="shared" si="96"/>
        <v>0</v>
      </c>
      <c r="CB149" s="229">
        <f t="shared" si="97"/>
        <v>0</v>
      </c>
      <c r="CC149" s="229">
        <f t="shared" si="98"/>
        <v>0</v>
      </c>
      <c r="CD149" s="229">
        <f t="shared" si="99"/>
        <v>0</v>
      </c>
      <c r="CE149" s="229">
        <f t="shared" si="100"/>
        <v>0</v>
      </c>
      <c r="CF149" s="229">
        <f t="shared" si="101"/>
        <v>0</v>
      </c>
      <c r="CG149" s="229">
        <f t="shared" si="102"/>
        <v>0</v>
      </c>
      <c r="CH149" s="229">
        <f t="shared" si="103"/>
        <v>0</v>
      </c>
      <c r="CI149" s="229">
        <f t="shared" si="104"/>
        <v>0</v>
      </c>
      <c r="CJ149" s="229">
        <f t="shared" si="105"/>
        <v>0</v>
      </c>
      <c r="CK149" s="229">
        <f t="shared" si="106"/>
        <v>0</v>
      </c>
      <c r="CL149" s="229">
        <f t="shared" si="107"/>
        <v>0</v>
      </c>
      <c r="CM149" s="224">
        <f t="shared" ref="CM149:CX149" si="136">IF($T16&gt;0,(((EXP(-(1/(Morning_Peak_Duration__hours*2))*(CM$141-(Morning_Peak_Time__24hr_clock+$C149))^2))+(EXP(-(1/(Afternoon_Peak_Duration__hours*2))*(CM$141-(Afternoon_Peak_Time__24hr_clock+$C149))^2)))*$V16)/TZCalibrationValue,0)</f>
        <v>0</v>
      </c>
      <c r="CN149" s="224">
        <f t="shared" si="136"/>
        <v>0</v>
      </c>
      <c r="CO149" s="224">
        <f t="shared" si="136"/>
        <v>0</v>
      </c>
      <c r="CP149" s="224">
        <f t="shared" si="136"/>
        <v>0</v>
      </c>
      <c r="CQ149" s="224">
        <f t="shared" si="136"/>
        <v>0</v>
      </c>
      <c r="CR149" s="224">
        <f t="shared" si="136"/>
        <v>0</v>
      </c>
      <c r="CS149" s="224">
        <f t="shared" si="136"/>
        <v>0</v>
      </c>
      <c r="CT149" s="224">
        <f t="shared" si="136"/>
        <v>0</v>
      </c>
      <c r="CU149" s="224">
        <f t="shared" si="136"/>
        <v>0</v>
      </c>
      <c r="CV149" s="224">
        <f t="shared" si="136"/>
        <v>0</v>
      </c>
      <c r="CW149" s="224">
        <f t="shared" si="136"/>
        <v>0</v>
      </c>
      <c r="CX149" s="224">
        <f t="shared" si="136"/>
        <v>0</v>
      </c>
      <c r="CY149" s="218"/>
    </row>
    <row r="150" spans="2:103" hidden="1" outlineLevel="1">
      <c r="B150" t="str">
        <f t="shared" si="55"/>
        <v>Site 9</v>
      </c>
      <c r="C150" s="230">
        <f>VLOOKUP(D17,'Scaling Tables'!$B$123:$C$149,2,FALSE)-VLOOKUP($C$4,'Scaling Tables'!$B$123:$C$149,2,FALSE)</f>
        <v>0</v>
      </c>
      <c r="D150" s="224">
        <f t="shared" ref="D150:O150" si="137">IF($T17&gt;0,(((EXP(-(1/(Morning_Peak_Duration__hours*2))*(D$141-(Morning_Peak_Time__24hr_clock+$C150))^2))+(EXP(-(1/(Afternoon_Peak_Duration__hours*2))*(D$141-(Afternoon_Peak_Time__24hr_clock+$C150))^2)))*$U17)/TZCalibrationValue,0)</f>
        <v>0</v>
      </c>
      <c r="E150" s="224">
        <f t="shared" si="137"/>
        <v>0</v>
      </c>
      <c r="F150" s="224">
        <f t="shared" si="137"/>
        <v>0</v>
      </c>
      <c r="G150" s="224">
        <f t="shared" si="137"/>
        <v>0</v>
      </c>
      <c r="H150" s="224">
        <f t="shared" si="137"/>
        <v>0</v>
      </c>
      <c r="I150" s="224">
        <f t="shared" si="137"/>
        <v>0</v>
      </c>
      <c r="J150" s="224">
        <f t="shared" si="137"/>
        <v>0</v>
      </c>
      <c r="K150" s="224">
        <f t="shared" si="137"/>
        <v>0</v>
      </c>
      <c r="L150" s="224">
        <f t="shared" si="137"/>
        <v>0</v>
      </c>
      <c r="M150" s="224">
        <f t="shared" si="137"/>
        <v>0</v>
      </c>
      <c r="N150" s="224">
        <f t="shared" si="137"/>
        <v>0</v>
      </c>
      <c r="O150" s="224">
        <f t="shared" si="137"/>
        <v>0</v>
      </c>
      <c r="P150" s="229">
        <f t="shared" si="57"/>
        <v>0</v>
      </c>
      <c r="Q150" s="229">
        <f t="shared" si="58"/>
        <v>0</v>
      </c>
      <c r="R150" s="229">
        <f t="shared" si="59"/>
        <v>0</v>
      </c>
      <c r="S150" s="229">
        <f t="shared" si="60"/>
        <v>0</v>
      </c>
      <c r="T150" s="229">
        <f t="shared" si="61"/>
        <v>0</v>
      </c>
      <c r="U150" s="229">
        <f t="shared" si="62"/>
        <v>0</v>
      </c>
      <c r="V150" s="229">
        <f t="shared" si="63"/>
        <v>0</v>
      </c>
      <c r="W150" s="229">
        <f t="shared" si="64"/>
        <v>0</v>
      </c>
      <c r="X150" s="229">
        <f t="shared" si="65"/>
        <v>0</v>
      </c>
      <c r="Y150" s="229">
        <f t="shared" si="66"/>
        <v>0</v>
      </c>
      <c r="Z150" s="229">
        <f t="shared" si="67"/>
        <v>0</v>
      </c>
      <c r="AA150" s="229">
        <f t="shared" si="68"/>
        <v>0</v>
      </c>
      <c r="AB150" s="229">
        <f t="shared" si="69"/>
        <v>0</v>
      </c>
      <c r="AC150" s="229">
        <f t="shared" si="70"/>
        <v>0</v>
      </c>
      <c r="AD150" s="229">
        <f t="shared" si="71"/>
        <v>0</v>
      </c>
      <c r="AE150" s="229">
        <f t="shared" si="72"/>
        <v>0</v>
      </c>
      <c r="AF150" s="229">
        <f t="shared" si="73"/>
        <v>0</v>
      </c>
      <c r="AG150" s="229">
        <f t="shared" si="74"/>
        <v>0</v>
      </c>
      <c r="AH150" s="229">
        <f t="shared" si="75"/>
        <v>0</v>
      </c>
      <c r="AI150" s="229">
        <f t="shared" si="76"/>
        <v>0</v>
      </c>
      <c r="AJ150" s="229">
        <f t="shared" si="77"/>
        <v>0</v>
      </c>
      <c r="AK150" s="229">
        <f t="shared" si="78"/>
        <v>0</v>
      </c>
      <c r="AL150" s="229">
        <f t="shared" si="79"/>
        <v>0</v>
      </c>
      <c r="AM150" s="229">
        <f t="shared" si="80"/>
        <v>0</v>
      </c>
      <c r="AN150" s="224">
        <f t="shared" ref="AN150:AY150" si="138">IF($T17&gt;0,(((EXP(-(1/(Morning_Peak_Duration__hours*2))*(AN$141-(Morning_Peak_Time__24hr_clock+$C150))^2))+(EXP(-(1/(Afternoon_Peak_Duration__hours*2))*(AN$141-(Afternoon_Peak_Time__24hr_clock+$C150))^2)))*$U17)/TZCalibrationValue,0)</f>
        <v>0</v>
      </c>
      <c r="AO150" s="224">
        <f t="shared" si="138"/>
        <v>0</v>
      </c>
      <c r="AP150" s="224">
        <f t="shared" si="138"/>
        <v>0</v>
      </c>
      <c r="AQ150" s="224">
        <f t="shared" si="138"/>
        <v>0</v>
      </c>
      <c r="AR150" s="224">
        <f t="shared" si="138"/>
        <v>0</v>
      </c>
      <c r="AS150" s="224">
        <f t="shared" si="138"/>
        <v>0</v>
      </c>
      <c r="AT150" s="224">
        <f t="shared" si="138"/>
        <v>0</v>
      </c>
      <c r="AU150" s="224">
        <f t="shared" si="138"/>
        <v>0</v>
      </c>
      <c r="AV150" s="224">
        <f t="shared" si="138"/>
        <v>0</v>
      </c>
      <c r="AW150" s="224">
        <f t="shared" si="138"/>
        <v>0</v>
      </c>
      <c r="AX150" s="224">
        <f t="shared" si="138"/>
        <v>0</v>
      </c>
      <c r="AY150" s="224">
        <f t="shared" si="138"/>
        <v>0</v>
      </c>
      <c r="AZ150" s="218"/>
      <c r="BA150"/>
      <c r="BB150" s="176" t="str">
        <f t="shared" si="82"/>
        <v>Site 9</v>
      </c>
      <c r="BC150" s="224">
        <f t="shared" ref="BC150:BN150" si="139">IF($T17&gt;0,(((EXP(-(1/(Morning_Peak_Duration__hours*2))*(BC$141-(Morning_Peak_Time__24hr_clock+$C150))^2))+(EXP(-(1/(Afternoon_Peak_Duration__hours*2))*(BC$141-(Afternoon_Peak_Time__24hr_clock+$C150))^2)))*$V17)/TZCalibrationValue,0)</f>
        <v>0</v>
      </c>
      <c r="BD150" s="224">
        <f t="shared" si="139"/>
        <v>0</v>
      </c>
      <c r="BE150" s="224">
        <f t="shared" si="139"/>
        <v>0</v>
      </c>
      <c r="BF150" s="224">
        <f t="shared" si="139"/>
        <v>0</v>
      </c>
      <c r="BG150" s="224">
        <f t="shared" si="139"/>
        <v>0</v>
      </c>
      <c r="BH150" s="224">
        <f t="shared" si="139"/>
        <v>0</v>
      </c>
      <c r="BI150" s="224">
        <f t="shared" si="139"/>
        <v>0</v>
      </c>
      <c r="BJ150" s="224">
        <f t="shared" si="139"/>
        <v>0</v>
      </c>
      <c r="BK150" s="224">
        <f t="shared" si="139"/>
        <v>0</v>
      </c>
      <c r="BL150" s="224">
        <f t="shared" si="139"/>
        <v>0</v>
      </c>
      <c r="BM150" s="224">
        <f t="shared" si="139"/>
        <v>0</v>
      </c>
      <c r="BN150" s="224">
        <f t="shared" si="139"/>
        <v>0</v>
      </c>
      <c r="BO150" s="229">
        <f t="shared" si="84"/>
        <v>0</v>
      </c>
      <c r="BP150" s="229">
        <f t="shared" si="85"/>
        <v>0</v>
      </c>
      <c r="BQ150" s="229">
        <f t="shared" si="86"/>
        <v>0</v>
      </c>
      <c r="BR150" s="229">
        <f t="shared" si="87"/>
        <v>0</v>
      </c>
      <c r="BS150" s="229">
        <f t="shared" si="88"/>
        <v>0</v>
      </c>
      <c r="BT150" s="229">
        <f t="shared" si="89"/>
        <v>0</v>
      </c>
      <c r="BU150" s="229">
        <f t="shared" si="90"/>
        <v>0</v>
      </c>
      <c r="BV150" s="229">
        <f t="shared" si="91"/>
        <v>0</v>
      </c>
      <c r="BW150" s="229">
        <f t="shared" si="92"/>
        <v>0</v>
      </c>
      <c r="BX150" s="229">
        <f t="shared" si="93"/>
        <v>0</v>
      </c>
      <c r="BY150" s="229">
        <f t="shared" si="94"/>
        <v>0</v>
      </c>
      <c r="BZ150" s="229">
        <f t="shared" si="95"/>
        <v>0</v>
      </c>
      <c r="CA150" s="229">
        <f t="shared" si="96"/>
        <v>0</v>
      </c>
      <c r="CB150" s="229">
        <f t="shared" si="97"/>
        <v>0</v>
      </c>
      <c r="CC150" s="229">
        <f t="shared" si="98"/>
        <v>0</v>
      </c>
      <c r="CD150" s="229">
        <f t="shared" si="99"/>
        <v>0</v>
      </c>
      <c r="CE150" s="229">
        <f t="shared" si="100"/>
        <v>0</v>
      </c>
      <c r="CF150" s="229">
        <f t="shared" si="101"/>
        <v>0</v>
      </c>
      <c r="CG150" s="229">
        <f t="shared" si="102"/>
        <v>0</v>
      </c>
      <c r="CH150" s="229">
        <f t="shared" si="103"/>
        <v>0</v>
      </c>
      <c r="CI150" s="229">
        <f t="shared" si="104"/>
        <v>0</v>
      </c>
      <c r="CJ150" s="229">
        <f t="shared" si="105"/>
        <v>0</v>
      </c>
      <c r="CK150" s="229">
        <f t="shared" si="106"/>
        <v>0</v>
      </c>
      <c r="CL150" s="229">
        <f t="shared" si="107"/>
        <v>0</v>
      </c>
      <c r="CM150" s="224">
        <f t="shared" ref="CM150:CX150" si="140">IF($T17&gt;0,(((EXP(-(1/(Morning_Peak_Duration__hours*2))*(CM$141-(Morning_Peak_Time__24hr_clock+$C150))^2))+(EXP(-(1/(Afternoon_Peak_Duration__hours*2))*(CM$141-(Afternoon_Peak_Time__24hr_clock+$C150))^2)))*$V17)/TZCalibrationValue,0)</f>
        <v>0</v>
      </c>
      <c r="CN150" s="224">
        <f t="shared" si="140"/>
        <v>0</v>
      </c>
      <c r="CO150" s="224">
        <f t="shared" si="140"/>
        <v>0</v>
      </c>
      <c r="CP150" s="224">
        <f t="shared" si="140"/>
        <v>0</v>
      </c>
      <c r="CQ150" s="224">
        <f t="shared" si="140"/>
        <v>0</v>
      </c>
      <c r="CR150" s="224">
        <f t="shared" si="140"/>
        <v>0</v>
      </c>
      <c r="CS150" s="224">
        <f t="shared" si="140"/>
        <v>0</v>
      </c>
      <c r="CT150" s="224">
        <f t="shared" si="140"/>
        <v>0</v>
      </c>
      <c r="CU150" s="224">
        <f t="shared" si="140"/>
        <v>0</v>
      </c>
      <c r="CV150" s="224">
        <f t="shared" si="140"/>
        <v>0</v>
      </c>
      <c r="CW150" s="224">
        <f t="shared" si="140"/>
        <v>0</v>
      </c>
      <c r="CX150" s="224">
        <f t="shared" si="140"/>
        <v>0</v>
      </c>
      <c r="CY150" s="218"/>
    </row>
    <row r="151" spans="2:103" hidden="1" outlineLevel="1">
      <c r="B151" t="str">
        <f t="shared" si="55"/>
        <v>Site 10</v>
      </c>
      <c r="C151" s="230">
        <f>VLOOKUP(D18,'Scaling Tables'!$B$123:$C$149,2,FALSE)-VLOOKUP($C$4,'Scaling Tables'!$B$123:$C$149,2,FALSE)</f>
        <v>0</v>
      </c>
      <c r="D151" s="224">
        <f t="shared" ref="D151:O151" si="141">IF($T18&gt;0,(((EXP(-(1/(Morning_Peak_Duration__hours*2))*(D$141-(Morning_Peak_Time__24hr_clock+$C151))^2))+(EXP(-(1/(Afternoon_Peak_Duration__hours*2))*(D$141-(Afternoon_Peak_Time__24hr_clock+$C151))^2)))*$U18)/TZCalibrationValue,0)</f>
        <v>0</v>
      </c>
      <c r="E151" s="224">
        <f t="shared" si="141"/>
        <v>0</v>
      </c>
      <c r="F151" s="224">
        <f t="shared" si="141"/>
        <v>0</v>
      </c>
      <c r="G151" s="224">
        <f t="shared" si="141"/>
        <v>0</v>
      </c>
      <c r="H151" s="224">
        <f t="shared" si="141"/>
        <v>0</v>
      </c>
      <c r="I151" s="224">
        <f t="shared" si="141"/>
        <v>0</v>
      </c>
      <c r="J151" s="224">
        <f t="shared" si="141"/>
        <v>0</v>
      </c>
      <c r="K151" s="224">
        <f t="shared" si="141"/>
        <v>0</v>
      </c>
      <c r="L151" s="224">
        <f t="shared" si="141"/>
        <v>0</v>
      </c>
      <c r="M151" s="224">
        <f t="shared" si="141"/>
        <v>0</v>
      </c>
      <c r="N151" s="224">
        <f t="shared" si="141"/>
        <v>0</v>
      </c>
      <c r="O151" s="224">
        <f t="shared" si="141"/>
        <v>0</v>
      </c>
      <c r="P151" s="229">
        <f t="shared" si="57"/>
        <v>0</v>
      </c>
      <c r="Q151" s="229">
        <f t="shared" si="58"/>
        <v>0</v>
      </c>
      <c r="R151" s="229">
        <f t="shared" si="59"/>
        <v>0</v>
      </c>
      <c r="S151" s="229">
        <f t="shared" si="60"/>
        <v>0</v>
      </c>
      <c r="T151" s="229">
        <f t="shared" si="61"/>
        <v>0</v>
      </c>
      <c r="U151" s="229">
        <f t="shared" si="62"/>
        <v>0</v>
      </c>
      <c r="V151" s="229">
        <f t="shared" si="63"/>
        <v>0</v>
      </c>
      <c r="W151" s="229">
        <f t="shared" si="64"/>
        <v>0</v>
      </c>
      <c r="X151" s="229">
        <f t="shared" si="65"/>
        <v>0</v>
      </c>
      <c r="Y151" s="229">
        <f t="shared" si="66"/>
        <v>0</v>
      </c>
      <c r="Z151" s="229">
        <f t="shared" si="67"/>
        <v>0</v>
      </c>
      <c r="AA151" s="229">
        <f t="shared" si="68"/>
        <v>0</v>
      </c>
      <c r="AB151" s="229">
        <f t="shared" si="69"/>
        <v>0</v>
      </c>
      <c r="AC151" s="229">
        <f t="shared" si="70"/>
        <v>0</v>
      </c>
      <c r="AD151" s="229">
        <f t="shared" si="71"/>
        <v>0</v>
      </c>
      <c r="AE151" s="229">
        <f t="shared" si="72"/>
        <v>0</v>
      </c>
      <c r="AF151" s="229">
        <f t="shared" si="73"/>
        <v>0</v>
      </c>
      <c r="AG151" s="229">
        <f t="shared" si="74"/>
        <v>0</v>
      </c>
      <c r="AH151" s="229">
        <f t="shared" si="75"/>
        <v>0</v>
      </c>
      <c r="AI151" s="229">
        <f t="shared" si="76"/>
        <v>0</v>
      </c>
      <c r="AJ151" s="229">
        <f t="shared" si="77"/>
        <v>0</v>
      </c>
      <c r="AK151" s="229">
        <f t="shared" si="78"/>
        <v>0</v>
      </c>
      <c r="AL151" s="229">
        <f t="shared" si="79"/>
        <v>0</v>
      </c>
      <c r="AM151" s="229">
        <f t="shared" si="80"/>
        <v>0</v>
      </c>
      <c r="AN151" s="224">
        <f t="shared" ref="AN151:AY151" si="142">IF($T18&gt;0,(((EXP(-(1/(Morning_Peak_Duration__hours*2))*(AN$141-(Morning_Peak_Time__24hr_clock+$C151))^2))+(EXP(-(1/(Afternoon_Peak_Duration__hours*2))*(AN$141-(Afternoon_Peak_Time__24hr_clock+$C151))^2)))*$U18)/TZCalibrationValue,0)</f>
        <v>0</v>
      </c>
      <c r="AO151" s="224">
        <f t="shared" si="142"/>
        <v>0</v>
      </c>
      <c r="AP151" s="224">
        <f t="shared" si="142"/>
        <v>0</v>
      </c>
      <c r="AQ151" s="224">
        <f t="shared" si="142"/>
        <v>0</v>
      </c>
      <c r="AR151" s="224">
        <f t="shared" si="142"/>
        <v>0</v>
      </c>
      <c r="AS151" s="224">
        <f t="shared" si="142"/>
        <v>0</v>
      </c>
      <c r="AT151" s="224">
        <f t="shared" si="142"/>
        <v>0</v>
      </c>
      <c r="AU151" s="224">
        <f t="shared" si="142"/>
        <v>0</v>
      </c>
      <c r="AV151" s="224">
        <f t="shared" si="142"/>
        <v>0</v>
      </c>
      <c r="AW151" s="224">
        <f t="shared" si="142"/>
        <v>0</v>
      </c>
      <c r="AX151" s="224">
        <f t="shared" si="142"/>
        <v>0</v>
      </c>
      <c r="AY151" s="224">
        <f t="shared" si="142"/>
        <v>0</v>
      </c>
      <c r="AZ151" s="218"/>
      <c r="BA151"/>
      <c r="BB151" s="176" t="str">
        <f t="shared" si="82"/>
        <v>Site 10</v>
      </c>
      <c r="BC151" s="224">
        <f t="shared" ref="BC151:BN151" si="143">IF($T18&gt;0,(((EXP(-(1/(Morning_Peak_Duration__hours*2))*(BC$141-(Morning_Peak_Time__24hr_clock+$C151))^2))+(EXP(-(1/(Afternoon_Peak_Duration__hours*2))*(BC$141-(Afternoon_Peak_Time__24hr_clock+$C151))^2)))*$V18)/TZCalibrationValue,0)</f>
        <v>0</v>
      </c>
      <c r="BD151" s="224">
        <f t="shared" si="143"/>
        <v>0</v>
      </c>
      <c r="BE151" s="224">
        <f t="shared" si="143"/>
        <v>0</v>
      </c>
      <c r="BF151" s="224">
        <f t="shared" si="143"/>
        <v>0</v>
      </c>
      <c r="BG151" s="224">
        <f t="shared" si="143"/>
        <v>0</v>
      </c>
      <c r="BH151" s="224">
        <f t="shared" si="143"/>
        <v>0</v>
      </c>
      <c r="BI151" s="224">
        <f t="shared" si="143"/>
        <v>0</v>
      </c>
      <c r="BJ151" s="224">
        <f t="shared" si="143"/>
        <v>0</v>
      </c>
      <c r="BK151" s="224">
        <f t="shared" si="143"/>
        <v>0</v>
      </c>
      <c r="BL151" s="224">
        <f t="shared" si="143"/>
        <v>0</v>
      </c>
      <c r="BM151" s="224">
        <f t="shared" si="143"/>
        <v>0</v>
      </c>
      <c r="BN151" s="224">
        <f t="shared" si="143"/>
        <v>0</v>
      </c>
      <c r="BO151" s="229">
        <f t="shared" si="84"/>
        <v>0</v>
      </c>
      <c r="BP151" s="229">
        <f t="shared" si="85"/>
        <v>0</v>
      </c>
      <c r="BQ151" s="229">
        <f t="shared" si="86"/>
        <v>0</v>
      </c>
      <c r="BR151" s="229">
        <f t="shared" si="87"/>
        <v>0</v>
      </c>
      <c r="BS151" s="229">
        <f t="shared" si="88"/>
        <v>0</v>
      </c>
      <c r="BT151" s="229">
        <f t="shared" si="89"/>
        <v>0</v>
      </c>
      <c r="BU151" s="229">
        <f t="shared" si="90"/>
        <v>0</v>
      </c>
      <c r="BV151" s="229">
        <f t="shared" si="91"/>
        <v>0</v>
      </c>
      <c r="BW151" s="229">
        <f t="shared" si="92"/>
        <v>0</v>
      </c>
      <c r="BX151" s="229">
        <f t="shared" si="93"/>
        <v>0</v>
      </c>
      <c r="BY151" s="229">
        <f t="shared" si="94"/>
        <v>0</v>
      </c>
      <c r="BZ151" s="229">
        <f t="shared" si="95"/>
        <v>0</v>
      </c>
      <c r="CA151" s="229">
        <f t="shared" si="96"/>
        <v>0</v>
      </c>
      <c r="CB151" s="229">
        <f t="shared" si="97"/>
        <v>0</v>
      </c>
      <c r="CC151" s="229">
        <f t="shared" si="98"/>
        <v>0</v>
      </c>
      <c r="CD151" s="229">
        <f t="shared" si="99"/>
        <v>0</v>
      </c>
      <c r="CE151" s="229">
        <f t="shared" si="100"/>
        <v>0</v>
      </c>
      <c r="CF151" s="229">
        <f t="shared" si="101"/>
        <v>0</v>
      </c>
      <c r="CG151" s="229">
        <f t="shared" si="102"/>
        <v>0</v>
      </c>
      <c r="CH151" s="229">
        <f t="shared" si="103"/>
        <v>0</v>
      </c>
      <c r="CI151" s="229">
        <f t="shared" si="104"/>
        <v>0</v>
      </c>
      <c r="CJ151" s="229">
        <f t="shared" si="105"/>
        <v>0</v>
      </c>
      <c r="CK151" s="229">
        <f t="shared" si="106"/>
        <v>0</v>
      </c>
      <c r="CL151" s="229">
        <f t="shared" si="107"/>
        <v>0</v>
      </c>
      <c r="CM151" s="224">
        <f t="shared" ref="CM151:CX151" si="144">IF($T18&gt;0,(((EXP(-(1/(Morning_Peak_Duration__hours*2))*(CM$141-(Morning_Peak_Time__24hr_clock+$C151))^2))+(EXP(-(1/(Afternoon_Peak_Duration__hours*2))*(CM$141-(Afternoon_Peak_Time__24hr_clock+$C151))^2)))*$V18)/TZCalibrationValue,0)</f>
        <v>0</v>
      </c>
      <c r="CN151" s="224">
        <f t="shared" si="144"/>
        <v>0</v>
      </c>
      <c r="CO151" s="224">
        <f t="shared" si="144"/>
        <v>0</v>
      </c>
      <c r="CP151" s="224">
        <f t="shared" si="144"/>
        <v>0</v>
      </c>
      <c r="CQ151" s="224">
        <f t="shared" si="144"/>
        <v>0</v>
      </c>
      <c r="CR151" s="224">
        <f t="shared" si="144"/>
        <v>0</v>
      </c>
      <c r="CS151" s="224">
        <f t="shared" si="144"/>
        <v>0</v>
      </c>
      <c r="CT151" s="224">
        <f t="shared" si="144"/>
        <v>0</v>
      </c>
      <c r="CU151" s="224">
        <f t="shared" si="144"/>
        <v>0</v>
      </c>
      <c r="CV151" s="224">
        <f t="shared" si="144"/>
        <v>0</v>
      </c>
      <c r="CW151" s="224">
        <f t="shared" si="144"/>
        <v>0</v>
      </c>
      <c r="CX151" s="224">
        <f t="shared" si="144"/>
        <v>0</v>
      </c>
      <c r="CY151" s="218"/>
    </row>
    <row r="152" spans="2:103" hidden="1" outlineLevel="1">
      <c r="B152" t="str">
        <f t="shared" si="55"/>
        <v>Site 11</v>
      </c>
      <c r="C152" s="230">
        <f>VLOOKUP(D19,'Scaling Tables'!$B$123:$C$149,2,FALSE)-VLOOKUP($C$4,'Scaling Tables'!$B$123:$C$149,2,FALSE)</f>
        <v>0</v>
      </c>
      <c r="D152" s="224">
        <f t="shared" ref="D152:O152" si="145">IF($T19&gt;0,(((EXP(-(1/(Morning_Peak_Duration__hours*2))*(D$141-(Morning_Peak_Time__24hr_clock+$C152))^2))+(EXP(-(1/(Afternoon_Peak_Duration__hours*2))*(D$141-(Afternoon_Peak_Time__24hr_clock+$C152))^2)))*$U19)/TZCalibrationValue,0)</f>
        <v>0</v>
      </c>
      <c r="E152" s="224">
        <f t="shared" si="145"/>
        <v>0</v>
      </c>
      <c r="F152" s="224">
        <f t="shared" si="145"/>
        <v>0</v>
      </c>
      <c r="G152" s="224">
        <f t="shared" si="145"/>
        <v>0</v>
      </c>
      <c r="H152" s="224">
        <f t="shared" si="145"/>
        <v>0</v>
      </c>
      <c r="I152" s="224">
        <f t="shared" si="145"/>
        <v>0</v>
      </c>
      <c r="J152" s="224">
        <f t="shared" si="145"/>
        <v>0</v>
      </c>
      <c r="K152" s="224">
        <f t="shared" si="145"/>
        <v>0</v>
      </c>
      <c r="L152" s="224">
        <f t="shared" si="145"/>
        <v>0</v>
      </c>
      <c r="M152" s="224">
        <f t="shared" si="145"/>
        <v>0</v>
      </c>
      <c r="N152" s="224">
        <f t="shared" si="145"/>
        <v>0</v>
      </c>
      <c r="O152" s="224">
        <f t="shared" si="145"/>
        <v>0</v>
      </c>
      <c r="P152" s="229">
        <f t="shared" si="57"/>
        <v>0</v>
      </c>
      <c r="Q152" s="229">
        <f t="shared" si="58"/>
        <v>0</v>
      </c>
      <c r="R152" s="229">
        <f t="shared" si="59"/>
        <v>0</v>
      </c>
      <c r="S152" s="229">
        <f t="shared" si="60"/>
        <v>0</v>
      </c>
      <c r="T152" s="229">
        <f t="shared" si="61"/>
        <v>0</v>
      </c>
      <c r="U152" s="229">
        <f t="shared" si="62"/>
        <v>0</v>
      </c>
      <c r="V152" s="229">
        <f t="shared" si="63"/>
        <v>0</v>
      </c>
      <c r="W152" s="229">
        <f t="shared" si="64"/>
        <v>0</v>
      </c>
      <c r="X152" s="229">
        <f t="shared" si="65"/>
        <v>0</v>
      </c>
      <c r="Y152" s="229">
        <f t="shared" si="66"/>
        <v>0</v>
      </c>
      <c r="Z152" s="229">
        <f t="shared" si="67"/>
        <v>0</v>
      </c>
      <c r="AA152" s="229">
        <f t="shared" si="68"/>
        <v>0</v>
      </c>
      <c r="AB152" s="229">
        <f t="shared" si="69"/>
        <v>0</v>
      </c>
      <c r="AC152" s="229">
        <f t="shared" si="70"/>
        <v>0</v>
      </c>
      <c r="AD152" s="229">
        <f t="shared" si="71"/>
        <v>0</v>
      </c>
      <c r="AE152" s="229">
        <f t="shared" si="72"/>
        <v>0</v>
      </c>
      <c r="AF152" s="229">
        <f t="shared" si="73"/>
        <v>0</v>
      </c>
      <c r="AG152" s="229">
        <f t="shared" si="74"/>
        <v>0</v>
      </c>
      <c r="AH152" s="229">
        <f t="shared" si="75"/>
        <v>0</v>
      </c>
      <c r="AI152" s="229">
        <f t="shared" si="76"/>
        <v>0</v>
      </c>
      <c r="AJ152" s="229">
        <f t="shared" si="77"/>
        <v>0</v>
      </c>
      <c r="AK152" s="229">
        <f t="shared" si="78"/>
        <v>0</v>
      </c>
      <c r="AL152" s="229">
        <f t="shared" si="79"/>
        <v>0</v>
      </c>
      <c r="AM152" s="229">
        <f t="shared" si="80"/>
        <v>0</v>
      </c>
      <c r="AN152" s="224">
        <f t="shared" ref="AN152:AY152" si="146">IF($T19&gt;0,(((EXP(-(1/(Morning_Peak_Duration__hours*2))*(AN$141-(Morning_Peak_Time__24hr_clock+$C152))^2))+(EXP(-(1/(Afternoon_Peak_Duration__hours*2))*(AN$141-(Afternoon_Peak_Time__24hr_clock+$C152))^2)))*$U19)/TZCalibrationValue,0)</f>
        <v>0</v>
      </c>
      <c r="AO152" s="224">
        <f t="shared" si="146"/>
        <v>0</v>
      </c>
      <c r="AP152" s="224">
        <f t="shared" si="146"/>
        <v>0</v>
      </c>
      <c r="AQ152" s="224">
        <f t="shared" si="146"/>
        <v>0</v>
      </c>
      <c r="AR152" s="224">
        <f t="shared" si="146"/>
        <v>0</v>
      </c>
      <c r="AS152" s="224">
        <f t="shared" si="146"/>
        <v>0</v>
      </c>
      <c r="AT152" s="224">
        <f t="shared" si="146"/>
        <v>0</v>
      </c>
      <c r="AU152" s="224">
        <f t="shared" si="146"/>
        <v>0</v>
      </c>
      <c r="AV152" s="224">
        <f t="shared" si="146"/>
        <v>0</v>
      </c>
      <c r="AW152" s="224">
        <f t="shared" si="146"/>
        <v>0</v>
      </c>
      <c r="AX152" s="224">
        <f t="shared" si="146"/>
        <v>0</v>
      </c>
      <c r="AY152" s="224">
        <f t="shared" si="146"/>
        <v>0</v>
      </c>
      <c r="AZ152" s="218"/>
      <c r="BA152"/>
      <c r="BB152" s="176" t="str">
        <f t="shared" si="82"/>
        <v>Site 11</v>
      </c>
      <c r="BC152" s="224">
        <f t="shared" ref="BC152:BN152" si="147">IF($T19&gt;0,(((EXP(-(1/(Morning_Peak_Duration__hours*2))*(BC$141-(Morning_Peak_Time__24hr_clock+$C152))^2))+(EXP(-(1/(Afternoon_Peak_Duration__hours*2))*(BC$141-(Afternoon_Peak_Time__24hr_clock+$C152))^2)))*$V19)/TZCalibrationValue,0)</f>
        <v>0</v>
      </c>
      <c r="BD152" s="224">
        <f t="shared" si="147"/>
        <v>0</v>
      </c>
      <c r="BE152" s="224">
        <f t="shared" si="147"/>
        <v>0</v>
      </c>
      <c r="BF152" s="224">
        <f t="shared" si="147"/>
        <v>0</v>
      </c>
      <c r="BG152" s="224">
        <f t="shared" si="147"/>
        <v>0</v>
      </c>
      <c r="BH152" s="224">
        <f t="shared" si="147"/>
        <v>0</v>
      </c>
      <c r="BI152" s="224">
        <f t="shared" si="147"/>
        <v>0</v>
      </c>
      <c r="BJ152" s="224">
        <f t="shared" si="147"/>
        <v>0</v>
      </c>
      <c r="BK152" s="224">
        <f t="shared" si="147"/>
        <v>0</v>
      </c>
      <c r="BL152" s="224">
        <f t="shared" si="147"/>
        <v>0</v>
      </c>
      <c r="BM152" s="224">
        <f t="shared" si="147"/>
        <v>0</v>
      </c>
      <c r="BN152" s="224">
        <f t="shared" si="147"/>
        <v>0</v>
      </c>
      <c r="BO152" s="229">
        <f t="shared" si="84"/>
        <v>0</v>
      </c>
      <c r="BP152" s="229">
        <f t="shared" si="85"/>
        <v>0</v>
      </c>
      <c r="BQ152" s="229">
        <f t="shared" si="86"/>
        <v>0</v>
      </c>
      <c r="BR152" s="229">
        <f t="shared" si="87"/>
        <v>0</v>
      </c>
      <c r="BS152" s="229">
        <f t="shared" si="88"/>
        <v>0</v>
      </c>
      <c r="BT152" s="229">
        <f t="shared" si="89"/>
        <v>0</v>
      </c>
      <c r="BU152" s="229">
        <f t="shared" si="90"/>
        <v>0</v>
      </c>
      <c r="BV152" s="229">
        <f t="shared" si="91"/>
        <v>0</v>
      </c>
      <c r="BW152" s="229">
        <f t="shared" si="92"/>
        <v>0</v>
      </c>
      <c r="BX152" s="229">
        <f t="shared" si="93"/>
        <v>0</v>
      </c>
      <c r="BY152" s="229">
        <f t="shared" si="94"/>
        <v>0</v>
      </c>
      <c r="BZ152" s="229">
        <f t="shared" si="95"/>
        <v>0</v>
      </c>
      <c r="CA152" s="229">
        <f t="shared" si="96"/>
        <v>0</v>
      </c>
      <c r="CB152" s="229">
        <f t="shared" si="97"/>
        <v>0</v>
      </c>
      <c r="CC152" s="229">
        <f t="shared" si="98"/>
        <v>0</v>
      </c>
      <c r="CD152" s="229">
        <f t="shared" si="99"/>
        <v>0</v>
      </c>
      <c r="CE152" s="229">
        <f t="shared" si="100"/>
        <v>0</v>
      </c>
      <c r="CF152" s="229">
        <f t="shared" si="101"/>
        <v>0</v>
      </c>
      <c r="CG152" s="229">
        <f t="shared" si="102"/>
        <v>0</v>
      </c>
      <c r="CH152" s="229">
        <f t="shared" si="103"/>
        <v>0</v>
      </c>
      <c r="CI152" s="229">
        <f t="shared" si="104"/>
        <v>0</v>
      </c>
      <c r="CJ152" s="229">
        <f t="shared" si="105"/>
        <v>0</v>
      </c>
      <c r="CK152" s="229">
        <f t="shared" si="106"/>
        <v>0</v>
      </c>
      <c r="CL152" s="229">
        <f t="shared" si="107"/>
        <v>0</v>
      </c>
      <c r="CM152" s="224">
        <f t="shared" ref="CM152:CX152" si="148">IF($T19&gt;0,(((EXP(-(1/(Morning_Peak_Duration__hours*2))*(CM$141-(Morning_Peak_Time__24hr_clock+$C152))^2))+(EXP(-(1/(Afternoon_Peak_Duration__hours*2))*(CM$141-(Afternoon_Peak_Time__24hr_clock+$C152))^2)))*$V19)/TZCalibrationValue,0)</f>
        <v>0</v>
      </c>
      <c r="CN152" s="224">
        <f t="shared" si="148"/>
        <v>0</v>
      </c>
      <c r="CO152" s="224">
        <f t="shared" si="148"/>
        <v>0</v>
      </c>
      <c r="CP152" s="224">
        <f t="shared" si="148"/>
        <v>0</v>
      </c>
      <c r="CQ152" s="224">
        <f t="shared" si="148"/>
        <v>0</v>
      </c>
      <c r="CR152" s="224">
        <f t="shared" si="148"/>
        <v>0</v>
      </c>
      <c r="CS152" s="224">
        <f t="shared" si="148"/>
        <v>0</v>
      </c>
      <c r="CT152" s="224">
        <f t="shared" si="148"/>
        <v>0</v>
      </c>
      <c r="CU152" s="224">
        <f t="shared" si="148"/>
        <v>0</v>
      </c>
      <c r="CV152" s="224">
        <f t="shared" si="148"/>
        <v>0</v>
      </c>
      <c r="CW152" s="224">
        <f t="shared" si="148"/>
        <v>0</v>
      </c>
      <c r="CX152" s="224">
        <f t="shared" si="148"/>
        <v>0</v>
      </c>
      <c r="CY152" s="218"/>
    </row>
    <row r="153" spans="2:103" hidden="1" outlineLevel="1">
      <c r="B153" t="str">
        <f t="shared" si="55"/>
        <v>Site 12</v>
      </c>
      <c r="C153" s="230">
        <f>VLOOKUP(D20,'Scaling Tables'!$B$123:$C$149,2,FALSE)-VLOOKUP($C$4,'Scaling Tables'!$B$123:$C$149,2,FALSE)</f>
        <v>0</v>
      </c>
      <c r="D153" s="224">
        <f t="shared" ref="D153:O153" si="149">IF($T20&gt;0,(((EXP(-(1/(Morning_Peak_Duration__hours*2))*(D$141-(Morning_Peak_Time__24hr_clock+$C153))^2))+(EXP(-(1/(Afternoon_Peak_Duration__hours*2))*(D$141-(Afternoon_Peak_Time__24hr_clock+$C153))^2)))*$U20)/TZCalibrationValue,0)</f>
        <v>0</v>
      </c>
      <c r="E153" s="224">
        <f t="shared" si="149"/>
        <v>0</v>
      </c>
      <c r="F153" s="224">
        <f t="shared" si="149"/>
        <v>0</v>
      </c>
      <c r="G153" s="224">
        <f t="shared" si="149"/>
        <v>0</v>
      </c>
      <c r="H153" s="224">
        <f t="shared" si="149"/>
        <v>0</v>
      </c>
      <c r="I153" s="224">
        <f t="shared" si="149"/>
        <v>0</v>
      </c>
      <c r="J153" s="224">
        <f t="shared" si="149"/>
        <v>0</v>
      </c>
      <c r="K153" s="224">
        <f t="shared" si="149"/>
        <v>0</v>
      </c>
      <c r="L153" s="224">
        <f t="shared" si="149"/>
        <v>0</v>
      </c>
      <c r="M153" s="224">
        <f t="shared" si="149"/>
        <v>0</v>
      </c>
      <c r="N153" s="224">
        <f t="shared" si="149"/>
        <v>0</v>
      </c>
      <c r="O153" s="224">
        <f t="shared" si="149"/>
        <v>0</v>
      </c>
      <c r="P153" s="229">
        <f t="shared" si="57"/>
        <v>0</v>
      </c>
      <c r="Q153" s="229">
        <f t="shared" si="58"/>
        <v>0</v>
      </c>
      <c r="R153" s="229">
        <f t="shared" si="59"/>
        <v>0</v>
      </c>
      <c r="S153" s="229">
        <f t="shared" si="60"/>
        <v>0</v>
      </c>
      <c r="T153" s="229">
        <f t="shared" si="61"/>
        <v>0</v>
      </c>
      <c r="U153" s="229">
        <f t="shared" si="62"/>
        <v>0</v>
      </c>
      <c r="V153" s="229">
        <f t="shared" si="63"/>
        <v>0</v>
      </c>
      <c r="W153" s="229">
        <f t="shared" si="64"/>
        <v>0</v>
      </c>
      <c r="X153" s="229">
        <f t="shared" si="65"/>
        <v>0</v>
      </c>
      <c r="Y153" s="229">
        <f t="shared" si="66"/>
        <v>0</v>
      </c>
      <c r="Z153" s="229">
        <f t="shared" si="67"/>
        <v>0</v>
      </c>
      <c r="AA153" s="229">
        <f t="shared" si="68"/>
        <v>0</v>
      </c>
      <c r="AB153" s="229">
        <f t="shared" si="69"/>
        <v>0</v>
      </c>
      <c r="AC153" s="229">
        <f t="shared" si="70"/>
        <v>0</v>
      </c>
      <c r="AD153" s="229">
        <f t="shared" si="71"/>
        <v>0</v>
      </c>
      <c r="AE153" s="229">
        <f t="shared" si="72"/>
        <v>0</v>
      </c>
      <c r="AF153" s="229">
        <f t="shared" si="73"/>
        <v>0</v>
      </c>
      <c r="AG153" s="229">
        <f t="shared" si="74"/>
        <v>0</v>
      </c>
      <c r="AH153" s="229">
        <f t="shared" si="75"/>
        <v>0</v>
      </c>
      <c r="AI153" s="229">
        <f t="shared" si="76"/>
        <v>0</v>
      </c>
      <c r="AJ153" s="229">
        <f t="shared" si="77"/>
        <v>0</v>
      </c>
      <c r="AK153" s="229">
        <f t="shared" si="78"/>
        <v>0</v>
      </c>
      <c r="AL153" s="229">
        <f t="shared" si="79"/>
        <v>0</v>
      </c>
      <c r="AM153" s="229">
        <f t="shared" si="80"/>
        <v>0</v>
      </c>
      <c r="AN153" s="224">
        <f t="shared" ref="AN153:AY153" si="150">IF($T20&gt;0,(((EXP(-(1/(Morning_Peak_Duration__hours*2))*(AN$141-(Morning_Peak_Time__24hr_clock+$C153))^2))+(EXP(-(1/(Afternoon_Peak_Duration__hours*2))*(AN$141-(Afternoon_Peak_Time__24hr_clock+$C153))^2)))*$U20)/TZCalibrationValue,0)</f>
        <v>0</v>
      </c>
      <c r="AO153" s="224">
        <f t="shared" si="150"/>
        <v>0</v>
      </c>
      <c r="AP153" s="224">
        <f t="shared" si="150"/>
        <v>0</v>
      </c>
      <c r="AQ153" s="224">
        <f t="shared" si="150"/>
        <v>0</v>
      </c>
      <c r="AR153" s="224">
        <f t="shared" si="150"/>
        <v>0</v>
      </c>
      <c r="AS153" s="224">
        <f t="shared" si="150"/>
        <v>0</v>
      </c>
      <c r="AT153" s="224">
        <f t="shared" si="150"/>
        <v>0</v>
      </c>
      <c r="AU153" s="224">
        <f t="shared" si="150"/>
        <v>0</v>
      </c>
      <c r="AV153" s="224">
        <f t="shared" si="150"/>
        <v>0</v>
      </c>
      <c r="AW153" s="224">
        <f t="shared" si="150"/>
        <v>0</v>
      </c>
      <c r="AX153" s="224">
        <f t="shared" si="150"/>
        <v>0</v>
      </c>
      <c r="AY153" s="224">
        <f t="shared" si="150"/>
        <v>0</v>
      </c>
      <c r="AZ153" s="218"/>
      <c r="BA153"/>
      <c r="BB153" s="176" t="str">
        <f t="shared" si="82"/>
        <v>Site 12</v>
      </c>
      <c r="BC153" s="224">
        <f t="shared" ref="BC153:BN153" si="151">IF($T20&gt;0,(((EXP(-(1/(Morning_Peak_Duration__hours*2))*(BC$141-(Morning_Peak_Time__24hr_clock+$C153))^2))+(EXP(-(1/(Afternoon_Peak_Duration__hours*2))*(BC$141-(Afternoon_Peak_Time__24hr_clock+$C153))^2)))*$V20)/TZCalibrationValue,0)</f>
        <v>0</v>
      </c>
      <c r="BD153" s="224">
        <f t="shared" si="151"/>
        <v>0</v>
      </c>
      <c r="BE153" s="224">
        <f t="shared" si="151"/>
        <v>0</v>
      </c>
      <c r="BF153" s="224">
        <f t="shared" si="151"/>
        <v>0</v>
      </c>
      <c r="BG153" s="224">
        <f t="shared" si="151"/>
        <v>0</v>
      </c>
      <c r="BH153" s="224">
        <f t="shared" si="151"/>
        <v>0</v>
      </c>
      <c r="BI153" s="224">
        <f t="shared" si="151"/>
        <v>0</v>
      </c>
      <c r="BJ153" s="224">
        <f t="shared" si="151"/>
        <v>0</v>
      </c>
      <c r="BK153" s="224">
        <f t="shared" si="151"/>
        <v>0</v>
      </c>
      <c r="BL153" s="224">
        <f t="shared" si="151"/>
        <v>0</v>
      </c>
      <c r="BM153" s="224">
        <f t="shared" si="151"/>
        <v>0</v>
      </c>
      <c r="BN153" s="224">
        <f t="shared" si="151"/>
        <v>0</v>
      </c>
      <c r="BO153" s="229">
        <f t="shared" si="84"/>
        <v>0</v>
      </c>
      <c r="BP153" s="229">
        <f t="shared" si="85"/>
        <v>0</v>
      </c>
      <c r="BQ153" s="229">
        <f t="shared" si="86"/>
        <v>0</v>
      </c>
      <c r="BR153" s="229">
        <f t="shared" si="87"/>
        <v>0</v>
      </c>
      <c r="BS153" s="229">
        <f t="shared" si="88"/>
        <v>0</v>
      </c>
      <c r="BT153" s="229">
        <f t="shared" si="89"/>
        <v>0</v>
      </c>
      <c r="BU153" s="229">
        <f t="shared" si="90"/>
        <v>0</v>
      </c>
      <c r="BV153" s="229">
        <f t="shared" si="91"/>
        <v>0</v>
      </c>
      <c r="BW153" s="229">
        <f t="shared" si="92"/>
        <v>0</v>
      </c>
      <c r="BX153" s="229">
        <f t="shared" si="93"/>
        <v>0</v>
      </c>
      <c r="BY153" s="229">
        <f t="shared" si="94"/>
        <v>0</v>
      </c>
      <c r="BZ153" s="229">
        <f t="shared" si="95"/>
        <v>0</v>
      </c>
      <c r="CA153" s="229">
        <f t="shared" si="96"/>
        <v>0</v>
      </c>
      <c r="CB153" s="229">
        <f t="shared" si="97"/>
        <v>0</v>
      </c>
      <c r="CC153" s="229">
        <f t="shared" si="98"/>
        <v>0</v>
      </c>
      <c r="CD153" s="229">
        <f t="shared" si="99"/>
        <v>0</v>
      </c>
      <c r="CE153" s="229">
        <f t="shared" si="100"/>
        <v>0</v>
      </c>
      <c r="CF153" s="229">
        <f t="shared" si="101"/>
        <v>0</v>
      </c>
      <c r="CG153" s="229">
        <f t="shared" si="102"/>
        <v>0</v>
      </c>
      <c r="CH153" s="229">
        <f t="shared" si="103"/>
        <v>0</v>
      </c>
      <c r="CI153" s="229">
        <f t="shared" si="104"/>
        <v>0</v>
      </c>
      <c r="CJ153" s="229">
        <f t="shared" si="105"/>
        <v>0</v>
      </c>
      <c r="CK153" s="229">
        <f t="shared" si="106"/>
        <v>0</v>
      </c>
      <c r="CL153" s="229">
        <f t="shared" si="107"/>
        <v>0</v>
      </c>
      <c r="CM153" s="224">
        <f t="shared" ref="CM153:CX153" si="152">IF($T20&gt;0,(((EXP(-(1/(Morning_Peak_Duration__hours*2))*(CM$141-(Morning_Peak_Time__24hr_clock+$C153))^2))+(EXP(-(1/(Afternoon_Peak_Duration__hours*2))*(CM$141-(Afternoon_Peak_Time__24hr_clock+$C153))^2)))*$V20)/TZCalibrationValue,0)</f>
        <v>0</v>
      </c>
      <c r="CN153" s="224">
        <f t="shared" si="152"/>
        <v>0</v>
      </c>
      <c r="CO153" s="224">
        <f t="shared" si="152"/>
        <v>0</v>
      </c>
      <c r="CP153" s="224">
        <f t="shared" si="152"/>
        <v>0</v>
      </c>
      <c r="CQ153" s="224">
        <f t="shared" si="152"/>
        <v>0</v>
      </c>
      <c r="CR153" s="224">
        <f t="shared" si="152"/>
        <v>0</v>
      </c>
      <c r="CS153" s="224">
        <f t="shared" si="152"/>
        <v>0</v>
      </c>
      <c r="CT153" s="224">
        <f t="shared" si="152"/>
        <v>0</v>
      </c>
      <c r="CU153" s="224">
        <f t="shared" si="152"/>
        <v>0</v>
      </c>
      <c r="CV153" s="224">
        <f t="shared" si="152"/>
        <v>0</v>
      </c>
      <c r="CW153" s="224">
        <f t="shared" si="152"/>
        <v>0</v>
      </c>
      <c r="CX153" s="224">
        <f t="shared" si="152"/>
        <v>0</v>
      </c>
      <c r="CY153" s="218"/>
    </row>
    <row r="154" spans="2:103" hidden="1" outlineLevel="1">
      <c r="B154" t="str">
        <f t="shared" si="55"/>
        <v>Site 13</v>
      </c>
      <c r="C154" s="230">
        <f>VLOOKUP(D21,'Scaling Tables'!$B$123:$C$149,2,FALSE)-VLOOKUP($C$4,'Scaling Tables'!$B$123:$C$149,2,FALSE)</f>
        <v>0</v>
      </c>
      <c r="D154" s="224">
        <f t="shared" ref="D154:O154" si="153">IF($T21&gt;0,(((EXP(-(1/(Morning_Peak_Duration__hours*2))*(D$141-(Morning_Peak_Time__24hr_clock+$C154))^2))+(EXP(-(1/(Afternoon_Peak_Duration__hours*2))*(D$141-(Afternoon_Peak_Time__24hr_clock+$C154))^2)))*$U21)/TZCalibrationValue,0)</f>
        <v>0</v>
      </c>
      <c r="E154" s="224">
        <f t="shared" si="153"/>
        <v>0</v>
      </c>
      <c r="F154" s="224">
        <f t="shared" si="153"/>
        <v>0</v>
      </c>
      <c r="G154" s="224">
        <f t="shared" si="153"/>
        <v>0</v>
      </c>
      <c r="H154" s="224">
        <f t="shared" si="153"/>
        <v>0</v>
      </c>
      <c r="I154" s="224">
        <f t="shared" si="153"/>
        <v>0</v>
      </c>
      <c r="J154" s="224">
        <f t="shared" si="153"/>
        <v>0</v>
      </c>
      <c r="K154" s="224">
        <f t="shared" si="153"/>
        <v>0</v>
      </c>
      <c r="L154" s="224">
        <f t="shared" si="153"/>
        <v>0</v>
      </c>
      <c r="M154" s="224">
        <f t="shared" si="153"/>
        <v>0</v>
      </c>
      <c r="N154" s="224">
        <f t="shared" si="153"/>
        <v>0</v>
      </c>
      <c r="O154" s="224">
        <f t="shared" si="153"/>
        <v>0</v>
      </c>
      <c r="P154" s="229">
        <f t="shared" si="57"/>
        <v>0</v>
      </c>
      <c r="Q154" s="229">
        <f t="shared" si="58"/>
        <v>0</v>
      </c>
      <c r="R154" s="229">
        <f t="shared" si="59"/>
        <v>0</v>
      </c>
      <c r="S154" s="229">
        <f t="shared" si="60"/>
        <v>0</v>
      </c>
      <c r="T154" s="229">
        <f t="shared" si="61"/>
        <v>0</v>
      </c>
      <c r="U154" s="229">
        <f t="shared" si="62"/>
        <v>0</v>
      </c>
      <c r="V154" s="229">
        <f t="shared" si="63"/>
        <v>0</v>
      </c>
      <c r="W154" s="229">
        <f t="shared" si="64"/>
        <v>0</v>
      </c>
      <c r="X154" s="229">
        <f t="shared" si="65"/>
        <v>0</v>
      </c>
      <c r="Y154" s="229">
        <f t="shared" si="66"/>
        <v>0</v>
      </c>
      <c r="Z154" s="229">
        <f t="shared" si="67"/>
        <v>0</v>
      </c>
      <c r="AA154" s="229">
        <f t="shared" si="68"/>
        <v>0</v>
      </c>
      <c r="AB154" s="229">
        <f t="shared" si="69"/>
        <v>0</v>
      </c>
      <c r="AC154" s="229">
        <f t="shared" si="70"/>
        <v>0</v>
      </c>
      <c r="AD154" s="229">
        <f t="shared" si="71"/>
        <v>0</v>
      </c>
      <c r="AE154" s="229">
        <f t="shared" si="72"/>
        <v>0</v>
      </c>
      <c r="AF154" s="229">
        <f t="shared" si="73"/>
        <v>0</v>
      </c>
      <c r="AG154" s="229">
        <f t="shared" si="74"/>
        <v>0</v>
      </c>
      <c r="AH154" s="229">
        <f t="shared" si="75"/>
        <v>0</v>
      </c>
      <c r="AI154" s="229">
        <f t="shared" si="76"/>
        <v>0</v>
      </c>
      <c r="AJ154" s="229">
        <f t="shared" si="77"/>
        <v>0</v>
      </c>
      <c r="AK154" s="229">
        <f t="shared" si="78"/>
        <v>0</v>
      </c>
      <c r="AL154" s="229">
        <f t="shared" si="79"/>
        <v>0</v>
      </c>
      <c r="AM154" s="229">
        <f t="shared" si="80"/>
        <v>0</v>
      </c>
      <c r="AN154" s="224">
        <f t="shared" ref="AN154:AY154" si="154">IF($T21&gt;0,(((EXP(-(1/(Morning_Peak_Duration__hours*2))*(AN$141-(Morning_Peak_Time__24hr_clock+$C154))^2))+(EXP(-(1/(Afternoon_Peak_Duration__hours*2))*(AN$141-(Afternoon_Peak_Time__24hr_clock+$C154))^2)))*$U21)/TZCalibrationValue,0)</f>
        <v>0</v>
      </c>
      <c r="AO154" s="224">
        <f t="shared" si="154"/>
        <v>0</v>
      </c>
      <c r="AP154" s="224">
        <f t="shared" si="154"/>
        <v>0</v>
      </c>
      <c r="AQ154" s="224">
        <f t="shared" si="154"/>
        <v>0</v>
      </c>
      <c r="AR154" s="224">
        <f t="shared" si="154"/>
        <v>0</v>
      </c>
      <c r="AS154" s="224">
        <f t="shared" si="154"/>
        <v>0</v>
      </c>
      <c r="AT154" s="224">
        <f t="shared" si="154"/>
        <v>0</v>
      </c>
      <c r="AU154" s="224">
        <f t="shared" si="154"/>
        <v>0</v>
      </c>
      <c r="AV154" s="224">
        <f t="shared" si="154"/>
        <v>0</v>
      </c>
      <c r="AW154" s="224">
        <f t="shared" si="154"/>
        <v>0</v>
      </c>
      <c r="AX154" s="224">
        <f t="shared" si="154"/>
        <v>0</v>
      </c>
      <c r="AY154" s="224">
        <f t="shared" si="154"/>
        <v>0</v>
      </c>
      <c r="AZ154" s="218"/>
      <c r="BA154"/>
      <c r="BB154" s="176" t="str">
        <f t="shared" si="82"/>
        <v>Site 13</v>
      </c>
      <c r="BC154" s="224">
        <f t="shared" ref="BC154:BN154" si="155">IF($T21&gt;0,(((EXP(-(1/(Morning_Peak_Duration__hours*2))*(BC$141-(Morning_Peak_Time__24hr_clock+$C154))^2))+(EXP(-(1/(Afternoon_Peak_Duration__hours*2))*(BC$141-(Afternoon_Peak_Time__24hr_clock+$C154))^2)))*$V21)/TZCalibrationValue,0)</f>
        <v>0</v>
      </c>
      <c r="BD154" s="224">
        <f t="shared" si="155"/>
        <v>0</v>
      </c>
      <c r="BE154" s="224">
        <f t="shared" si="155"/>
        <v>0</v>
      </c>
      <c r="BF154" s="224">
        <f t="shared" si="155"/>
        <v>0</v>
      </c>
      <c r="BG154" s="224">
        <f t="shared" si="155"/>
        <v>0</v>
      </c>
      <c r="BH154" s="224">
        <f t="shared" si="155"/>
        <v>0</v>
      </c>
      <c r="BI154" s="224">
        <f t="shared" si="155"/>
        <v>0</v>
      </c>
      <c r="BJ154" s="224">
        <f t="shared" si="155"/>
        <v>0</v>
      </c>
      <c r="BK154" s="224">
        <f t="shared" si="155"/>
        <v>0</v>
      </c>
      <c r="BL154" s="224">
        <f t="shared" si="155"/>
        <v>0</v>
      </c>
      <c r="BM154" s="224">
        <f t="shared" si="155"/>
        <v>0</v>
      </c>
      <c r="BN154" s="224">
        <f t="shared" si="155"/>
        <v>0</v>
      </c>
      <c r="BO154" s="229">
        <f t="shared" si="84"/>
        <v>0</v>
      </c>
      <c r="BP154" s="229">
        <f t="shared" si="85"/>
        <v>0</v>
      </c>
      <c r="BQ154" s="229">
        <f t="shared" si="86"/>
        <v>0</v>
      </c>
      <c r="BR154" s="229">
        <f t="shared" si="87"/>
        <v>0</v>
      </c>
      <c r="BS154" s="229">
        <f t="shared" si="88"/>
        <v>0</v>
      </c>
      <c r="BT154" s="229">
        <f t="shared" si="89"/>
        <v>0</v>
      </c>
      <c r="BU154" s="229">
        <f t="shared" si="90"/>
        <v>0</v>
      </c>
      <c r="BV154" s="229">
        <f t="shared" si="91"/>
        <v>0</v>
      </c>
      <c r="BW154" s="229">
        <f t="shared" si="92"/>
        <v>0</v>
      </c>
      <c r="BX154" s="229">
        <f t="shared" si="93"/>
        <v>0</v>
      </c>
      <c r="BY154" s="229">
        <f t="shared" si="94"/>
        <v>0</v>
      </c>
      <c r="BZ154" s="229">
        <f t="shared" si="95"/>
        <v>0</v>
      </c>
      <c r="CA154" s="229">
        <f t="shared" si="96"/>
        <v>0</v>
      </c>
      <c r="CB154" s="229">
        <f t="shared" si="97"/>
        <v>0</v>
      </c>
      <c r="CC154" s="229">
        <f t="shared" si="98"/>
        <v>0</v>
      </c>
      <c r="CD154" s="229">
        <f t="shared" si="99"/>
        <v>0</v>
      </c>
      <c r="CE154" s="229">
        <f t="shared" si="100"/>
        <v>0</v>
      </c>
      <c r="CF154" s="229">
        <f t="shared" si="101"/>
        <v>0</v>
      </c>
      <c r="CG154" s="229">
        <f t="shared" si="102"/>
        <v>0</v>
      </c>
      <c r="CH154" s="229">
        <f t="shared" si="103"/>
        <v>0</v>
      </c>
      <c r="CI154" s="229">
        <f t="shared" si="104"/>
        <v>0</v>
      </c>
      <c r="CJ154" s="229">
        <f t="shared" si="105"/>
        <v>0</v>
      </c>
      <c r="CK154" s="229">
        <f t="shared" si="106"/>
        <v>0</v>
      </c>
      <c r="CL154" s="229">
        <f t="shared" si="107"/>
        <v>0</v>
      </c>
      <c r="CM154" s="224">
        <f t="shared" ref="CM154:CX154" si="156">IF($T21&gt;0,(((EXP(-(1/(Morning_Peak_Duration__hours*2))*(CM$141-(Morning_Peak_Time__24hr_clock+$C154))^2))+(EXP(-(1/(Afternoon_Peak_Duration__hours*2))*(CM$141-(Afternoon_Peak_Time__24hr_clock+$C154))^2)))*$V21)/TZCalibrationValue,0)</f>
        <v>0</v>
      </c>
      <c r="CN154" s="224">
        <f t="shared" si="156"/>
        <v>0</v>
      </c>
      <c r="CO154" s="224">
        <f t="shared" si="156"/>
        <v>0</v>
      </c>
      <c r="CP154" s="224">
        <f t="shared" si="156"/>
        <v>0</v>
      </c>
      <c r="CQ154" s="224">
        <f t="shared" si="156"/>
        <v>0</v>
      </c>
      <c r="CR154" s="224">
        <f t="shared" si="156"/>
        <v>0</v>
      </c>
      <c r="CS154" s="224">
        <f t="shared" si="156"/>
        <v>0</v>
      </c>
      <c r="CT154" s="224">
        <f t="shared" si="156"/>
        <v>0</v>
      </c>
      <c r="CU154" s="224">
        <f t="shared" si="156"/>
        <v>0</v>
      </c>
      <c r="CV154" s="224">
        <f t="shared" si="156"/>
        <v>0</v>
      </c>
      <c r="CW154" s="224">
        <f t="shared" si="156"/>
        <v>0</v>
      </c>
      <c r="CX154" s="224">
        <f t="shared" si="156"/>
        <v>0</v>
      </c>
      <c r="CY154" s="218"/>
    </row>
    <row r="155" spans="2:103" hidden="1" outlineLevel="1">
      <c r="B155" t="str">
        <f t="shared" si="55"/>
        <v>Site 14</v>
      </c>
      <c r="C155" s="230">
        <f>VLOOKUP(D22,'Scaling Tables'!$B$123:$C$149,2,FALSE)-VLOOKUP($C$4,'Scaling Tables'!$B$123:$C$149,2,FALSE)</f>
        <v>0</v>
      </c>
      <c r="D155" s="224">
        <f t="shared" ref="D155:O155" si="157">IF($T22&gt;0,(((EXP(-(1/(Morning_Peak_Duration__hours*2))*(D$141-(Morning_Peak_Time__24hr_clock+$C155))^2))+(EXP(-(1/(Afternoon_Peak_Duration__hours*2))*(D$141-(Afternoon_Peak_Time__24hr_clock+$C155))^2)))*$U22)/TZCalibrationValue,0)</f>
        <v>0</v>
      </c>
      <c r="E155" s="224">
        <f t="shared" si="157"/>
        <v>0</v>
      </c>
      <c r="F155" s="224">
        <f t="shared" si="157"/>
        <v>0</v>
      </c>
      <c r="G155" s="224">
        <f t="shared" si="157"/>
        <v>0</v>
      </c>
      <c r="H155" s="224">
        <f t="shared" si="157"/>
        <v>0</v>
      </c>
      <c r="I155" s="224">
        <f t="shared" si="157"/>
        <v>0</v>
      </c>
      <c r="J155" s="224">
        <f t="shared" si="157"/>
        <v>0</v>
      </c>
      <c r="K155" s="224">
        <f t="shared" si="157"/>
        <v>0</v>
      </c>
      <c r="L155" s="224">
        <f t="shared" si="157"/>
        <v>0</v>
      </c>
      <c r="M155" s="224">
        <f t="shared" si="157"/>
        <v>0</v>
      </c>
      <c r="N155" s="224">
        <f t="shared" si="157"/>
        <v>0</v>
      </c>
      <c r="O155" s="224">
        <f t="shared" si="157"/>
        <v>0</v>
      </c>
      <c r="P155" s="229">
        <f t="shared" si="57"/>
        <v>0</v>
      </c>
      <c r="Q155" s="229">
        <f t="shared" si="58"/>
        <v>0</v>
      </c>
      <c r="R155" s="229">
        <f t="shared" si="59"/>
        <v>0</v>
      </c>
      <c r="S155" s="229">
        <f t="shared" si="60"/>
        <v>0</v>
      </c>
      <c r="T155" s="229">
        <f t="shared" si="61"/>
        <v>0</v>
      </c>
      <c r="U155" s="229">
        <f t="shared" si="62"/>
        <v>0</v>
      </c>
      <c r="V155" s="229">
        <f t="shared" si="63"/>
        <v>0</v>
      </c>
      <c r="W155" s="229">
        <f t="shared" si="64"/>
        <v>0</v>
      </c>
      <c r="X155" s="229">
        <f t="shared" si="65"/>
        <v>0</v>
      </c>
      <c r="Y155" s="229">
        <f t="shared" si="66"/>
        <v>0</v>
      </c>
      <c r="Z155" s="229">
        <f t="shared" si="67"/>
        <v>0</v>
      </c>
      <c r="AA155" s="229">
        <f t="shared" si="68"/>
        <v>0</v>
      </c>
      <c r="AB155" s="229">
        <f t="shared" si="69"/>
        <v>0</v>
      </c>
      <c r="AC155" s="229">
        <f t="shared" si="70"/>
        <v>0</v>
      </c>
      <c r="AD155" s="229">
        <f t="shared" si="71"/>
        <v>0</v>
      </c>
      <c r="AE155" s="229">
        <f t="shared" si="72"/>
        <v>0</v>
      </c>
      <c r="AF155" s="229">
        <f t="shared" si="73"/>
        <v>0</v>
      </c>
      <c r="AG155" s="229">
        <f t="shared" si="74"/>
        <v>0</v>
      </c>
      <c r="AH155" s="229">
        <f t="shared" si="75"/>
        <v>0</v>
      </c>
      <c r="AI155" s="229">
        <f t="shared" si="76"/>
        <v>0</v>
      </c>
      <c r="AJ155" s="229">
        <f t="shared" si="77"/>
        <v>0</v>
      </c>
      <c r="AK155" s="229">
        <f t="shared" si="78"/>
        <v>0</v>
      </c>
      <c r="AL155" s="229">
        <f t="shared" si="79"/>
        <v>0</v>
      </c>
      <c r="AM155" s="229">
        <f t="shared" si="80"/>
        <v>0</v>
      </c>
      <c r="AN155" s="224">
        <f t="shared" ref="AN155:AY155" si="158">IF($T22&gt;0,(((EXP(-(1/(Morning_Peak_Duration__hours*2))*(AN$141-(Morning_Peak_Time__24hr_clock+$C155))^2))+(EXP(-(1/(Afternoon_Peak_Duration__hours*2))*(AN$141-(Afternoon_Peak_Time__24hr_clock+$C155))^2)))*$U22)/TZCalibrationValue,0)</f>
        <v>0</v>
      </c>
      <c r="AO155" s="224">
        <f t="shared" si="158"/>
        <v>0</v>
      </c>
      <c r="AP155" s="224">
        <f t="shared" si="158"/>
        <v>0</v>
      </c>
      <c r="AQ155" s="224">
        <f t="shared" si="158"/>
        <v>0</v>
      </c>
      <c r="AR155" s="224">
        <f t="shared" si="158"/>
        <v>0</v>
      </c>
      <c r="AS155" s="224">
        <f t="shared" si="158"/>
        <v>0</v>
      </c>
      <c r="AT155" s="224">
        <f t="shared" si="158"/>
        <v>0</v>
      </c>
      <c r="AU155" s="224">
        <f t="shared" si="158"/>
        <v>0</v>
      </c>
      <c r="AV155" s="224">
        <f t="shared" si="158"/>
        <v>0</v>
      </c>
      <c r="AW155" s="224">
        <f t="shared" si="158"/>
        <v>0</v>
      </c>
      <c r="AX155" s="224">
        <f t="shared" si="158"/>
        <v>0</v>
      </c>
      <c r="AY155" s="224">
        <f t="shared" si="158"/>
        <v>0</v>
      </c>
      <c r="AZ155" s="218"/>
      <c r="BA155"/>
      <c r="BB155" s="176" t="str">
        <f t="shared" si="82"/>
        <v>Site 14</v>
      </c>
      <c r="BC155" s="224">
        <f t="shared" ref="BC155:BN155" si="159">IF($T22&gt;0,(((EXP(-(1/(Morning_Peak_Duration__hours*2))*(BC$141-(Morning_Peak_Time__24hr_clock+$C155))^2))+(EXP(-(1/(Afternoon_Peak_Duration__hours*2))*(BC$141-(Afternoon_Peak_Time__24hr_clock+$C155))^2)))*$V22)/TZCalibrationValue,0)</f>
        <v>0</v>
      </c>
      <c r="BD155" s="224">
        <f t="shared" si="159"/>
        <v>0</v>
      </c>
      <c r="BE155" s="224">
        <f t="shared" si="159"/>
        <v>0</v>
      </c>
      <c r="BF155" s="224">
        <f t="shared" si="159"/>
        <v>0</v>
      </c>
      <c r="BG155" s="224">
        <f t="shared" si="159"/>
        <v>0</v>
      </c>
      <c r="BH155" s="224">
        <f t="shared" si="159"/>
        <v>0</v>
      </c>
      <c r="BI155" s="224">
        <f t="shared" si="159"/>
        <v>0</v>
      </c>
      <c r="BJ155" s="224">
        <f t="shared" si="159"/>
        <v>0</v>
      </c>
      <c r="BK155" s="224">
        <f t="shared" si="159"/>
        <v>0</v>
      </c>
      <c r="BL155" s="224">
        <f t="shared" si="159"/>
        <v>0</v>
      </c>
      <c r="BM155" s="224">
        <f t="shared" si="159"/>
        <v>0</v>
      </c>
      <c r="BN155" s="224">
        <f t="shared" si="159"/>
        <v>0</v>
      </c>
      <c r="BO155" s="229">
        <f t="shared" si="84"/>
        <v>0</v>
      </c>
      <c r="BP155" s="229">
        <f t="shared" si="85"/>
        <v>0</v>
      </c>
      <c r="BQ155" s="229">
        <f t="shared" si="86"/>
        <v>0</v>
      </c>
      <c r="BR155" s="229">
        <f t="shared" si="87"/>
        <v>0</v>
      </c>
      <c r="BS155" s="229">
        <f t="shared" si="88"/>
        <v>0</v>
      </c>
      <c r="BT155" s="229">
        <f t="shared" si="89"/>
        <v>0</v>
      </c>
      <c r="BU155" s="229">
        <f t="shared" si="90"/>
        <v>0</v>
      </c>
      <c r="BV155" s="229">
        <f t="shared" si="91"/>
        <v>0</v>
      </c>
      <c r="BW155" s="229">
        <f t="shared" si="92"/>
        <v>0</v>
      </c>
      <c r="BX155" s="229">
        <f t="shared" si="93"/>
        <v>0</v>
      </c>
      <c r="BY155" s="229">
        <f t="shared" si="94"/>
        <v>0</v>
      </c>
      <c r="BZ155" s="229">
        <f t="shared" si="95"/>
        <v>0</v>
      </c>
      <c r="CA155" s="229">
        <f t="shared" si="96"/>
        <v>0</v>
      </c>
      <c r="CB155" s="229">
        <f t="shared" si="97"/>
        <v>0</v>
      </c>
      <c r="CC155" s="229">
        <f t="shared" si="98"/>
        <v>0</v>
      </c>
      <c r="CD155" s="229">
        <f t="shared" si="99"/>
        <v>0</v>
      </c>
      <c r="CE155" s="229">
        <f t="shared" si="100"/>
        <v>0</v>
      </c>
      <c r="CF155" s="229">
        <f t="shared" si="101"/>
        <v>0</v>
      </c>
      <c r="CG155" s="229">
        <f t="shared" si="102"/>
        <v>0</v>
      </c>
      <c r="CH155" s="229">
        <f t="shared" si="103"/>
        <v>0</v>
      </c>
      <c r="CI155" s="229">
        <f t="shared" si="104"/>
        <v>0</v>
      </c>
      <c r="CJ155" s="229">
        <f t="shared" si="105"/>
        <v>0</v>
      </c>
      <c r="CK155" s="229">
        <f t="shared" si="106"/>
        <v>0</v>
      </c>
      <c r="CL155" s="229">
        <f t="shared" si="107"/>
        <v>0</v>
      </c>
      <c r="CM155" s="224">
        <f t="shared" ref="CM155:CX155" si="160">IF($T22&gt;0,(((EXP(-(1/(Morning_Peak_Duration__hours*2))*(CM$141-(Morning_Peak_Time__24hr_clock+$C155))^2))+(EXP(-(1/(Afternoon_Peak_Duration__hours*2))*(CM$141-(Afternoon_Peak_Time__24hr_clock+$C155))^2)))*$V22)/TZCalibrationValue,0)</f>
        <v>0</v>
      </c>
      <c r="CN155" s="224">
        <f t="shared" si="160"/>
        <v>0</v>
      </c>
      <c r="CO155" s="224">
        <f t="shared" si="160"/>
        <v>0</v>
      </c>
      <c r="CP155" s="224">
        <f t="shared" si="160"/>
        <v>0</v>
      </c>
      <c r="CQ155" s="224">
        <f t="shared" si="160"/>
        <v>0</v>
      </c>
      <c r="CR155" s="224">
        <f t="shared" si="160"/>
        <v>0</v>
      </c>
      <c r="CS155" s="224">
        <f t="shared" si="160"/>
        <v>0</v>
      </c>
      <c r="CT155" s="224">
        <f t="shared" si="160"/>
        <v>0</v>
      </c>
      <c r="CU155" s="224">
        <f t="shared" si="160"/>
        <v>0</v>
      </c>
      <c r="CV155" s="224">
        <f t="shared" si="160"/>
        <v>0</v>
      </c>
      <c r="CW155" s="224">
        <f t="shared" si="160"/>
        <v>0</v>
      </c>
      <c r="CX155" s="224">
        <f t="shared" si="160"/>
        <v>0</v>
      </c>
      <c r="CY155" s="218"/>
    </row>
    <row r="156" spans="2:103" hidden="1" outlineLevel="1">
      <c r="B156" t="str">
        <f t="shared" si="55"/>
        <v>Site 15</v>
      </c>
      <c r="C156" s="230">
        <f>VLOOKUP(D23,'Scaling Tables'!$B$123:$C$149,2,FALSE)-VLOOKUP($C$4,'Scaling Tables'!$B$123:$C$149,2,FALSE)</f>
        <v>0</v>
      </c>
      <c r="D156" s="224">
        <f t="shared" ref="D156:O156" si="161">IF($T23&gt;0,(((EXP(-(1/(Morning_Peak_Duration__hours*2))*(D$141-(Morning_Peak_Time__24hr_clock+$C156))^2))+(EXP(-(1/(Afternoon_Peak_Duration__hours*2))*(D$141-(Afternoon_Peak_Time__24hr_clock+$C156))^2)))*$U23)/TZCalibrationValue,0)</f>
        <v>0</v>
      </c>
      <c r="E156" s="224">
        <f t="shared" si="161"/>
        <v>0</v>
      </c>
      <c r="F156" s="224">
        <f t="shared" si="161"/>
        <v>0</v>
      </c>
      <c r="G156" s="224">
        <f t="shared" si="161"/>
        <v>0</v>
      </c>
      <c r="H156" s="224">
        <f t="shared" si="161"/>
        <v>0</v>
      </c>
      <c r="I156" s="224">
        <f t="shared" si="161"/>
        <v>0</v>
      </c>
      <c r="J156" s="224">
        <f t="shared" si="161"/>
        <v>0</v>
      </c>
      <c r="K156" s="224">
        <f t="shared" si="161"/>
        <v>0</v>
      </c>
      <c r="L156" s="224">
        <f t="shared" si="161"/>
        <v>0</v>
      </c>
      <c r="M156" s="224">
        <f t="shared" si="161"/>
        <v>0</v>
      </c>
      <c r="N156" s="224">
        <f t="shared" si="161"/>
        <v>0</v>
      </c>
      <c r="O156" s="224">
        <f t="shared" si="161"/>
        <v>0</v>
      </c>
      <c r="P156" s="229">
        <f t="shared" si="57"/>
        <v>0</v>
      </c>
      <c r="Q156" s="229">
        <f t="shared" si="58"/>
        <v>0</v>
      </c>
      <c r="R156" s="229">
        <f t="shared" si="59"/>
        <v>0</v>
      </c>
      <c r="S156" s="229">
        <f t="shared" si="60"/>
        <v>0</v>
      </c>
      <c r="T156" s="229">
        <f t="shared" si="61"/>
        <v>0</v>
      </c>
      <c r="U156" s="229">
        <f t="shared" si="62"/>
        <v>0</v>
      </c>
      <c r="V156" s="229">
        <f t="shared" si="63"/>
        <v>0</v>
      </c>
      <c r="W156" s="229">
        <f t="shared" si="64"/>
        <v>0</v>
      </c>
      <c r="X156" s="229">
        <f t="shared" si="65"/>
        <v>0</v>
      </c>
      <c r="Y156" s="229">
        <f t="shared" si="66"/>
        <v>0</v>
      </c>
      <c r="Z156" s="229">
        <f t="shared" si="67"/>
        <v>0</v>
      </c>
      <c r="AA156" s="229">
        <f t="shared" si="68"/>
        <v>0</v>
      </c>
      <c r="AB156" s="229">
        <f t="shared" si="69"/>
        <v>0</v>
      </c>
      <c r="AC156" s="229">
        <f t="shared" si="70"/>
        <v>0</v>
      </c>
      <c r="AD156" s="229">
        <f t="shared" si="71"/>
        <v>0</v>
      </c>
      <c r="AE156" s="229">
        <f t="shared" si="72"/>
        <v>0</v>
      </c>
      <c r="AF156" s="229">
        <f t="shared" si="73"/>
        <v>0</v>
      </c>
      <c r="AG156" s="229">
        <f t="shared" si="74"/>
        <v>0</v>
      </c>
      <c r="AH156" s="229">
        <f t="shared" si="75"/>
        <v>0</v>
      </c>
      <c r="AI156" s="229">
        <f t="shared" si="76"/>
        <v>0</v>
      </c>
      <c r="AJ156" s="229">
        <f t="shared" si="77"/>
        <v>0</v>
      </c>
      <c r="AK156" s="229">
        <f t="shared" si="78"/>
        <v>0</v>
      </c>
      <c r="AL156" s="229">
        <f t="shared" si="79"/>
        <v>0</v>
      </c>
      <c r="AM156" s="229">
        <f t="shared" si="80"/>
        <v>0</v>
      </c>
      <c r="AN156" s="224">
        <f t="shared" ref="AN156:AY156" si="162">IF($T23&gt;0,(((EXP(-(1/(Morning_Peak_Duration__hours*2))*(AN$141-(Morning_Peak_Time__24hr_clock+$C156))^2))+(EXP(-(1/(Afternoon_Peak_Duration__hours*2))*(AN$141-(Afternoon_Peak_Time__24hr_clock+$C156))^2)))*$U23)/TZCalibrationValue,0)</f>
        <v>0</v>
      </c>
      <c r="AO156" s="224">
        <f t="shared" si="162"/>
        <v>0</v>
      </c>
      <c r="AP156" s="224">
        <f t="shared" si="162"/>
        <v>0</v>
      </c>
      <c r="AQ156" s="224">
        <f t="shared" si="162"/>
        <v>0</v>
      </c>
      <c r="AR156" s="224">
        <f t="shared" si="162"/>
        <v>0</v>
      </c>
      <c r="AS156" s="224">
        <f t="shared" si="162"/>
        <v>0</v>
      </c>
      <c r="AT156" s="224">
        <f t="shared" si="162"/>
        <v>0</v>
      </c>
      <c r="AU156" s="224">
        <f t="shared" si="162"/>
        <v>0</v>
      </c>
      <c r="AV156" s="224">
        <f t="shared" si="162"/>
        <v>0</v>
      </c>
      <c r="AW156" s="224">
        <f t="shared" si="162"/>
        <v>0</v>
      </c>
      <c r="AX156" s="224">
        <f t="shared" si="162"/>
        <v>0</v>
      </c>
      <c r="AY156" s="224">
        <f t="shared" si="162"/>
        <v>0</v>
      </c>
      <c r="AZ156" s="218"/>
      <c r="BA156"/>
      <c r="BB156" s="176" t="str">
        <f t="shared" si="82"/>
        <v>Site 15</v>
      </c>
      <c r="BC156" s="224">
        <f t="shared" ref="BC156:BN156" si="163">IF($T23&gt;0,(((EXP(-(1/(Morning_Peak_Duration__hours*2))*(BC$141-(Morning_Peak_Time__24hr_clock+$C156))^2))+(EXP(-(1/(Afternoon_Peak_Duration__hours*2))*(BC$141-(Afternoon_Peak_Time__24hr_clock+$C156))^2)))*$V23)/TZCalibrationValue,0)</f>
        <v>0</v>
      </c>
      <c r="BD156" s="224">
        <f t="shared" si="163"/>
        <v>0</v>
      </c>
      <c r="BE156" s="224">
        <f t="shared" si="163"/>
        <v>0</v>
      </c>
      <c r="BF156" s="224">
        <f t="shared" si="163"/>
        <v>0</v>
      </c>
      <c r="BG156" s="224">
        <f t="shared" si="163"/>
        <v>0</v>
      </c>
      <c r="BH156" s="224">
        <f t="shared" si="163"/>
        <v>0</v>
      </c>
      <c r="BI156" s="224">
        <f t="shared" si="163"/>
        <v>0</v>
      </c>
      <c r="BJ156" s="224">
        <f t="shared" si="163"/>
        <v>0</v>
      </c>
      <c r="BK156" s="224">
        <f t="shared" si="163"/>
        <v>0</v>
      </c>
      <c r="BL156" s="224">
        <f t="shared" si="163"/>
        <v>0</v>
      </c>
      <c r="BM156" s="224">
        <f t="shared" si="163"/>
        <v>0</v>
      </c>
      <c r="BN156" s="224">
        <f t="shared" si="163"/>
        <v>0</v>
      </c>
      <c r="BO156" s="229">
        <f t="shared" si="84"/>
        <v>0</v>
      </c>
      <c r="BP156" s="229">
        <f t="shared" si="85"/>
        <v>0</v>
      </c>
      <c r="BQ156" s="229">
        <f t="shared" si="86"/>
        <v>0</v>
      </c>
      <c r="BR156" s="229">
        <f t="shared" si="87"/>
        <v>0</v>
      </c>
      <c r="BS156" s="229">
        <f t="shared" si="88"/>
        <v>0</v>
      </c>
      <c r="BT156" s="229">
        <f t="shared" si="89"/>
        <v>0</v>
      </c>
      <c r="BU156" s="229">
        <f t="shared" si="90"/>
        <v>0</v>
      </c>
      <c r="BV156" s="229">
        <f t="shared" si="91"/>
        <v>0</v>
      </c>
      <c r="BW156" s="229">
        <f t="shared" si="92"/>
        <v>0</v>
      </c>
      <c r="BX156" s="229">
        <f t="shared" si="93"/>
        <v>0</v>
      </c>
      <c r="BY156" s="229">
        <f t="shared" si="94"/>
        <v>0</v>
      </c>
      <c r="BZ156" s="229">
        <f t="shared" si="95"/>
        <v>0</v>
      </c>
      <c r="CA156" s="229">
        <f t="shared" si="96"/>
        <v>0</v>
      </c>
      <c r="CB156" s="229">
        <f t="shared" si="97"/>
        <v>0</v>
      </c>
      <c r="CC156" s="229">
        <f t="shared" si="98"/>
        <v>0</v>
      </c>
      <c r="CD156" s="229">
        <f t="shared" si="99"/>
        <v>0</v>
      </c>
      <c r="CE156" s="229">
        <f t="shared" si="100"/>
        <v>0</v>
      </c>
      <c r="CF156" s="229">
        <f t="shared" si="101"/>
        <v>0</v>
      </c>
      <c r="CG156" s="229">
        <f t="shared" si="102"/>
        <v>0</v>
      </c>
      <c r="CH156" s="229">
        <f t="shared" si="103"/>
        <v>0</v>
      </c>
      <c r="CI156" s="229">
        <f t="shared" si="104"/>
        <v>0</v>
      </c>
      <c r="CJ156" s="229">
        <f t="shared" si="105"/>
        <v>0</v>
      </c>
      <c r="CK156" s="229">
        <f t="shared" si="106"/>
        <v>0</v>
      </c>
      <c r="CL156" s="229">
        <f t="shared" si="107"/>
        <v>0</v>
      </c>
      <c r="CM156" s="224">
        <f t="shared" ref="CM156:CX156" si="164">IF($T23&gt;0,(((EXP(-(1/(Morning_Peak_Duration__hours*2))*(CM$141-(Morning_Peak_Time__24hr_clock+$C156))^2))+(EXP(-(1/(Afternoon_Peak_Duration__hours*2))*(CM$141-(Afternoon_Peak_Time__24hr_clock+$C156))^2)))*$V23)/TZCalibrationValue,0)</f>
        <v>0</v>
      </c>
      <c r="CN156" s="224">
        <f t="shared" si="164"/>
        <v>0</v>
      </c>
      <c r="CO156" s="224">
        <f t="shared" si="164"/>
        <v>0</v>
      </c>
      <c r="CP156" s="224">
        <f t="shared" si="164"/>
        <v>0</v>
      </c>
      <c r="CQ156" s="224">
        <f t="shared" si="164"/>
        <v>0</v>
      </c>
      <c r="CR156" s="224">
        <f t="shared" si="164"/>
        <v>0</v>
      </c>
      <c r="CS156" s="224">
        <f t="shared" si="164"/>
        <v>0</v>
      </c>
      <c r="CT156" s="224">
        <f t="shared" si="164"/>
        <v>0</v>
      </c>
      <c r="CU156" s="224">
        <f t="shared" si="164"/>
        <v>0</v>
      </c>
      <c r="CV156" s="224">
        <f t="shared" si="164"/>
        <v>0</v>
      </c>
      <c r="CW156" s="224">
        <f t="shared" si="164"/>
        <v>0</v>
      </c>
      <c r="CX156" s="224">
        <f t="shared" si="164"/>
        <v>0</v>
      </c>
      <c r="CY156" s="218"/>
    </row>
    <row r="157" spans="2:103" hidden="1" outlineLevel="1">
      <c r="B157" t="str">
        <f t="shared" si="55"/>
        <v>Site 16</v>
      </c>
      <c r="C157" s="230">
        <f>VLOOKUP(D24,'Scaling Tables'!$B$123:$C$149,2,FALSE)-VLOOKUP($C$4,'Scaling Tables'!$B$123:$C$149,2,FALSE)</f>
        <v>0</v>
      </c>
      <c r="D157" s="224">
        <f t="shared" ref="D157:O157" si="165">IF($T24&gt;0,(((EXP(-(1/(Morning_Peak_Duration__hours*2))*(D$141-(Morning_Peak_Time__24hr_clock+$C157))^2))+(EXP(-(1/(Afternoon_Peak_Duration__hours*2))*(D$141-(Afternoon_Peak_Time__24hr_clock+$C157))^2)))*$U24)/TZCalibrationValue,0)</f>
        <v>0</v>
      </c>
      <c r="E157" s="224">
        <f t="shared" si="165"/>
        <v>0</v>
      </c>
      <c r="F157" s="224">
        <f t="shared" si="165"/>
        <v>0</v>
      </c>
      <c r="G157" s="224">
        <f t="shared" si="165"/>
        <v>0</v>
      </c>
      <c r="H157" s="224">
        <f t="shared" si="165"/>
        <v>0</v>
      </c>
      <c r="I157" s="224">
        <f t="shared" si="165"/>
        <v>0</v>
      </c>
      <c r="J157" s="224">
        <f t="shared" si="165"/>
        <v>0</v>
      </c>
      <c r="K157" s="224">
        <f t="shared" si="165"/>
        <v>0</v>
      </c>
      <c r="L157" s="224">
        <f t="shared" si="165"/>
        <v>0</v>
      </c>
      <c r="M157" s="224">
        <f t="shared" si="165"/>
        <v>0</v>
      </c>
      <c r="N157" s="224">
        <f t="shared" si="165"/>
        <v>0</v>
      </c>
      <c r="O157" s="224">
        <f t="shared" si="165"/>
        <v>0</v>
      </c>
      <c r="P157" s="229">
        <f t="shared" si="57"/>
        <v>0</v>
      </c>
      <c r="Q157" s="229">
        <f t="shared" si="58"/>
        <v>0</v>
      </c>
      <c r="R157" s="229">
        <f t="shared" si="59"/>
        <v>0</v>
      </c>
      <c r="S157" s="229">
        <f t="shared" si="60"/>
        <v>0</v>
      </c>
      <c r="T157" s="229">
        <f t="shared" si="61"/>
        <v>0</v>
      </c>
      <c r="U157" s="229">
        <f t="shared" si="62"/>
        <v>0</v>
      </c>
      <c r="V157" s="229">
        <f t="shared" si="63"/>
        <v>0</v>
      </c>
      <c r="W157" s="229">
        <f t="shared" si="64"/>
        <v>0</v>
      </c>
      <c r="X157" s="229">
        <f t="shared" si="65"/>
        <v>0</v>
      </c>
      <c r="Y157" s="229">
        <f t="shared" si="66"/>
        <v>0</v>
      </c>
      <c r="Z157" s="229">
        <f t="shared" si="67"/>
        <v>0</v>
      </c>
      <c r="AA157" s="229">
        <f t="shared" si="68"/>
        <v>0</v>
      </c>
      <c r="AB157" s="229">
        <f t="shared" si="69"/>
        <v>0</v>
      </c>
      <c r="AC157" s="229">
        <f t="shared" si="70"/>
        <v>0</v>
      </c>
      <c r="AD157" s="229">
        <f t="shared" si="71"/>
        <v>0</v>
      </c>
      <c r="AE157" s="229">
        <f t="shared" si="72"/>
        <v>0</v>
      </c>
      <c r="AF157" s="229">
        <f t="shared" si="73"/>
        <v>0</v>
      </c>
      <c r="AG157" s="229">
        <f t="shared" si="74"/>
        <v>0</v>
      </c>
      <c r="AH157" s="229">
        <f t="shared" si="75"/>
        <v>0</v>
      </c>
      <c r="AI157" s="229">
        <f t="shared" si="76"/>
        <v>0</v>
      </c>
      <c r="AJ157" s="229">
        <f t="shared" si="77"/>
        <v>0</v>
      </c>
      <c r="AK157" s="229">
        <f t="shared" si="78"/>
        <v>0</v>
      </c>
      <c r="AL157" s="229">
        <f t="shared" si="79"/>
        <v>0</v>
      </c>
      <c r="AM157" s="229">
        <f t="shared" si="80"/>
        <v>0</v>
      </c>
      <c r="AN157" s="224">
        <f t="shared" ref="AN157:AY157" si="166">IF($T24&gt;0,(((EXP(-(1/(Morning_Peak_Duration__hours*2))*(AN$141-(Morning_Peak_Time__24hr_clock+$C157))^2))+(EXP(-(1/(Afternoon_Peak_Duration__hours*2))*(AN$141-(Afternoon_Peak_Time__24hr_clock+$C157))^2)))*$U24)/TZCalibrationValue,0)</f>
        <v>0</v>
      </c>
      <c r="AO157" s="224">
        <f t="shared" si="166"/>
        <v>0</v>
      </c>
      <c r="AP157" s="224">
        <f t="shared" si="166"/>
        <v>0</v>
      </c>
      <c r="AQ157" s="224">
        <f t="shared" si="166"/>
        <v>0</v>
      </c>
      <c r="AR157" s="224">
        <f t="shared" si="166"/>
        <v>0</v>
      </c>
      <c r="AS157" s="224">
        <f t="shared" si="166"/>
        <v>0</v>
      </c>
      <c r="AT157" s="224">
        <f t="shared" si="166"/>
        <v>0</v>
      </c>
      <c r="AU157" s="224">
        <f t="shared" si="166"/>
        <v>0</v>
      </c>
      <c r="AV157" s="224">
        <f t="shared" si="166"/>
        <v>0</v>
      </c>
      <c r="AW157" s="224">
        <f t="shared" si="166"/>
        <v>0</v>
      </c>
      <c r="AX157" s="224">
        <f t="shared" si="166"/>
        <v>0</v>
      </c>
      <c r="AY157" s="224">
        <f t="shared" si="166"/>
        <v>0</v>
      </c>
      <c r="AZ157" s="218"/>
      <c r="BA157"/>
      <c r="BB157" s="176" t="str">
        <f t="shared" si="82"/>
        <v>Site 16</v>
      </c>
      <c r="BC157" s="224">
        <f t="shared" ref="BC157:BN157" si="167">IF($T24&gt;0,(((EXP(-(1/(Morning_Peak_Duration__hours*2))*(BC$141-(Morning_Peak_Time__24hr_clock+$C157))^2))+(EXP(-(1/(Afternoon_Peak_Duration__hours*2))*(BC$141-(Afternoon_Peak_Time__24hr_clock+$C157))^2)))*$V24)/TZCalibrationValue,0)</f>
        <v>0</v>
      </c>
      <c r="BD157" s="224">
        <f t="shared" si="167"/>
        <v>0</v>
      </c>
      <c r="BE157" s="224">
        <f t="shared" si="167"/>
        <v>0</v>
      </c>
      <c r="BF157" s="224">
        <f t="shared" si="167"/>
        <v>0</v>
      </c>
      <c r="BG157" s="224">
        <f t="shared" si="167"/>
        <v>0</v>
      </c>
      <c r="BH157" s="224">
        <f t="shared" si="167"/>
        <v>0</v>
      </c>
      <c r="BI157" s="224">
        <f t="shared" si="167"/>
        <v>0</v>
      </c>
      <c r="BJ157" s="224">
        <f t="shared" si="167"/>
        <v>0</v>
      </c>
      <c r="BK157" s="224">
        <f t="shared" si="167"/>
        <v>0</v>
      </c>
      <c r="BL157" s="224">
        <f t="shared" si="167"/>
        <v>0</v>
      </c>
      <c r="BM157" s="224">
        <f t="shared" si="167"/>
        <v>0</v>
      </c>
      <c r="BN157" s="224">
        <f t="shared" si="167"/>
        <v>0</v>
      </c>
      <c r="BO157" s="229">
        <f t="shared" si="84"/>
        <v>0</v>
      </c>
      <c r="BP157" s="229">
        <f t="shared" si="85"/>
        <v>0</v>
      </c>
      <c r="BQ157" s="229">
        <f t="shared" si="86"/>
        <v>0</v>
      </c>
      <c r="BR157" s="229">
        <f t="shared" si="87"/>
        <v>0</v>
      </c>
      <c r="BS157" s="229">
        <f t="shared" si="88"/>
        <v>0</v>
      </c>
      <c r="BT157" s="229">
        <f t="shared" si="89"/>
        <v>0</v>
      </c>
      <c r="BU157" s="229">
        <f t="shared" si="90"/>
        <v>0</v>
      </c>
      <c r="BV157" s="229">
        <f t="shared" si="91"/>
        <v>0</v>
      </c>
      <c r="BW157" s="229">
        <f t="shared" si="92"/>
        <v>0</v>
      </c>
      <c r="BX157" s="229">
        <f t="shared" si="93"/>
        <v>0</v>
      </c>
      <c r="BY157" s="229">
        <f t="shared" si="94"/>
        <v>0</v>
      </c>
      <c r="BZ157" s="229">
        <f t="shared" si="95"/>
        <v>0</v>
      </c>
      <c r="CA157" s="229">
        <f t="shared" si="96"/>
        <v>0</v>
      </c>
      <c r="CB157" s="229">
        <f t="shared" si="97"/>
        <v>0</v>
      </c>
      <c r="CC157" s="229">
        <f t="shared" si="98"/>
        <v>0</v>
      </c>
      <c r="CD157" s="229">
        <f t="shared" si="99"/>
        <v>0</v>
      </c>
      <c r="CE157" s="229">
        <f t="shared" si="100"/>
        <v>0</v>
      </c>
      <c r="CF157" s="229">
        <f t="shared" si="101"/>
        <v>0</v>
      </c>
      <c r="CG157" s="229">
        <f t="shared" si="102"/>
        <v>0</v>
      </c>
      <c r="CH157" s="229">
        <f t="shared" si="103"/>
        <v>0</v>
      </c>
      <c r="CI157" s="229">
        <f t="shared" si="104"/>
        <v>0</v>
      </c>
      <c r="CJ157" s="229">
        <f t="shared" si="105"/>
        <v>0</v>
      </c>
      <c r="CK157" s="229">
        <f t="shared" si="106"/>
        <v>0</v>
      </c>
      <c r="CL157" s="229">
        <f t="shared" si="107"/>
        <v>0</v>
      </c>
      <c r="CM157" s="224">
        <f t="shared" ref="CM157:CX157" si="168">IF($T24&gt;0,(((EXP(-(1/(Morning_Peak_Duration__hours*2))*(CM$141-(Morning_Peak_Time__24hr_clock+$C157))^2))+(EXP(-(1/(Afternoon_Peak_Duration__hours*2))*(CM$141-(Afternoon_Peak_Time__24hr_clock+$C157))^2)))*$V24)/TZCalibrationValue,0)</f>
        <v>0</v>
      </c>
      <c r="CN157" s="224">
        <f t="shared" si="168"/>
        <v>0</v>
      </c>
      <c r="CO157" s="224">
        <f t="shared" si="168"/>
        <v>0</v>
      </c>
      <c r="CP157" s="224">
        <f t="shared" si="168"/>
        <v>0</v>
      </c>
      <c r="CQ157" s="224">
        <f t="shared" si="168"/>
        <v>0</v>
      </c>
      <c r="CR157" s="224">
        <f t="shared" si="168"/>
        <v>0</v>
      </c>
      <c r="CS157" s="224">
        <f t="shared" si="168"/>
        <v>0</v>
      </c>
      <c r="CT157" s="224">
        <f t="shared" si="168"/>
        <v>0</v>
      </c>
      <c r="CU157" s="224">
        <f t="shared" si="168"/>
        <v>0</v>
      </c>
      <c r="CV157" s="224">
        <f t="shared" si="168"/>
        <v>0</v>
      </c>
      <c r="CW157" s="224">
        <f t="shared" si="168"/>
        <v>0</v>
      </c>
      <c r="CX157" s="224">
        <f t="shared" si="168"/>
        <v>0</v>
      </c>
      <c r="CY157" s="218"/>
    </row>
    <row r="158" spans="2:103" hidden="1" outlineLevel="1">
      <c r="B158" t="str">
        <f t="shared" si="55"/>
        <v>Site 17</v>
      </c>
      <c r="C158" s="230">
        <f>VLOOKUP(D25,'Scaling Tables'!$B$123:$C$149,2,FALSE)-VLOOKUP($C$4,'Scaling Tables'!$B$123:$C$149,2,FALSE)</f>
        <v>0</v>
      </c>
      <c r="D158" s="224">
        <f t="shared" ref="D158:O158" si="169">IF($T25&gt;0,(((EXP(-(1/(Morning_Peak_Duration__hours*2))*(D$141-(Morning_Peak_Time__24hr_clock+$C158))^2))+(EXP(-(1/(Afternoon_Peak_Duration__hours*2))*(D$141-(Afternoon_Peak_Time__24hr_clock+$C158))^2)))*$U25)/TZCalibrationValue,0)</f>
        <v>0</v>
      </c>
      <c r="E158" s="224">
        <f t="shared" si="169"/>
        <v>0</v>
      </c>
      <c r="F158" s="224">
        <f t="shared" si="169"/>
        <v>0</v>
      </c>
      <c r="G158" s="224">
        <f t="shared" si="169"/>
        <v>0</v>
      </c>
      <c r="H158" s="224">
        <f t="shared" si="169"/>
        <v>0</v>
      </c>
      <c r="I158" s="224">
        <f t="shared" si="169"/>
        <v>0</v>
      </c>
      <c r="J158" s="224">
        <f t="shared" si="169"/>
        <v>0</v>
      </c>
      <c r="K158" s="224">
        <f t="shared" si="169"/>
        <v>0</v>
      </c>
      <c r="L158" s="224">
        <f t="shared" si="169"/>
        <v>0</v>
      </c>
      <c r="M158" s="224">
        <f t="shared" si="169"/>
        <v>0</v>
      </c>
      <c r="N158" s="224">
        <f t="shared" si="169"/>
        <v>0</v>
      </c>
      <c r="O158" s="224">
        <f t="shared" si="169"/>
        <v>0</v>
      </c>
      <c r="P158" s="229">
        <f t="shared" si="57"/>
        <v>0</v>
      </c>
      <c r="Q158" s="229">
        <f t="shared" si="58"/>
        <v>0</v>
      </c>
      <c r="R158" s="229">
        <f t="shared" si="59"/>
        <v>0</v>
      </c>
      <c r="S158" s="229">
        <f t="shared" si="60"/>
        <v>0</v>
      </c>
      <c r="T158" s="229">
        <f t="shared" si="61"/>
        <v>0</v>
      </c>
      <c r="U158" s="229">
        <f t="shared" si="62"/>
        <v>0</v>
      </c>
      <c r="V158" s="229">
        <f t="shared" si="63"/>
        <v>0</v>
      </c>
      <c r="W158" s="229">
        <f t="shared" si="64"/>
        <v>0</v>
      </c>
      <c r="X158" s="229">
        <f t="shared" si="65"/>
        <v>0</v>
      </c>
      <c r="Y158" s="229">
        <f t="shared" si="66"/>
        <v>0</v>
      </c>
      <c r="Z158" s="229">
        <f t="shared" si="67"/>
        <v>0</v>
      </c>
      <c r="AA158" s="229">
        <f t="shared" si="68"/>
        <v>0</v>
      </c>
      <c r="AB158" s="229">
        <f t="shared" si="69"/>
        <v>0</v>
      </c>
      <c r="AC158" s="229">
        <f t="shared" si="70"/>
        <v>0</v>
      </c>
      <c r="AD158" s="229">
        <f t="shared" si="71"/>
        <v>0</v>
      </c>
      <c r="AE158" s="229">
        <f t="shared" si="72"/>
        <v>0</v>
      </c>
      <c r="AF158" s="229">
        <f t="shared" si="73"/>
        <v>0</v>
      </c>
      <c r="AG158" s="229">
        <f t="shared" si="74"/>
        <v>0</v>
      </c>
      <c r="AH158" s="229">
        <f t="shared" si="75"/>
        <v>0</v>
      </c>
      <c r="AI158" s="229">
        <f t="shared" si="76"/>
        <v>0</v>
      </c>
      <c r="AJ158" s="229">
        <f t="shared" si="77"/>
        <v>0</v>
      </c>
      <c r="AK158" s="229">
        <f t="shared" si="78"/>
        <v>0</v>
      </c>
      <c r="AL158" s="229">
        <f t="shared" si="79"/>
        <v>0</v>
      </c>
      <c r="AM158" s="229">
        <f t="shared" si="80"/>
        <v>0</v>
      </c>
      <c r="AN158" s="224">
        <f t="shared" ref="AN158:AY158" si="170">IF($T25&gt;0,(((EXP(-(1/(Morning_Peak_Duration__hours*2))*(AN$141-(Morning_Peak_Time__24hr_clock+$C158))^2))+(EXP(-(1/(Afternoon_Peak_Duration__hours*2))*(AN$141-(Afternoon_Peak_Time__24hr_clock+$C158))^2)))*$U25)/TZCalibrationValue,0)</f>
        <v>0</v>
      </c>
      <c r="AO158" s="224">
        <f t="shared" si="170"/>
        <v>0</v>
      </c>
      <c r="AP158" s="224">
        <f t="shared" si="170"/>
        <v>0</v>
      </c>
      <c r="AQ158" s="224">
        <f t="shared" si="170"/>
        <v>0</v>
      </c>
      <c r="AR158" s="224">
        <f t="shared" si="170"/>
        <v>0</v>
      </c>
      <c r="AS158" s="224">
        <f t="shared" si="170"/>
        <v>0</v>
      </c>
      <c r="AT158" s="224">
        <f t="shared" si="170"/>
        <v>0</v>
      </c>
      <c r="AU158" s="224">
        <f t="shared" si="170"/>
        <v>0</v>
      </c>
      <c r="AV158" s="224">
        <f t="shared" si="170"/>
        <v>0</v>
      </c>
      <c r="AW158" s="224">
        <f t="shared" si="170"/>
        <v>0</v>
      </c>
      <c r="AX158" s="224">
        <f t="shared" si="170"/>
        <v>0</v>
      </c>
      <c r="AY158" s="224">
        <f t="shared" si="170"/>
        <v>0</v>
      </c>
      <c r="AZ158" s="218"/>
      <c r="BA158"/>
      <c r="BB158" s="176" t="str">
        <f t="shared" si="82"/>
        <v>Site 17</v>
      </c>
      <c r="BC158" s="224">
        <f t="shared" ref="BC158:BN158" si="171">IF($T25&gt;0,(((EXP(-(1/(Morning_Peak_Duration__hours*2))*(BC$141-(Morning_Peak_Time__24hr_clock+$C158))^2))+(EXP(-(1/(Afternoon_Peak_Duration__hours*2))*(BC$141-(Afternoon_Peak_Time__24hr_clock+$C158))^2)))*$V25)/TZCalibrationValue,0)</f>
        <v>0</v>
      </c>
      <c r="BD158" s="224">
        <f t="shared" si="171"/>
        <v>0</v>
      </c>
      <c r="BE158" s="224">
        <f t="shared" si="171"/>
        <v>0</v>
      </c>
      <c r="BF158" s="224">
        <f t="shared" si="171"/>
        <v>0</v>
      </c>
      <c r="BG158" s="224">
        <f t="shared" si="171"/>
        <v>0</v>
      </c>
      <c r="BH158" s="224">
        <f t="shared" si="171"/>
        <v>0</v>
      </c>
      <c r="BI158" s="224">
        <f t="shared" si="171"/>
        <v>0</v>
      </c>
      <c r="BJ158" s="224">
        <f t="shared" si="171"/>
        <v>0</v>
      </c>
      <c r="BK158" s="224">
        <f t="shared" si="171"/>
        <v>0</v>
      </c>
      <c r="BL158" s="224">
        <f t="shared" si="171"/>
        <v>0</v>
      </c>
      <c r="BM158" s="224">
        <f t="shared" si="171"/>
        <v>0</v>
      </c>
      <c r="BN158" s="224">
        <f t="shared" si="171"/>
        <v>0</v>
      </c>
      <c r="BO158" s="229">
        <f t="shared" si="84"/>
        <v>0</v>
      </c>
      <c r="BP158" s="229">
        <f t="shared" si="85"/>
        <v>0</v>
      </c>
      <c r="BQ158" s="229">
        <f t="shared" si="86"/>
        <v>0</v>
      </c>
      <c r="BR158" s="229">
        <f t="shared" si="87"/>
        <v>0</v>
      </c>
      <c r="BS158" s="229">
        <f t="shared" si="88"/>
        <v>0</v>
      </c>
      <c r="BT158" s="229">
        <f t="shared" si="89"/>
        <v>0</v>
      </c>
      <c r="BU158" s="229">
        <f t="shared" si="90"/>
        <v>0</v>
      </c>
      <c r="BV158" s="229">
        <f t="shared" si="91"/>
        <v>0</v>
      </c>
      <c r="BW158" s="229">
        <f t="shared" si="92"/>
        <v>0</v>
      </c>
      <c r="BX158" s="229">
        <f t="shared" si="93"/>
        <v>0</v>
      </c>
      <c r="BY158" s="229">
        <f t="shared" si="94"/>
        <v>0</v>
      </c>
      <c r="BZ158" s="229">
        <f t="shared" si="95"/>
        <v>0</v>
      </c>
      <c r="CA158" s="229">
        <f t="shared" si="96"/>
        <v>0</v>
      </c>
      <c r="CB158" s="229">
        <f t="shared" si="97"/>
        <v>0</v>
      </c>
      <c r="CC158" s="229">
        <f t="shared" si="98"/>
        <v>0</v>
      </c>
      <c r="CD158" s="229">
        <f t="shared" si="99"/>
        <v>0</v>
      </c>
      <c r="CE158" s="229">
        <f t="shared" si="100"/>
        <v>0</v>
      </c>
      <c r="CF158" s="229">
        <f t="shared" si="101"/>
        <v>0</v>
      </c>
      <c r="CG158" s="229">
        <f t="shared" si="102"/>
        <v>0</v>
      </c>
      <c r="CH158" s="229">
        <f t="shared" si="103"/>
        <v>0</v>
      </c>
      <c r="CI158" s="229">
        <f t="shared" si="104"/>
        <v>0</v>
      </c>
      <c r="CJ158" s="229">
        <f t="shared" si="105"/>
        <v>0</v>
      </c>
      <c r="CK158" s="229">
        <f t="shared" si="106"/>
        <v>0</v>
      </c>
      <c r="CL158" s="229">
        <f t="shared" si="107"/>
        <v>0</v>
      </c>
      <c r="CM158" s="224">
        <f t="shared" ref="CM158:CX158" si="172">IF($T25&gt;0,(((EXP(-(1/(Morning_Peak_Duration__hours*2))*(CM$141-(Morning_Peak_Time__24hr_clock+$C158))^2))+(EXP(-(1/(Afternoon_Peak_Duration__hours*2))*(CM$141-(Afternoon_Peak_Time__24hr_clock+$C158))^2)))*$V25)/TZCalibrationValue,0)</f>
        <v>0</v>
      </c>
      <c r="CN158" s="224">
        <f t="shared" si="172"/>
        <v>0</v>
      </c>
      <c r="CO158" s="224">
        <f t="shared" si="172"/>
        <v>0</v>
      </c>
      <c r="CP158" s="224">
        <f t="shared" si="172"/>
        <v>0</v>
      </c>
      <c r="CQ158" s="224">
        <f t="shared" si="172"/>
        <v>0</v>
      </c>
      <c r="CR158" s="224">
        <f t="shared" si="172"/>
        <v>0</v>
      </c>
      <c r="CS158" s="224">
        <f t="shared" si="172"/>
        <v>0</v>
      </c>
      <c r="CT158" s="224">
        <f t="shared" si="172"/>
        <v>0</v>
      </c>
      <c r="CU158" s="224">
        <f t="shared" si="172"/>
        <v>0</v>
      </c>
      <c r="CV158" s="224">
        <f t="shared" si="172"/>
        <v>0</v>
      </c>
      <c r="CW158" s="224">
        <f t="shared" si="172"/>
        <v>0</v>
      </c>
      <c r="CX158" s="224">
        <f t="shared" si="172"/>
        <v>0</v>
      </c>
      <c r="CY158" s="218"/>
    </row>
    <row r="159" spans="2:103" hidden="1" outlineLevel="1">
      <c r="B159" t="str">
        <f t="shared" si="55"/>
        <v>Site 18</v>
      </c>
      <c r="C159" s="230">
        <f>VLOOKUP(D26,'Scaling Tables'!$B$123:$C$149,2,FALSE)-VLOOKUP($C$4,'Scaling Tables'!$B$123:$C$149,2,FALSE)</f>
        <v>0</v>
      </c>
      <c r="D159" s="224">
        <f t="shared" ref="D159:O159" si="173">IF($T26&gt;0,(((EXP(-(1/(Morning_Peak_Duration__hours*2))*(D$141-(Morning_Peak_Time__24hr_clock+$C159))^2))+(EXP(-(1/(Afternoon_Peak_Duration__hours*2))*(D$141-(Afternoon_Peak_Time__24hr_clock+$C159))^2)))*$U26)/TZCalibrationValue,0)</f>
        <v>0</v>
      </c>
      <c r="E159" s="224">
        <f t="shared" si="173"/>
        <v>0</v>
      </c>
      <c r="F159" s="224">
        <f t="shared" si="173"/>
        <v>0</v>
      </c>
      <c r="G159" s="224">
        <f t="shared" si="173"/>
        <v>0</v>
      </c>
      <c r="H159" s="224">
        <f t="shared" si="173"/>
        <v>0</v>
      </c>
      <c r="I159" s="224">
        <f t="shared" si="173"/>
        <v>0</v>
      </c>
      <c r="J159" s="224">
        <f t="shared" si="173"/>
        <v>0</v>
      </c>
      <c r="K159" s="224">
        <f t="shared" si="173"/>
        <v>0</v>
      </c>
      <c r="L159" s="224">
        <f t="shared" si="173"/>
        <v>0</v>
      </c>
      <c r="M159" s="224">
        <f t="shared" si="173"/>
        <v>0</v>
      </c>
      <c r="N159" s="224">
        <f t="shared" si="173"/>
        <v>0</v>
      </c>
      <c r="O159" s="224">
        <f t="shared" si="173"/>
        <v>0</v>
      </c>
      <c r="P159" s="229">
        <f t="shared" si="57"/>
        <v>0</v>
      </c>
      <c r="Q159" s="229">
        <f t="shared" si="58"/>
        <v>0</v>
      </c>
      <c r="R159" s="229">
        <f t="shared" si="59"/>
        <v>0</v>
      </c>
      <c r="S159" s="229">
        <f t="shared" si="60"/>
        <v>0</v>
      </c>
      <c r="T159" s="229">
        <f t="shared" si="61"/>
        <v>0</v>
      </c>
      <c r="U159" s="229">
        <f t="shared" si="62"/>
        <v>0</v>
      </c>
      <c r="V159" s="229">
        <f t="shared" si="63"/>
        <v>0</v>
      </c>
      <c r="W159" s="229">
        <f t="shared" si="64"/>
        <v>0</v>
      </c>
      <c r="X159" s="229">
        <f t="shared" si="65"/>
        <v>0</v>
      </c>
      <c r="Y159" s="229">
        <f t="shared" si="66"/>
        <v>0</v>
      </c>
      <c r="Z159" s="229">
        <f t="shared" si="67"/>
        <v>0</v>
      </c>
      <c r="AA159" s="229">
        <f t="shared" si="68"/>
        <v>0</v>
      </c>
      <c r="AB159" s="229">
        <f t="shared" si="69"/>
        <v>0</v>
      </c>
      <c r="AC159" s="229">
        <f t="shared" si="70"/>
        <v>0</v>
      </c>
      <c r="AD159" s="229">
        <f t="shared" si="71"/>
        <v>0</v>
      </c>
      <c r="AE159" s="229">
        <f t="shared" si="72"/>
        <v>0</v>
      </c>
      <c r="AF159" s="229">
        <f t="shared" si="73"/>
        <v>0</v>
      </c>
      <c r="AG159" s="229">
        <f t="shared" si="74"/>
        <v>0</v>
      </c>
      <c r="AH159" s="229">
        <f t="shared" si="75"/>
        <v>0</v>
      </c>
      <c r="AI159" s="229">
        <f t="shared" si="76"/>
        <v>0</v>
      </c>
      <c r="AJ159" s="229">
        <f t="shared" si="77"/>
        <v>0</v>
      </c>
      <c r="AK159" s="229">
        <f t="shared" si="78"/>
        <v>0</v>
      </c>
      <c r="AL159" s="229">
        <f t="shared" si="79"/>
        <v>0</v>
      </c>
      <c r="AM159" s="229">
        <f t="shared" si="80"/>
        <v>0</v>
      </c>
      <c r="AN159" s="224">
        <f t="shared" ref="AN159:AY159" si="174">IF($T26&gt;0,(((EXP(-(1/(Morning_Peak_Duration__hours*2))*(AN$141-(Morning_Peak_Time__24hr_clock+$C159))^2))+(EXP(-(1/(Afternoon_Peak_Duration__hours*2))*(AN$141-(Afternoon_Peak_Time__24hr_clock+$C159))^2)))*$U26)/TZCalibrationValue,0)</f>
        <v>0</v>
      </c>
      <c r="AO159" s="224">
        <f t="shared" si="174"/>
        <v>0</v>
      </c>
      <c r="AP159" s="224">
        <f t="shared" si="174"/>
        <v>0</v>
      </c>
      <c r="AQ159" s="224">
        <f t="shared" si="174"/>
        <v>0</v>
      </c>
      <c r="AR159" s="224">
        <f t="shared" si="174"/>
        <v>0</v>
      </c>
      <c r="AS159" s="224">
        <f t="shared" si="174"/>
        <v>0</v>
      </c>
      <c r="AT159" s="224">
        <f t="shared" si="174"/>
        <v>0</v>
      </c>
      <c r="AU159" s="224">
        <f t="shared" si="174"/>
        <v>0</v>
      </c>
      <c r="AV159" s="224">
        <f t="shared" si="174"/>
        <v>0</v>
      </c>
      <c r="AW159" s="224">
        <f t="shared" si="174"/>
        <v>0</v>
      </c>
      <c r="AX159" s="224">
        <f t="shared" si="174"/>
        <v>0</v>
      </c>
      <c r="AY159" s="224">
        <f t="shared" si="174"/>
        <v>0</v>
      </c>
      <c r="AZ159" s="218"/>
      <c r="BA159"/>
      <c r="BB159" s="176" t="str">
        <f t="shared" si="82"/>
        <v>Site 18</v>
      </c>
      <c r="BC159" s="224">
        <f t="shared" ref="BC159:BN159" si="175">IF($T26&gt;0,(((EXP(-(1/(Morning_Peak_Duration__hours*2))*(BC$141-(Morning_Peak_Time__24hr_clock+$C159))^2))+(EXP(-(1/(Afternoon_Peak_Duration__hours*2))*(BC$141-(Afternoon_Peak_Time__24hr_clock+$C159))^2)))*$V26)/TZCalibrationValue,0)</f>
        <v>0</v>
      </c>
      <c r="BD159" s="224">
        <f t="shared" si="175"/>
        <v>0</v>
      </c>
      <c r="BE159" s="224">
        <f t="shared" si="175"/>
        <v>0</v>
      </c>
      <c r="BF159" s="224">
        <f t="shared" si="175"/>
        <v>0</v>
      </c>
      <c r="BG159" s="224">
        <f t="shared" si="175"/>
        <v>0</v>
      </c>
      <c r="BH159" s="224">
        <f t="shared" si="175"/>
        <v>0</v>
      </c>
      <c r="BI159" s="224">
        <f t="shared" si="175"/>
        <v>0</v>
      </c>
      <c r="BJ159" s="224">
        <f t="shared" si="175"/>
        <v>0</v>
      </c>
      <c r="BK159" s="224">
        <f t="shared" si="175"/>
        <v>0</v>
      </c>
      <c r="BL159" s="224">
        <f t="shared" si="175"/>
        <v>0</v>
      </c>
      <c r="BM159" s="224">
        <f t="shared" si="175"/>
        <v>0</v>
      </c>
      <c r="BN159" s="224">
        <f t="shared" si="175"/>
        <v>0</v>
      </c>
      <c r="BO159" s="229">
        <f t="shared" si="84"/>
        <v>0</v>
      </c>
      <c r="BP159" s="229">
        <f t="shared" si="85"/>
        <v>0</v>
      </c>
      <c r="BQ159" s="229">
        <f t="shared" si="86"/>
        <v>0</v>
      </c>
      <c r="BR159" s="229">
        <f t="shared" si="87"/>
        <v>0</v>
      </c>
      <c r="BS159" s="229">
        <f t="shared" si="88"/>
        <v>0</v>
      </c>
      <c r="BT159" s="229">
        <f t="shared" si="89"/>
        <v>0</v>
      </c>
      <c r="BU159" s="229">
        <f t="shared" si="90"/>
        <v>0</v>
      </c>
      <c r="BV159" s="229">
        <f t="shared" si="91"/>
        <v>0</v>
      </c>
      <c r="BW159" s="229">
        <f t="shared" si="92"/>
        <v>0</v>
      </c>
      <c r="BX159" s="229">
        <f t="shared" si="93"/>
        <v>0</v>
      </c>
      <c r="BY159" s="229">
        <f t="shared" si="94"/>
        <v>0</v>
      </c>
      <c r="BZ159" s="229">
        <f t="shared" si="95"/>
        <v>0</v>
      </c>
      <c r="CA159" s="229">
        <f t="shared" si="96"/>
        <v>0</v>
      </c>
      <c r="CB159" s="229">
        <f t="shared" si="97"/>
        <v>0</v>
      </c>
      <c r="CC159" s="229">
        <f t="shared" si="98"/>
        <v>0</v>
      </c>
      <c r="CD159" s="229">
        <f t="shared" si="99"/>
        <v>0</v>
      </c>
      <c r="CE159" s="229">
        <f t="shared" si="100"/>
        <v>0</v>
      </c>
      <c r="CF159" s="229">
        <f t="shared" si="101"/>
        <v>0</v>
      </c>
      <c r="CG159" s="229">
        <f t="shared" si="102"/>
        <v>0</v>
      </c>
      <c r="CH159" s="229">
        <f t="shared" si="103"/>
        <v>0</v>
      </c>
      <c r="CI159" s="229">
        <f t="shared" si="104"/>
        <v>0</v>
      </c>
      <c r="CJ159" s="229">
        <f t="shared" si="105"/>
        <v>0</v>
      </c>
      <c r="CK159" s="229">
        <f t="shared" si="106"/>
        <v>0</v>
      </c>
      <c r="CL159" s="229">
        <f t="shared" si="107"/>
        <v>0</v>
      </c>
      <c r="CM159" s="224">
        <f t="shared" ref="CM159:CX159" si="176">IF($T26&gt;0,(((EXP(-(1/(Morning_Peak_Duration__hours*2))*(CM$141-(Morning_Peak_Time__24hr_clock+$C159))^2))+(EXP(-(1/(Afternoon_Peak_Duration__hours*2))*(CM$141-(Afternoon_Peak_Time__24hr_clock+$C159))^2)))*$V26)/TZCalibrationValue,0)</f>
        <v>0</v>
      </c>
      <c r="CN159" s="224">
        <f t="shared" si="176"/>
        <v>0</v>
      </c>
      <c r="CO159" s="224">
        <f t="shared" si="176"/>
        <v>0</v>
      </c>
      <c r="CP159" s="224">
        <f t="shared" si="176"/>
        <v>0</v>
      </c>
      <c r="CQ159" s="224">
        <f t="shared" si="176"/>
        <v>0</v>
      </c>
      <c r="CR159" s="224">
        <f t="shared" si="176"/>
        <v>0</v>
      </c>
      <c r="CS159" s="224">
        <f t="shared" si="176"/>
        <v>0</v>
      </c>
      <c r="CT159" s="224">
        <f t="shared" si="176"/>
        <v>0</v>
      </c>
      <c r="CU159" s="224">
        <f t="shared" si="176"/>
        <v>0</v>
      </c>
      <c r="CV159" s="224">
        <f t="shared" si="176"/>
        <v>0</v>
      </c>
      <c r="CW159" s="224">
        <f t="shared" si="176"/>
        <v>0</v>
      </c>
      <c r="CX159" s="224">
        <f t="shared" si="176"/>
        <v>0</v>
      </c>
      <c r="CY159" s="218"/>
    </row>
    <row r="160" spans="2:103" hidden="1" outlineLevel="1">
      <c r="B160" t="str">
        <f t="shared" si="55"/>
        <v>Site 19</v>
      </c>
      <c r="C160" s="230">
        <f>VLOOKUP(D27,'Scaling Tables'!$B$123:$C$149,2,FALSE)-VLOOKUP($C$4,'Scaling Tables'!$B$123:$C$149,2,FALSE)</f>
        <v>0</v>
      </c>
      <c r="D160" s="224">
        <f t="shared" ref="D160:O160" si="177">IF($T27&gt;0,(((EXP(-(1/(Morning_Peak_Duration__hours*2))*(D$141-(Morning_Peak_Time__24hr_clock+$C160))^2))+(EXP(-(1/(Afternoon_Peak_Duration__hours*2))*(D$141-(Afternoon_Peak_Time__24hr_clock+$C160))^2)))*$U27)/TZCalibrationValue,0)</f>
        <v>0</v>
      </c>
      <c r="E160" s="224">
        <f t="shared" si="177"/>
        <v>0</v>
      </c>
      <c r="F160" s="224">
        <f t="shared" si="177"/>
        <v>0</v>
      </c>
      <c r="G160" s="224">
        <f t="shared" si="177"/>
        <v>0</v>
      </c>
      <c r="H160" s="224">
        <f t="shared" si="177"/>
        <v>0</v>
      </c>
      <c r="I160" s="224">
        <f t="shared" si="177"/>
        <v>0</v>
      </c>
      <c r="J160" s="224">
        <f t="shared" si="177"/>
        <v>0</v>
      </c>
      <c r="K160" s="224">
        <f t="shared" si="177"/>
        <v>0</v>
      </c>
      <c r="L160" s="224">
        <f t="shared" si="177"/>
        <v>0</v>
      </c>
      <c r="M160" s="224">
        <f t="shared" si="177"/>
        <v>0</v>
      </c>
      <c r="N160" s="224">
        <f t="shared" si="177"/>
        <v>0</v>
      </c>
      <c r="O160" s="224">
        <f t="shared" si="177"/>
        <v>0</v>
      </c>
      <c r="P160" s="229">
        <f t="shared" si="57"/>
        <v>0</v>
      </c>
      <c r="Q160" s="229">
        <f t="shared" si="58"/>
        <v>0</v>
      </c>
      <c r="R160" s="229">
        <f t="shared" si="59"/>
        <v>0</v>
      </c>
      <c r="S160" s="229">
        <f t="shared" si="60"/>
        <v>0</v>
      </c>
      <c r="T160" s="229">
        <f t="shared" si="61"/>
        <v>0</v>
      </c>
      <c r="U160" s="229">
        <f t="shared" si="62"/>
        <v>0</v>
      </c>
      <c r="V160" s="229">
        <f t="shared" si="63"/>
        <v>0</v>
      </c>
      <c r="W160" s="229">
        <f t="shared" si="64"/>
        <v>0</v>
      </c>
      <c r="X160" s="229">
        <f t="shared" si="65"/>
        <v>0</v>
      </c>
      <c r="Y160" s="229">
        <f t="shared" si="66"/>
        <v>0</v>
      </c>
      <c r="Z160" s="229">
        <f t="shared" si="67"/>
        <v>0</v>
      </c>
      <c r="AA160" s="229">
        <f t="shared" si="68"/>
        <v>0</v>
      </c>
      <c r="AB160" s="229">
        <f t="shared" si="69"/>
        <v>0</v>
      </c>
      <c r="AC160" s="229">
        <f t="shared" si="70"/>
        <v>0</v>
      </c>
      <c r="AD160" s="229">
        <f t="shared" si="71"/>
        <v>0</v>
      </c>
      <c r="AE160" s="229">
        <f t="shared" si="72"/>
        <v>0</v>
      </c>
      <c r="AF160" s="229">
        <f t="shared" si="73"/>
        <v>0</v>
      </c>
      <c r="AG160" s="229">
        <f t="shared" si="74"/>
        <v>0</v>
      </c>
      <c r="AH160" s="229">
        <f t="shared" si="75"/>
        <v>0</v>
      </c>
      <c r="AI160" s="229">
        <f t="shared" si="76"/>
        <v>0</v>
      </c>
      <c r="AJ160" s="229">
        <f t="shared" si="77"/>
        <v>0</v>
      </c>
      <c r="AK160" s="229">
        <f t="shared" si="78"/>
        <v>0</v>
      </c>
      <c r="AL160" s="229">
        <f t="shared" si="79"/>
        <v>0</v>
      </c>
      <c r="AM160" s="229">
        <f t="shared" si="80"/>
        <v>0</v>
      </c>
      <c r="AN160" s="224">
        <f t="shared" ref="AN160:AY160" si="178">IF($T27&gt;0,(((EXP(-(1/(Morning_Peak_Duration__hours*2))*(AN$141-(Morning_Peak_Time__24hr_clock+$C160))^2))+(EXP(-(1/(Afternoon_Peak_Duration__hours*2))*(AN$141-(Afternoon_Peak_Time__24hr_clock+$C160))^2)))*$U27)/TZCalibrationValue,0)</f>
        <v>0</v>
      </c>
      <c r="AO160" s="224">
        <f t="shared" si="178"/>
        <v>0</v>
      </c>
      <c r="AP160" s="224">
        <f t="shared" si="178"/>
        <v>0</v>
      </c>
      <c r="AQ160" s="224">
        <f t="shared" si="178"/>
        <v>0</v>
      </c>
      <c r="AR160" s="224">
        <f t="shared" si="178"/>
        <v>0</v>
      </c>
      <c r="AS160" s="224">
        <f t="shared" si="178"/>
        <v>0</v>
      </c>
      <c r="AT160" s="224">
        <f t="shared" si="178"/>
        <v>0</v>
      </c>
      <c r="AU160" s="224">
        <f t="shared" si="178"/>
        <v>0</v>
      </c>
      <c r="AV160" s="224">
        <f t="shared" si="178"/>
        <v>0</v>
      </c>
      <c r="AW160" s="224">
        <f t="shared" si="178"/>
        <v>0</v>
      </c>
      <c r="AX160" s="224">
        <f t="shared" si="178"/>
        <v>0</v>
      </c>
      <c r="AY160" s="224">
        <f t="shared" si="178"/>
        <v>0</v>
      </c>
      <c r="AZ160" s="218"/>
      <c r="BA160"/>
      <c r="BB160" s="176" t="str">
        <f t="shared" si="82"/>
        <v>Site 19</v>
      </c>
      <c r="BC160" s="224">
        <f t="shared" ref="BC160:BN160" si="179">IF($T27&gt;0,(((EXP(-(1/(Morning_Peak_Duration__hours*2))*(BC$141-(Morning_Peak_Time__24hr_clock+$C160))^2))+(EXP(-(1/(Afternoon_Peak_Duration__hours*2))*(BC$141-(Afternoon_Peak_Time__24hr_clock+$C160))^2)))*$V27)/TZCalibrationValue,0)</f>
        <v>0</v>
      </c>
      <c r="BD160" s="224">
        <f t="shared" si="179"/>
        <v>0</v>
      </c>
      <c r="BE160" s="224">
        <f t="shared" si="179"/>
        <v>0</v>
      </c>
      <c r="BF160" s="224">
        <f t="shared" si="179"/>
        <v>0</v>
      </c>
      <c r="BG160" s="224">
        <f t="shared" si="179"/>
        <v>0</v>
      </c>
      <c r="BH160" s="224">
        <f t="shared" si="179"/>
        <v>0</v>
      </c>
      <c r="BI160" s="224">
        <f t="shared" si="179"/>
        <v>0</v>
      </c>
      <c r="BJ160" s="224">
        <f t="shared" si="179"/>
        <v>0</v>
      </c>
      <c r="BK160" s="224">
        <f t="shared" si="179"/>
        <v>0</v>
      </c>
      <c r="BL160" s="224">
        <f t="shared" si="179"/>
        <v>0</v>
      </c>
      <c r="BM160" s="224">
        <f t="shared" si="179"/>
        <v>0</v>
      </c>
      <c r="BN160" s="224">
        <f t="shared" si="179"/>
        <v>0</v>
      </c>
      <c r="BO160" s="229">
        <f t="shared" si="84"/>
        <v>0</v>
      </c>
      <c r="BP160" s="229">
        <f t="shared" si="85"/>
        <v>0</v>
      </c>
      <c r="BQ160" s="229">
        <f t="shared" si="86"/>
        <v>0</v>
      </c>
      <c r="BR160" s="229">
        <f t="shared" si="87"/>
        <v>0</v>
      </c>
      <c r="BS160" s="229">
        <f t="shared" si="88"/>
        <v>0</v>
      </c>
      <c r="BT160" s="229">
        <f t="shared" si="89"/>
        <v>0</v>
      </c>
      <c r="BU160" s="229">
        <f t="shared" si="90"/>
        <v>0</v>
      </c>
      <c r="BV160" s="229">
        <f t="shared" si="91"/>
        <v>0</v>
      </c>
      <c r="BW160" s="229">
        <f t="shared" si="92"/>
        <v>0</v>
      </c>
      <c r="BX160" s="229">
        <f t="shared" si="93"/>
        <v>0</v>
      </c>
      <c r="BY160" s="229">
        <f t="shared" si="94"/>
        <v>0</v>
      </c>
      <c r="BZ160" s="229">
        <f t="shared" si="95"/>
        <v>0</v>
      </c>
      <c r="CA160" s="229">
        <f t="shared" si="96"/>
        <v>0</v>
      </c>
      <c r="CB160" s="229">
        <f t="shared" si="97"/>
        <v>0</v>
      </c>
      <c r="CC160" s="229">
        <f t="shared" si="98"/>
        <v>0</v>
      </c>
      <c r="CD160" s="229">
        <f t="shared" si="99"/>
        <v>0</v>
      </c>
      <c r="CE160" s="229">
        <f t="shared" si="100"/>
        <v>0</v>
      </c>
      <c r="CF160" s="229">
        <f t="shared" si="101"/>
        <v>0</v>
      </c>
      <c r="CG160" s="229">
        <f t="shared" si="102"/>
        <v>0</v>
      </c>
      <c r="CH160" s="229">
        <f t="shared" si="103"/>
        <v>0</v>
      </c>
      <c r="CI160" s="229">
        <f t="shared" si="104"/>
        <v>0</v>
      </c>
      <c r="CJ160" s="229">
        <f t="shared" si="105"/>
        <v>0</v>
      </c>
      <c r="CK160" s="229">
        <f t="shared" si="106"/>
        <v>0</v>
      </c>
      <c r="CL160" s="229">
        <f t="shared" si="107"/>
        <v>0</v>
      </c>
      <c r="CM160" s="224">
        <f t="shared" ref="CM160:CX160" si="180">IF($T27&gt;0,(((EXP(-(1/(Morning_Peak_Duration__hours*2))*(CM$141-(Morning_Peak_Time__24hr_clock+$C160))^2))+(EXP(-(1/(Afternoon_Peak_Duration__hours*2))*(CM$141-(Afternoon_Peak_Time__24hr_clock+$C160))^2)))*$V27)/TZCalibrationValue,0)</f>
        <v>0</v>
      </c>
      <c r="CN160" s="224">
        <f t="shared" si="180"/>
        <v>0</v>
      </c>
      <c r="CO160" s="224">
        <f t="shared" si="180"/>
        <v>0</v>
      </c>
      <c r="CP160" s="224">
        <f t="shared" si="180"/>
        <v>0</v>
      </c>
      <c r="CQ160" s="224">
        <f t="shared" si="180"/>
        <v>0</v>
      </c>
      <c r="CR160" s="224">
        <f t="shared" si="180"/>
        <v>0</v>
      </c>
      <c r="CS160" s="224">
        <f t="shared" si="180"/>
        <v>0</v>
      </c>
      <c r="CT160" s="224">
        <f t="shared" si="180"/>
        <v>0</v>
      </c>
      <c r="CU160" s="224">
        <f t="shared" si="180"/>
        <v>0</v>
      </c>
      <c r="CV160" s="224">
        <f t="shared" si="180"/>
        <v>0</v>
      </c>
      <c r="CW160" s="224">
        <f t="shared" si="180"/>
        <v>0</v>
      </c>
      <c r="CX160" s="224">
        <f t="shared" si="180"/>
        <v>0</v>
      </c>
      <c r="CY160" s="218"/>
    </row>
    <row r="161" spans="2:103" hidden="1" outlineLevel="1">
      <c r="B161" t="str">
        <f t="shared" si="55"/>
        <v>Site 20</v>
      </c>
      <c r="C161" s="230">
        <f>VLOOKUP(D28,'Scaling Tables'!$B$123:$C$149,2,FALSE)-VLOOKUP($C$4,'Scaling Tables'!$B$123:$C$149,2,FALSE)</f>
        <v>0</v>
      </c>
      <c r="D161" s="224">
        <f t="shared" ref="D161:O161" si="181">IF($T28&gt;0,(((EXP(-(1/(Morning_Peak_Duration__hours*2))*(D$141-(Morning_Peak_Time__24hr_clock+$C161))^2))+(EXP(-(1/(Afternoon_Peak_Duration__hours*2))*(D$141-(Afternoon_Peak_Time__24hr_clock+$C161))^2)))*$U28)/TZCalibrationValue,0)</f>
        <v>0</v>
      </c>
      <c r="E161" s="224">
        <f t="shared" si="181"/>
        <v>0</v>
      </c>
      <c r="F161" s="224">
        <f t="shared" si="181"/>
        <v>0</v>
      </c>
      <c r="G161" s="224">
        <f t="shared" si="181"/>
        <v>0</v>
      </c>
      <c r="H161" s="224">
        <f t="shared" si="181"/>
        <v>0</v>
      </c>
      <c r="I161" s="224">
        <f t="shared" si="181"/>
        <v>0</v>
      </c>
      <c r="J161" s="224">
        <f t="shared" si="181"/>
        <v>0</v>
      </c>
      <c r="K161" s="224">
        <f t="shared" si="181"/>
        <v>0</v>
      </c>
      <c r="L161" s="224">
        <f t="shared" si="181"/>
        <v>0</v>
      </c>
      <c r="M161" s="224">
        <f t="shared" si="181"/>
        <v>0</v>
      </c>
      <c r="N161" s="224">
        <f t="shared" si="181"/>
        <v>0</v>
      </c>
      <c r="O161" s="224">
        <f t="shared" si="181"/>
        <v>0</v>
      </c>
      <c r="P161" s="229">
        <f t="shared" si="57"/>
        <v>0</v>
      </c>
      <c r="Q161" s="229">
        <f t="shared" si="58"/>
        <v>0</v>
      </c>
      <c r="R161" s="229">
        <f t="shared" si="59"/>
        <v>0</v>
      </c>
      <c r="S161" s="229">
        <f t="shared" si="60"/>
        <v>0</v>
      </c>
      <c r="T161" s="229">
        <f t="shared" si="61"/>
        <v>0</v>
      </c>
      <c r="U161" s="229">
        <f t="shared" si="62"/>
        <v>0</v>
      </c>
      <c r="V161" s="229">
        <f t="shared" si="63"/>
        <v>0</v>
      </c>
      <c r="W161" s="229">
        <f t="shared" si="64"/>
        <v>0</v>
      </c>
      <c r="X161" s="229">
        <f t="shared" si="65"/>
        <v>0</v>
      </c>
      <c r="Y161" s="229">
        <f t="shared" si="66"/>
        <v>0</v>
      </c>
      <c r="Z161" s="229">
        <f t="shared" si="67"/>
        <v>0</v>
      </c>
      <c r="AA161" s="229">
        <f t="shared" si="68"/>
        <v>0</v>
      </c>
      <c r="AB161" s="229">
        <f t="shared" si="69"/>
        <v>0</v>
      </c>
      <c r="AC161" s="229">
        <f t="shared" si="70"/>
        <v>0</v>
      </c>
      <c r="AD161" s="229">
        <f t="shared" si="71"/>
        <v>0</v>
      </c>
      <c r="AE161" s="229">
        <f t="shared" si="72"/>
        <v>0</v>
      </c>
      <c r="AF161" s="229">
        <f t="shared" si="73"/>
        <v>0</v>
      </c>
      <c r="AG161" s="229">
        <f t="shared" si="74"/>
        <v>0</v>
      </c>
      <c r="AH161" s="229">
        <f t="shared" si="75"/>
        <v>0</v>
      </c>
      <c r="AI161" s="229">
        <f t="shared" si="76"/>
        <v>0</v>
      </c>
      <c r="AJ161" s="229">
        <f t="shared" si="77"/>
        <v>0</v>
      </c>
      <c r="AK161" s="229">
        <f t="shared" si="78"/>
        <v>0</v>
      </c>
      <c r="AL161" s="229">
        <f t="shared" si="79"/>
        <v>0</v>
      </c>
      <c r="AM161" s="229">
        <f t="shared" si="80"/>
        <v>0</v>
      </c>
      <c r="AN161" s="224">
        <f t="shared" ref="AN161:AY161" si="182">IF($T28&gt;0,(((EXP(-(1/(Morning_Peak_Duration__hours*2))*(AN$141-(Morning_Peak_Time__24hr_clock+$C161))^2))+(EXP(-(1/(Afternoon_Peak_Duration__hours*2))*(AN$141-(Afternoon_Peak_Time__24hr_clock+$C161))^2)))*$U28)/TZCalibrationValue,0)</f>
        <v>0</v>
      </c>
      <c r="AO161" s="224">
        <f t="shared" si="182"/>
        <v>0</v>
      </c>
      <c r="AP161" s="224">
        <f t="shared" si="182"/>
        <v>0</v>
      </c>
      <c r="AQ161" s="224">
        <f t="shared" si="182"/>
        <v>0</v>
      </c>
      <c r="AR161" s="224">
        <f t="shared" si="182"/>
        <v>0</v>
      </c>
      <c r="AS161" s="224">
        <f t="shared" si="182"/>
        <v>0</v>
      </c>
      <c r="AT161" s="224">
        <f t="shared" si="182"/>
        <v>0</v>
      </c>
      <c r="AU161" s="224">
        <f t="shared" si="182"/>
        <v>0</v>
      </c>
      <c r="AV161" s="224">
        <f t="shared" si="182"/>
        <v>0</v>
      </c>
      <c r="AW161" s="224">
        <f t="shared" si="182"/>
        <v>0</v>
      </c>
      <c r="AX161" s="224">
        <f t="shared" si="182"/>
        <v>0</v>
      </c>
      <c r="AY161" s="224">
        <f t="shared" si="182"/>
        <v>0</v>
      </c>
      <c r="AZ161" s="218"/>
      <c r="BA161"/>
      <c r="BB161" s="176" t="str">
        <f t="shared" si="82"/>
        <v>Site 20</v>
      </c>
      <c r="BC161" s="224">
        <f t="shared" ref="BC161:BN161" si="183">IF($T28&gt;0,(((EXP(-(1/(Morning_Peak_Duration__hours*2))*(BC$141-(Morning_Peak_Time__24hr_clock+$C161))^2))+(EXP(-(1/(Afternoon_Peak_Duration__hours*2))*(BC$141-(Afternoon_Peak_Time__24hr_clock+$C161))^2)))*$V28)/TZCalibrationValue,0)</f>
        <v>0</v>
      </c>
      <c r="BD161" s="224">
        <f t="shared" si="183"/>
        <v>0</v>
      </c>
      <c r="BE161" s="224">
        <f t="shared" si="183"/>
        <v>0</v>
      </c>
      <c r="BF161" s="224">
        <f t="shared" si="183"/>
        <v>0</v>
      </c>
      <c r="BG161" s="224">
        <f t="shared" si="183"/>
        <v>0</v>
      </c>
      <c r="BH161" s="224">
        <f t="shared" si="183"/>
        <v>0</v>
      </c>
      <c r="BI161" s="224">
        <f t="shared" si="183"/>
        <v>0</v>
      </c>
      <c r="BJ161" s="224">
        <f t="shared" si="183"/>
        <v>0</v>
      </c>
      <c r="BK161" s="224">
        <f t="shared" si="183"/>
        <v>0</v>
      </c>
      <c r="BL161" s="224">
        <f t="shared" si="183"/>
        <v>0</v>
      </c>
      <c r="BM161" s="224">
        <f t="shared" si="183"/>
        <v>0</v>
      </c>
      <c r="BN161" s="224">
        <f t="shared" si="183"/>
        <v>0</v>
      </c>
      <c r="BO161" s="229">
        <f t="shared" si="84"/>
        <v>0</v>
      </c>
      <c r="BP161" s="229">
        <f t="shared" si="85"/>
        <v>0</v>
      </c>
      <c r="BQ161" s="229">
        <f t="shared" si="86"/>
        <v>0</v>
      </c>
      <c r="BR161" s="229">
        <f t="shared" si="87"/>
        <v>0</v>
      </c>
      <c r="BS161" s="229">
        <f t="shared" si="88"/>
        <v>0</v>
      </c>
      <c r="BT161" s="229">
        <f t="shared" si="89"/>
        <v>0</v>
      </c>
      <c r="BU161" s="229">
        <f t="shared" si="90"/>
        <v>0</v>
      </c>
      <c r="BV161" s="229">
        <f t="shared" si="91"/>
        <v>0</v>
      </c>
      <c r="BW161" s="229">
        <f t="shared" si="92"/>
        <v>0</v>
      </c>
      <c r="BX161" s="229">
        <f t="shared" si="93"/>
        <v>0</v>
      </c>
      <c r="BY161" s="229">
        <f t="shared" si="94"/>
        <v>0</v>
      </c>
      <c r="BZ161" s="229">
        <f t="shared" si="95"/>
        <v>0</v>
      </c>
      <c r="CA161" s="229">
        <f t="shared" si="96"/>
        <v>0</v>
      </c>
      <c r="CB161" s="229">
        <f t="shared" si="97"/>
        <v>0</v>
      </c>
      <c r="CC161" s="229">
        <f t="shared" si="98"/>
        <v>0</v>
      </c>
      <c r="CD161" s="229">
        <f t="shared" si="99"/>
        <v>0</v>
      </c>
      <c r="CE161" s="229">
        <f t="shared" si="100"/>
        <v>0</v>
      </c>
      <c r="CF161" s="229">
        <f t="shared" si="101"/>
        <v>0</v>
      </c>
      <c r="CG161" s="229">
        <f t="shared" si="102"/>
        <v>0</v>
      </c>
      <c r="CH161" s="229">
        <f t="shared" si="103"/>
        <v>0</v>
      </c>
      <c r="CI161" s="229">
        <f t="shared" si="104"/>
        <v>0</v>
      </c>
      <c r="CJ161" s="229">
        <f t="shared" si="105"/>
        <v>0</v>
      </c>
      <c r="CK161" s="229">
        <f t="shared" si="106"/>
        <v>0</v>
      </c>
      <c r="CL161" s="229">
        <f t="shared" si="107"/>
        <v>0</v>
      </c>
      <c r="CM161" s="224">
        <f t="shared" ref="CM161:CX161" si="184">IF($T28&gt;0,(((EXP(-(1/(Morning_Peak_Duration__hours*2))*(CM$141-(Morning_Peak_Time__24hr_clock+$C161))^2))+(EXP(-(1/(Afternoon_Peak_Duration__hours*2))*(CM$141-(Afternoon_Peak_Time__24hr_clock+$C161))^2)))*$V28)/TZCalibrationValue,0)</f>
        <v>0</v>
      </c>
      <c r="CN161" s="224">
        <f t="shared" si="184"/>
        <v>0</v>
      </c>
      <c r="CO161" s="224">
        <f t="shared" si="184"/>
        <v>0</v>
      </c>
      <c r="CP161" s="224">
        <f t="shared" si="184"/>
        <v>0</v>
      </c>
      <c r="CQ161" s="224">
        <f t="shared" si="184"/>
        <v>0</v>
      </c>
      <c r="CR161" s="224">
        <f t="shared" si="184"/>
        <v>0</v>
      </c>
      <c r="CS161" s="224">
        <f t="shared" si="184"/>
        <v>0</v>
      </c>
      <c r="CT161" s="224">
        <f t="shared" si="184"/>
        <v>0</v>
      </c>
      <c r="CU161" s="224">
        <f t="shared" si="184"/>
        <v>0</v>
      </c>
      <c r="CV161" s="224">
        <f t="shared" si="184"/>
        <v>0</v>
      </c>
      <c r="CW161" s="224">
        <f t="shared" si="184"/>
        <v>0</v>
      </c>
      <c r="CX161" s="224">
        <f t="shared" si="184"/>
        <v>0</v>
      </c>
      <c r="CY161" s="218"/>
    </row>
    <row r="162" spans="2:103" hidden="1" outlineLevel="1">
      <c r="B162" t="str">
        <f t="shared" si="55"/>
        <v>Site 21</v>
      </c>
      <c r="C162" s="230">
        <f>VLOOKUP(D29,'Scaling Tables'!$B$123:$C$149,2,FALSE)-VLOOKUP($C$4,'Scaling Tables'!$B$123:$C$149,2,FALSE)</f>
        <v>0</v>
      </c>
      <c r="D162" s="224">
        <f t="shared" ref="D162:O162" si="185">IF($T29&gt;0,(((EXP(-(1/(Morning_Peak_Duration__hours*2))*(D$141-(Morning_Peak_Time__24hr_clock+$C162))^2))+(EXP(-(1/(Afternoon_Peak_Duration__hours*2))*(D$141-(Afternoon_Peak_Time__24hr_clock+$C162))^2)))*$U29)/TZCalibrationValue,0)</f>
        <v>0</v>
      </c>
      <c r="E162" s="224">
        <f t="shared" si="185"/>
        <v>0</v>
      </c>
      <c r="F162" s="224">
        <f t="shared" si="185"/>
        <v>0</v>
      </c>
      <c r="G162" s="224">
        <f t="shared" si="185"/>
        <v>0</v>
      </c>
      <c r="H162" s="224">
        <f t="shared" si="185"/>
        <v>0</v>
      </c>
      <c r="I162" s="224">
        <f t="shared" si="185"/>
        <v>0</v>
      </c>
      <c r="J162" s="224">
        <f t="shared" si="185"/>
        <v>0</v>
      </c>
      <c r="K162" s="224">
        <f t="shared" si="185"/>
        <v>0</v>
      </c>
      <c r="L162" s="224">
        <f t="shared" si="185"/>
        <v>0</v>
      </c>
      <c r="M162" s="224">
        <f t="shared" si="185"/>
        <v>0</v>
      </c>
      <c r="N162" s="224">
        <f t="shared" si="185"/>
        <v>0</v>
      </c>
      <c r="O162" s="224">
        <f t="shared" si="185"/>
        <v>0</v>
      </c>
      <c r="P162" s="229">
        <f t="shared" si="57"/>
        <v>0</v>
      </c>
      <c r="Q162" s="229">
        <f t="shared" si="58"/>
        <v>0</v>
      </c>
      <c r="R162" s="229">
        <f t="shared" si="59"/>
        <v>0</v>
      </c>
      <c r="S162" s="229">
        <f t="shared" si="60"/>
        <v>0</v>
      </c>
      <c r="T162" s="229">
        <f t="shared" si="61"/>
        <v>0</v>
      </c>
      <c r="U162" s="229">
        <f t="shared" si="62"/>
        <v>0</v>
      </c>
      <c r="V162" s="229">
        <f t="shared" si="63"/>
        <v>0</v>
      </c>
      <c r="W162" s="229">
        <f t="shared" si="64"/>
        <v>0</v>
      </c>
      <c r="X162" s="229">
        <f t="shared" si="65"/>
        <v>0</v>
      </c>
      <c r="Y162" s="229">
        <f t="shared" si="66"/>
        <v>0</v>
      </c>
      <c r="Z162" s="229">
        <f t="shared" si="67"/>
        <v>0</v>
      </c>
      <c r="AA162" s="229">
        <f t="shared" si="68"/>
        <v>0</v>
      </c>
      <c r="AB162" s="229">
        <f t="shared" si="69"/>
        <v>0</v>
      </c>
      <c r="AC162" s="229">
        <f t="shared" si="70"/>
        <v>0</v>
      </c>
      <c r="AD162" s="229">
        <f t="shared" si="71"/>
        <v>0</v>
      </c>
      <c r="AE162" s="229">
        <f t="shared" si="72"/>
        <v>0</v>
      </c>
      <c r="AF162" s="229">
        <f t="shared" si="73"/>
        <v>0</v>
      </c>
      <c r="AG162" s="229">
        <f t="shared" si="74"/>
        <v>0</v>
      </c>
      <c r="AH162" s="229">
        <f t="shared" si="75"/>
        <v>0</v>
      </c>
      <c r="AI162" s="229">
        <f t="shared" si="76"/>
        <v>0</v>
      </c>
      <c r="AJ162" s="229">
        <f t="shared" si="77"/>
        <v>0</v>
      </c>
      <c r="AK162" s="229">
        <f t="shared" si="78"/>
        <v>0</v>
      </c>
      <c r="AL162" s="229">
        <f t="shared" si="79"/>
        <v>0</v>
      </c>
      <c r="AM162" s="229">
        <f t="shared" si="80"/>
        <v>0</v>
      </c>
      <c r="AN162" s="224">
        <f t="shared" ref="AN162:AY162" si="186">IF($T29&gt;0,(((EXP(-(1/(Morning_Peak_Duration__hours*2))*(AN$141-(Morning_Peak_Time__24hr_clock+$C162))^2))+(EXP(-(1/(Afternoon_Peak_Duration__hours*2))*(AN$141-(Afternoon_Peak_Time__24hr_clock+$C162))^2)))*$U29)/TZCalibrationValue,0)</f>
        <v>0</v>
      </c>
      <c r="AO162" s="224">
        <f t="shared" si="186"/>
        <v>0</v>
      </c>
      <c r="AP162" s="224">
        <f t="shared" si="186"/>
        <v>0</v>
      </c>
      <c r="AQ162" s="224">
        <f t="shared" si="186"/>
        <v>0</v>
      </c>
      <c r="AR162" s="224">
        <f t="shared" si="186"/>
        <v>0</v>
      </c>
      <c r="AS162" s="224">
        <f t="shared" si="186"/>
        <v>0</v>
      </c>
      <c r="AT162" s="224">
        <f t="shared" si="186"/>
        <v>0</v>
      </c>
      <c r="AU162" s="224">
        <f t="shared" si="186"/>
        <v>0</v>
      </c>
      <c r="AV162" s="224">
        <f t="shared" si="186"/>
        <v>0</v>
      </c>
      <c r="AW162" s="224">
        <f t="shared" si="186"/>
        <v>0</v>
      </c>
      <c r="AX162" s="224">
        <f t="shared" si="186"/>
        <v>0</v>
      </c>
      <c r="AY162" s="224">
        <f t="shared" si="186"/>
        <v>0</v>
      </c>
      <c r="AZ162" s="218"/>
      <c r="BA162"/>
      <c r="BB162" s="176" t="str">
        <f t="shared" si="82"/>
        <v>Site 21</v>
      </c>
      <c r="BC162" s="224">
        <f t="shared" ref="BC162:BN162" si="187">IF($T29&gt;0,(((EXP(-(1/(Morning_Peak_Duration__hours*2))*(BC$141-(Morning_Peak_Time__24hr_clock+$C162))^2))+(EXP(-(1/(Afternoon_Peak_Duration__hours*2))*(BC$141-(Afternoon_Peak_Time__24hr_clock+$C162))^2)))*$V29)/TZCalibrationValue,0)</f>
        <v>0</v>
      </c>
      <c r="BD162" s="224">
        <f t="shared" si="187"/>
        <v>0</v>
      </c>
      <c r="BE162" s="224">
        <f t="shared" si="187"/>
        <v>0</v>
      </c>
      <c r="BF162" s="224">
        <f t="shared" si="187"/>
        <v>0</v>
      </c>
      <c r="BG162" s="224">
        <f t="shared" si="187"/>
        <v>0</v>
      </c>
      <c r="BH162" s="224">
        <f t="shared" si="187"/>
        <v>0</v>
      </c>
      <c r="BI162" s="224">
        <f t="shared" si="187"/>
        <v>0</v>
      </c>
      <c r="BJ162" s="224">
        <f t="shared" si="187"/>
        <v>0</v>
      </c>
      <c r="BK162" s="224">
        <f t="shared" si="187"/>
        <v>0</v>
      </c>
      <c r="BL162" s="224">
        <f t="shared" si="187"/>
        <v>0</v>
      </c>
      <c r="BM162" s="224">
        <f t="shared" si="187"/>
        <v>0</v>
      </c>
      <c r="BN162" s="224">
        <f t="shared" si="187"/>
        <v>0</v>
      </c>
      <c r="BO162" s="229">
        <f t="shared" si="84"/>
        <v>0</v>
      </c>
      <c r="BP162" s="229">
        <f t="shared" si="85"/>
        <v>0</v>
      </c>
      <c r="BQ162" s="229">
        <f t="shared" si="86"/>
        <v>0</v>
      </c>
      <c r="BR162" s="229">
        <f t="shared" si="87"/>
        <v>0</v>
      </c>
      <c r="BS162" s="229">
        <f t="shared" si="88"/>
        <v>0</v>
      </c>
      <c r="BT162" s="229">
        <f t="shared" si="89"/>
        <v>0</v>
      </c>
      <c r="BU162" s="229">
        <f t="shared" si="90"/>
        <v>0</v>
      </c>
      <c r="BV162" s="229">
        <f t="shared" si="91"/>
        <v>0</v>
      </c>
      <c r="BW162" s="229">
        <f t="shared" si="92"/>
        <v>0</v>
      </c>
      <c r="BX162" s="229">
        <f t="shared" si="93"/>
        <v>0</v>
      </c>
      <c r="BY162" s="229">
        <f t="shared" si="94"/>
        <v>0</v>
      </c>
      <c r="BZ162" s="229">
        <f t="shared" si="95"/>
        <v>0</v>
      </c>
      <c r="CA162" s="229">
        <f t="shared" si="96"/>
        <v>0</v>
      </c>
      <c r="CB162" s="229">
        <f t="shared" si="97"/>
        <v>0</v>
      </c>
      <c r="CC162" s="229">
        <f t="shared" si="98"/>
        <v>0</v>
      </c>
      <c r="CD162" s="229">
        <f t="shared" si="99"/>
        <v>0</v>
      </c>
      <c r="CE162" s="229">
        <f t="shared" si="100"/>
        <v>0</v>
      </c>
      <c r="CF162" s="229">
        <f t="shared" si="101"/>
        <v>0</v>
      </c>
      <c r="CG162" s="229">
        <f t="shared" si="102"/>
        <v>0</v>
      </c>
      <c r="CH162" s="229">
        <f t="shared" si="103"/>
        <v>0</v>
      </c>
      <c r="CI162" s="229">
        <f t="shared" si="104"/>
        <v>0</v>
      </c>
      <c r="CJ162" s="229">
        <f t="shared" si="105"/>
        <v>0</v>
      </c>
      <c r="CK162" s="229">
        <f t="shared" si="106"/>
        <v>0</v>
      </c>
      <c r="CL162" s="229">
        <f t="shared" si="107"/>
        <v>0</v>
      </c>
      <c r="CM162" s="224">
        <f t="shared" ref="CM162:CX162" si="188">IF($T29&gt;0,(((EXP(-(1/(Morning_Peak_Duration__hours*2))*(CM$141-(Morning_Peak_Time__24hr_clock+$C162))^2))+(EXP(-(1/(Afternoon_Peak_Duration__hours*2))*(CM$141-(Afternoon_Peak_Time__24hr_clock+$C162))^2)))*$V29)/TZCalibrationValue,0)</f>
        <v>0</v>
      </c>
      <c r="CN162" s="224">
        <f t="shared" si="188"/>
        <v>0</v>
      </c>
      <c r="CO162" s="224">
        <f t="shared" si="188"/>
        <v>0</v>
      </c>
      <c r="CP162" s="224">
        <f t="shared" si="188"/>
        <v>0</v>
      </c>
      <c r="CQ162" s="224">
        <f t="shared" si="188"/>
        <v>0</v>
      </c>
      <c r="CR162" s="224">
        <f t="shared" si="188"/>
        <v>0</v>
      </c>
      <c r="CS162" s="224">
        <f t="shared" si="188"/>
        <v>0</v>
      </c>
      <c r="CT162" s="224">
        <f t="shared" si="188"/>
        <v>0</v>
      </c>
      <c r="CU162" s="224">
        <f t="shared" si="188"/>
        <v>0</v>
      </c>
      <c r="CV162" s="224">
        <f t="shared" si="188"/>
        <v>0</v>
      </c>
      <c r="CW162" s="224">
        <f t="shared" si="188"/>
        <v>0</v>
      </c>
      <c r="CX162" s="224">
        <f t="shared" si="188"/>
        <v>0</v>
      </c>
      <c r="CY162" s="218"/>
    </row>
    <row r="163" spans="2:103" hidden="1" outlineLevel="1">
      <c r="B163" t="str">
        <f t="shared" si="55"/>
        <v>Site 22</v>
      </c>
      <c r="C163" s="230">
        <f>VLOOKUP(D30,'Scaling Tables'!$B$123:$C$149,2,FALSE)-VLOOKUP($C$4,'Scaling Tables'!$B$123:$C$149,2,FALSE)</f>
        <v>0</v>
      </c>
      <c r="D163" s="224">
        <f t="shared" ref="D163:O163" si="189">IF($T30&gt;0,(((EXP(-(1/(Morning_Peak_Duration__hours*2))*(D$141-(Morning_Peak_Time__24hr_clock+$C163))^2))+(EXP(-(1/(Afternoon_Peak_Duration__hours*2))*(D$141-(Afternoon_Peak_Time__24hr_clock+$C163))^2)))*$U30)/TZCalibrationValue,0)</f>
        <v>0</v>
      </c>
      <c r="E163" s="224">
        <f t="shared" si="189"/>
        <v>0</v>
      </c>
      <c r="F163" s="224">
        <f t="shared" si="189"/>
        <v>0</v>
      </c>
      <c r="G163" s="224">
        <f t="shared" si="189"/>
        <v>0</v>
      </c>
      <c r="H163" s="224">
        <f t="shared" si="189"/>
        <v>0</v>
      </c>
      <c r="I163" s="224">
        <f t="shared" si="189"/>
        <v>0</v>
      </c>
      <c r="J163" s="224">
        <f t="shared" si="189"/>
        <v>0</v>
      </c>
      <c r="K163" s="224">
        <f t="shared" si="189"/>
        <v>0</v>
      </c>
      <c r="L163" s="224">
        <f t="shared" si="189"/>
        <v>0</v>
      </c>
      <c r="M163" s="224">
        <f t="shared" si="189"/>
        <v>0</v>
      </c>
      <c r="N163" s="224">
        <f t="shared" si="189"/>
        <v>0</v>
      </c>
      <c r="O163" s="224">
        <f t="shared" si="189"/>
        <v>0</v>
      </c>
      <c r="P163" s="229">
        <f t="shared" si="57"/>
        <v>0</v>
      </c>
      <c r="Q163" s="229">
        <f t="shared" si="58"/>
        <v>0</v>
      </c>
      <c r="R163" s="229">
        <f t="shared" si="59"/>
        <v>0</v>
      </c>
      <c r="S163" s="229">
        <f t="shared" si="60"/>
        <v>0</v>
      </c>
      <c r="T163" s="229">
        <f t="shared" si="61"/>
        <v>0</v>
      </c>
      <c r="U163" s="229">
        <f t="shared" si="62"/>
        <v>0</v>
      </c>
      <c r="V163" s="229">
        <f t="shared" si="63"/>
        <v>0</v>
      </c>
      <c r="W163" s="229">
        <f t="shared" si="64"/>
        <v>0</v>
      </c>
      <c r="X163" s="229">
        <f t="shared" si="65"/>
        <v>0</v>
      </c>
      <c r="Y163" s="229">
        <f t="shared" si="66"/>
        <v>0</v>
      </c>
      <c r="Z163" s="229">
        <f t="shared" si="67"/>
        <v>0</v>
      </c>
      <c r="AA163" s="229">
        <f t="shared" si="68"/>
        <v>0</v>
      </c>
      <c r="AB163" s="229">
        <f t="shared" si="69"/>
        <v>0</v>
      </c>
      <c r="AC163" s="229">
        <f t="shared" si="70"/>
        <v>0</v>
      </c>
      <c r="AD163" s="229">
        <f t="shared" si="71"/>
        <v>0</v>
      </c>
      <c r="AE163" s="229">
        <f t="shared" si="72"/>
        <v>0</v>
      </c>
      <c r="AF163" s="229">
        <f t="shared" si="73"/>
        <v>0</v>
      </c>
      <c r="AG163" s="229">
        <f t="shared" si="74"/>
        <v>0</v>
      </c>
      <c r="AH163" s="229">
        <f t="shared" si="75"/>
        <v>0</v>
      </c>
      <c r="AI163" s="229">
        <f t="shared" si="76"/>
        <v>0</v>
      </c>
      <c r="AJ163" s="229">
        <f t="shared" si="77"/>
        <v>0</v>
      </c>
      <c r="AK163" s="229">
        <f t="shared" si="78"/>
        <v>0</v>
      </c>
      <c r="AL163" s="229">
        <f t="shared" si="79"/>
        <v>0</v>
      </c>
      <c r="AM163" s="229">
        <f t="shared" si="80"/>
        <v>0</v>
      </c>
      <c r="AN163" s="224">
        <f t="shared" ref="AN163:AY163" si="190">IF($T30&gt;0,(((EXP(-(1/(Morning_Peak_Duration__hours*2))*(AN$141-(Morning_Peak_Time__24hr_clock+$C163))^2))+(EXP(-(1/(Afternoon_Peak_Duration__hours*2))*(AN$141-(Afternoon_Peak_Time__24hr_clock+$C163))^2)))*$U30)/TZCalibrationValue,0)</f>
        <v>0</v>
      </c>
      <c r="AO163" s="224">
        <f t="shared" si="190"/>
        <v>0</v>
      </c>
      <c r="AP163" s="224">
        <f t="shared" si="190"/>
        <v>0</v>
      </c>
      <c r="AQ163" s="224">
        <f t="shared" si="190"/>
        <v>0</v>
      </c>
      <c r="AR163" s="224">
        <f t="shared" si="190"/>
        <v>0</v>
      </c>
      <c r="AS163" s="224">
        <f t="shared" si="190"/>
        <v>0</v>
      </c>
      <c r="AT163" s="224">
        <f t="shared" si="190"/>
        <v>0</v>
      </c>
      <c r="AU163" s="224">
        <f t="shared" si="190"/>
        <v>0</v>
      </c>
      <c r="AV163" s="224">
        <f t="shared" si="190"/>
        <v>0</v>
      </c>
      <c r="AW163" s="224">
        <f t="shared" si="190"/>
        <v>0</v>
      </c>
      <c r="AX163" s="224">
        <f t="shared" si="190"/>
        <v>0</v>
      </c>
      <c r="AY163" s="224">
        <f t="shared" si="190"/>
        <v>0</v>
      </c>
      <c r="AZ163" s="218"/>
      <c r="BA163"/>
      <c r="BB163" s="176" t="str">
        <f t="shared" si="82"/>
        <v>Site 22</v>
      </c>
      <c r="BC163" s="224">
        <f t="shared" ref="BC163:BN163" si="191">IF($T30&gt;0,(((EXP(-(1/(Morning_Peak_Duration__hours*2))*(BC$141-(Morning_Peak_Time__24hr_clock+$C163))^2))+(EXP(-(1/(Afternoon_Peak_Duration__hours*2))*(BC$141-(Afternoon_Peak_Time__24hr_clock+$C163))^2)))*$V30)/TZCalibrationValue,0)</f>
        <v>0</v>
      </c>
      <c r="BD163" s="224">
        <f t="shared" si="191"/>
        <v>0</v>
      </c>
      <c r="BE163" s="224">
        <f t="shared" si="191"/>
        <v>0</v>
      </c>
      <c r="BF163" s="224">
        <f t="shared" si="191"/>
        <v>0</v>
      </c>
      <c r="BG163" s="224">
        <f t="shared" si="191"/>
        <v>0</v>
      </c>
      <c r="BH163" s="224">
        <f t="shared" si="191"/>
        <v>0</v>
      </c>
      <c r="BI163" s="224">
        <f t="shared" si="191"/>
        <v>0</v>
      </c>
      <c r="BJ163" s="224">
        <f t="shared" si="191"/>
        <v>0</v>
      </c>
      <c r="BK163" s="224">
        <f t="shared" si="191"/>
        <v>0</v>
      </c>
      <c r="BL163" s="224">
        <f t="shared" si="191"/>
        <v>0</v>
      </c>
      <c r="BM163" s="224">
        <f t="shared" si="191"/>
        <v>0</v>
      </c>
      <c r="BN163" s="224">
        <f t="shared" si="191"/>
        <v>0</v>
      </c>
      <c r="BO163" s="229">
        <f t="shared" si="84"/>
        <v>0</v>
      </c>
      <c r="BP163" s="229">
        <f t="shared" si="85"/>
        <v>0</v>
      </c>
      <c r="BQ163" s="229">
        <f t="shared" si="86"/>
        <v>0</v>
      </c>
      <c r="BR163" s="229">
        <f t="shared" si="87"/>
        <v>0</v>
      </c>
      <c r="BS163" s="229">
        <f t="shared" si="88"/>
        <v>0</v>
      </c>
      <c r="BT163" s="229">
        <f t="shared" si="89"/>
        <v>0</v>
      </c>
      <c r="BU163" s="229">
        <f t="shared" si="90"/>
        <v>0</v>
      </c>
      <c r="BV163" s="229">
        <f t="shared" si="91"/>
        <v>0</v>
      </c>
      <c r="BW163" s="229">
        <f t="shared" si="92"/>
        <v>0</v>
      </c>
      <c r="BX163" s="229">
        <f t="shared" si="93"/>
        <v>0</v>
      </c>
      <c r="BY163" s="229">
        <f t="shared" si="94"/>
        <v>0</v>
      </c>
      <c r="BZ163" s="229">
        <f t="shared" si="95"/>
        <v>0</v>
      </c>
      <c r="CA163" s="229">
        <f t="shared" si="96"/>
        <v>0</v>
      </c>
      <c r="CB163" s="229">
        <f t="shared" si="97"/>
        <v>0</v>
      </c>
      <c r="CC163" s="229">
        <f t="shared" si="98"/>
        <v>0</v>
      </c>
      <c r="CD163" s="229">
        <f t="shared" si="99"/>
        <v>0</v>
      </c>
      <c r="CE163" s="229">
        <f t="shared" si="100"/>
        <v>0</v>
      </c>
      <c r="CF163" s="229">
        <f t="shared" si="101"/>
        <v>0</v>
      </c>
      <c r="CG163" s="229">
        <f t="shared" si="102"/>
        <v>0</v>
      </c>
      <c r="CH163" s="229">
        <f t="shared" si="103"/>
        <v>0</v>
      </c>
      <c r="CI163" s="229">
        <f t="shared" si="104"/>
        <v>0</v>
      </c>
      <c r="CJ163" s="229">
        <f t="shared" si="105"/>
        <v>0</v>
      </c>
      <c r="CK163" s="229">
        <f t="shared" si="106"/>
        <v>0</v>
      </c>
      <c r="CL163" s="229">
        <f t="shared" si="107"/>
        <v>0</v>
      </c>
      <c r="CM163" s="224">
        <f t="shared" ref="CM163:CX163" si="192">IF($T30&gt;0,(((EXP(-(1/(Morning_Peak_Duration__hours*2))*(CM$141-(Morning_Peak_Time__24hr_clock+$C163))^2))+(EXP(-(1/(Afternoon_Peak_Duration__hours*2))*(CM$141-(Afternoon_Peak_Time__24hr_clock+$C163))^2)))*$V30)/TZCalibrationValue,0)</f>
        <v>0</v>
      </c>
      <c r="CN163" s="224">
        <f t="shared" si="192"/>
        <v>0</v>
      </c>
      <c r="CO163" s="224">
        <f t="shared" si="192"/>
        <v>0</v>
      </c>
      <c r="CP163" s="224">
        <f t="shared" si="192"/>
        <v>0</v>
      </c>
      <c r="CQ163" s="224">
        <f t="shared" si="192"/>
        <v>0</v>
      </c>
      <c r="CR163" s="224">
        <f t="shared" si="192"/>
        <v>0</v>
      </c>
      <c r="CS163" s="224">
        <f t="shared" si="192"/>
        <v>0</v>
      </c>
      <c r="CT163" s="224">
        <f t="shared" si="192"/>
        <v>0</v>
      </c>
      <c r="CU163" s="224">
        <f t="shared" si="192"/>
        <v>0</v>
      </c>
      <c r="CV163" s="224">
        <f t="shared" si="192"/>
        <v>0</v>
      </c>
      <c r="CW163" s="224">
        <f t="shared" si="192"/>
        <v>0</v>
      </c>
      <c r="CX163" s="224">
        <f t="shared" si="192"/>
        <v>0</v>
      </c>
      <c r="CY163" s="218"/>
    </row>
    <row r="164" spans="2:103" hidden="1" outlineLevel="1">
      <c r="B164" t="str">
        <f t="shared" si="55"/>
        <v>Site 23</v>
      </c>
      <c r="C164" s="230">
        <f>VLOOKUP(D31,'Scaling Tables'!$B$123:$C$149,2,FALSE)-VLOOKUP($C$4,'Scaling Tables'!$B$123:$C$149,2,FALSE)</f>
        <v>0</v>
      </c>
      <c r="D164" s="224">
        <f t="shared" ref="D164:O164" si="193">IF($T31&gt;0,(((EXP(-(1/(Morning_Peak_Duration__hours*2))*(D$141-(Morning_Peak_Time__24hr_clock+$C164))^2))+(EXP(-(1/(Afternoon_Peak_Duration__hours*2))*(D$141-(Afternoon_Peak_Time__24hr_clock+$C164))^2)))*$U31)/TZCalibrationValue,0)</f>
        <v>0</v>
      </c>
      <c r="E164" s="224">
        <f t="shared" si="193"/>
        <v>0</v>
      </c>
      <c r="F164" s="224">
        <f t="shared" si="193"/>
        <v>0</v>
      </c>
      <c r="G164" s="224">
        <f t="shared" si="193"/>
        <v>0</v>
      </c>
      <c r="H164" s="224">
        <f t="shared" si="193"/>
        <v>0</v>
      </c>
      <c r="I164" s="224">
        <f t="shared" si="193"/>
        <v>0</v>
      </c>
      <c r="J164" s="224">
        <f t="shared" si="193"/>
        <v>0</v>
      </c>
      <c r="K164" s="224">
        <f t="shared" si="193"/>
        <v>0</v>
      </c>
      <c r="L164" s="224">
        <f t="shared" si="193"/>
        <v>0</v>
      </c>
      <c r="M164" s="224">
        <f t="shared" si="193"/>
        <v>0</v>
      </c>
      <c r="N164" s="224">
        <f t="shared" si="193"/>
        <v>0</v>
      </c>
      <c r="O164" s="224">
        <f t="shared" si="193"/>
        <v>0</v>
      </c>
      <c r="P164" s="229">
        <f t="shared" si="57"/>
        <v>0</v>
      </c>
      <c r="Q164" s="229">
        <f t="shared" si="58"/>
        <v>0</v>
      </c>
      <c r="R164" s="229">
        <f t="shared" si="59"/>
        <v>0</v>
      </c>
      <c r="S164" s="229">
        <f t="shared" si="60"/>
        <v>0</v>
      </c>
      <c r="T164" s="229">
        <f t="shared" si="61"/>
        <v>0</v>
      </c>
      <c r="U164" s="229">
        <f t="shared" si="62"/>
        <v>0</v>
      </c>
      <c r="V164" s="229">
        <f t="shared" si="63"/>
        <v>0</v>
      </c>
      <c r="W164" s="229">
        <f t="shared" si="64"/>
        <v>0</v>
      </c>
      <c r="X164" s="229">
        <f t="shared" si="65"/>
        <v>0</v>
      </c>
      <c r="Y164" s="229">
        <f t="shared" si="66"/>
        <v>0</v>
      </c>
      <c r="Z164" s="229">
        <f t="shared" si="67"/>
        <v>0</v>
      </c>
      <c r="AA164" s="229">
        <f t="shared" si="68"/>
        <v>0</v>
      </c>
      <c r="AB164" s="229">
        <f t="shared" si="69"/>
        <v>0</v>
      </c>
      <c r="AC164" s="229">
        <f t="shared" si="70"/>
        <v>0</v>
      </c>
      <c r="AD164" s="229">
        <f t="shared" si="71"/>
        <v>0</v>
      </c>
      <c r="AE164" s="229">
        <f t="shared" si="72"/>
        <v>0</v>
      </c>
      <c r="AF164" s="229">
        <f t="shared" si="73"/>
        <v>0</v>
      </c>
      <c r="AG164" s="229">
        <f t="shared" si="74"/>
        <v>0</v>
      </c>
      <c r="AH164" s="229">
        <f t="shared" si="75"/>
        <v>0</v>
      </c>
      <c r="AI164" s="229">
        <f t="shared" si="76"/>
        <v>0</v>
      </c>
      <c r="AJ164" s="229">
        <f t="shared" si="77"/>
        <v>0</v>
      </c>
      <c r="AK164" s="229">
        <f t="shared" si="78"/>
        <v>0</v>
      </c>
      <c r="AL164" s="229">
        <f t="shared" si="79"/>
        <v>0</v>
      </c>
      <c r="AM164" s="229">
        <f t="shared" si="80"/>
        <v>0</v>
      </c>
      <c r="AN164" s="224">
        <f t="shared" ref="AN164:AY164" si="194">IF($T31&gt;0,(((EXP(-(1/(Morning_Peak_Duration__hours*2))*(AN$141-(Morning_Peak_Time__24hr_clock+$C164))^2))+(EXP(-(1/(Afternoon_Peak_Duration__hours*2))*(AN$141-(Afternoon_Peak_Time__24hr_clock+$C164))^2)))*$U31)/TZCalibrationValue,0)</f>
        <v>0</v>
      </c>
      <c r="AO164" s="224">
        <f t="shared" si="194"/>
        <v>0</v>
      </c>
      <c r="AP164" s="224">
        <f t="shared" si="194"/>
        <v>0</v>
      </c>
      <c r="AQ164" s="224">
        <f t="shared" si="194"/>
        <v>0</v>
      </c>
      <c r="AR164" s="224">
        <f t="shared" si="194"/>
        <v>0</v>
      </c>
      <c r="AS164" s="224">
        <f t="shared" si="194"/>
        <v>0</v>
      </c>
      <c r="AT164" s="224">
        <f t="shared" si="194"/>
        <v>0</v>
      </c>
      <c r="AU164" s="224">
        <f t="shared" si="194"/>
        <v>0</v>
      </c>
      <c r="AV164" s="224">
        <f t="shared" si="194"/>
        <v>0</v>
      </c>
      <c r="AW164" s="224">
        <f t="shared" si="194"/>
        <v>0</v>
      </c>
      <c r="AX164" s="224">
        <f t="shared" si="194"/>
        <v>0</v>
      </c>
      <c r="AY164" s="224">
        <f t="shared" si="194"/>
        <v>0</v>
      </c>
      <c r="AZ164" s="218"/>
      <c r="BA164"/>
      <c r="BB164" s="176" t="str">
        <f t="shared" si="82"/>
        <v>Site 23</v>
      </c>
      <c r="BC164" s="224">
        <f t="shared" ref="BC164:BN164" si="195">IF($T31&gt;0,(((EXP(-(1/(Morning_Peak_Duration__hours*2))*(BC$141-(Morning_Peak_Time__24hr_clock+$C164))^2))+(EXP(-(1/(Afternoon_Peak_Duration__hours*2))*(BC$141-(Afternoon_Peak_Time__24hr_clock+$C164))^2)))*$V31)/TZCalibrationValue,0)</f>
        <v>0</v>
      </c>
      <c r="BD164" s="224">
        <f t="shared" si="195"/>
        <v>0</v>
      </c>
      <c r="BE164" s="224">
        <f t="shared" si="195"/>
        <v>0</v>
      </c>
      <c r="BF164" s="224">
        <f t="shared" si="195"/>
        <v>0</v>
      </c>
      <c r="BG164" s="224">
        <f t="shared" si="195"/>
        <v>0</v>
      </c>
      <c r="BH164" s="224">
        <f t="shared" si="195"/>
        <v>0</v>
      </c>
      <c r="BI164" s="224">
        <f t="shared" si="195"/>
        <v>0</v>
      </c>
      <c r="BJ164" s="224">
        <f t="shared" si="195"/>
        <v>0</v>
      </c>
      <c r="BK164" s="224">
        <f t="shared" si="195"/>
        <v>0</v>
      </c>
      <c r="BL164" s="224">
        <f t="shared" si="195"/>
        <v>0</v>
      </c>
      <c r="BM164" s="224">
        <f t="shared" si="195"/>
        <v>0</v>
      </c>
      <c r="BN164" s="224">
        <f t="shared" si="195"/>
        <v>0</v>
      </c>
      <c r="BO164" s="229">
        <f t="shared" si="84"/>
        <v>0</v>
      </c>
      <c r="BP164" s="229">
        <f t="shared" si="85"/>
        <v>0</v>
      </c>
      <c r="BQ164" s="229">
        <f t="shared" si="86"/>
        <v>0</v>
      </c>
      <c r="BR164" s="229">
        <f t="shared" si="87"/>
        <v>0</v>
      </c>
      <c r="BS164" s="229">
        <f t="shared" si="88"/>
        <v>0</v>
      </c>
      <c r="BT164" s="229">
        <f t="shared" si="89"/>
        <v>0</v>
      </c>
      <c r="BU164" s="229">
        <f t="shared" si="90"/>
        <v>0</v>
      </c>
      <c r="BV164" s="229">
        <f t="shared" si="91"/>
        <v>0</v>
      </c>
      <c r="BW164" s="229">
        <f t="shared" si="92"/>
        <v>0</v>
      </c>
      <c r="BX164" s="229">
        <f t="shared" si="93"/>
        <v>0</v>
      </c>
      <c r="BY164" s="229">
        <f t="shared" si="94"/>
        <v>0</v>
      </c>
      <c r="BZ164" s="229">
        <f t="shared" si="95"/>
        <v>0</v>
      </c>
      <c r="CA164" s="229">
        <f t="shared" si="96"/>
        <v>0</v>
      </c>
      <c r="CB164" s="229">
        <f t="shared" si="97"/>
        <v>0</v>
      </c>
      <c r="CC164" s="229">
        <f t="shared" si="98"/>
        <v>0</v>
      </c>
      <c r="CD164" s="229">
        <f t="shared" si="99"/>
        <v>0</v>
      </c>
      <c r="CE164" s="229">
        <f t="shared" si="100"/>
        <v>0</v>
      </c>
      <c r="CF164" s="229">
        <f t="shared" si="101"/>
        <v>0</v>
      </c>
      <c r="CG164" s="229">
        <f t="shared" si="102"/>
        <v>0</v>
      </c>
      <c r="CH164" s="229">
        <f t="shared" si="103"/>
        <v>0</v>
      </c>
      <c r="CI164" s="229">
        <f t="shared" si="104"/>
        <v>0</v>
      </c>
      <c r="CJ164" s="229">
        <f t="shared" si="105"/>
        <v>0</v>
      </c>
      <c r="CK164" s="229">
        <f t="shared" si="106"/>
        <v>0</v>
      </c>
      <c r="CL164" s="229">
        <f t="shared" si="107"/>
        <v>0</v>
      </c>
      <c r="CM164" s="224">
        <f t="shared" ref="CM164:CX164" si="196">IF($T31&gt;0,(((EXP(-(1/(Morning_Peak_Duration__hours*2))*(CM$141-(Morning_Peak_Time__24hr_clock+$C164))^2))+(EXP(-(1/(Afternoon_Peak_Duration__hours*2))*(CM$141-(Afternoon_Peak_Time__24hr_clock+$C164))^2)))*$V31)/TZCalibrationValue,0)</f>
        <v>0</v>
      </c>
      <c r="CN164" s="224">
        <f t="shared" si="196"/>
        <v>0</v>
      </c>
      <c r="CO164" s="224">
        <f t="shared" si="196"/>
        <v>0</v>
      </c>
      <c r="CP164" s="224">
        <f t="shared" si="196"/>
        <v>0</v>
      </c>
      <c r="CQ164" s="224">
        <f t="shared" si="196"/>
        <v>0</v>
      </c>
      <c r="CR164" s="224">
        <f t="shared" si="196"/>
        <v>0</v>
      </c>
      <c r="CS164" s="224">
        <f t="shared" si="196"/>
        <v>0</v>
      </c>
      <c r="CT164" s="224">
        <f t="shared" si="196"/>
        <v>0</v>
      </c>
      <c r="CU164" s="224">
        <f t="shared" si="196"/>
        <v>0</v>
      </c>
      <c r="CV164" s="224">
        <f t="shared" si="196"/>
        <v>0</v>
      </c>
      <c r="CW164" s="224">
        <f t="shared" si="196"/>
        <v>0</v>
      </c>
      <c r="CX164" s="224">
        <f t="shared" si="196"/>
        <v>0</v>
      </c>
      <c r="CY164" s="218"/>
    </row>
    <row r="165" spans="2:103" hidden="1" outlineLevel="1">
      <c r="B165" t="str">
        <f t="shared" si="55"/>
        <v>Site 24</v>
      </c>
      <c r="C165" s="230">
        <f>VLOOKUP(D32,'Scaling Tables'!$B$123:$C$149,2,FALSE)-VLOOKUP($C$4,'Scaling Tables'!$B$123:$C$149,2,FALSE)</f>
        <v>0</v>
      </c>
      <c r="D165" s="224">
        <f t="shared" ref="D165:O165" si="197">IF($T32&gt;0,(((EXP(-(1/(Morning_Peak_Duration__hours*2))*(D$141-(Morning_Peak_Time__24hr_clock+$C165))^2))+(EXP(-(1/(Afternoon_Peak_Duration__hours*2))*(D$141-(Afternoon_Peak_Time__24hr_clock+$C165))^2)))*$U32)/TZCalibrationValue,0)</f>
        <v>0</v>
      </c>
      <c r="E165" s="224">
        <f t="shared" si="197"/>
        <v>0</v>
      </c>
      <c r="F165" s="224">
        <f t="shared" si="197"/>
        <v>0</v>
      </c>
      <c r="G165" s="224">
        <f t="shared" si="197"/>
        <v>0</v>
      </c>
      <c r="H165" s="224">
        <f t="shared" si="197"/>
        <v>0</v>
      </c>
      <c r="I165" s="224">
        <f t="shared" si="197"/>
        <v>0</v>
      </c>
      <c r="J165" s="224">
        <f t="shared" si="197"/>
        <v>0</v>
      </c>
      <c r="K165" s="224">
        <f t="shared" si="197"/>
        <v>0</v>
      </c>
      <c r="L165" s="224">
        <f t="shared" si="197"/>
        <v>0</v>
      </c>
      <c r="M165" s="224">
        <f t="shared" si="197"/>
        <v>0</v>
      </c>
      <c r="N165" s="224">
        <f t="shared" si="197"/>
        <v>0</v>
      </c>
      <c r="O165" s="224">
        <f t="shared" si="197"/>
        <v>0</v>
      </c>
      <c r="P165" s="229">
        <f t="shared" si="57"/>
        <v>0</v>
      </c>
      <c r="Q165" s="229">
        <f t="shared" si="58"/>
        <v>0</v>
      </c>
      <c r="R165" s="229">
        <f t="shared" si="59"/>
        <v>0</v>
      </c>
      <c r="S165" s="229">
        <f t="shared" si="60"/>
        <v>0</v>
      </c>
      <c r="T165" s="229">
        <f t="shared" si="61"/>
        <v>0</v>
      </c>
      <c r="U165" s="229">
        <f t="shared" si="62"/>
        <v>0</v>
      </c>
      <c r="V165" s="229">
        <f t="shared" si="63"/>
        <v>0</v>
      </c>
      <c r="W165" s="229">
        <f t="shared" si="64"/>
        <v>0</v>
      </c>
      <c r="X165" s="229">
        <f t="shared" si="65"/>
        <v>0</v>
      </c>
      <c r="Y165" s="229">
        <f t="shared" si="66"/>
        <v>0</v>
      </c>
      <c r="Z165" s="229">
        <f t="shared" si="67"/>
        <v>0</v>
      </c>
      <c r="AA165" s="229">
        <f t="shared" si="68"/>
        <v>0</v>
      </c>
      <c r="AB165" s="229">
        <f t="shared" si="69"/>
        <v>0</v>
      </c>
      <c r="AC165" s="229">
        <f t="shared" si="70"/>
        <v>0</v>
      </c>
      <c r="AD165" s="229">
        <f t="shared" si="71"/>
        <v>0</v>
      </c>
      <c r="AE165" s="229">
        <f t="shared" si="72"/>
        <v>0</v>
      </c>
      <c r="AF165" s="229">
        <f t="shared" si="73"/>
        <v>0</v>
      </c>
      <c r="AG165" s="229">
        <f t="shared" si="74"/>
        <v>0</v>
      </c>
      <c r="AH165" s="229">
        <f t="shared" si="75"/>
        <v>0</v>
      </c>
      <c r="AI165" s="229">
        <f t="shared" si="76"/>
        <v>0</v>
      </c>
      <c r="AJ165" s="229">
        <f t="shared" si="77"/>
        <v>0</v>
      </c>
      <c r="AK165" s="229">
        <f t="shared" si="78"/>
        <v>0</v>
      </c>
      <c r="AL165" s="229">
        <f t="shared" si="79"/>
        <v>0</v>
      </c>
      <c r="AM165" s="229">
        <f t="shared" si="80"/>
        <v>0</v>
      </c>
      <c r="AN165" s="224">
        <f t="shared" ref="AN165:AY165" si="198">IF($T32&gt;0,(((EXP(-(1/(Morning_Peak_Duration__hours*2))*(AN$141-(Morning_Peak_Time__24hr_clock+$C165))^2))+(EXP(-(1/(Afternoon_Peak_Duration__hours*2))*(AN$141-(Afternoon_Peak_Time__24hr_clock+$C165))^2)))*$U32)/TZCalibrationValue,0)</f>
        <v>0</v>
      </c>
      <c r="AO165" s="224">
        <f t="shared" si="198"/>
        <v>0</v>
      </c>
      <c r="AP165" s="224">
        <f t="shared" si="198"/>
        <v>0</v>
      </c>
      <c r="AQ165" s="224">
        <f t="shared" si="198"/>
        <v>0</v>
      </c>
      <c r="AR165" s="224">
        <f t="shared" si="198"/>
        <v>0</v>
      </c>
      <c r="AS165" s="224">
        <f t="shared" si="198"/>
        <v>0</v>
      </c>
      <c r="AT165" s="224">
        <f t="shared" si="198"/>
        <v>0</v>
      </c>
      <c r="AU165" s="224">
        <f t="shared" si="198"/>
        <v>0</v>
      </c>
      <c r="AV165" s="224">
        <f t="shared" si="198"/>
        <v>0</v>
      </c>
      <c r="AW165" s="224">
        <f t="shared" si="198"/>
        <v>0</v>
      </c>
      <c r="AX165" s="224">
        <f t="shared" si="198"/>
        <v>0</v>
      </c>
      <c r="AY165" s="224">
        <f t="shared" si="198"/>
        <v>0</v>
      </c>
      <c r="AZ165" s="218"/>
      <c r="BA165"/>
      <c r="BB165" s="176" t="str">
        <f t="shared" si="82"/>
        <v>Site 24</v>
      </c>
      <c r="BC165" s="224">
        <f t="shared" ref="BC165:BN165" si="199">IF($T32&gt;0,(((EXP(-(1/(Morning_Peak_Duration__hours*2))*(BC$141-(Morning_Peak_Time__24hr_clock+$C165))^2))+(EXP(-(1/(Afternoon_Peak_Duration__hours*2))*(BC$141-(Afternoon_Peak_Time__24hr_clock+$C165))^2)))*$V32)/TZCalibrationValue,0)</f>
        <v>0</v>
      </c>
      <c r="BD165" s="224">
        <f t="shared" si="199"/>
        <v>0</v>
      </c>
      <c r="BE165" s="224">
        <f t="shared" si="199"/>
        <v>0</v>
      </c>
      <c r="BF165" s="224">
        <f t="shared" si="199"/>
        <v>0</v>
      </c>
      <c r="BG165" s="224">
        <f t="shared" si="199"/>
        <v>0</v>
      </c>
      <c r="BH165" s="224">
        <f t="shared" si="199"/>
        <v>0</v>
      </c>
      <c r="BI165" s="224">
        <f t="shared" si="199"/>
        <v>0</v>
      </c>
      <c r="BJ165" s="224">
        <f t="shared" si="199"/>
        <v>0</v>
      </c>
      <c r="BK165" s="224">
        <f t="shared" si="199"/>
        <v>0</v>
      </c>
      <c r="BL165" s="224">
        <f t="shared" si="199"/>
        <v>0</v>
      </c>
      <c r="BM165" s="224">
        <f t="shared" si="199"/>
        <v>0</v>
      </c>
      <c r="BN165" s="224">
        <f t="shared" si="199"/>
        <v>0</v>
      </c>
      <c r="BO165" s="229">
        <f t="shared" si="84"/>
        <v>0</v>
      </c>
      <c r="BP165" s="229">
        <f t="shared" si="85"/>
        <v>0</v>
      </c>
      <c r="BQ165" s="229">
        <f t="shared" si="86"/>
        <v>0</v>
      </c>
      <c r="BR165" s="229">
        <f t="shared" si="87"/>
        <v>0</v>
      </c>
      <c r="BS165" s="229">
        <f t="shared" si="88"/>
        <v>0</v>
      </c>
      <c r="BT165" s="229">
        <f t="shared" si="89"/>
        <v>0</v>
      </c>
      <c r="BU165" s="229">
        <f t="shared" si="90"/>
        <v>0</v>
      </c>
      <c r="BV165" s="229">
        <f t="shared" si="91"/>
        <v>0</v>
      </c>
      <c r="BW165" s="229">
        <f t="shared" si="92"/>
        <v>0</v>
      </c>
      <c r="BX165" s="229">
        <f t="shared" si="93"/>
        <v>0</v>
      </c>
      <c r="BY165" s="229">
        <f t="shared" si="94"/>
        <v>0</v>
      </c>
      <c r="BZ165" s="229">
        <f t="shared" si="95"/>
        <v>0</v>
      </c>
      <c r="CA165" s="229">
        <f t="shared" si="96"/>
        <v>0</v>
      </c>
      <c r="CB165" s="229">
        <f t="shared" si="97"/>
        <v>0</v>
      </c>
      <c r="CC165" s="229">
        <f t="shared" si="98"/>
        <v>0</v>
      </c>
      <c r="CD165" s="229">
        <f t="shared" si="99"/>
        <v>0</v>
      </c>
      <c r="CE165" s="229">
        <f t="shared" si="100"/>
        <v>0</v>
      </c>
      <c r="CF165" s="229">
        <f t="shared" si="101"/>
        <v>0</v>
      </c>
      <c r="CG165" s="229">
        <f t="shared" si="102"/>
        <v>0</v>
      </c>
      <c r="CH165" s="229">
        <f t="shared" si="103"/>
        <v>0</v>
      </c>
      <c r="CI165" s="229">
        <f t="shared" si="104"/>
        <v>0</v>
      </c>
      <c r="CJ165" s="229">
        <f t="shared" si="105"/>
        <v>0</v>
      </c>
      <c r="CK165" s="229">
        <f t="shared" si="106"/>
        <v>0</v>
      </c>
      <c r="CL165" s="229">
        <f t="shared" si="107"/>
        <v>0</v>
      </c>
      <c r="CM165" s="224">
        <f t="shared" ref="CM165:CX165" si="200">IF($T32&gt;0,(((EXP(-(1/(Morning_Peak_Duration__hours*2))*(CM$141-(Morning_Peak_Time__24hr_clock+$C165))^2))+(EXP(-(1/(Afternoon_Peak_Duration__hours*2))*(CM$141-(Afternoon_Peak_Time__24hr_clock+$C165))^2)))*$V32)/TZCalibrationValue,0)</f>
        <v>0</v>
      </c>
      <c r="CN165" s="224">
        <f t="shared" si="200"/>
        <v>0</v>
      </c>
      <c r="CO165" s="224">
        <f t="shared" si="200"/>
        <v>0</v>
      </c>
      <c r="CP165" s="224">
        <f t="shared" si="200"/>
        <v>0</v>
      </c>
      <c r="CQ165" s="224">
        <f t="shared" si="200"/>
        <v>0</v>
      </c>
      <c r="CR165" s="224">
        <f t="shared" si="200"/>
        <v>0</v>
      </c>
      <c r="CS165" s="224">
        <f t="shared" si="200"/>
        <v>0</v>
      </c>
      <c r="CT165" s="224">
        <f t="shared" si="200"/>
        <v>0</v>
      </c>
      <c r="CU165" s="224">
        <f t="shared" si="200"/>
        <v>0</v>
      </c>
      <c r="CV165" s="224">
        <f t="shared" si="200"/>
        <v>0</v>
      </c>
      <c r="CW165" s="224">
        <f t="shared" si="200"/>
        <v>0</v>
      </c>
      <c r="CX165" s="224">
        <f t="shared" si="200"/>
        <v>0</v>
      </c>
      <c r="CY165" s="218"/>
    </row>
    <row r="166" spans="2:103" hidden="1" outlineLevel="1">
      <c r="B166" t="str">
        <f t="shared" si="55"/>
        <v>Site 25</v>
      </c>
      <c r="C166" s="230">
        <f>VLOOKUP(D33,'Scaling Tables'!$B$123:$C$149,2,FALSE)-VLOOKUP($C$4,'Scaling Tables'!$B$123:$C$149,2,FALSE)</f>
        <v>0</v>
      </c>
      <c r="D166" s="224">
        <f t="shared" ref="D166:O166" si="201">IF($T33&gt;0,(((EXP(-(1/(Morning_Peak_Duration__hours*2))*(D$141-(Morning_Peak_Time__24hr_clock+$C166))^2))+(EXP(-(1/(Afternoon_Peak_Duration__hours*2))*(D$141-(Afternoon_Peak_Time__24hr_clock+$C166))^2)))*$U33)/TZCalibrationValue,0)</f>
        <v>0</v>
      </c>
      <c r="E166" s="224">
        <f t="shared" si="201"/>
        <v>0</v>
      </c>
      <c r="F166" s="224">
        <f t="shared" si="201"/>
        <v>0</v>
      </c>
      <c r="G166" s="224">
        <f t="shared" si="201"/>
        <v>0</v>
      </c>
      <c r="H166" s="224">
        <f t="shared" si="201"/>
        <v>0</v>
      </c>
      <c r="I166" s="224">
        <f t="shared" si="201"/>
        <v>0</v>
      </c>
      <c r="J166" s="224">
        <f t="shared" si="201"/>
        <v>0</v>
      </c>
      <c r="K166" s="224">
        <f t="shared" si="201"/>
        <v>0</v>
      </c>
      <c r="L166" s="224">
        <f t="shared" si="201"/>
        <v>0</v>
      </c>
      <c r="M166" s="224">
        <f t="shared" si="201"/>
        <v>0</v>
      </c>
      <c r="N166" s="224">
        <f t="shared" si="201"/>
        <v>0</v>
      </c>
      <c r="O166" s="224">
        <f t="shared" si="201"/>
        <v>0</v>
      </c>
      <c r="P166" s="229">
        <f t="shared" si="57"/>
        <v>0</v>
      </c>
      <c r="Q166" s="229">
        <f t="shared" si="58"/>
        <v>0</v>
      </c>
      <c r="R166" s="229">
        <f t="shared" si="59"/>
        <v>0</v>
      </c>
      <c r="S166" s="229">
        <f t="shared" si="60"/>
        <v>0</v>
      </c>
      <c r="T166" s="229">
        <f t="shared" si="61"/>
        <v>0</v>
      </c>
      <c r="U166" s="229">
        <f t="shared" si="62"/>
        <v>0</v>
      </c>
      <c r="V166" s="229">
        <f t="shared" si="63"/>
        <v>0</v>
      </c>
      <c r="W166" s="229">
        <f t="shared" si="64"/>
        <v>0</v>
      </c>
      <c r="X166" s="229">
        <f t="shared" si="65"/>
        <v>0</v>
      </c>
      <c r="Y166" s="229">
        <f t="shared" si="66"/>
        <v>0</v>
      </c>
      <c r="Z166" s="229">
        <f t="shared" si="67"/>
        <v>0</v>
      </c>
      <c r="AA166" s="229">
        <f t="shared" si="68"/>
        <v>0</v>
      </c>
      <c r="AB166" s="229">
        <f t="shared" si="69"/>
        <v>0</v>
      </c>
      <c r="AC166" s="229">
        <f t="shared" si="70"/>
        <v>0</v>
      </c>
      <c r="AD166" s="229">
        <f t="shared" si="71"/>
        <v>0</v>
      </c>
      <c r="AE166" s="229">
        <f t="shared" si="72"/>
        <v>0</v>
      </c>
      <c r="AF166" s="229">
        <f t="shared" si="73"/>
        <v>0</v>
      </c>
      <c r="AG166" s="229">
        <f t="shared" si="74"/>
        <v>0</v>
      </c>
      <c r="AH166" s="229">
        <f t="shared" si="75"/>
        <v>0</v>
      </c>
      <c r="AI166" s="229">
        <f t="shared" si="76"/>
        <v>0</v>
      </c>
      <c r="AJ166" s="229">
        <f t="shared" si="77"/>
        <v>0</v>
      </c>
      <c r="AK166" s="229">
        <f t="shared" si="78"/>
        <v>0</v>
      </c>
      <c r="AL166" s="229">
        <f t="shared" si="79"/>
        <v>0</v>
      </c>
      <c r="AM166" s="229">
        <f t="shared" si="80"/>
        <v>0</v>
      </c>
      <c r="AN166" s="224">
        <f t="shared" ref="AN166:AY166" si="202">IF($T33&gt;0,(((EXP(-(1/(Morning_Peak_Duration__hours*2))*(AN$141-(Morning_Peak_Time__24hr_clock+$C166))^2))+(EXP(-(1/(Afternoon_Peak_Duration__hours*2))*(AN$141-(Afternoon_Peak_Time__24hr_clock+$C166))^2)))*$U33)/TZCalibrationValue,0)</f>
        <v>0</v>
      </c>
      <c r="AO166" s="224">
        <f t="shared" si="202"/>
        <v>0</v>
      </c>
      <c r="AP166" s="224">
        <f t="shared" si="202"/>
        <v>0</v>
      </c>
      <c r="AQ166" s="224">
        <f t="shared" si="202"/>
        <v>0</v>
      </c>
      <c r="AR166" s="224">
        <f t="shared" si="202"/>
        <v>0</v>
      </c>
      <c r="AS166" s="224">
        <f t="shared" si="202"/>
        <v>0</v>
      </c>
      <c r="AT166" s="224">
        <f t="shared" si="202"/>
        <v>0</v>
      </c>
      <c r="AU166" s="224">
        <f t="shared" si="202"/>
        <v>0</v>
      </c>
      <c r="AV166" s="224">
        <f t="shared" si="202"/>
        <v>0</v>
      </c>
      <c r="AW166" s="224">
        <f t="shared" si="202"/>
        <v>0</v>
      </c>
      <c r="AX166" s="224">
        <f t="shared" si="202"/>
        <v>0</v>
      </c>
      <c r="AY166" s="224">
        <f t="shared" si="202"/>
        <v>0</v>
      </c>
      <c r="AZ166" s="218"/>
      <c r="BA166"/>
      <c r="BB166" s="176" t="str">
        <f t="shared" si="82"/>
        <v>Site 25</v>
      </c>
      <c r="BC166" s="224">
        <f t="shared" ref="BC166:BN166" si="203">IF($T33&gt;0,(((EXP(-(1/(Morning_Peak_Duration__hours*2))*(BC$141-(Morning_Peak_Time__24hr_clock+$C166))^2))+(EXP(-(1/(Afternoon_Peak_Duration__hours*2))*(BC$141-(Afternoon_Peak_Time__24hr_clock+$C166))^2)))*$V33)/TZCalibrationValue,0)</f>
        <v>0</v>
      </c>
      <c r="BD166" s="224">
        <f t="shared" si="203"/>
        <v>0</v>
      </c>
      <c r="BE166" s="224">
        <f t="shared" si="203"/>
        <v>0</v>
      </c>
      <c r="BF166" s="224">
        <f t="shared" si="203"/>
        <v>0</v>
      </c>
      <c r="BG166" s="224">
        <f t="shared" si="203"/>
        <v>0</v>
      </c>
      <c r="BH166" s="224">
        <f t="shared" si="203"/>
        <v>0</v>
      </c>
      <c r="BI166" s="224">
        <f t="shared" si="203"/>
        <v>0</v>
      </c>
      <c r="BJ166" s="224">
        <f t="shared" si="203"/>
        <v>0</v>
      </c>
      <c r="BK166" s="224">
        <f t="shared" si="203"/>
        <v>0</v>
      </c>
      <c r="BL166" s="224">
        <f t="shared" si="203"/>
        <v>0</v>
      </c>
      <c r="BM166" s="224">
        <f t="shared" si="203"/>
        <v>0</v>
      </c>
      <c r="BN166" s="224">
        <f t="shared" si="203"/>
        <v>0</v>
      </c>
      <c r="BO166" s="229">
        <f t="shared" si="84"/>
        <v>0</v>
      </c>
      <c r="BP166" s="229">
        <f t="shared" si="85"/>
        <v>0</v>
      </c>
      <c r="BQ166" s="229">
        <f t="shared" si="86"/>
        <v>0</v>
      </c>
      <c r="BR166" s="229">
        <f t="shared" si="87"/>
        <v>0</v>
      </c>
      <c r="BS166" s="229">
        <f t="shared" si="88"/>
        <v>0</v>
      </c>
      <c r="BT166" s="229">
        <f t="shared" si="89"/>
        <v>0</v>
      </c>
      <c r="BU166" s="229">
        <f t="shared" si="90"/>
        <v>0</v>
      </c>
      <c r="BV166" s="229">
        <f t="shared" si="91"/>
        <v>0</v>
      </c>
      <c r="BW166" s="229">
        <f t="shared" si="92"/>
        <v>0</v>
      </c>
      <c r="BX166" s="229">
        <f t="shared" si="93"/>
        <v>0</v>
      </c>
      <c r="BY166" s="229">
        <f t="shared" si="94"/>
        <v>0</v>
      </c>
      <c r="BZ166" s="229">
        <f t="shared" si="95"/>
        <v>0</v>
      </c>
      <c r="CA166" s="229">
        <f t="shared" si="96"/>
        <v>0</v>
      </c>
      <c r="CB166" s="229">
        <f t="shared" si="97"/>
        <v>0</v>
      </c>
      <c r="CC166" s="229">
        <f t="shared" si="98"/>
        <v>0</v>
      </c>
      <c r="CD166" s="229">
        <f t="shared" si="99"/>
        <v>0</v>
      </c>
      <c r="CE166" s="229">
        <f t="shared" si="100"/>
        <v>0</v>
      </c>
      <c r="CF166" s="229">
        <f t="shared" si="101"/>
        <v>0</v>
      </c>
      <c r="CG166" s="229">
        <f t="shared" si="102"/>
        <v>0</v>
      </c>
      <c r="CH166" s="229">
        <f t="shared" si="103"/>
        <v>0</v>
      </c>
      <c r="CI166" s="229">
        <f t="shared" si="104"/>
        <v>0</v>
      </c>
      <c r="CJ166" s="229">
        <f t="shared" si="105"/>
        <v>0</v>
      </c>
      <c r="CK166" s="229">
        <f t="shared" si="106"/>
        <v>0</v>
      </c>
      <c r="CL166" s="229">
        <f t="shared" si="107"/>
        <v>0</v>
      </c>
      <c r="CM166" s="224">
        <f t="shared" ref="CM166:CX166" si="204">IF($T33&gt;0,(((EXP(-(1/(Morning_Peak_Duration__hours*2))*(CM$141-(Morning_Peak_Time__24hr_clock+$C166))^2))+(EXP(-(1/(Afternoon_Peak_Duration__hours*2))*(CM$141-(Afternoon_Peak_Time__24hr_clock+$C166))^2)))*$V33)/TZCalibrationValue,0)</f>
        <v>0</v>
      </c>
      <c r="CN166" s="224">
        <f t="shared" si="204"/>
        <v>0</v>
      </c>
      <c r="CO166" s="224">
        <f t="shared" si="204"/>
        <v>0</v>
      </c>
      <c r="CP166" s="224">
        <f t="shared" si="204"/>
        <v>0</v>
      </c>
      <c r="CQ166" s="224">
        <f t="shared" si="204"/>
        <v>0</v>
      </c>
      <c r="CR166" s="224">
        <f t="shared" si="204"/>
        <v>0</v>
      </c>
      <c r="CS166" s="224">
        <f t="shared" si="204"/>
        <v>0</v>
      </c>
      <c r="CT166" s="224">
        <f t="shared" si="204"/>
        <v>0</v>
      </c>
      <c r="CU166" s="224">
        <f t="shared" si="204"/>
        <v>0</v>
      </c>
      <c r="CV166" s="224">
        <f t="shared" si="204"/>
        <v>0</v>
      </c>
      <c r="CW166" s="224">
        <f t="shared" si="204"/>
        <v>0</v>
      </c>
      <c r="CX166" s="224">
        <f t="shared" si="204"/>
        <v>0</v>
      </c>
      <c r="CY166" s="218"/>
    </row>
    <row r="167" spans="2:103" hidden="1" outlineLevel="1">
      <c r="B167" t="str">
        <f t="shared" si="55"/>
        <v>Site 26</v>
      </c>
      <c r="C167" s="230">
        <f>VLOOKUP(D34,'Scaling Tables'!$B$123:$C$149,2,FALSE)-VLOOKUP($C$4,'Scaling Tables'!$B$123:$C$149,2,FALSE)</f>
        <v>0</v>
      </c>
      <c r="D167" s="224">
        <f t="shared" ref="D167:O167" si="205">IF($T34&gt;0,(((EXP(-(1/(Morning_Peak_Duration__hours*2))*(D$141-(Morning_Peak_Time__24hr_clock+$C167))^2))+(EXP(-(1/(Afternoon_Peak_Duration__hours*2))*(D$141-(Afternoon_Peak_Time__24hr_clock+$C167))^2)))*$U34)/TZCalibrationValue,0)</f>
        <v>0</v>
      </c>
      <c r="E167" s="224">
        <f t="shared" si="205"/>
        <v>0</v>
      </c>
      <c r="F167" s="224">
        <f t="shared" si="205"/>
        <v>0</v>
      </c>
      <c r="G167" s="224">
        <f t="shared" si="205"/>
        <v>0</v>
      </c>
      <c r="H167" s="224">
        <f t="shared" si="205"/>
        <v>0</v>
      </c>
      <c r="I167" s="224">
        <f t="shared" si="205"/>
        <v>0</v>
      </c>
      <c r="J167" s="224">
        <f t="shared" si="205"/>
        <v>0</v>
      </c>
      <c r="K167" s="224">
        <f t="shared" si="205"/>
        <v>0</v>
      </c>
      <c r="L167" s="224">
        <f t="shared" si="205"/>
        <v>0</v>
      </c>
      <c r="M167" s="224">
        <f t="shared" si="205"/>
        <v>0</v>
      </c>
      <c r="N167" s="224">
        <f t="shared" si="205"/>
        <v>0</v>
      </c>
      <c r="O167" s="224">
        <f t="shared" si="205"/>
        <v>0</v>
      </c>
      <c r="P167" s="229">
        <f t="shared" si="57"/>
        <v>0</v>
      </c>
      <c r="Q167" s="229">
        <f t="shared" si="58"/>
        <v>0</v>
      </c>
      <c r="R167" s="229">
        <f t="shared" si="59"/>
        <v>0</v>
      </c>
      <c r="S167" s="229">
        <f t="shared" si="60"/>
        <v>0</v>
      </c>
      <c r="T167" s="229">
        <f t="shared" si="61"/>
        <v>0</v>
      </c>
      <c r="U167" s="229">
        <f t="shared" si="62"/>
        <v>0</v>
      </c>
      <c r="V167" s="229">
        <f t="shared" si="63"/>
        <v>0</v>
      </c>
      <c r="W167" s="229">
        <f t="shared" si="64"/>
        <v>0</v>
      </c>
      <c r="X167" s="229">
        <f t="shared" si="65"/>
        <v>0</v>
      </c>
      <c r="Y167" s="229">
        <f t="shared" si="66"/>
        <v>0</v>
      </c>
      <c r="Z167" s="229">
        <f t="shared" si="67"/>
        <v>0</v>
      </c>
      <c r="AA167" s="229">
        <f t="shared" si="68"/>
        <v>0</v>
      </c>
      <c r="AB167" s="229">
        <f t="shared" si="69"/>
        <v>0</v>
      </c>
      <c r="AC167" s="229">
        <f t="shared" si="70"/>
        <v>0</v>
      </c>
      <c r="AD167" s="229">
        <f t="shared" si="71"/>
        <v>0</v>
      </c>
      <c r="AE167" s="229">
        <f t="shared" si="72"/>
        <v>0</v>
      </c>
      <c r="AF167" s="229">
        <f t="shared" si="73"/>
        <v>0</v>
      </c>
      <c r="AG167" s="229">
        <f t="shared" si="74"/>
        <v>0</v>
      </c>
      <c r="AH167" s="229">
        <f t="shared" si="75"/>
        <v>0</v>
      </c>
      <c r="AI167" s="229">
        <f t="shared" si="76"/>
        <v>0</v>
      </c>
      <c r="AJ167" s="229">
        <f t="shared" si="77"/>
        <v>0</v>
      </c>
      <c r="AK167" s="229">
        <f t="shared" si="78"/>
        <v>0</v>
      </c>
      <c r="AL167" s="229">
        <f t="shared" si="79"/>
        <v>0</v>
      </c>
      <c r="AM167" s="229">
        <f t="shared" si="80"/>
        <v>0</v>
      </c>
      <c r="AN167" s="224">
        <f t="shared" ref="AN167:AY167" si="206">IF($T34&gt;0,(((EXP(-(1/(Morning_Peak_Duration__hours*2))*(AN$141-(Morning_Peak_Time__24hr_clock+$C167))^2))+(EXP(-(1/(Afternoon_Peak_Duration__hours*2))*(AN$141-(Afternoon_Peak_Time__24hr_clock+$C167))^2)))*$U34)/TZCalibrationValue,0)</f>
        <v>0</v>
      </c>
      <c r="AO167" s="224">
        <f t="shared" si="206"/>
        <v>0</v>
      </c>
      <c r="AP167" s="224">
        <f t="shared" si="206"/>
        <v>0</v>
      </c>
      <c r="AQ167" s="224">
        <f t="shared" si="206"/>
        <v>0</v>
      </c>
      <c r="AR167" s="224">
        <f t="shared" si="206"/>
        <v>0</v>
      </c>
      <c r="AS167" s="224">
        <f t="shared" si="206"/>
        <v>0</v>
      </c>
      <c r="AT167" s="224">
        <f t="shared" si="206"/>
        <v>0</v>
      </c>
      <c r="AU167" s="224">
        <f t="shared" si="206"/>
        <v>0</v>
      </c>
      <c r="AV167" s="224">
        <f t="shared" si="206"/>
        <v>0</v>
      </c>
      <c r="AW167" s="224">
        <f t="shared" si="206"/>
        <v>0</v>
      </c>
      <c r="AX167" s="224">
        <f t="shared" si="206"/>
        <v>0</v>
      </c>
      <c r="AY167" s="224">
        <f t="shared" si="206"/>
        <v>0</v>
      </c>
      <c r="AZ167" s="218"/>
      <c r="BA167"/>
      <c r="BB167" s="176" t="str">
        <f t="shared" si="82"/>
        <v>Site 26</v>
      </c>
      <c r="BC167" s="224">
        <f t="shared" ref="BC167:BN167" si="207">IF($T34&gt;0,(((EXP(-(1/(Morning_Peak_Duration__hours*2))*(BC$141-(Morning_Peak_Time__24hr_clock+$C167))^2))+(EXP(-(1/(Afternoon_Peak_Duration__hours*2))*(BC$141-(Afternoon_Peak_Time__24hr_clock+$C167))^2)))*$V34)/TZCalibrationValue,0)</f>
        <v>0</v>
      </c>
      <c r="BD167" s="224">
        <f t="shared" si="207"/>
        <v>0</v>
      </c>
      <c r="BE167" s="224">
        <f t="shared" si="207"/>
        <v>0</v>
      </c>
      <c r="BF167" s="224">
        <f t="shared" si="207"/>
        <v>0</v>
      </c>
      <c r="BG167" s="224">
        <f t="shared" si="207"/>
        <v>0</v>
      </c>
      <c r="BH167" s="224">
        <f t="shared" si="207"/>
        <v>0</v>
      </c>
      <c r="BI167" s="224">
        <f t="shared" si="207"/>
        <v>0</v>
      </c>
      <c r="BJ167" s="224">
        <f t="shared" si="207"/>
        <v>0</v>
      </c>
      <c r="BK167" s="224">
        <f t="shared" si="207"/>
        <v>0</v>
      </c>
      <c r="BL167" s="224">
        <f t="shared" si="207"/>
        <v>0</v>
      </c>
      <c r="BM167" s="224">
        <f t="shared" si="207"/>
        <v>0</v>
      </c>
      <c r="BN167" s="224">
        <f t="shared" si="207"/>
        <v>0</v>
      </c>
      <c r="BO167" s="229">
        <f t="shared" si="84"/>
        <v>0</v>
      </c>
      <c r="BP167" s="229">
        <f t="shared" si="85"/>
        <v>0</v>
      </c>
      <c r="BQ167" s="229">
        <f t="shared" si="86"/>
        <v>0</v>
      </c>
      <c r="BR167" s="229">
        <f t="shared" si="87"/>
        <v>0</v>
      </c>
      <c r="BS167" s="229">
        <f t="shared" si="88"/>
        <v>0</v>
      </c>
      <c r="BT167" s="229">
        <f t="shared" si="89"/>
        <v>0</v>
      </c>
      <c r="BU167" s="229">
        <f t="shared" si="90"/>
        <v>0</v>
      </c>
      <c r="BV167" s="229">
        <f t="shared" si="91"/>
        <v>0</v>
      </c>
      <c r="BW167" s="229">
        <f t="shared" si="92"/>
        <v>0</v>
      </c>
      <c r="BX167" s="229">
        <f t="shared" si="93"/>
        <v>0</v>
      </c>
      <c r="BY167" s="229">
        <f t="shared" si="94"/>
        <v>0</v>
      </c>
      <c r="BZ167" s="229">
        <f t="shared" si="95"/>
        <v>0</v>
      </c>
      <c r="CA167" s="229">
        <f t="shared" si="96"/>
        <v>0</v>
      </c>
      <c r="CB167" s="229">
        <f t="shared" si="97"/>
        <v>0</v>
      </c>
      <c r="CC167" s="229">
        <f t="shared" si="98"/>
        <v>0</v>
      </c>
      <c r="CD167" s="229">
        <f t="shared" si="99"/>
        <v>0</v>
      </c>
      <c r="CE167" s="229">
        <f t="shared" si="100"/>
        <v>0</v>
      </c>
      <c r="CF167" s="229">
        <f t="shared" si="101"/>
        <v>0</v>
      </c>
      <c r="CG167" s="229">
        <f t="shared" si="102"/>
        <v>0</v>
      </c>
      <c r="CH167" s="229">
        <f t="shared" si="103"/>
        <v>0</v>
      </c>
      <c r="CI167" s="229">
        <f t="shared" si="104"/>
        <v>0</v>
      </c>
      <c r="CJ167" s="229">
        <f t="shared" si="105"/>
        <v>0</v>
      </c>
      <c r="CK167" s="229">
        <f t="shared" si="106"/>
        <v>0</v>
      </c>
      <c r="CL167" s="229">
        <f t="shared" si="107"/>
        <v>0</v>
      </c>
      <c r="CM167" s="224">
        <f t="shared" ref="CM167:CX167" si="208">IF($T34&gt;0,(((EXP(-(1/(Morning_Peak_Duration__hours*2))*(CM$141-(Morning_Peak_Time__24hr_clock+$C167))^2))+(EXP(-(1/(Afternoon_Peak_Duration__hours*2))*(CM$141-(Afternoon_Peak_Time__24hr_clock+$C167))^2)))*$V34)/TZCalibrationValue,0)</f>
        <v>0</v>
      </c>
      <c r="CN167" s="224">
        <f t="shared" si="208"/>
        <v>0</v>
      </c>
      <c r="CO167" s="224">
        <f t="shared" si="208"/>
        <v>0</v>
      </c>
      <c r="CP167" s="224">
        <f t="shared" si="208"/>
        <v>0</v>
      </c>
      <c r="CQ167" s="224">
        <f t="shared" si="208"/>
        <v>0</v>
      </c>
      <c r="CR167" s="224">
        <f t="shared" si="208"/>
        <v>0</v>
      </c>
      <c r="CS167" s="224">
        <f t="shared" si="208"/>
        <v>0</v>
      </c>
      <c r="CT167" s="224">
        <f t="shared" si="208"/>
        <v>0</v>
      </c>
      <c r="CU167" s="224">
        <f t="shared" si="208"/>
        <v>0</v>
      </c>
      <c r="CV167" s="224">
        <f t="shared" si="208"/>
        <v>0</v>
      </c>
      <c r="CW167" s="224">
        <f t="shared" si="208"/>
        <v>0</v>
      </c>
      <c r="CX167" s="224">
        <f t="shared" si="208"/>
        <v>0</v>
      </c>
      <c r="CY167" s="218"/>
    </row>
    <row r="168" spans="2:103" hidden="1" outlineLevel="1">
      <c r="B168" t="str">
        <f t="shared" si="55"/>
        <v>Site 27</v>
      </c>
      <c r="C168" s="230">
        <f>VLOOKUP(D35,'Scaling Tables'!$B$123:$C$149,2,FALSE)-VLOOKUP($C$4,'Scaling Tables'!$B$123:$C$149,2,FALSE)</f>
        <v>0</v>
      </c>
      <c r="D168" s="224">
        <f t="shared" ref="D168:O168" si="209">IF($T35&gt;0,(((EXP(-(1/(Morning_Peak_Duration__hours*2))*(D$141-(Morning_Peak_Time__24hr_clock+$C168))^2))+(EXP(-(1/(Afternoon_Peak_Duration__hours*2))*(D$141-(Afternoon_Peak_Time__24hr_clock+$C168))^2)))*$U35)/TZCalibrationValue,0)</f>
        <v>0</v>
      </c>
      <c r="E168" s="224">
        <f t="shared" si="209"/>
        <v>0</v>
      </c>
      <c r="F168" s="224">
        <f t="shared" si="209"/>
        <v>0</v>
      </c>
      <c r="G168" s="224">
        <f t="shared" si="209"/>
        <v>0</v>
      </c>
      <c r="H168" s="224">
        <f t="shared" si="209"/>
        <v>0</v>
      </c>
      <c r="I168" s="224">
        <f t="shared" si="209"/>
        <v>0</v>
      </c>
      <c r="J168" s="224">
        <f t="shared" si="209"/>
        <v>0</v>
      </c>
      <c r="K168" s="224">
        <f t="shared" si="209"/>
        <v>0</v>
      </c>
      <c r="L168" s="224">
        <f t="shared" si="209"/>
        <v>0</v>
      </c>
      <c r="M168" s="224">
        <f t="shared" si="209"/>
        <v>0</v>
      </c>
      <c r="N168" s="224">
        <f t="shared" si="209"/>
        <v>0</v>
      </c>
      <c r="O168" s="224">
        <f t="shared" si="209"/>
        <v>0</v>
      </c>
      <c r="P168" s="229">
        <f t="shared" si="57"/>
        <v>0</v>
      </c>
      <c r="Q168" s="229">
        <f t="shared" si="58"/>
        <v>0</v>
      </c>
      <c r="R168" s="229">
        <f t="shared" si="59"/>
        <v>0</v>
      </c>
      <c r="S168" s="229">
        <f t="shared" si="60"/>
        <v>0</v>
      </c>
      <c r="T168" s="229">
        <f t="shared" si="61"/>
        <v>0</v>
      </c>
      <c r="U168" s="229">
        <f t="shared" si="62"/>
        <v>0</v>
      </c>
      <c r="V168" s="229">
        <f t="shared" si="63"/>
        <v>0</v>
      </c>
      <c r="W168" s="229">
        <f t="shared" si="64"/>
        <v>0</v>
      </c>
      <c r="X168" s="229">
        <f t="shared" si="65"/>
        <v>0</v>
      </c>
      <c r="Y168" s="229">
        <f t="shared" si="66"/>
        <v>0</v>
      </c>
      <c r="Z168" s="229">
        <f t="shared" si="67"/>
        <v>0</v>
      </c>
      <c r="AA168" s="229">
        <f t="shared" si="68"/>
        <v>0</v>
      </c>
      <c r="AB168" s="229">
        <f t="shared" si="69"/>
        <v>0</v>
      </c>
      <c r="AC168" s="229">
        <f t="shared" si="70"/>
        <v>0</v>
      </c>
      <c r="AD168" s="229">
        <f t="shared" si="71"/>
        <v>0</v>
      </c>
      <c r="AE168" s="229">
        <f t="shared" si="72"/>
        <v>0</v>
      </c>
      <c r="AF168" s="229">
        <f t="shared" si="73"/>
        <v>0</v>
      </c>
      <c r="AG168" s="229">
        <f t="shared" si="74"/>
        <v>0</v>
      </c>
      <c r="AH168" s="229">
        <f t="shared" si="75"/>
        <v>0</v>
      </c>
      <c r="AI168" s="229">
        <f t="shared" si="76"/>
        <v>0</v>
      </c>
      <c r="AJ168" s="229">
        <f t="shared" si="77"/>
        <v>0</v>
      </c>
      <c r="AK168" s="229">
        <f t="shared" si="78"/>
        <v>0</v>
      </c>
      <c r="AL168" s="229">
        <f t="shared" si="79"/>
        <v>0</v>
      </c>
      <c r="AM168" s="229">
        <f t="shared" si="80"/>
        <v>0</v>
      </c>
      <c r="AN168" s="224">
        <f t="shared" ref="AN168:AY168" si="210">IF($T35&gt;0,(((EXP(-(1/(Morning_Peak_Duration__hours*2))*(AN$141-(Morning_Peak_Time__24hr_clock+$C168))^2))+(EXP(-(1/(Afternoon_Peak_Duration__hours*2))*(AN$141-(Afternoon_Peak_Time__24hr_clock+$C168))^2)))*$U35)/TZCalibrationValue,0)</f>
        <v>0</v>
      </c>
      <c r="AO168" s="224">
        <f t="shared" si="210"/>
        <v>0</v>
      </c>
      <c r="AP168" s="224">
        <f t="shared" si="210"/>
        <v>0</v>
      </c>
      <c r="AQ168" s="224">
        <f t="shared" si="210"/>
        <v>0</v>
      </c>
      <c r="AR168" s="224">
        <f t="shared" si="210"/>
        <v>0</v>
      </c>
      <c r="AS168" s="224">
        <f t="shared" si="210"/>
        <v>0</v>
      </c>
      <c r="AT168" s="224">
        <f t="shared" si="210"/>
        <v>0</v>
      </c>
      <c r="AU168" s="224">
        <f t="shared" si="210"/>
        <v>0</v>
      </c>
      <c r="AV168" s="224">
        <f t="shared" si="210"/>
        <v>0</v>
      </c>
      <c r="AW168" s="224">
        <f t="shared" si="210"/>
        <v>0</v>
      </c>
      <c r="AX168" s="224">
        <f t="shared" si="210"/>
        <v>0</v>
      </c>
      <c r="AY168" s="224">
        <f t="shared" si="210"/>
        <v>0</v>
      </c>
      <c r="AZ168" s="218"/>
      <c r="BA168"/>
      <c r="BB168" s="176" t="str">
        <f t="shared" si="82"/>
        <v>Site 27</v>
      </c>
      <c r="BC168" s="224">
        <f t="shared" ref="BC168:BN168" si="211">IF($T35&gt;0,(((EXP(-(1/(Morning_Peak_Duration__hours*2))*(BC$141-(Morning_Peak_Time__24hr_clock+$C168))^2))+(EXP(-(1/(Afternoon_Peak_Duration__hours*2))*(BC$141-(Afternoon_Peak_Time__24hr_clock+$C168))^2)))*$V35)/TZCalibrationValue,0)</f>
        <v>0</v>
      </c>
      <c r="BD168" s="224">
        <f t="shared" si="211"/>
        <v>0</v>
      </c>
      <c r="BE168" s="224">
        <f t="shared" si="211"/>
        <v>0</v>
      </c>
      <c r="BF168" s="224">
        <f t="shared" si="211"/>
        <v>0</v>
      </c>
      <c r="BG168" s="224">
        <f t="shared" si="211"/>
        <v>0</v>
      </c>
      <c r="BH168" s="224">
        <f t="shared" si="211"/>
        <v>0</v>
      </c>
      <c r="BI168" s="224">
        <f t="shared" si="211"/>
        <v>0</v>
      </c>
      <c r="BJ168" s="224">
        <f t="shared" si="211"/>
        <v>0</v>
      </c>
      <c r="BK168" s="224">
        <f t="shared" si="211"/>
        <v>0</v>
      </c>
      <c r="BL168" s="224">
        <f t="shared" si="211"/>
        <v>0</v>
      </c>
      <c r="BM168" s="224">
        <f t="shared" si="211"/>
        <v>0</v>
      </c>
      <c r="BN168" s="224">
        <f t="shared" si="211"/>
        <v>0</v>
      </c>
      <c r="BO168" s="229">
        <f t="shared" si="84"/>
        <v>0</v>
      </c>
      <c r="BP168" s="229">
        <f t="shared" si="85"/>
        <v>0</v>
      </c>
      <c r="BQ168" s="229">
        <f t="shared" si="86"/>
        <v>0</v>
      </c>
      <c r="BR168" s="229">
        <f t="shared" si="87"/>
        <v>0</v>
      </c>
      <c r="BS168" s="229">
        <f t="shared" si="88"/>
        <v>0</v>
      </c>
      <c r="BT168" s="229">
        <f t="shared" si="89"/>
        <v>0</v>
      </c>
      <c r="BU168" s="229">
        <f t="shared" si="90"/>
        <v>0</v>
      </c>
      <c r="BV168" s="229">
        <f t="shared" si="91"/>
        <v>0</v>
      </c>
      <c r="BW168" s="229">
        <f t="shared" si="92"/>
        <v>0</v>
      </c>
      <c r="BX168" s="229">
        <f t="shared" si="93"/>
        <v>0</v>
      </c>
      <c r="BY168" s="229">
        <f t="shared" si="94"/>
        <v>0</v>
      </c>
      <c r="BZ168" s="229">
        <f t="shared" si="95"/>
        <v>0</v>
      </c>
      <c r="CA168" s="229">
        <f t="shared" si="96"/>
        <v>0</v>
      </c>
      <c r="CB168" s="229">
        <f t="shared" si="97"/>
        <v>0</v>
      </c>
      <c r="CC168" s="229">
        <f t="shared" si="98"/>
        <v>0</v>
      </c>
      <c r="CD168" s="229">
        <f t="shared" si="99"/>
        <v>0</v>
      </c>
      <c r="CE168" s="229">
        <f t="shared" si="100"/>
        <v>0</v>
      </c>
      <c r="CF168" s="229">
        <f t="shared" si="101"/>
        <v>0</v>
      </c>
      <c r="CG168" s="229">
        <f t="shared" si="102"/>
        <v>0</v>
      </c>
      <c r="CH168" s="229">
        <f t="shared" si="103"/>
        <v>0</v>
      </c>
      <c r="CI168" s="229">
        <f t="shared" si="104"/>
        <v>0</v>
      </c>
      <c r="CJ168" s="229">
        <f t="shared" si="105"/>
        <v>0</v>
      </c>
      <c r="CK168" s="229">
        <f t="shared" si="106"/>
        <v>0</v>
      </c>
      <c r="CL168" s="229">
        <f t="shared" si="107"/>
        <v>0</v>
      </c>
      <c r="CM168" s="224">
        <f t="shared" ref="CM168:CX168" si="212">IF($T35&gt;0,(((EXP(-(1/(Morning_Peak_Duration__hours*2))*(CM$141-(Morning_Peak_Time__24hr_clock+$C168))^2))+(EXP(-(1/(Afternoon_Peak_Duration__hours*2))*(CM$141-(Afternoon_Peak_Time__24hr_clock+$C168))^2)))*$V35)/TZCalibrationValue,0)</f>
        <v>0</v>
      </c>
      <c r="CN168" s="224">
        <f t="shared" si="212"/>
        <v>0</v>
      </c>
      <c r="CO168" s="224">
        <f t="shared" si="212"/>
        <v>0</v>
      </c>
      <c r="CP168" s="224">
        <f t="shared" si="212"/>
        <v>0</v>
      </c>
      <c r="CQ168" s="224">
        <f t="shared" si="212"/>
        <v>0</v>
      </c>
      <c r="CR168" s="224">
        <f t="shared" si="212"/>
        <v>0</v>
      </c>
      <c r="CS168" s="224">
        <f t="shared" si="212"/>
        <v>0</v>
      </c>
      <c r="CT168" s="224">
        <f t="shared" si="212"/>
        <v>0</v>
      </c>
      <c r="CU168" s="224">
        <f t="shared" si="212"/>
        <v>0</v>
      </c>
      <c r="CV168" s="224">
        <f t="shared" si="212"/>
        <v>0</v>
      </c>
      <c r="CW168" s="224">
        <f t="shared" si="212"/>
        <v>0</v>
      </c>
      <c r="CX168" s="224">
        <f t="shared" si="212"/>
        <v>0</v>
      </c>
      <c r="CY168" s="218"/>
    </row>
    <row r="169" spans="2:103" hidden="1" outlineLevel="1">
      <c r="B169" t="str">
        <f t="shared" si="55"/>
        <v>Site 28</v>
      </c>
      <c r="C169" s="230">
        <f>VLOOKUP(D36,'Scaling Tables'!$B$123:$C$149,2,FALSE)-VLOOKUP($C$4,'Scaling Tables'!$B$123:$C$149,2,FALSE)</f>
        <v>0</v>
      </c>
      <c r="D169" s="224">
        <f t="shared" ref="D169:O169" si="213">IF($T36&gt;0,(((EXP(-(1/(Morning_Peak_Duration__hours*2))*(D$141-(Morning_Peak_Time__24hr_clock+$C169))^2))+(EXP(-(1/(Afternoon_Peak_Duration__hours*2))*(D$141-(Afternoon_Peak_Time__24hr_clock+$C169))^2)))*$U36)/TZCalibrationValue,0)</f>
        <v>0</v>
      </c>
      <c r="E169" s="224">
        <f t="shared" si="213"/>
        <v>0</v>
      </c>
      <c r="F169" s="224">
        <f t="shared" si="213"/>
        <v>0</v>
      </c>
      <c r="G169" s="224">
        <f t="shared" si="213"/>
        <v>0</v>
      </c>
      <c r="H169" s="224">
        <f t="shared" si="213"/>
        <v>0</v>
      </c>
      <c r="I169" s="224">
        <f t="shared" si="213"/>
        <v>0</v>
      </c>
      <c r="J169" s="224">
        <f t="shared" si="213"/>
        <v>0</v>
      </c>
      <c r="K169" s="224">
        <f t="shared" si="213"/>
        <v>0</v>
      </c>
      <c r="L169" s="224">
        <f t="shared" si="213"/>
        <v>0</v>
      </c>
      <c r="M169" s="224">
        <f t="shared" si="213"/>
        <v>0</v>
      </c>
      <c r="N169" s="224">
        <f t="shared" si="213"/>
        <v>0</v>
      </c>
      <c r="O169" s="224">
        <f t="shared" si="213"/>
        <v>0</v>
      </c>
      <c r="P169" s="229">
        <f t="shared" si="57"/>
        <v>0</v>
      </c>
      <c r="Q169" s="229">
        <f t="shared" si="58"/>
        <v>0</v>
      </c>
      <c r="R169" s="229">
        <f t="shared" si="59"/>
        <v>0</v>
      </c>
      <c r="S169" s="229">
        <f t="shared" si="60"/>
        <v>0</v>
      </c>
      <c r="T169" s="229">
        <f t="shared" si="61"/>
        <v>0</v>
      </c>
      <c r="U169" s="229">
        <f t="shared" si="62"/>
        <v>0</v>
      </c>
      <c r="V169" s="229">
        <f t="shared" si="63"/>
        <v>0</v>
      </c>
      <c r="W169" s="229">
        <f t="shared" si="64"/>
        <v>0</v>
      </c>
      <c r="X169" s="229">
        <f t="shared" si="65"/>
        <v>0</v>
      </c>
      <c r="Y169" s="229">
        <f t="shared" si="66"/>
        <v>0</v>
      </c>
      <c r="Z169" s="229">
        <f t="shared" si="67"/>
        <v>0</v>
      </c>
      <c r="AA169" s="229">
        <f t="shared" si="68"/>
        <v>0</v>
      </c>
      <c r="AB169" s="229">
        <f t="shared" si="69"/>
        <v>0</v>
      </c>
      <c r="AC169" s="229">
        <f t="shared" si="70"/>
        <v>0</v>
      </c>
      <c r="AD169" s="229">
        <f t="shared" si="71"/>
        <v>0</v>
      </c>
      <c r="AE169" s="229">
        <f t="shared" si="72"/>
        <v>0</v>
      </c>
      <c r="AF169" s="229">
        <f t="shared" si="73"/>
        <v>0</v>
      </c>
      <c r="AG169" s="229">
        <f t="shared" si="74"/>
        <v>0</v>
      </c>
      <c r="AH169" s="229">
        <f t="shared" si="75"/>
        <v>0</v>
      </c>
      <c r="AI169" s="229">
        <f t="shared" si="76"/>
        <v>0</v>
      </c>
      <c r="AJ169" s="229">
        <f t="shared" si="77"/>
        <v>0</v>
      </c>
      <c r="AK169" s="229">
        <f t="shared" si="78"/>
        <v>0</v>
      </c>
      <c r="AL169" s="229">
        <f t="shared" si="79"/>
        <v>0</v>
      </c>
      <c r="AM169" s="229">
        <f t="shared" si="80"/>
        <v>0</v>
      </c>
      <c r="AN169" s="224">
        <f t="shared" ref="AN169:AY169" si="214">IF($T36&gt;0,(((EXP(-(1/(Morning_Peak_Duration__hours*2))*(AN$141-(Morning_Peak_Time__24hr_clock+$C169))^2))+(EXP(-(1/(Afternoon_Peak_Duration__hours*2))*(AN$141-(Afternoon_Peak_Time__24hr_clock+$C169))^2)))*$U36)/TZCalibrationValue,0)</f>
        <v>0</v>
      </c>
      <c r="AO169" s="224">
        <f t="shared" si="214"/>
        <v>0</v>
      </c>
      <c r="AP169" s="224">
        <f t="shared" si="214"/>
        <v>0</v>
      </c>
      <c r="AQ169" s="224">
        <f t="shared" si="214"/>
        <v>0</v>
      </c>
      <c r="AR169" s="224">
        <f t="shared" si="214"/>
        <v>0</v>
      </c>
      <c r="AS169" s="224">
        <f t="shared" si="214"/>
        <v>0</v>
      </c>
      <c r="AT169" s="224">
        <f t="shared" si="214"/>
        <v>0</v>
      </c>
      <c r="AU169" s="224">
        <f t="shared" si="214"/>
        <v>0</v>
      </c>
      <c r="AV169" s="224">
        <f t="shared" si="214"/>
        <v>0</v>
      </c>
      <c r="AW169" s="224">
        <f t="shared" si="214"/>
        <v>0</v>
      </c>
      <c r="AX169" s="224">
        <f t="shared" si="214"/>
        <v>0</v>
      </c>
      <c r="AY169" s="224">
        <f t="shared" si="214"/>
        <v>0</v>
      </c>
      <c r="AZ169" s="218"/>
      <c r="BA169"/>
      <c r="BB169" s="176" t="str">
        <f t="shared" si="82"/>
        <v>Site 28</v>
      </c>
      <c r="BC169" s="224">
        <f t="shared" ref="BC169:BN169" si="215">IF($T36&gt;0,(((EXP(-(1/(Morning_Peak_Duration__hours*2))*(BC$141-(Morning_Peak_Time__24hr_clock+$C169))^2))+(EXP(-(1/(Afternoon_Peak_Duration__hours*2))*(BC$141-(Afternoon_Peak_Time__24hr_clock+$C169))^2)))*$V36)/TZCalibrationValue,0)</f>
        <v>0</v>
      </c>
      <c r="BD169" s="224">
        <f t="shared" si="215"/>
        <v>0</v>
      </c>
      <c r="BE169" s="224">
        <f t="shared" si="215"/>
        <v>0</v>
      </c>
      <c r="BF169" s="224">
        <f t="shared" si="215"/>
        <v>0</v>
      </c>
      <c r="BG169" s="224">
        <f t="shared" si="215"/>
        <v>0</v>
      </c>
      <c r="BH169" s="224">
        <f t="shared" si="215"/>
        <v>0</v>
      </c>
      <c r="BI169" s="224">
        <f t="shared" si="215"/>
        <v>0</v>
      </c>
      <c r="BJ169" s="224">
        <f t="shared" si="215"/>
        <v>0</v>
      </c>
      <c r="BK169" s="224">
        <f t="shared" si="215"/>
        <v>0</v>
      </c>
      <c r="BL169" s="224">
        <f t="shared" si="215"/>
        <v>0</v>
      </c>
      <c r="BM169" s="224">
        <f t="shared" si="215"/>
        <v>0</v>
      </c>
      <c r="BN169" s="224">
        <f t="shared" si="215"/>
        <v>0</v>
      </c>
      <c r="BO169" s="229">
        <f t="shared" si="84"/>
        <v>0</v>
      </c>
      <c r="BP169" s="229">
        <f t="shared" si="85"/>
        <v>0</v>
      </c>
      <c r="BQ169" s="229">
        <f t="shared" si="86"/>
        <v>0</v>
      </c>
      <c r="BR169" s="229">
        <f t="shared" si="87"/>
        <v>0</v>
      </c>
      <c r="BS169" s="229">
        <f t="shared" si="88"/>
        <v>0</v>
      </c>
      <c r="BT169" s="229">
        <f t="shared" si="89"/>
        <v>0</v>
      </c>
      <c r="BU169" s="229">
        <f t="shared" si="90"/>
        <v>0</v>
      </c>
      <c r="BV169" s="229">
        <f t="shared" si="91"/>
        <v>0</v>
      </c>
      <c r="BW169" s="229">
        <f t="shared" si="92"/>
        <v>0</v>
      </c>
      <c r="BX169" s="229">
        <f t="shared" si="93"/>
        <v>0</v>
      </c>
      <c r="BY169" s="229">
        <f t="shared" si="94"/>
        <v>0</v>
      </c>
      <c r="BZ169" s="229">
        <f t="shared" si="95"/>
        <v>0</v>
      </c>
      <c r="CA169" s="229">
        <f t="shared" si="96"/>
        <v>0</v>
      </c>
      <c r="CB169" s="229">
        <f t="shared" si="97"/>
        <v>0</v>
      </c>
      <c r="CC169" s="229">
        <f t="shared" si="98"/>
        <v>0</v>
      </c>
      <c r="CD169" s="229">
        <f t="shared" si="99"/>
        <v>0</v>
      </c>
      <c r="CE169" s="229">
        <f t="shared" si="100"/>
        <v>0</v>
      </c>
      <c r="CF169" s="229">
        <f t="shared" si="101"/>
        <v>0</v>
      </c>
      <c r="CG169" s="229">
        <f t="shared" si="102"/>
        <v>0</v>
      </c>
      <c r="CH169" s="229">
        <f t="shared" si="103"/>
        <v>0</v>
      </c>
      <c r="CI169" s="229">
        <f t="shared" si="104"/>
        <v>0</v>
      </c>
      <c r="CJ169" s="229">
        <f t="shared" si="105"/>
        <v>0</v>
      </c>
      <c r="CK169" s="229">
        <f t="shared" si="106"/>
        <v>0</v>
      </c>
      <c r="CL169" s="229">
        <f t="shared" si="107"/>
        <v>0</v>
      </c>
      <c r="CM169" s="224">
        <f t="shared" ref="CM169:CX169" si="216">IF($T36&gt;0,(((EXP(-(1/(Morning_Peak_Duration__hours*2))*(CM$141-(Morning_Peak_Time__24hr_clock+$C169))^2))+(EXP(-(1/(Afternoon_Peak_Duration__hours*2))*(CM$141-(Afternoon_Peak_Time__24hr_clock+$C169))^2)))*$V36)/TZCalibrationValue,0)</f>
        <v>0</v>
      </c>
      <c r="CN169" s="224">
        <f t="shared" si="216"/>
        <v>0</v>
      </c>
      <c r="CO169" s="224">
        <f t="shared" si="216"/>
        <v>0</v>
      </c>
      <c r="CP169" s="224">
        <f t="shared" si="216"/>
        <v>0</v>
      </c>
      <c r="CQ169" s="224">
        <f t="shared" si="216"/>
        <v>0</v>
      </c>
      <c r="CR169" s="224">
        <f t="shared" si="216"/>
        <v>0</v>
      </c>
      <c r="CS169" s="224">
        <f t="shared" si="216"/>
        <v>0</v>
      </c>
      <c r="CT169" s="224">
        <f t="shared" si="216"/>
        <v>0</v>
      </c>
      <c r="CU169" s="224">
        <f t="shared" si="216"/>
        <v>0</v>
      </c>
      <c r="CV169" s="224">
        <f t="shared" si="216"/>
        <v>0</v>
      </c>
      <c r="CW169" s="224">
        <f t="shared" si="216"/>
        <v>0</v>
      </c>
      <c r="CX169" s="224">
        <f t="shared" si="216"/>
        <v>0</v>
      </c>
      <c r="CY169" s="218"/>
    </row>
    <row r="170" spans="2:103" hidden="1" outlineLevel="1">
      <c r="B170" t="str">
        <f t="shared" si="55"/>
        <v>Site 29</v>
      </c>
      <c r="C170" s="230">
        <f>VLOOKUP(D37,'Scaling Tables'!$B$123:$C$149,2,FALSE)-VLOOKUP($C$4,'Scaling Tables'!$B$123:$C$149,2,FALSE)</f>
        <v>0</v>
      </c>
      <c r="D170" s="224">
        <f t="shared" ref="D170:O170" si="217">IF($T37&gt;0,(((EXP(-(1/(Morning_Peak_Duration__hours*2))*(D$141-(Morning_Peak_Time__24hr_clock+$C170))^2))+(EXP(-(1/(Afternoon_Peak_Duration__hours*2))*(D$141-(Afternoon_Peak_Time__24hr_clock+$C170))^2)))*$U37)/TZCalibrationValue,0)</f>
        <v>0</v>
      </c>
      <c r="E170" s="224">
        <f t="shared" si="217"/>
        <v>0</v>
      </c>
      <c r="F170" s="224">
        <f t="shared" si="217"/>
        <v>0</v>
      </c>
      <c r="G170" s="224">
        <f t="shared" si="217"/>
        <v>0</v>
      </c>
      <c r="H170" s="224">
        <f t="shared" si="217"/>
        <v>0</v>
      </c>
      <c r="I170" s="224">
        <f t="shared" si="217"/>
        <v>0</v>
      </c>
      <c r="J170" s="224">
        <f t="shared" si="217"/>
        <v>0</v>
      </c>
      <c r="K170" s="224">
        <f t="shared" si="217"/>
        <v>0</v>
      </c>
      <c r="L170" s="224">
        <f t="shared" si="217"/>
        <v>0</v>
      </c>
      <c r="M170" s="224">
        <f t="shared" si="217"/>
        <v>0</v>
      </c>
      <c r="N170" s="224">
        <f t="shared" si="217"/>
        <v>0</v>
      </c>
      <c r="O170" s="224">
        <f t="shared" si="217"/>
        <v>0</v>
      </c>
      <c r="P170" s="229">
        <f t="shared" si="57"/>
        <v>0</v>
      </c>
      <c r="Q170" s="229">
        <f t="shared" si="58"/>
        <v>0</v>
      </c>
      <c r="R170" s="229">
        <f t="shared" si="59"/>
        <v>0</v>
      </c>
      <c r="S170" s="229">
        <f t="shared" si="60"/>
        <v>0</v>
      </c>
      <c r="T170" s="229">
        <f t="shared" si="61"/>
        <v>0</v>
      </c>
      <c r="U170" s="229">
        <f t="shared" si="62"/>
        <v>0</v>
      </c>
      <c r="V170" s="229">
        <f t="shared" si="63"/>
        <v>0</v>
      </c>
      <c r="W170" s="229">
        <f t="shared" si="64"/>
        <v>0</v>
      </c>
      <c r="X170" s="229">
        <f t="shared" si="65"/>
        <v>0</v>
      </c>
      <c r="Y170" s="229">
        <f t="shared" si="66"/>
        <v>0</v>
      </c>
      <c r="Z170" s="229">
        <f t="shared" si="67"/>
        <v>0</v>
      </c>
      <c r="AA170" s="229">
        <f t="shared" si="68"/>
        <v>0</v>
      </c>
      <c r="AB170" s="229">
        <f t="shared" si="69"/>
        <v>0</v>
      </c>
      <c r="AC170" s="229">
        <f t="shared" si="70"/>
        <v>0</v>
      </c>
      <c r="AD170" s="229">
        <f t="shared" si="71"/>
        <v>0</v>
      </c>
      <c r="AE170" s="229">
        <f t="shared" si="72"/>
        <v>0</v>
      </c>
      <c r="AF170" s="229">
        <f t="shared" si="73"/>
        <v>0</v>
      </c>
      <c r="AG170" s="229">
        <f t="shared" si="74"/>
        <v>0</v>
      </c>
      <c r="AH170" s="229">
        <f t="shared" si="75"/>
        <v>0</v>
      </c>
      <c r="AI170" s="229">
        <f t="shared" si="76"/>
        <v>0</v>
      </c>
      <c r="AJ170" s="229">
        <f t="shared" si="77"/>
        <v>0</v>
      </c>
      <c r="AK170" s="229">
        <f t="shared" si="78"/>
        <v>0</v>
      </c>
      <c r="AL170" s="229">
        <f t="shared" si="79"/>
        <v>0</v>
      </c>
      <c r="AM170" s="229">
        <f t="shared" si="80"/>
        <v>0</v>
      </c>
      <c r="AN170" s="224">
        <f t="shared" ref="AN170:AY170" si="218">IF($T37&gt;0,(((EXP(-(1/(Morning_Peak_Duration__hours*2))*(AN$141-(Morning_Peak_Time__24hr_clock+$C170))^2))+(EXP(-(1/(Afternoon_Peak_Duration__hours*2))*(AN$141-(Afternoon_Peak_Time__24hr_clock+$C170))^2)))*$U37)/TZCalibrationValue,0)</f>
        <v>0</v>
      </c>
      <c r="AO170" s="224">
        <f t="shared" si="218"/>
        <v>0</v>
      </c>
      <c r="AP170" s="224">
        <f t="shared" si="218"/>
        <v>0</v>
      </c>
      <c r="AQ170" s="224">
        <f t="shared" si="218"/>
        <v>0</v>
      </c>
      <c r="AR170" s="224">
        <f t="shared" si="218"/>
        <v>0</v>
      </c>
      <c r="AS170" s="224">
        <f t="shared" si="218"/>
        <v>0</v>
      </c>
      <c r="AT170" s="224">
        <f t="shared" si="218"/>
        <v>0</v>
      </c>
      <c r="AU170" s="224">
        <f t="shared" si="218"/>
        <v>0</v>
      </c>
      <c r="AV170" s="224">
        <f t="shared" si="218"/>
        <v>0</v>
      </c>
      <c r="AW170" s="224">
        <f t="shared" si="218"/>
        <v>0</v>
      </c>
      <c r="AX170" s="224">
        <f t="shared" si="218"/>
        <v>0</v>
      </c>
      <c r="AY170" s="224">
        <f t="shared" si="218"/>
        <v>0</v>
      </c>
      <c r="AZ170" s="218"/>
      <c r="BA170"/>
      <c r="BB170" s="176" t="str">
        <f t="shared" si="82"/>
        <v>Site 29</v>
      </c>
      <c r="BC170" s="224">
        <f t="shared" ref="BC170:BN170" si="219">IF($T37&gt;0,(((EXP(-(1/(Morning_Peak_Duration__hours*2))*(BC$141-(Morning_Peak_Time__24hr_clock+$C170))^2))+(EXP(-(1/(Afternoon_Peak_Duration__hours*2))*(BC$141-(Afternoon_Peak_Time__24hr_clock+$C170))^2)))*$V37)/TZCalibrationValue,0)</f>
        <v>0</v>
      </c>
      <c r="BD170" s="224">
        <f t="shared" si="219"/>
        <v>0</v>
      </c>
      <c r="BE170" s="224">
        <f t="shared" si="219"/>
        <v>0</v>
      </c>
      <c r="BF170" s="224">
        <f t="shared" si="219"/>
        <v>0</v>
      </c>
      <c r="BG170" s="224">
        <f t="shared" si="219"/>
        <v>0</v>
      </c>
      <c r="BH170" s="224">
        <f t="shared" si="219"/>
        <v>0</v>
      </c>
      <c r="BI170" s="224">
        <f t="shared" si="219"/>
        <v>0</v>
      </c>
      <c r="BJ170" s="224">
        <f t="shared" si="219"/>
        <v>0</v>
      </c>
      <c r="BK170" s="224">
        <f t="shared" si="219"/>
        <v>0</v>
      </c>
      <c r="BL170" s="224">
        <f t="shared" si="219"/>
        <v>0</v>
      </c>
      <c r="BM170" s="224">
        <f t="shared" si="219"/>
        <v>0</v>
      </c>
      <c r="BN170" s="224">
        <f t="shared" si="219"/>
        <v>0</v>
      </c>
      <c r="BO170" s="229">
        <f t="shared" si="84"/>
        <v>0</v>
      </c>
      <c r="BP170" s="229">
        <f t="shared" si="85"/>
        <v>0</v>
      </c>
      <c r="BQ170" s="229">
        <f t="shared" si="86"/>
        <v>0</v>
      </c>
      <c r="BR170" s="229">
        <f t="shared" si="87"/>
        <v>0</v>
      </c>
      <c r="BS170" s="229">
        <f t="shared" si="88"/>
        <v>0</v>
      </c>
      <c r="BT170" s="229">
        <f t="shared" si="89"/>
        <v>0</v>
      </c>
      <c r="BU170" s="229">
        <f t="shared" si="90"/>
        <v>0</v>
      </c>
      <c r="BV170" s="229">
        <f t="shared" si="91"/>
        <v>0</v>
      </c>
      <c r="BW170" s="229">
        <f t="shared" si="92"/>
        <v>0</v>
      </c>
      <c r="BX170" s="229">
        <f t="shared" si="93"/>
        <v>0</v>
      </c>
      <c r="BY170" s="229">
        <f t="shared" si="94"/>
        <v>0</v>
      </c>
      <c r="BZ170" s="229">
        <f t="shared" si="95"/>
        <v>0</v>
      </c>
      <c r="CA170" s="229">
        <f t="shared" si="96"/>
        <v>0</v>
      </c>
      <c r="CB170" s="229">
        <f t="shared" si="97"/>
        <v>0</v>
      </c>
      <c r="CC170" s="229">
        <f t="shared" si="98"/>
        <v>0</v>
      </c>
      <c r="CD170" s="229">
        <f t="shared" si="99"/>
        <v>0</v>
      </c>
      <c r="CE170" s="229">
        <f t="shared" si="100"/>
        <v>0</v>
      </c>
      <c r="CF170" s="229">
        <f t="shared" si="101"/>
        <v>0</v>
      </c>
      <c r="CG170" s="229">
        <f t="shared" si="102"/>
        <v>0</v>
      </c>
      <c r="CH170" s="229">
        <f t="shared" si="103"/>
        <v>0</v>
      </c>
      <c r="CI170" s="229">
        <f t="shared" si="104"/>
        <v>0</v>
      </c>
      <c r="CJ170" s="229">
        <f t="shared" si="105"/>
        <v>0</v>
      </c>
      <c r="CK170" s="229">
        <f t="shared" si="106"/>
        <v>0</v>
      </c>
      <c r="CL170" s="229">
        <f t="shared" si="107"/>
        <v>0</v>
      </c>
      <c r="CM170" s="224">
        <f t="shared" ref="CM170:CX170" si="220">IF($T37&gt;0,(((EXP(-(1/(Morning_Peak_Duration__hours*2))*(CM$141-(Morning_Peak_Time__24hr_clock+$C170))^2))+(EXP(-(1/(Afternoon_Peak_Duration__hours*2))*(CM$141-(Afternoon_Peak_Time__24hr_clock+$C170))^2)))*$V37)/TZCalibrationValue,0)</f>
        <v>0</v>
      </c>
      <c r="CN170" s="224">
        <f t="shared" si="220"/>
        <v>0</v>
      </c>
      <c r="CO170" s="224">
        <f t="shared" si="220"/>
        <v>0</v>
      </c>
      <c r="CP170" s="224">
        <f t="shared" si="220"/>
        <v>0</v>
      </c>
      <c r="CQ170" s="224">
        <f t="shared" si="220"/>
        <v>0</v>
      </c>
      <c r="CR170" s="224">
        <f t="shared" si="220"/>
        <v>0</v>
      </c>
      <c r="CS170" s="224">
        <f t="shared" si="220"/>
        <v>0</v>
      </c>
      <c r="CT170" s="224">
        <f t="shared" si="220"/>
        <v>0</v>
      </c>
      <c r="CU170" s="224">
        <f t="shared" si="220"/>
        <v>0</v>
      </c>
      <c r="CV170" s="224">
        <f t="shared" si="220"/>
        <v>0</v>
      </c>
      <c r="CW170" s="224">
        <f t="shared" si="220"/>
        <v>0</v>
      </c>
      <c r="CX170" s="224">
        <f t="shared" si="220"/>
        <v>0</v>
      </c>
      <c r="CY170" s="218"/>
    </row>
    <row r="171" spans="2:103" hidden="1" outlineLevel="1">
      <c r="B171" t="str">
        <f t="shared" si="55"/>
        <v>Site 30</v>
      </c>
      <c r="C171" s="230">
        <f>VLOOKUP(D38,'Scaling Tables'!$B$123:$C$149,2,FALSE)-VLOOKUP($C$4,'Scaling Tables'!$B$123:$C$149,2,FALSE)</f>
        <v>0</v>
      </c>
      <c r="D171" s="224">
        <f t="shared" ref="D171:O171" si="221">IF($T38&gt;0,(((EXP(-(1/(Morning_Peak_Duration__hours*2))*(D$141-(Morning_Peak_Time__24hr_clock+$C171))^2))+(EXP(-(1/(Afternoon_Peak_Duration__hours*2))*(D$141-(Afternoon_Peak_Time__24hr_clock+$C171))^2)))*$U38)/TZCalibrationValue,0)</f>
        <v>0</v>
      </c>
      <c r="E171" s="224">
        <f t="shared" si="221"/>
        <v>0</v>
      </c>
      <c r="F171" s="224">
        <f t="shared" si="221"/>
        <v>0</v>
      </c>
      <c r="G171" s="224">
        <f t="shared" si="221"/>
        <v>0</v>
      </c>
      <c r="H171" s="224">
        <f t="shared" si="221"/>
        <v>0</v>
      </c>
      <c r="I171" s="224">
        <f t="shared" si="221"/>
        <v>0</v>
      </c>
      <c r="J171" s="224">
        <f t="shared" si="221"/>
        <v>0</v>
      </c>
      <c r="K171" s="224">
        <f t="shared" si="221"/>
        <v>0</v>
      </c>
      <c r="L171" s="224">
        <f t="shared" si="221"/>
        <v>0</v>
      </c>
      <c r="M171" s="224">
        <f t="shared" si="221"/>
        <v>0</v>
      </c>
      <c r="N171" s="224">
        <f t="shared" si="221"/>
        <v>0</v>
      </c>
      <c r="O171" s="224">
        <f t="shared" si="221"/>
        <v>0</v>
      </c>
      <c r="P171" s="229">
        <f t="shared" si="57"/>
        <v>0</v>
      </c>
      <c r="Q171" s="229">
        <f t="shared" si="58"/>
        <v>0</v>
      </c>
      <c r="R171" s="229">
        <f t="shared" si="59"/>
        <v>0</v>
      </c>
      <c r="S171" s="229">
        <f t="shared" si="60"/>
        <v>0</v>
      </c>
      <c r="T171" s="229">
        <f t="shared" si="61"/>
        <v>0</v>
      </c>
      <c r="U171" s="229">
        <f t="shared" si="62"/>
        <v>0</v>
      </c>
      <c r="V171" s="229">
        <f t="shared" si="63"/>
        <v>0</v>
      </c>
      <c r="W171" s="229">
        <f t="shared" si="64"/>
        <v>0</v>
      </c>
      <c r="X171" s="229">
        <f t="shared" si="65"/>
        <v>0</v>
      </c>
      <c r="Y171" s="229">
        <f t="shared" si="66"/>
        <v>0</v>
      </c>
      <c r="Z171" s="229">
        <f t="shared" si="67"/>
        <v>0</v>
      </c>
      <c r="AA171" s="229">
        <f t="shared" si="68"/>
        <v>0</v>
      </c>
      <c r="AB171" s="229">
        <f t="shared" si="69"/>
        <v>0</v>
      </c>
      <c r="AC171" s="229">
        <f t="shared" si="70"/>
        <v>0</v>
      </c>
      <c r="AD171" s="229">
        <f t="shared" si="71"/>
        <v>0</v>
      </c>
      <c r="AE171" s="229">
        <f t="shared" si="72"/>
        <v>0</v>
      </c>
      <c r="AF171" s="229">
        <f t="shared" si="73"/>
        <v>0</v>
      </c>
      <c r="AG171" s="229">
        <f t="shared" si="74"/>
        <v>0</v>
      </c>
      <c r="AH171" s="229">
        <f t="shared" si="75"/>
        <v>0</v>
      </c>
      <c r="AI171" s="229">
        <f t="shared" si="76"/>
        <v>0</v>
      </c>
      <c r="AJ171" s="229">
        <f t="shared" si="77"/>
        <v>0</v>
      </c>
      <c r="AK171" s="229">
        <f t="shared" si="78"/>
        <v>0</v>
      </c>
      <c r="AL171" s="229">
        <f t="shared" si="79"/>
        <v>0</v>
      </c>
      <c r="AM171" s="229">
        <f t="shared" si="80"/>
        <v>0</v>
      </c>
      <c r="AN171" s="224">
        <f t="shared" ref="AN171:AY171" si="222">IF($T38&gt;0,(((EXP(-(1/(Morning_Peak_Duration__hours*2))*(AN$141-(Morning_Peak_Time__24hr_clock+$C171))^2))+(EXP(-(1/(Afternoon_Peak_Duration__hours*2))*(AN$141-(Afternoon_Peak_Time__24hr_clock+$C171))^2)))*$U38)/TZCalibrationValue,0)</f>
        <v>0</v>
      </c>
      <c r="AO171" s="224">
        <f t="shared" si="222"/>
        <v>0</v>
      </c>
      <c r="AP171" s="224">
        <f t="shared" si="222"/>
        <v>0</v>
      </c>
      <c r="AQ171" s="224">
        <f t="shared" si="222"/>
        <v>0</v>
      </c>
      <c r="AR171" s="224">
        <f t="shared" si="222"/>
        <v>0</v>
      </c>
      <c r="AS171" s="224">
        <f t="shared" si="222"/>
        <v>0</v>
      </c>
      <c r="AT171" s="224">
        <f t="shared" si="222"/>
        <v>0</v>
      </c>
      <c r="AU171" s="224">
        <f t="shared" si="222"/>
        <v>0</v>
      </c>
      <c r="AV171" s="224">
        <f t="shared" si="222"/>
        <v>0</v>
      </c>
      <c r="AW171" s="224">
        <f t="shared" si="222"/>
        <v>0</v>
      </c>
      <c r="AX171" s="224">
        <f t="shared" si="222"/>
        <v>0</v>
      </c>
      <c r="AY171" s="224">
        <f t="shared" si="222"/>
        <v>0</v>
      </c>
      <c r="AZ171" s="218"/>
      <c r="BA171"/>
      <c r="BB171" s="176" t="str">
        <f t="shared" si="82"/>
        <v>Site 30</v>
      </c>
      <c r="BC171" s="224">
        <f t="shared" ref="BC171:BN171" si="223">IF($T38&gt;0,(((EXP(-(1/(Morning_Peak_Duration__hours*2))*(BC$141-(Morning_Peak_Time__24hr_clock+$C171))^2))+(EXP(-(1/(Afternoon_Peak_Duration__hours*2))*(BC$141-(Afternoon_Peak_Time__24hr_clock+$C171))^2)))*$V38)/TZCalibrationValue,0)</f>
        <v>0</v>
      </c>
      <c r="BD171" s="224">
        <f t="shared" si="223"/>
        <v>0</v>
      </c>
      <c r="BE171" s="224">
        <f t="shared" si="223"/>
        <v>0</v>
      </c>
      <c r="BF171" s="224">
        <f t="shared" si="223"/>
        <v>0</v>
      </c>
      <c r="BG171" s="224">
        <f t="shared" si="223"/>
        <v>0</v>
      </c>
      <c r="BH171" s="224">
        <f t="shared" si="223"/>
        <v>0</v>
      </c>
      <c r="BI171" s="224">
        <f t="shared" si="223"/>
        <v>0</v>
      </c>
      <c r="BJ171" s="224">
        <f t="shared" si="223"/>
        <v>0</v>
      </c>
      <c r="BK171" s="224">
        <f t="shared" si="223"/>
        <v>0</v>
      </c>
      <c r="BL171" s="224">
        <f t="shared" si="223"/>
        <v>0</v>
      </c>
      <c r="BM171" s="224">
        <f t="shared" si="223"/>
        <v>0</v>
      </c>
      <c r="BN171" s="224">
        <f t="shared" si="223"/>
        <v>0</v>
      </c>
      <c r="BO171" s="229">
        <f t="shared" si="84"/>
        <v>0</v>
      </c>
      <c r="BP171" s="229">
        <f t="shared" si="85"/>
        <v>0</v>
      </c>
      <c r="BQ171" s="229">
        <f t="shared" si="86"/>
        <v>0</v>
      </c>
      <c r="BR171" s="229">
        <f t="shared" si="87"/>
        <v>0</v>
      </c>
      <c r="BS171" s="229">
        <f t="shared" si="88"/>
        <v>0</v>
      </c>
      <c r="BT171" s="229">
        <f t="shared" si="89"/>
        <v>0</v>
      </c>
      <c r="BU171" s="229">
        <f t="shared" si="90"/>
        <v>0</v>
      </c>
      <c r="BV171" s="229">
        <f t="shared" si="91"/>
        <v>0</v>
      </c>
      <c r="BW171" s="229">
        <f t="shared" si="92"/>
        <v>0</v>
      </c>
      <c r="BX171" s="229">
        <f t="shared" si="93"/>
        <v>0</v>
      </c>
      <c r="BY171" s="229">
        <f t="shared" si="94"/>
        <v>0</v>
      </c>
      <c r="BZ171" s="229">
        <f t="shared" si="95"/>
        <v>0</v>
      </c>
      <c r="CA171" s="229">
        <f t="shared" si="96"/>
        <v>0</v>
      </c>
      <c r="CB171" s="229">
        <f t="shared" si="97"/>
        <v>0</v>
      </c>
      <c r="CC171" s="229">
        <f t="shared" si="98"/>
        <v>0</v>
      </c>
      <c r="CD171" s="229">
        <f t="shared" si="99"/>
        <v>0</v>
      </c>
      <c r="CE171" s="229">
        <f t="shared" si="100"/>
        <v>0</v>
      </c>
      <c r="CF171" s="229">
        <f t="shared" si="101"/>
        <v>0</v>
      </c>
      <c r="CG171" s="229">
        <f t="shared" si="102"/>
        <v>0</v>
      </c>
      <c r="CH171" s="229">
        <f t="shared" si="103"/>
        <v>0</v>
      </c>
      <c r="CI171" s="229">
        <f t="shared" si="104"/>
        <v>0</v>
      </c>
      <c r="CJ171" s="229">
        <f t="shared" si="105"/>
        <v>0</v>
      </c>
      <c r="CK171" s="229">
        <f t="shared" si="106"/>
        <v>0</v>
      </c>
      <c r="CL171" s="229">
        <f t="shared" si="107"/>
        <v>0</v>
      </c>
      <c r="CM171" s="224">
        <f t="shared" ref="CM171:CX171" si="224">IF($T38&gt;0,(((EXP(-(1/(Morning_Peak_Duration__hours*2))*(CM$141-(Morning_Peak_Time__24hr_clock+$C171))^2))+(EXP(-(1/(Afternoon_Peak_Duration__hours*2))*(CM$141-(Afternoon_Peak_Time__24hr_clock+$C171))^2)))*$V38)/TZCalibrationValue,0)</f>
        <v>0</v>
      </c>
      <c r="CN171" s="224">
        <f t="shared" si="224"/>
        <v>0</v>
      </c>
      <c r="CO171" s="224">
        <f t="shared" si="224"/>
        <v>0</v>
      </c>
      <c r="CP171" s="224">
        <f t="shared" si="224"/>
        <v>0</v>
      </c>
      <c r="CQ171" s="224">
        <f t="shared" si="224"/>
        <v>0</v>
      </c>
      <c r="CR171" s="224">
        <f t="shared" si="224"/>
        <v>0</v>
      </c>
      <c r="CS171" s="224">
        <f t="shared" si="224"/>
        <v>0</v>
      </c>
      <c r="CT171" s="224">
        <f t="shared" si="224"/>
        <v>0</v>
      </c>
      <c r="CU171" s="224">
        <f t="shared" si="224"/>
        <v>0</v>
      </c>
      <c r="CV171" s="224">
        <f t="shared" si="224"/>
        <v>0</v>
      </c>
      <c r="CW171" s="224">
        <f t="shared" si="224"/>
        <v>0</v>
      </c>
      <c r="CX171" s="224">
        <f t="shared" si="224"/>
        <v>0</v>
      </c>
      <c r="CY171" s="218"/>
    </row>
    <row r="172" spans="2:103" hidden="1" outlineLevel="1">
      <c r="B172" t="str">
        <f t="shared" si="55"/>
        <v>Site 31</v>
      </c>
      <c r="C172" s="230">
        <f>VLOOKUP(D39,'Scaling Tables'!$B$123:$C$149,2,FALSE)-VLOOKUP($C$4,'Scaling Tables'!$B$123:$C$149,2,FALSE)</f>
        <v>0</v>
      </c>
      <c r="D172" s="224">
        <f t="shared" ref="D172:O172" si="225">IF($T39&gt;0,(((EXP(-(1/(Morning_Peak_Duration__hours*2))*(D$141-(Morning_Peak_Time__24hr_clock+$C172))^2))+(EXP(-(1/(Afternoon_Peak_Duration__hours*2))*(D$141-(Afternoon_Peak_Time__24hr_clock+$C172))^2)))*$U39)/TZCalibrationValue,0)</f>
        <v>0</v>
      </c>
      <c r="E172" s="224">
        <f t="shared" si="225"/>
        <v>0</v>
      </c>
      <c r="F172" s="224">
        <f t="shared" si="225"/>
        <v>0</v>
      </c>
      <c r="G172" s="224">
        <f t="shared" si="225"/>
        <v>0</v>
      </c>
      <c r="H172" s="224">
        <f t="shared" si="225"/>
        <v>0</v>
      </c>
      <c r="I172" s="224">
        <f t="shared" si="225"/>
        <v>0</v>
      </c>
      <c r="J172" s="224">
        <f t="shared" si="225"/>
        <v>0</v>
      </c>
      <c r="K172" s="224">
        <f t="shared" si="225"/>
        <v>0</v>
      </c>
      <c r="L172" s="224">
        <f t="shared" si="225"/>
        <v>0</v>
      </c>
      <c r="M172" s="224">
        <f t="shared" si="225"/>
        <v>0</v>
      </c>
      <c r="N172" s="224">
        <f t="shared" si="225"/>
        <v>0</v>
      </c>
      <c r="O172" s="224">
        <f t="shared" si="225"/>
        <v>0</v>
      </c>
      <c r="P172" s="229">
        <f t="shared" si="57"/>
        <v>0</v>
      </c>
      <c r="Q172" s="229">
        <f t="shared" si="58"/>
        <v>0</v>
      </c>
      <c r="R172" s="229">
        <f t="shared" si="59"/>
        <v>0</v>
      </c>
      <c r="S172" s="229">
        <f t="shared" si="60"/>
        <v>0</v>
      </c>
      <c r="T172" s="229">
        <f t="shared" si="61"/>
        <v>0</v>
      </c>
      <c r="U172" s="229">
        <f t="shared" si="62"/>
        <v>0</v>
      </c>
      <c r="V172" s="229">
        <f t="shared" si="63"/>
        <v>0</v>
      </c>
      <c r="W172" s="229">
        <f t="shared" si="64"/>
        <v>0</v>
      </c>
      <c r="X172" s="229">
        <f t="shared" si="65"/>
        <v>0</v>
      </c>
      <c r="Y172" s="229">
        <f t="shared" si="66"/>
        <v>0</v>
      </c>
      <c r="Z172" s="229">
        <f t="shared" si="67"/>
        <v>0</v>
      </c>
      <c r="AA172" s="229">
        <f t="shared" si="68"/>
        <v>0</v>
      </c>
      <c r="AB172" s="229">
        <f t="shared" si="69"/>
        <v>0</v>
      </c>
      <c r="AC172" s="229">
        <f t="shared" si="70"/>
        <v>0</v>
      </c>
      <c r="AD172" s="229">
        <f t="shared" si="71"/>
        <v>0</v>
      </c>
      <c r="AE172" s="229">
        <f t="shared" si="72"/>
        <v>0</v>
      </c>
      <c r="AF172" s="229">
        <f t="shared" si="73"/>
        <v>0</v>
      </c>
      <c r="AG172" s="229">
        <f t="shared" si="74"/>
        <v>0</v>
      </c>
      <c r="AH172" s="229">
        <f t="shared" si="75"/>
        <v>0</v>
      </c>
      <c r="AI172" s="229">
        <f t="shared" si="76"/>
        <v>0</v>
      </c>
      <c r="AJ172" s="229">
        <f t="shared" si="77"/>
        <v>0</v>
      </c>
      <c r="AK172" s="229">
        <f t="shared" si="78"/>
        <v>0</v>
      </c>
      <c r="AL172" s="229">
        <f t="shared" si="79"/>
        <v>0</v>
      </c>
      <c r="AM172" s="229">
        <f t="shared" si="80"/>
        <v>0</v>
      </c>
      <c r="AN172" s="224">
        <f t="shared" ref="AN172:AY172" si="226">IF($T39&gt;0,(((EXP(-(1/(Morning_Peak_Duration__hours*2))*(AN$141-(Morning_Peak_Time__24hr_clock+$C172))^2))+(EXP(-(1/(Afternoon_Peak_Duration__hours*2))*(AN$141-(Afternoon_Peak_Time__24hr_clock+$C172))^2)))*$U39)/TZCalibrationValue,0)</f>
        <v>0</v>
      </c>
      <c r="AO172" s="224">
        <f t="shared" si="226"/>
        <v>0</v>
      </c>
      <c r="AP172" s="224">
        <f t="shared" si="226"/>
        <v>0</v>
      </c>
      <c r="AQ172" s="224">
        <f t="shared" si="226"/>
        <v>0</v>
      </c>
      <c r="AR172" s="224">
        <f t="shared" si="226"/>
        <v>0</v>
      </c>
      <c r="AS172" s="224">
        <f t="shared" si="226"/>
        <v>0</v>
      </c>
      <c r="AT172" s="224">
        <f t="shared" si="226"/>
        <v>0</v>
      </c>
      <c r="AU172" s="224">
        <f t="shared" si="226"/>
        <v>0</v>
      </c>
      <c r="AV172" s="224">
        <f t="shared" si="226"/>
        <v>0</v>
      </c>
      <c r="AW172" s="224">
        <f t="shared" si="226"/>
        <v>0</v>
      </c>
      <c r="AX172" s="224">
        <f t="shared" si="226"/>
        <v>0</v>
      </c>
      <c r="AY172" s="224">
        <f t="shared" si="226"/>
        <v>0</v>
      </c>
      <c r="AZ172" s="218"/>
      <c r="BA172"/>
      <c r="BB172" s="176" t="str">
        <f t="shared" si="82"/>
        <v>Site 31</v>
      </c>
      <c r="BC172" s="224">
        <f t="shared" ref="BC172:BN172" si="227">IF($T39&gt;0,(((EXP(-(1/(Morning_Peak_Duration__hours*2))*(BC$141-(Morning_Peak_Time__24hr_clock+$C172))^2))+(EXP(-(1/(Afternoon_Peak_Duration__hours*2))*(BC$141-(Afternoon_Peak_Time__24hr_clock+$C172))^2)))*$V39)/TZCalibrationValue,0)</f>
        <v>0</v>
      </c>
      <c r="BD172" s="224">
        <f t="shared" si="227"/>
        <v>0</v>
      </c>
      <c r="BE172" s="224">
        <f t="shared" si="227"/>
        <v>0</v>
      </c>
      <c r="BF172" s="224">
        <f t="shared" si="227"/>
        <v>0</v>
      </c>
      <c r="BG172" s="224">
        <f t="shared" si="227"/>
        <v>0</v>
      </c>
      <c r="BH172" s="224">
        <f t="shared" si="227"/>
        <v>0</v>
      </c>
      <c r="BI172" s="224">
        <f t="shared" si="227"/>
        <v>0</v>
      </c>
      <c r="BJ172" s="224">
        <f t="shared" si="227"/>
        <v>0</v>
      </c>
      <c r="BK172" s="224">
        <f t="shared" si="227"/>
        <v>0</v>
      </c>
      <c r="BL172" s="224">
        <f t="shared" si="227"/>
        <v>0</v>
      </c>
      <c r="BM172" s="224">
        <f t="shared" si="227"/>
        <v>0</v>
      </c>
      <c r="BN172" s="224">
        <f t="shared" si="227"/>
        <v>0</v>
      </c>
      <c r="BO172" s="229">
        <f t="shared" si="84"/>
        <v>0</v>
      </c>
      <c r="BP172" s="229">
        <f t="shared" si="85"/>
        <v>0</v>
      </c>
      <c r="BQ172" s="229">
        <f t="shared" si="86"/>
        <v>0</v>
      </c>
      <c r="BR172" s="229">
        <f t="shared" si="87"/>
        <v>0</v>
      </c>
      <c r="BS172" s="229">
        <f t="shared" si="88"/>
        <v>0</v>
      </c>
      <c r="BT172" s="229">
        <f t="shared" si="89"/>
        <v>0</v>
      </c>
      <c r="BU172" s="229">
        <f t="shared" si="90"/>
        <v>0</v>
      </c>
      <c r="BV172" s="229">
        <f t="shared" si="91"/>
        <v>0</v>
      </c>
      <c r="BW172" s="229">
        <f t="shared" si="92"/>
        <v>0</v>
      </c>
      <c r="BX172" s="229">
        <f t="shared" si="93"/>
        <v>0</v>
      </c>
      <c r="BY172" s="229">
        <f t="shared" si="94"/>
        <v>0</v>
      </c>
      <c r="BZ172" s="229">
        <f t="shared" si="95"/>
        <v>0</v>
      </c>
      <c r="CA172" s="229">
        <f t="shared" si="96"/>
        <v>0</v>
      </c>
      <c r="CB172" s="229">
        <f t="shared" si="97"/>
        <v>0</v>
      </c>
      <c r="CC172" s="229">
        <f t="shared" si="98"/>
        <v>0</v>
      </c>
      <c r="CD172" s="229">
        <f t="shared" si="99"/>
        <v>0</v>
      </c>
      <c r="CE172" s="229">
        <f t="shared" si="100"/>
        <v>0</v>
      </c>
      <c r="CF172" s="229">
        <f t="shared" si="101"/>
        <v>0</v>
      </c>
      <c r="CG172" s="229">
        <f t="shared" si="102"/>
        <v>0</v>
      </c>
      <c r="CH172" s="229">
        <f t="shared" si="103"/>
        <v>0</v>
      </c>
      <c r="CI172" s="229">
        <f t="shared" si="104"/>
        <v>0</v>
      </c>
      <c r="CJ172" s="229">
        <f t="shared" si="105"/>
        <v>0</v>
      </c>
      <c r="CK172" s="229">
        <f t="shared" si="106"/>
        <v>0</v>
      </c>
      <c r="CL172" s="229">
        <f t="shared" si="107"/>
        <v>0</v>
      </c>
      <c r="CM172" s="224">
        <f t="shared" ref="CM172:CX172" si="228">IF($T39&gt;0,(((EXP(-(1/(Morning_Peak_Duration__hours*2))*(CM$141-(Morning_Peak_Time__24hr_clock+$C172))^2))+(EXP(-(1/(Afternoon_Peak_Duration__hours*2))*(CM$141-(Afternoon_Peak_Time__24hr_clock+$C172))^2)))*$V39)/TZCalibrationValue,0)</f>
        <v>0</v>
      </c>
      <c r="CN172" s="224">
        <f t="shared" si="228"/>
        <v>0</v>
      </c>
      <c r="CO172" s="224">
        <f t="shared" si="228"/>
        <v>0</v>
      </c>
      <c r="CP172" s="224">
        <f t="shared" si="228"/>
        <v>0</v>
      </c>
      <c r="CQ172" s="224">
        <f t="shared" si="228"/>
        <v>0</v>
      </c>
      <c r="CR172" s="224">
        <f t="shared" si="228"/>
        <v>0</v>
      </c>
      <c r="CS172" s="224">
        <f t="shared" si="228"/>
        <v>0</v>
      </c>
      <c r="CT172" s="224">
        <f t="shared" si="228"/>
        <v>0</v>
      </c>
      <c r="CU172" s="224">
        <f t="shared" si="228"/>
        <v>0</v>
      </c>
      <c r="CV172" s="224">
        <f t="shared" si="228"/>
        <v>0</v>
      </c>
      <c r="CW172" s="224">
        <f t="shared" si="228"/>
        <v>0</v>
      </c>
      <c r="CX172" s="224">
        <f t="shared" si="228"/>
        <v>0</v>
      </c>
      <c r="CY172" s="218"/>
    </row>
    <row r="173" spans="2:103" hidden="1" outlineLevel="1">
      <c r="B173" t="str">
        <f t="shared" si="55"/>
        <v>Site 32</v>
      </c>
      <c r="C173" s="230">
        <f>VLOOKUP(D40,'Scaling Tables'!$B$123:$C$149,2,FALSE)-VLOOKUP($C$4,'Scaling Tables'!$B$123:$C$149,2,FALSE)</f>
        <v>0</v>
      </c>
      <c r="D173" s="224">
        <f t="shared" ref="D173:O173" si="229">IF($T40&gt;0,(((EXP(-(1/(Morning_Peak_Duration__hours*2))*(D$141-(Morning_Peak_Time__24hr_clock+$C173))^2))+(EXP(-(1/(Afternoon_Peak_Duration__hours*2))*(D$141-(Afternoon_Peak_Time__24hr_clock+$C173))^2)))*$U40)/TZCalibrationValue,0)</f>
        <v>0</v>
      </c>
      <c r="E173" s="224">
        <f t="shared" si="229"/>
        <v>0</v>
      </c>
      <c r="F173" s="224">
        <f t="shared" si="229"/>
        <v>0</v>
      </c>
      <c r="G173" s="224">
        <f t="shared" si="229"/>
        <v>0</v>
      </c>
      <c r="H173" s="224">
        <f t="shared" si="229"/>
        <v>0</v>
      </c>
      <c r="I173" s="224">
        <f t="shared" si="229"/>
        <v>0</v>
      </c>
      <c r="J173" s="224">
        <f t="shared" si="229"/>
        <v>0</v>
      </c>
      <c r="K173" s="224">
        <f t="shared" si="229"/>
        <v>0</v>
      </c>
      <c r="L173" s="224">
        <f t="shared" si="229"/>
        <v>0</v>
      </c>
      <c r="M173" s="224">
        <f t="shared" si="229"/>
        <v>0</v>
      </c>
      <c r="N173" s="224">
        <f t="shared" si="229"/>
        <v>0</v>
      </c>
      <c r="O173" s="224">
        <f t="shared" si="229"/>
        <v>0</v>
      </c>
      <c r="P173" s="229">
        <f t="shared" si="57"/>
        <v>0</v>
      </c>
      <c r="Q173" s="229">
        <f t="shared" si="58"/>
        <v>0</v>
      </c>
      <c r="R173" s="229">
        <f t="shared" si="59"/>
        <v>0</v>
      </c>
      <c r="S173" s="229">
        <f t="shared" si="60"/>
        <v>0</v>
      </c>
      <c r="T173" s="229">
        <f t="shared" si="61"/>
        <v>0</v>
      </c>
      <c r="U173" s="229">
        <f t="shared" si="62"/>
        <v>0</v>
      </c>
      <c r="V173" s="229">
        <f t="shared" si="63"/>
        <v>0</v>
      </c>
      <c r="W173" s="229">
        <f t="shared" si="64"/>
        <v>0</v>
      </c>
      <c r="X173" s="229">
        <f t="shared" si="65"/>
        <v>0</v>
      </c>
      <c r="Y173" s="229">
        <f t="shared" si="66"/>
        <v>0</v>
      </c>
      <c r="Z173" s="229">
        <f t="shared" si="67"/>
        <v>0</v>
      </c>
      <c r="AA173" s="229">
        <f t="shared" si="68"/>
        <v>0</v>
      </c>
      <c r="AB173" s="229">
        <f t="shared" si="69"/>
        <v>0</v>
      </c>
      <c r="AC173" s="229">
        <f t="shared" si="70"/>
        <v>0</v>
      </c>
      <c r="AD173" s="229">
        <f t="shared" si="71"/>
        <v>0</v>
      </c>
      <c r="AE173" s="229">
        <f t="shared" si="72"/>
        <v>0</v>
      </c>
      <c r="AF173" s="229">
        <f t="shared" si="73"/>
        <v>0</v>
      </c>
      <c r="AG173" s="229">
        <f t="shared" si="74"/>
        <v>0</v>
      </c>
      <c r="AH173" s="229">
        <f t="shared" si="75"/>
        <v>0</v>
      </c>
      <c r="AI173" s="229">
        <f t="shared" si="76"/>
        <v>0</v>
      </c>
      <c r="AJ173" s="229">
        <f t="shared" si="77"/>
        <v>0</v>
      </c>
      <c r="AK173" s="229">
        <f t="shared" si="78"/>
        <v>0</v>
      </c>
      <c r="AL173" s="229">
        <f t="shared" si="79"/>
        <v>0</v>
      </c>
      <c r="AM173" s="229">
        <f t="shared" si="80"/>
        <v>0</v>
      </c>
      <c r="AN173" s="224">
        <f t="shared" ref="AN173:AY173" si="230">IF($T40&gt;0,(((EXP(-(1/(Morning_Peak_Duration__hours*2))*(AN$141-(Morning_Peak_Time__24hr_clock+$C173))^2))+(EXP(-(1/(Afternoon_Peak_Duration__hours*2))*(AN$141-(Afternoon_Peak_Time__24hr_clock+$C173))^2)))*$U40)/TZCalibrationValue,0)</f>
        <v>0</v>
      </c>
      <c r="AO173" s="224">
        <f t="shared" si="230"/>
        <v>0</v>
      </c>
      <c r="AP173" s="224">
        <f t="shared" si="230"/>
        <v>0</v>
      </c>
      <c r="AQ173" s="224">
        <f t="shared" si="230"/>
        <v>0</v>
      </c>
      <c r="AR173" s="224">
        <f t="shared" si="230"/>
        <v>0</v>
      </c>
      <c r="AS173" s="224">
        <f t="shared" si="230"/>
        <v>0</v>
      </c>
      <c r="AT173" s="224">
        <f t="shared" si="230"/>
        <v>0</v>
      </c>
      <c r="AU173" s="224">
        <f t="shared" si="230"/>
        <v>0</v>
      </c>
      <c r="AV173" s="224">
        <f t="shared" si="230"/>
        <v>0</v>
      </c>
      <c r="AW173" s="224">
        <f t="shared" si="230"/>
        <v>0</v>
      </c>
      <c r="AX173" s="224">
        <f t="shared" si="230"/>
        <v>0</v>
      </c>
      <c r="AY173" s="224">
        <f t="shared" si="230"/>
        <v>0</v>
      </c>
      <c r="AZ173" s="218"/>
      <c r="BA173"/>
      <c r="BB173" s="176" t="str">
        <f t="shared" si="82"/>
        <v>Site 32</v>
      </c>
      <c r="BC173" s="224">
        <f t="shared" ref="BC173:BN173" si="231">IF($T40&gt;0,(((EXP(-(1/(Morning_Peak_Duration__hours*2))*(BC$141-(Morning_Peak_Time__24hr_clock+$C173))^2))+(EXP(-(1/(Afternoon_Peak_Duration__hours*2))*(BC$141-(Afternoon_Peak_Time__24hr_clock+$C173))^2)))*$V40)/TZCalibrationValue,0)</f>
        <v>0</v>
      </c>
      <c r="BD173" s="224">
        <f t="shared" si="231"/>
        <v>0</v>
      </c>
      <c r="BE173" s="224">
        <f t="shared" si="231"/>
        <v>0</v>
      </c>
      <c r="BF173" s="224">
        <f t="shared" si="231"/>
        <v>0</v>
      </c>
      <c r="BG173" s="224">
        <f t="shared" si="231"/>
        <v>0</v>
      </c>
      <c r="BH173" s="224">
        <f t="shared" si="231"/>
        <v>0</v>
      </c>
      <c r="BI173" s="224">
        <f t="shared" si="231"/>
        <v>0</v>
      </c>
      <c r="BJ173" s="224">
        <f t="shared" si="231"/>
        <v>0</v>
      </c>
      <c r="BK173" s="224">
        <f t="shared" si="231"/>
        <v>0</v>
      </c>
      <c r="BL173" s="224">
        <f t="shared" si="231"/>
        <v>0</v>
      </c>
      <c r="BM173" s="224">
        <f t="shared" si="231"/>
        <v>0</v>
      </c>
      <c r="BN173" s="224">
        <f t="shared" si="231"/>
        <v>0</v>
      </c>
      <c r="BO173" s="229">
        <f t="shared" si="84"/>
        <v>0</v>
      </c>
      <c r="BP173" s="229">
        <f t="shared" si="85"/>
        <v>0</v>
      </c>
      <c r="BQ173" s="229">
        <f t="shared" si="86"/>
        <v>0</v>
      </c>
      <c r="BR173" s="229">
        <f t="shared" si="87"/>
        <v>0</v>
      </c>
      <c r="BS173" s="229">
        <f t="shared" si="88"/>
        <v>0</v>
      </c>
      <c r="BT173" s="229">
        <f t="shared" si="89"/>
        <v>0</v>
      </c>
      <c r="BU173" s="229">
        <f t="shared" si="90"/>
        <v>0</v>
      </c>
      <c r="BV173" s="229">
        <f t="shared" si="91"/>
        <v>0</v>
      </c>
      <c r="BW173" s="229">
        <f t="shared" si="92"/>
        <v>0</v>
      </c>
      <c r="BX173" s="229">
        <f t="shared" si="93"/>
        <v>0</v>
      </c>
      <c r="BY173" s="229">
        <f t="shared" si="94"/>
        <v>0</v>
      </c>
      <c r="BZ173" s="229">
        <f t="shared" si="95"/>
        <v>0</v>
      </c>
      <c r="CA173" s="229">
        <f t="shared" si="96"/>
        <v>0</v>
      </c>
      <c r="CB173" s="229">
        <f t="shared" si="97"/>
        <v>0</v>
      </c>
      <c r="CC173" s="229">
        <f t="shared" si="98"/>
        <v>0</v>
      </c>
      <c r="CD173" s="229">
        <f t="shared" si="99"/>
        <v>0</v>
      </c>
      <c r="CE173" s="229">
        <f t="shared" si="100"/>
        <v>0</v>
      </c>
      <c r="CF173" s="229">
        <f t="shared" si="101"/>
        <v>0</v>
      </c>
      <c r="CG173" s="229">
        <f t="shared" si="102"/>
        <v>0</v>
      </c>
      <c r="CH173" s="229">
        <f t="shared" si="103"/>
        <v>0</v>
      </c>
      <c r="CI173" s="229">
        <f t="shared" si="104"/>
        <v>0</v>
      </c>
      <c r="CJ173" s="229">
        <f t="shared" si="105"/>
        <v>0</v>
      </c>
      <c r="CK173" s="229">
        <f t="shared" si="106"/>
        <v>0</v>
      </c>
      <c r="CL173" s="229">
        <f t="shared" si="107"/>
        <v>0</v>
      </c>
      <c r="CM173" s="224">
        <f t="shared" ref="CM173:CX173" si="232">IF($T40&gt;0,(((EXP(-(1/(Morning_Peak_Duration__hours*2))*(CM$141-(Morning_Peak_Time__24hr_clock+$C173))^2))+(EXP(-(1/(Afternoon_Peak_Duration__hours*2))*(CM$141-(Afternoon_Peak_Time__24hr_clock+$C173))^2)))*$V40)/TZCalibrationValue,0)</f>
        <v>0</v>
      </c>
      <c r="CN173" s="224">
        <f t="shared" si="232"/>
        <v>0</v>
      </c>
      <c r="CO173" s="224">
        <f t="shared" si="232"/>
        <v>0</v>
      </c>
      <c r="CP173" s="224">
        <f t="shared" si="232"/>
        <v>0</v>
      </c>
      <c r="CQ173" s="224">
        <f t="shared" si="232"/>
        <v>0</v>
      </c>
      <c r="CR173" s="224">
        <f t="shared" si="232"/>
        <v>0</v>
      </c>
      <c r="CS173" s="224">
        <f t="shared" si="232"/>
        <v>0</v>
      </c>
      <c r="CT173" s="224">
        <f t="shared" si="232"/>
        <v>0</v>
      </c>
      <c r="CU173" s="224">
        <f t="shared" si="232"/>
        <v>0</v>
      </c>
      <c r="CV173" s="224">
        <f t="shared" si="232"/>
        <v>0</v>
      </c>
      <c r="CW173" s="224">
        <f t="shared" si="232"/>
        <v>0</v>
      </c>
      <c r="CX173" s="224">
        <f t="shared" si="232"/>
        <v>0</v>
      </c>
      <c r="CY173" s="218"/>
    </row>
    <row r="174" spans="2:103" hidden="1" outlineLevel="1">
      <c r="B174" t="str">
        <f t="shared" ref="B174:B205" si="233">B41</f>
        <v>Site 33</v>
      </c>
      <c r="C174" s="230">
        <f>VLOOKUP(D41,'Scaling Tables'!$B$123:$C$149,2,FALSE)-VLOOKUP($C$4,'Scaling Tables'!$B$123:$C$149,2,FALSE)</f>
        <v>0</v>
      </c>
      <c r="D174" s="224">
        <f t="shared" ref="D174:O174" si="234">IF($T41&gt;0,(((EXP(-(1/(Morning_Peak_Duration__hours*2))*(D$141-(Morning_Peak_Time__24hr_clock+$C174))^2))+(EXP(-(1/(Afternoon_Peak_Duration__hours*2))*(D$141-(Afternoon_Peak_Time__24hr_clock+$C174))^2)))*$U41)/TZCalibrationValue,0)</f>
        <v>0</v>
      </c>
      <c r="E174" s="224">
        <f t="shared" si="234"/>
        <v>0</v>
      </c>
      <c r="F174" s="224">
        <f t="shared" si="234"/>
        <v>0</v>
      </c>
      <c r="G174" s="224">
        <f t="shared" si="234"/>
        <v>0</v>
      </c>
      <c r="H174" s="224">
        <f t="shared" si="234"/>
        <v>0</v>
      </c>
      <c r="I174" s="224">
        <f t="shared" si="234"/>
        <v>0</v>
      </c>
      <c r="J174" s="224">
        <f t="shared" si="234"/>
        <v>0</v>
      </c>
      <c r="K174" s="224">
        <f t="shared" si="234"/>
        <v>0</v>
      </c>
      <c r="L174" s="224">
        <f t="shared" si="234"/>
        <v>0</v>
      </c>
      <c r="M174" s="224">
        <f t="shared" si="234"/>
        <v>0</v>
      </c>
      <c r="N174" s="224">
        <f t="shared" si="234"/>
        <v>0</v>
      </c>
      <c r="O174" s="224">
        <f t="shared" si="234"/>
        <v>0</v>
      </c>
      <c r="P174" s="229">
        <f t="shared" ref="P174:P205" si="235">IF($T41&gt;0,(((EXP(-(1/(Morning_Peak_Duration__hours*2))*(P$141-(Morning_Peak_Time__24hr_clock+$C174))^2))+(EXP(-(1/(Afternoon_Peak_Duration__hours*2))*(P$141-(Afternoon_Peak_Time__24hr_clock+$C174))^2)))*$U41)/TZCalibrationValue,0)+AN174</f>
        <v>0</v>
      </c>
      <c r="Q174" s="229">
        <f t="shared" ref="Q174:Q205" si="236">IF($T41&gt;0,(((EXP(-(1/(Morning_Peak_Duration__hours*2))*(Q$141-(Morning_Peak_Time__24hr_clock+$C174))^2))+(EXP(-(1/(Afternoon_Peak_Duration__hours*2))*(Q$141-(Afternoon_Peak_Time__24hr_clock+$C174))^2)))*$U41)/TZCalibrationValue,0)+AO174</f>
        <v>0</v>
      </c>
      <c r="R174" s="229">
        <f t="shared" ref="R174:R205" si="237">IF($T41&gt;0,(((EXP(-(1/(Morning_Peak_Duration__hours*2))*(R$141-(Morning_Peak_Time__24hr_clock+$C174))^2))+(EXP(-(1/(Afternoon_Peak_Duration__hours*2))*(R$141-(Afternoon_Peak_Time__24hr_clock+$C174))^2)))*$U41)/TZCalibrationValue,0)+AP174</f>
        <v>0</v>
      </c>
      <c r="S174" s="229">
        <f t="shared" ref="S174:S205" si="238">IF($T41&gt;0,(((EXP(-(1/(Morning_Peak_Duration__hours*2))*(S$141-(Morning_Peak_Time__24hr_clock+$C174))^2))+(EXP(-(1/(Afternoon_Peak_Duration__hours*2))*(S$141-(Afternoon_Peak_Time__24hr_clock+$C174))^2)))*$U41)/TZCalibrationValue,0)+AQ174</f>
        <v>0</v>
      </c>
      <c r="T174" s="229">
        <f t="shared" ref="T174:T205" si="239">IF($T41&gt;0,(((EXP(-(1/(Morning_Peak_Duration__hours*2))*(T$141-(Morning_Peak_Time__24hr_clock+$C174))^2))+(EXP(-(1/(Afternoon_Peak_Duration__hours*2))*(T$141-(Afternoon_Peak_Time__24hr_clock+$C174))^2)))*$U41)/TZCalibrationValue,0)+AR174</f>
        <v>0</v>
      </c>
      <c r="U174" s="229">
        <f t="shared" ref="U174:U205" si="240">IF($T41&gt;0,(((EXP(-(1/(Morning_Peak_Duration__hours*2))*(U$141-(Morning_Peak_Time__24hr_clock+$C174))^2))+(EXP(-(1/(Afternoon_Peak_Duration__hours*2))*(U$141-(Afternoon_Peak_Time__24hr_clock+$C174))^2)))*$U41)/TZCalibrationValue,0)+AS174</f>
        <v>0</v>
      </c>
      <c r="V174" s="229">
        <f t="shared" ref="V174:V205" si="241">IF($T41&gt;0,(((EXP(-(1/(Morning_Peak_Duration__hours*2))*(V$141-(Morning_Peak_Time__24hr_clock+$C174))^2))+(EXP(-(1/(Afternoon_Peak_Duration__hours*2))*(V$141-(Afternoon_Peak_Time__24hr_clock+$C174))^2)))*$U41)/TZCalibrationValue,0)+AT174</f>
        <v>0</v>
      </c>
      <c r="W174" s="229">
        <f t="shared" ref="W174:W205" si="242">IF($T41&gt;0,(((EXP(-(1/(Morning_Peak_Duration__hours*2))*(W$141-(Morning_Peak_Time__24hr_clock+$C174))^2))+(EXP(-(1/(Afternoon_Peak_Duration__hours*2))*(W$141-(Afternoon_Peak_Time__24hr_clock+$C174))^2)))*$U41)/TZCalibrationValue,0)+AU174</f>
        <v>0</v>
      </c>
      <c r="X174" s="229">
        <f t="shared" ref="X174:X205" si="243">IF($T41&gt;0,(((EXP(-(1/(Morning_Peak_Duration__hours*2))*(X$141-(Morning_Peak_Time__24hr_clock+$C174))^2))+(EXP(-(1/(Afternoon_Peak_Duration__hours*2))*(X$141-(Afternoon_Peak_Time__24hr_clock+$C174))^2)))*$U41)/TZCalibrationValue,0)+AV174</f>
        <v>0</v>
      </c>
      <c r="Y174" s="229">
        <f t="shared" ref="Y174:Y205" si="244">IF($T41&gt;0,(((EXP(-(1/(Morning_Peak_Duration__hours*2))*(Y$141-(Morning_Peak_Time__24hr_clock+$C174))^2))+(EXP(-(1/(Afternoon_Peak_Duration__hours*2))*(Y$141-(Afternoon_Peak_Time__24hr_clock+$C174))^2)))*$U41)/TZCalibrationValue,0)+AW174</f>
        <v>0</v>
      </c>
      <c r="Z174" s="229">
        <f t="shared" ref="Z174:Z205" si="245">IF($T41&gt;0,(((EXP(-(1/(Morning_Peak_Duration__hours*2))*(Z$141-(Morning_Peak_Time__24hr_clock+$C174))^2))+(EXP(-(1/(Afternoon_Peak_Duration__hours*2))*(Z$141-(Afternoon_Peak_Time__24hr_clock+$C174))^2)))*$U41)/TZCalibrationValue,0)+AX174</f>
        <v>0</v>
      </c>
      <c r="AA174" s="229">
        <f t="shared" ref="AA174:AA205" si="246">IF($T41&gt;0,(((EXP(-(1/(Morning_Peak_Duration__hours*2))*(AA$141-(Morning_Peak_Time__24hr_clock+$C174))^2))+(EXP(-(1/(Afternoon_Peak_Duration__hours*2))*(AA$141-(Afternoon_Peak_Time__24hr_clock+$C174))^2)))*$U41)/TZCalibrationValue,0)+AY174</f>
        <v>0</v>
      </c>
      <c r="AB174" s="229">
        <f t="shared" ref="AB174:AB205" si="247">IF($T41&gt;0,(((EXP(-(1/(Morning_Peak_Duration__hours*2))*(AB$141-(Morning_Peak_Time__24hr_clock+$C174))^2))+(EXP(-(1/(Afternoon_Peak_Duration__hours*2))*(AB$141-(Afternoon_Peak_Time__24hr_clock+$C174))^2)))*$U41)/TZCalibrationValue,0)+AZ174</f>
        <v>0</v>
      </c>
      <c r="AC174" s="229">
        <f t="shared" ref="AC174:AC205" si="248">IF($T41&gt;0,(((EXP(-(1/(Morning_Peak_Duration__hours*2))*(AC$141-(Morning_Peak_Time__24hr_clock+$C174))^2))+(EXP(-(1/(Afternoon_Peak_Duration__hours*2))*(AC$141-(Afternoon_Peak_Time__24hr_clock+$C174))^2)))*$U41)/TZCalibrationValue,0)+E174</f>
        <v>0</v>
      </c>
      <c r="AD174" s="229">
        <f t="shared" ref="AD174:AD205" si="249">IF($T41&gt;0,(((EXP(-(1/(Morning_Peak_Duration__hours*2))*(AD$141-(Morning_Peak_Time__24hr_clock+$C174))^2))+(EXP(-(1/(Afternoon_Peak_Duration__hours*2))*(AD$141-(Afternoon_Peak_Time__24hr_clock+$C174))^2)))*$U41)/TZCalibrationValue,0)+F174</f>
        <v>0</v>
      </c>
      <c r="AE174" s="229">
        <f t="shared" ref="AE174:AE205" si="250">IF($T41&gt;0,(((EXP(-(1/(Morning_Peak_Duration__hours*2))*(AE$141-(Morning_Peak_Time__24hr_clock+$C174))^2))+(EXP(-(1/(Afternoon_Peak_Duration__hours*2))*(AE$141-(Afternoon_Peak_Time__24hr_clock+$C174))^2)))*$U41)/TZCalibrationValue,0)+G174</f>
        <v>0</v>
      </c>
      <c r="AF174" s="229">
        <f t="shared" ref="AF174:AF205" si="251">IF($T41&gt;0,(((EXP(-(1/(Morning_Peak_Duration__hours*2))*(AF$141-(Morning_Peak_Time__24hr_clock+$C174))^2))+(EXP(-(1/(Afternoon_Peak_Duration__hours*2))*(AF$141-(Afternoon_Peak_Time__24hr_clock+$C174))^2)))*$U41)/TZCalibrationValue,0)+H174</f>
        <v>0</v>
      </c>
      <c r="AG174" s="229">
        <f t="shared" ref="AG174:AG205" si="252">IF($T41&gt;0,(((EXP(-(1/(Morning_Peak_Duration__hours*2))*(AG$141-(Morning_Peak_Time__24hr_clock+$C174))^2))+(EXP(-(1/(Afternoon_Peak_Duration__hours*2))*(AG$141-(Afternoon_Peak_Time__24hr_clock+$C174))^2)))*$U41)/TZCalibrationValue,0)+I174</f>
        <v>0</v>
      </c>
      <c r="AH174" s="229">
        <f t="shared" ref="AH174:AH205" si="253">IF($T41&gt;0,(((EXP(-(1/(Morning_Peak_Duration__hours*2))*(AH$141-(Morning_Peak_Time__24hr_clock+$C174))^2))+(EXP(-(1/(Afternoon_Peak_Duration__hours*2))*(AH$141-(Afternoon_Peak_Time__24hr_clock+$C174))^2)))*$U41)/TZCalibrationValue,0)+J174</f>
        <v>0</v>
      </c>
      <c r="AI174" s="229">
        <f t="shared" ref="AI174:AI205" si="254">IF($T41&gt;0,(((EXP(-(1/(Morning_Peak_Duration__hours*2))*(AI$141-(Morning_Peak_Time__24hr_clock+$C174))^2))+(EXP(-(1/(Afternoon_Peak_Duration__hours*2))*(AI$141-(Afternoon_Peak_Time__24hr_clock+$C174))^2)))*$U41)/TZCalibrationValue,0)+K174</f>
        <v>0</v>
      </c>
      <c r="AJ174" s="229">
        <f t="shared" ref="AJ174:AJ205" si="255">IF($T41&gt;0,(((EXP(-(1/(Morning_Peak_Duration__hours*2))*(AJ$141-(Morning_Peak_Time__24hr_clock+$C174))^2))+(EXP(-(1/(Afternoon_Peak_Duration__hours*2))*(AJ$141-(Afternoon_Peak_Time__24hr_clock+$C174))^2)))*$U41)/TZCalibrationValue,0)+L174</f>
        <v>0</v>
      </c>
      <c r="AK174" s="229">
        <f t="shared" ref="AK174:AK205" si="256">IF($T41&gt;0,(((EXP(-(1/(Morning_Peak_Duration__hours*2))*(AK$141-(Morning_Peak_Time__24hr_clock+$C174))^2))+(EXP(-(1/(Afternoon_Peak_Duration__hours*2))*(AK$141-(Afternoon_Peak_Time__24hr_clock+$C174))^2)))*$U41)/TZCalibrationValue,0)+M174</f>
        <v>0</v>
      </c>
      <c r="AL174" s="229">
        <f t="shared" ref="AL174:AL205" si="257">IF($T41&gt;0,(((EXP(-(1/(Morning_Peak_Duration__hours*2))*(AL$141-(Morning_Peak_Time__24hr_clock+$C174))^2))+(EXP(-(1/(Afternoon_Peak_Duration__hours*2))*(AL$141-(Afternoon_Peak_Time__24hr_clock+$C174))^2)))*$U41)/TZCalibrationValue,0)+N174</f>
        <v>0</v>
      </c>
      <c r="AM174" s="229">
        <f t="shared" ref="AM174:AM205" si="258">IF($T41&gt;0,(((EXP(-(1/(Morning_Peak_Duration__hours*2))*(AM$141-(Morning_Peak_Time__24hr_clock+$C174))^2))+(EXP(-(1/(Afternoon_Peak_Duration__hours*2))*(AM$141-(Afternoon_Peak_Time__24hr_clock+$C174))^2)))*$U41)/TZCalibrationValue,0)+O174</f>
        <v>0</v>
      </c>
      <c r="AN174" s="224">
        <f t="shared" ref="AN174:AY174" si="259">IF($T41&gt;0,(((EXP(-(1/(Morning_Peak_Duration__hours*2))*(AN$141-(Morning_Peak_Time__24hr_clock+$C174))^2))+(EXP(-(1/(Afternoon_Peak_Duration__hours*2))*(AN$141-(Afternoon_Peak_Time__24hr_clock+$C174))^2)))*$U41)/TZCalibrationValue,0)</f>
        <v>0</v>
      </c>
      <c r="AO174" s="224">
        <f t="shared" si="259"/>
        <v>0</v>
      </c>
      <c r="AP174" s="224">
        <f t="shared" si="259"/>
        <v>0</v>
      </c>
      <c r="AQ174" s="224">
        <f t="shared" si="259"/>
        <v>0</v>
      </c>
      <c r="AR174" s="224">
        <f t="shared" si="259"/>
        <v>0</v>
      </c>
      <c r="AS174" s="224">
        <f t="shared" si="259"/>
        <v>0</v>
      </c>
      <c r="AT174" s="224">
        <f t="shared" si="259"/>
        <v>0</v>
      </c>
      <c r="AU174" s="224">
        <f t="shared" si="259"/>
        <v>0</v>
      </c>
      <c r="AV174" s="224">
        <f t="shared" si="259"/>
        <v>0</v>
      </c>
      <c r="AW174" s="224">
        <f t="shared" si="259"/>
        <v>0</v>
      </c>
      <c r="AX174" s="224">
        <f t="shared" si="259"/>
        <v>0</v>
      </c>
      <c r="AY174" s="224">
        <f t="shared" si="259"/>
        <v>0</v>
      </c>
      <c r="AZ174" s="218"/>
      <c r="BA174"/>
      <c r="BB174" s="176" t="str">
        <f t="shared" ref="BB174:BB205" si="260">B174</f>
        <v>Site 33</v>
      </c>
      <c r="BC174" s="224">
        <f t="shared" ref="BC174:BN174" si="261">IF($T41&gt;0,(((EXP(-(1/(Morning_Peak_Duration__hours*2))*(BC$141-(Morning_Peak_Time__24hr_clock+$C174))^2))+(EXP(-(1/(Afternoon_Peak_Duration__hours*2))*(BC$141-(Afternoon_Peak_Time__24hr_clock+$C174))^2)))*$V41)/TZCalibrationValue,0)</f>
        <v>0</v>
      </c>
      <c r="BD174" s="224">
        <f t="shared" si="261"/>
        <v>0</v>
      </c>
      <c r="BE174" s="224">
        <f t="shared" si="261"/>
        <v>0</v>
      </c>
      <c r="BF174" s="224">
        <f t="shared" si="261"/>
        <v>0</v>
      </c>
      <c r="BG174" s="224">
        <f t="shared" si="261"/>
        <v>0</v>
      </c>
      <c r="BH174" s="224">
        <f t="shared" si="261"/>
        <v>0</v>
      </c>
      <c r="BI174" s="224">
        <f t="shared" si="261"/>
        <v>0</v>
      </c>
      <c r="BJ174" s="224">
        <f t="shared" si="261"/>
        <v>0</v>
      </c>
      <c r="BK174" s="224">
        <f t="shared" si="261"/>
        <v>0</v>
      </c>
      <c r="BL174" s="224">
        <f t="shared" si="261"/>
        <v>0</v>
      </c>
      <c r="BM174" s="224">
        <f t="shared" si="261"/>
        <v>0</v>
      </c>
      <c r="BN174" s="224">
        <f t="shared" si="261"/>
        <v>0</v>
      </c>
      <c r="BO174" s="229">
        <f t="shared" ref="BO174:BO205" si="262">IF($T41&gt;0,(((EXP(-(1/(Morning_Peak_Duration__hours*2))*(BO$141-(Morning_Peak_Time__24hr_clock+$C174))^2))+(EXP(-(1/(Afternoon_Peak_Duration__hours*2))*(BO$141-(Afternoon_Peak_Time__24hr_clock+$C174))^2)))*$V41)/TZCalibrationValue,0)+CM174</f>
        <v>0</v>
      </c>
      <c r="BP174" s="229">
        <f t="shared" ref="BP174:BP205" si="263">IF($T41&gt;0,(((EXP(-(1/(Morning_Peak_Duration__hours*2))*(BP$141-(Morning_Peak_Time__24hr_clock+$C174))^2))+(EXP(-(1/(Afternoon_Peak_Duration__hours*2))*(BP$141-(Afternoon_Peak_Time__24hr_clock+$C174))^2)))*$V41)/TZCalibrationValue,0)+CN174</f>
        <v>0</v>
      </c>
      <c r="BQ174" s="229">
        <f t="shared" ref="BQ174:BQ205" si="264">IF($T41&gt;0,(((EXP(-(1/(Morning_Peak_Duration__hours*2))*(BQ$141-(Morning_Peak_Time__24hr_clock+$C174))^2))+(EXP(-(1/(Afternoon_Peak_Duration__hours*2))*(BQ$141-(Afternoon_Peak_Time__24hr_clock+$C174))^2)))*$V41)/TZCalibrationValue,0)+CO174</f>
        <v>0</v>
      </c>
      <c r="BR174" s="229">
        <f t="shared" ref="BR174:BR205" si="265">IF($T41&gt;0,(((EXP(-(1/(Morning_Peak_Duration__hours*2))*(BR$141-(Morning_Peak_Time__24hr_clock+$C174))^2))+(EXP(-(1/(Afternoon_Peak_Duration__hours*2))*(BR$141-(Afternoon_Peak_Time__24hr_clock+$C174))^2)))*$V41)/TZCalibrationValue,0)+CP174</f>
        <v>0</v>
      </c>
      <c r="BS174" s="229">
        <f t="shared" ref="BS174:BS205" si="266">IF($T41&gt;0,(((EXP(-(1/(Morning_Peak_Duration__hours*2))*(BS$141-(Morning_Peak_Time__24hr_clock+$C174))^2))+(EXP(-(1/(Afternoon_Peak_Duration__hours*2))*(BS$141-(Afternoon_Peak_Time__24hr_clock+$C174))^2)))*$V41)/TZCalibrationValue,0)+CQ174</f>
        <v>0</v>
      </c>
      <c r="BT174" s="229">
        <f t="shared" ref="BT174:BT205" si="267">IF($T41&gt;0,(((EXP(-(1/(Morning_Peak_Duration__hours*2))*(BT$141-(Morning_Peak_Time__24hr_clock+$C174))^2))+(EXP(-(1/(Afternoon_Peak_Duration__hours*2))*(BT$141-(Afternoon_Peak_Time__24hr_clock+$C174))^2)))*$V41)/TZCalibrationValue,0)+CR174</f>
        <v>0</v>
      </c>
      <c r="BU174" s="229">
        <f t="shared" ref="BU174:BU205" si="268">IF($T41&gt;0,(((EXP(-(1/(Morning_Peak_Duration__hours*2))*(BU$141-(Morning_Peak_Time__24hr_clock+$C174))^2))+(EXP(-(1/(Afternoon_Peak_Duration__hours*2))*(BU$141-(Afternoon_Peak_Time__24hr_clock+$C174))^2)))*$V41)/TZCalibrationValue,0)+CS174</f>
        <v>0</v>
      </c>
      <c r="BV174" s="229">
        <f t="shared" ref="BV174:BV205" si="269">IF($T41&gt;0,(((EXP(-(1/(Morning_Peak_Duration__hours*2))*(BV$141-(Morning_Peak_Time__24hr_clock+$C174))^2))+(EXP(-(1/(Afternoon_Peak_Duration__hours*2))*(BV$141-(Afternoon_Peak_Time__24hr_clock+$C174))^2)))*$V41)/TZCalibrationValue,0)+CT174</f>
        <v>0</v>
      </c>
      <c r="BW174" s="229">
        <f t="shared" ref="BW174:BW205" si="270">IF($T41&gt;0,(((EXP(-(1/(Morning_Peak_Duration__hours*2))*(BW$141-(Morning_Peak_Time__24hr_clock+$C174))^2))+(EXP(-(1/(Afternoon_Peak_Duration__hours*2))*(BW$141-(Afternoon_Peak_Time__24hr_clock+$C174))^2)))*$V41)/TZCalibrationValue,0)+CU174</f>
        <v>0</v>
      </c>
      <c r="BX174" s="229">
        <f t="shared" ref="BX174:BX205" si="271">IF($T41&gt;0,(((EXP(-(1/(Morning_Peak_Duration__hours*2))*(BX$141-(Morning_Peak_Time__24hr_clock+$C174))^2))+(EXP(-(1/(Afternoon_Peak_Duration__hours*2))*(BX$141-(Afternoon_Peak_Time__24hr_clock+$C174))^2)))*$V41)/TZCalibrationValue,0)+CV174</f>
        <v>0</v>
      </c>
      <c r="BY174" s="229">
        <f t="shared" ref="BY174:BY205" si="272">IF($T41&gt;0,(((EXP(-(1/(Morning_Peak_Duration__hours*2))*(BY$141-(Morning_Peak_Time__24hr_clock+$C174))^2))+(EXP(-(1/(Afternoon_Peak_Duration__hours*2))*(BY$141-(Afternoon_Peak_Time__24hr_clock+$C174))^2)))*$V41)/TZCalibrationValue,0)+CW174</f>
        <v>0</v>
      </c>
      <c r="BZ174" s="229">
        <f t="shared" ref="BZ174:BZ205" si="273">IF($T41&gt;0,(((EXP(-(1/(Morning_Peak_Duration__hours*2))*(BZ$141-(Morning_Peak_Time__24hr_clock+$C174))^2))+(EXP(-(1/(Afternoon_Peak_Duration__hours*2))*(BZ$141-(Afternoon_Peak_Time__24hr_clock+$C174))^2)))*$V41)/TZCalibrationValue,0)+CX174</f>
        <v>0</v>
      </c>
      <c r="CA174" s="229">
        <f t="shared" ref="CA174:CA205" si="274">IF($T41&gt;0,(((EXP(-(1/(Morning_Peak_Duration__hours*2))*(CA$141-(Morning_Peak_Time__24hr_clock+$C174))^2))+(EXP(-(1/(Afternoon_Peak_Duration__hours*2))*(CA$141-(Afternoon_Peak_Time__24hr_clock+$C174))^2)))*$V41)/TZCalibrationValue,0)+BC174</f>
        <v>0</v>
      </c>
      <c r="CB174" s="229">
        <f t="shared" ref="CB174:CB205" si="275">IF($T41&gt;0,(((EXP(-(1/(Morning_Peak_Duration__hours*2))*(CB$141-(Morning_Peak_Time__24hr_clock+$C174))^2))+(EXP(-(1/(Afternoon_Peak_Duration__hours*2))*(CB$141-(Afternoon_Peak_Time__24hr_clock+$C174))^2)))*$V41)/TZCalibrationValue,0)+BD174</f>
        <v>0</v>
      </c>
      <c r="CC174" s="229">
        <f t="shared" ref="CC174:CC205" si="276">IF($T41&gt;0,(((EXP(-(1/(Morning_Peak_Duration__hours*2))*(CC$141-(Morning_Peak_Time__24hr_clock+$C174))^2))+(EXP(-(1/(Afternoon_Peak_Duration__hours*2))*(CC$141-(Afternoon_Peak_Time__24hr_clock+$C174))^2)))*$V41)/TZCalibrationValue,0)+BE174</f>
        <v>0</v>
      </c>
      <c r="CD174" s="229">
        <f t="shared" ref="CD174:CD205" si="277">IF($T41&gt;0,(((EXP(-(1/(Morning_Peak_Duration__hours*2))*(CD$141-(Morning_Peak_Time__24hr_clock+$C174))^2))+(EXP(-(1/(Afternoon_Peak_Duration__hours*2))*(CD$141-(Afternoon_Peak_Time__24hr_clock+$C174))^2)))*$V41)/TZCalibrationValue,0)+BF174</f>
        <v>0</v>
      </c>
      <c r="CE174" s="229">
        <f t="shared" ref="CE174:CE205" si="278">IF($T41&gt;0,(((EXP(-(1/(Morning_Peak_Duration__hours*2))*(CE$141-(Morning_Peak_Time__24hr_clock+$C174))^2))+(EXP(-(1/(Afternoon_Peak_Duration__hours*2))*(CE$141-(Afternoon_Peak_Time__24hr_clock+$C174))^2)))*$V41)/TZCalibrationValue,0)+BG174</f>
        <v>0</v>
      </c>
      <c r="CF174" s="229">
        <f t="shared" ref="CF174:CF205" si="279">IF($T41&gt;0,(((EXP(-(1/(Morning_Peak_Duration__hours*2))*(CF$141-(Morning_Peak_Time__24hr_clock+$C174))^2))+(EXP(-(1/(Afternoon_Peak_Duration__hours*2))*(CF$141-(Afternoon_Peak_Time__24hr_clock+$C174))^2)))*$V41)/TZCalibrationValue,0)+BH174</f>
        <v>0</v>
      </c>
      <c r="CG174" s="229">
        <f t="shared" ref="CG174:CG205" si="280">IF($T41&gt;0,(((EXP(-(1/(Morning_Peak_Duration__hours*2))*(CG$141-(Morning_Peak_Time__24hr_clock+$C174))^2))+(EXP(-(1/(Afternoon_Peak_Duration__hours*2))*(CG$141-(Afternoon_Peak_Time__24hr_clock+$C174))^2)))*$V41)/TZCalibrationValue,0)+BI174</f>
        <v>0</v>
      </c>
      <c r="CH174" s="229">
        <f t="shared" ref="CH174:CH205" si="281">IF($T41&gt;0,(((EXP(-(1/(Morning_Peak_Duration__hours*2))*(CH$141-(Morning_Peak_Time__24hr_clock+$C174))^2))+(EXP(-(1/(Afternoon_Peak_Duration__hours*2))*(CH$141-(Afternoon_Peak_Time__24hr_clock+$C174))^2)))*$V41)/TZCalibrationValue,0)+BJ174</f>
        <v>0</v>
      </c>
      <c r="CI174" s="229">
        <f t="shared" ref="CI174:CI205" si="282">IF($T41&gt;0,(((EXP(-(1/(Morning_Peak_Duration__hours*2))*(CI$141-(Morning_Peak_Time__24hr_clock+$C174))^2))+(EXP(-(1/(Afternoon_Peak_Duration__hours*2))*(CI$141-(Afternoon_Peak_Time__24hr_clock+$C174))^2)))*$V41)/TZCalibrationValue,0)+BK174</f>
        <v>0</v>
      </c>
      <c r="CJ174" s="229">
        <f t="shared" ref="CJ174:CJ205" si="283">IF($T41&gt;0,(((EXP(-(1/(Morning_Peak_Duration__hours*2))*(CJ$141-(Morning_Peak_Time__24hr_clock+$C174))^2))+(EXP(-(1/(Afternoon_Peak_Duration__hours*2))*(CJ$141-(Afternoon_Peak_Time__24hr_clock+$C174))^2)))*$V41)/TZCalibrationValue,0)+BL174</f>
        <v>0</v>
      </c>
      <c r="CK174" s="229">
        <f t="shared" ref="CK174:CK205" si="284">IF($T41&gt;0,(((EXP(-(1/(Morning_Peak_Duration__hours*2))*(CK$141-(Morning_Peak_Time__24hr_clock+$C174))^2))+(EXP(-(1/(Afternoon_Peak_Duration__hours*2))*(CK$141-(Afternoon_Peak_Time__24hr_clock+$C174))^2)))*$V41)/TZCalibrationValue,0)+BM174</f>
        <v>0</v>
      </c>
      <c r="CL174" s="229">
        <f t="shared" ref="CL174:CL205" si="285">IF($T41&gt;0,(((EXP(-(1/(Morning_Peak_Duration__hours*2))*(CL$141-(Morning_Peak_Time__24hr_clock+$C174))^2))+(EXP(-(1/(Afternoon_Peak_Duration__hours*2))*(CL$141-(Afternoon_Peak_Time__24hr_clock+$C174))^2)))*$V41)/TZCalibrationValue,0)+BN174</f>
        <v>0</v>
      </c>
      <c r="CM174" s="224">
        <f t="shared" ref="CM174:CX174" si="286">IF($T41&gt;0,(((EXP(-(1/(Morning_Peak_Duration__hours*2))*(CM$141-(Morning_Peak_Time__24hr_clock+$C174))^2))+(EXP(-(1/(Afternoon_Peak_Duration__hours*2))*(CM$141-(Afternoon_Peak_Time__24hr_clock+$C174))^2)))*$V41)/TZCalibrationValue,0)</f>
        <v>0</v>
      </c>
      <c r="CN174" s="224">
        <f t="shared" si="286"/>
        <v>0</v>
      </c>
      <c r="CO174" s="224">
        <f t="shared" si="286"/>
        <v>0</v>
      </c>
      <c r="CP174" s="224">
        <f t="shared" si="286"/>
        <v>0</v>
      </c>
      <c r="CQ174" s="224">
        <f t="shared" si="286"/>
        <v>0</v>
      </c>
      <c r="CR174" s="224">
        <f t="shared" si="286"/>
        <v>0</v>
      </c>
      <c r="CS174" s="224">
        <f t="shared" si="286"/>
        <v>0</v>
      </c>
      <c r="CT174" s="224">
        <f t="shared" si="286"/>
        <v>0</v>
      </c>
      <c r="CU174" s="224">
        <f t="shared" si="286"/>
        <v>0</v>
      </c>
      <c r="CV174" s="224">
        <f t="shared" si="286"/>
        <v>0</v>
      </c>
      <c r="CW174" s="224">
        <f t="shared" si="286"/>
        <v>0</v>
      </c>
      <c r="CX174" s="224">
        <f t="shared" si="286"/>
        <v>0</v>
      </c>
      <c r="CY174" s="218"/>
    </row>
    <row r="175" spans="2:103" hidden="1" outlineLevel="1">
      <c r="B175" t="str">
        <f t="shared" si="233"/>
        <v>Site 34</v>
      </c>
      <c r="C175" s="230">
        <f>VLOOKUP(D42,'Scaling Tables'!$B$123:$C$149,2,FALSE)-VLOOKUP($C$4,'Scaling Tables'!$B$123:$C$149,2,FALSE)</f>
        <v>0</v>
      </c>
      <c r="D175" s="224">
        <f t="shared" ref="D175:O175" si="287">IF($T42&gt;0,(((EXP(-(1/(Morning_Peak_Duration__hours*2))*(D$141-(Morning_Peak_Time__24hr_clock+$C175))^2))+(EXP(-(1/(Afternoon_Peak_Duration__hours*2))*(D$141-(Afternoon_Peak_Time__24hr_clock+$C175))^2)))*$U42)/TZCalibrationValue,0)</f>
        <v>0</v>
      </c>
      <c r="E175" s="224">
        <f t="shared" si="287"/>
        <v>0</v>
      </c>
      <c r="F175" s="224">
        <f t="shared" si="287"/>
        <v>0</v>
      </c>
      <c r="G175" s="224">
        <f t="shared" si="287"/>
        <v>0</v>
      </c>
      <c r="H175" s="224">
        <f t="shared" si="287"/>
        <v>0</v>
      </c>
      <c r="I175" s="224">
        <f t="shared" si="287"/>
        <v>0</v>
      </c>
      <c r="J175" s="224">
        <f t="shared" si="287"/>
        <v>0</v>
      </c>
      <c r="K175" s="224">
        <f t="shared" si="287"/>
        <v>0</v>
      </c>
      <c r="L175" s="224">
        <f t="shared" si="287"/>
        <v>0</v>
      </c>
      <c r="M175" s="224">
        <f t="shared" si="287"/>
        <v>0</v>
      </c>
      <c r="N175" s="224">
        <f t="shared" si="287"/>
        <v>0</v>
      </c>
      <c r="O175" s="224">
        <f t="shared" si="287"/>
        <v>0</v>
      </c>
      <c r="P175" s="229">
        <f t="shared" si="235"/>
        <v>0</v>
      </c>
      <c r="Q175" s="229">
        <f t="shared" si="236"/>
        <v>0</v>
      </c>
      <c r="R175" s="229">
        <f t="shared" si="237"/>
        <v>0</v>
      </c>
      <c r="S175" s="229">
        <f t="shared" si="238"/>
        <v>0</v>
      </c>
      <c r="T175" s="229">
        <f t="shared" si="239"/>
        <v>0</v>
      </c>
      <c r="U175" s="229">
        <f t="shared" si="240"/>
        <v>0</v>
      </c>
      <c r="V175" s="229">
        <f t="shared" si="241"/>
        <v>0</v>
      </c>
      <c r="W175" s="229">
        <f t="shared" si="242"/>
        <v>0</v>
      </c>
      <c r="X175" s="229">
        <f t="shared" si="243"/>
        <v>0</v>
      </c>
      <c r="Y175" s="229">
        <f t="shared" si="244"/>
        <v>0</v>
      </c>
      <c r="Z175" s="229">
        <f t="shared" si="245"/>
        <v>0</v>
      </c>
      <c r="AA175" s="229">
        <f t="shared" si="246"/>
        <v>0</v>
      </c>
      <c r="AB175" s="229">
        <f t="shared" si="247"/>
        <v>0</v>
      </c>
      <c r="AC175" s="229">
        <f t="shared" si="248"/>
        <v>0</v>
      </c>
      <c r="AD175" s="229">
        <f t="shared" si="249"/>
        <v>0</v>
      </c>
      <c r="AE175" s="229">
        <f t="shared" si="250"/>
        <v>0</v>
      </c>
      <c r="AF175" s="229">
        <f t="shared" si="251"/>
        <v>0</v>
      </c>
      <c r="AG175" s="229">
        <f t="shared" si="252"/>
        <v>0</v>
      </c>
      <c r="AH175" s="229">
        <f t="shared" si="253"/>
        <v>0</v>
      </c>
      <c r="AI175" s="229">
        <f t="shared" si="254"/>
        <v>0</v>
      </c>
      <c r="AJ175" s="229">
        <f t="shared" si="255"/>
        <v>0</v>
      </c>
      <c r="AK175" s="229">
        <f t="shared" si="256"/>
        <v>0</v>
      </c>
      <c r="AL175" s="229">
        <f t="shared" si="257"/>
        <v>0</v>
      </c>
      <c r="AM175" s="229">
        <f t="shared" si="258"/>
        <v>0</v>
      </c>
      <c r="AN175" s="224">
        <f t="shared" ref="AN175:AY175" si="288">IF($T42&gt;0,(((EXP(-(1/(Morning_Peak_Duration__hours*2))*(AN$141-(Morning_Peak_Time__24hr_clock+$C175))^2))+(EXP(-(1/(Afternoon_Peak_Duration__hours*2))*(AN$141-(Afternoon_Peak_Time__24hr_clock+$C175))^2)))*$U42)/TZCalibrationValue,0)</f>
        <v>0</v>
      </c>
      <c r="AO175" s="224">
        <f t="shared" si="288"/>
        <v>0</v>
      </c>
      <c r="AP175" s="224">
        <f t="shared" si="288"/>
        <v>0</v>
      </c>
      <c r="AQ175" s="224">
        <f t="shared" si="288"/>
        <v>0</v>
      </c>
      <c r="AR175" s="224">
        <f t="shared" si="288"/>
        <v>0</v>
      </c>
      <c r="AS175" s="224">
        <f t="shared" si="288"/>
        <v>0</v>
      </c>
      <c r="AT175" s="224">
        <f t="shared" si="288"/>
        <v>0</v>
      </c>
      <c r="AU175" s="224">
        <f t="shared" si="288"/>
        <v>0</v>
      </c>
      <c r="AV175" s="224">
        <f t="shared" si="288"/>
        <v>0</v>
      </c>
      <c r="AW175" s="224">
        <f t="shared" si="288"/>
        <v>0</v>
      </c>
      <c r="AX175" s="224">
        <f t="shared" si="288"/>
        <v>0</v>
      </c>
      <c r="AY175" s="224">
        <f t="shared" si="288"/>
        <v>0</v>
      </c>
      <c r="AZ175" s="218"/>
      <c r="BA175"/>
      <c r="BB175" s="176" t="str">
        <f t="shared" si="260"/>
        <v>Site 34</v>
      </c>
      <c r="BC175" s="224">
        <f t="shared" ref="BC175:BN175" si="289">IF($T42&gt;0,(((EXP(-(1/(Morning_Peak_Duration__hours*2))*(BC$141-(Morning_Peak_Time__24hr_clock+$C175))^2))+(EXP(-(1/(Afternoon_Peak_Duration__hours*2))*(BC$141-(Afternoon_Peak_Time__24hr_clock+$C175))^2)))*$V42)/TZCalibrationValue,0)</f>
        <v>0</v>
      </c>
      <c r="BD175" s="224">
        <f t="shared" si="289"/>
        <v>0</v>
      </c>
      <c r="BE175" s="224">
        <f t="shared" si="289"/>
        <v>0</v>
      </c>
      <c r="BF175" s="224">
        <f t="shared" si="289"/>
        <v>0</v>
      </c>
      <c r="BG175" s="224">
        <f t="shared" si="289"/>
        <v>0</v>
      </c>
      <c r="BH175" s="224">
        <f t="shared" si="289"/>
        <v>0</v>
      </c>
      <c r="BI175" s="224">
        <f t="shared" si="289"/>
        <v>0</v>
      </c>
      <c r="BJ175" s="224">
        <f t="shared" si="289"/>
        <v>0</v>
      </c>
      <c r="BK175" s="224">
        <f t="shared" si="289"/>
        <v>0</v>
      </c>
      <c r="BL175" s="224">
        <f t="shared" si="289"/>
        <v>0</v>
      </c>
      <c r="BM175" s="224">
        <f t="shared" si="289"/>
        <v>0</v>
      </c>
      <c r="BN175" s="224">
        <f t="shared" si="289"/>
        <v>0</v>
      </c>
      <c r="BO175" s="229">
        <f t="shared" si="262"/>
        <v>0</v>
      </c>
      <c r="BP175" s="229">
        <f t="shared" si="263"/>
        <v>0</v>
      </c>
      <c r="BQ175" s="229">
        <f t="shared" si="264"/>
        <v>0</v>
      </c>
      <c r="BR175" s="229">
        <f t="shared" si="265"/>
        <v>0</v>
      </c>
      <c r="BS175" s="229">
        <f t="shared" si="266"/>
        <v>0</v>
      </c>
      <c r="BT175" s="229">
        <f t="shared" si="267"/>
        <v>0</v>
      </c>
      <c r="BU175" s="229">
        <f t="shared" si="268"/>
        <v>0</v>
      </c>
      <c r="BV175" s="229">
        <f t="shared" si="269"/>
        <v>0</v>
      </c>
      <c r="BW175" s="229">
        <f t="shared" si="270"/>
        <v>0</v>
      </c>
      <c r="BX175" s="229">
        <f t="shared" si="271"/>
        <v>0</v>
      </c>
      <c r="BY175" s="229">
        <f t="shared" si="272"/>
        <v>0</v>
      </c>
      <c r="BZ175" s="229">
        <f t="shared" si="273"/>
        <v>0</v>
      </c>
      <c r="CA175" s="229">
        <f t="shared" si="274"/>
        <v>0</v>
      </c>
      <c r="CB175" s="229">
        <f t="shared" si="275"/>
        <v>0</v>
      </c>
      <c r="CC175" s="229">
        <f t="shared" si="276"/>
        <v>0</v>
      </c>
      <c r="CD175" s="229">
        <f t="shared" si="277"/>
        <v>0</v>
      </c>
      <c r="CE175" s="229">
        <f t="shared" si="278"/>
        <v>0</v>
      </c>
      <c r="CF175" s="229">
        <f t="shared" si="279"/>
        <v>0</v>
      </c>
      <c r="CG175" s="229">
        <f t="shared" si="280"/>
        <v>0</v>
      </c>
      <c r="CH175" s="229">
        <f t="shared" si="281"/>
        <v>0</v>
      </c>
      <c r="CI175" s="229">
        <f t="shared" si="282"/>
        <v>0</v>
      </c>
      <c r="CJ175" s="229">
        <f t="shared" si="283"/>
        <v>0</v>
      </c>
      <c r="CK175" s="229">
        <f t="shared" si="284"/>
        <v>0</v>
      </c>
      <c r="CL175" s="229">
        <f t="shared" si="285"/>
        <v>0</v>
      </c>
      <c r="CM175" s="224">
        <f t="shared" ref="CM175:CX175" si="290">IF($T42&gt;0,(((EXP(-(1/(Morning_Peak_Duration__hours*2))*(CM$141-(Morning_Peak_Time__24hr_clock+$C175))^2))+(EXP(-(1/(Afternoon_Peak_Duration__hours*2))*(CM$141-(Afternoon_Peak_Time__24hr_clock+$C175))^2)))*$V42)/TZCalibrationValue,0)</f>
        <v>0</v>
      </c>
      <c r="CN175" s="224">
        <f t="shared" si="290"/>
        <v>0</v>
      </c>
      <c r="CO175" s="224">
        <f t="shared" si="290"/>
        <v>0</v>
      </c>
      <c r="CP175" s="224">
        <f t="shared" si="290"/>
        <v>0</v>
      </c>
      <c r="CQ175" s="224">
        <f t="shared" si="290"/>
        <v>0</v>
      </c>
      <c r="CR175" s="224">
        <f t="shared" si="290"/>
        <v>0</v>
      </c>
      <c r="CS175" s="224">
        <f t="shared" si="290"/>
        <v>0</v>
      </c>
      <c r="CT175" s="224">
        <f t="shared" si="290"/>
        <v>0</v>
      </c>
      <c r="CU175" s="224">
        <f t="shared" si="290"/>
        <v>0</v>
      </c>
      <c r="CV175" s="224">
        <f t="shared" si="290"/>
        <v>0</v>
      </c>
      <c r="CW175" s="224">
        <f t="shared" si="290"/>
        <v>0</v>
      </c>
      <c r="CX175" s="224">
        <f t="shared" si="290"/>
        <v>0</v>
      </c>
      <c r="CY175" s="218"/>
    </row>
    <row r="176" spans="2:103" hidden="1" outlineLevel="1">
      <c r="B176" t="str">
        <f t="shared" si="233"/>
        <v>Site 35</v>
      </c>
      <c r="C176" s="230">
        <f>VLOOKUP(D43,'Scaling Tables'!$B$123:$C$149,2,FALSE)-VLOOKUP($C$4,'Scaling Tables'!$B$123:$C$149,2,FALSE)</f>
        <v>0</v>
      </c>
      <c r="D176" s="224">
        <f t="shared" ref="D176:O176" si="291">IF($T43&gt;0,(((EXP(-(1/(Morning_Peak_Duration__hours*2))*(D$141-(Morning_Peak_Time__24hr_clock+$C176))^2))+(EXP(-(1/(Afternoon_Peak_Duration__hours*2))*(D$141-(Afternoon_Peak_Time__24hr_clock+$C176))^2)))*$U43)/TZCalibrationValue,0)</f>
        <v>0</v>
      </c>
      <c r="E176" s="224">
        <f t="shared" si="291"/>
        <v>0</v>
      </c>
      <c r="F176" s="224">
        <f t="shared" si="291"/>
        <v>0</v>
      </c>
      <c r="G176" s="224">
        <f t="shared" si="291"/>
        <v>0</v>
      </c>
      <c r="H176" s="224">
        <f t="shared" si="291"/>
        <v>0</v>
      </c>
      <c r="I176" s="224">
        <f t="shared" si="291"/>
        <v>0</v>
      </c>
      <c r="J176" s="224">
        <f t="shared" si="291"/>
        <v>0</v>
      </c>
      <c r="K176" s="224">
        <f t="shared" si="291"/>
        <v>0</v>
      </c>
      <c r="L176" s="224">
        <f t="shared" si="291"/>
        <v>0</v>
      </c>
      <c r="M176" s="224">
        <f t="shared" si="291"/>
        <v>0</v>
      </c>
      <c r="N176" s="224">
        <f t="shared" si="291"/>
        <v>0</v>
      </c>
      <c r="O176" s="224">
        <f t="shared" si="291"/>
        <v>0</v>
      </c>
      <c r="P176" s="229">
        <f t="shared" si="235"/>
        <v>0</v>
      </c>
      <c r="Q176" s="229">
        <f t="shared" si="236"/>
        <v>0</v>
      </c>
      <c r="R176" s="229">
        <f t="shared" si="237"/>
        <v>0</v>
      </c>
      <c r="S176" s="229">
        <f t="shared" si="238"/>
        <v>0</v>
      </c>
      <c r="T176" s="229">
        <f t="shared" si="239"/>
        <v>0</v>
      </c>
      <c r="U176" s="229">
        <f t="shared" si="240"/>
        <v>0</v>
      </c>
      <c r="V176" s="229">
        <f t="shared" si="241"/>
        <v>0</v>
      </c>
      <c r="W176" s="229">
        <f t="shared" si="242"/>
        <v>0</v>
      </c>
      <c r="X176" s="229">
        <f t="shared" si="243"/>
        <v>0</v>
      </c>
      <c r="Y176" s="229">
        <f t="shared" si="244"/>
        <v>0</v>
      </c>
      <c r="Z176" s="229">
        <f t="shared" si="245"/>
        <v>0</v>
      </c>
      <c r="AA176" s="229">
        <f t="shared" si="246"/>
        <v>0</v>
      </c>
      <c r="AB176" s="229">
        <f t="shared" si="247"/>
        <v>0</v>
      </c>
      <c r="AC176" s="229">
        <f t="shared" si="248"/>
        <v>0</v>
      </c>
      <c r="AD176" s="229">
        <f t="shared" si="249"/>
        <v>0</v>
      </c>
      <c r="AE176" s="229">
        <f t="shared" si="250"/>
        <v>0</v>
      </c>
      <c r="AF176" s="229">
        <f t="shared" si="251"/>
        <v>0</v>
      </c>
      <c r="AG176" s="229">
        <f t="shared" si="252"/>
        <v>0</v>
      </c>
      <c r="AH176" s="229">
        <f t="shared" si="253"/>
        <v>0</v>
      </c>
      <c r="AI176" s="229">
        <f t="shared" si="254"/>
        <v>0</v>
      </c>
      <c r="AJ176" s="229">
        <f t="shared" si="255"/>
        <v>0</v>
      </c>
      <c r="AK176" s="229">
        <f t="shared" si="256"/>
        <v>0</v>
      </c>
      <c r="AL176" s="229">
        <f t="shared" si="257"/>
        <v>0</v>
      </c>
      <c r="AM176" s="229">
        <f t="shared" si="258"/>
        <v>0</v>
      </c>
      <c r="AN176" s="224">
        <f t="shared" ref="AN176:AY176" si="292">IF($T43&gt;0,(((EXP(-(1/(Morning_Peak_Duration__hours*2))*(AN$141-(Morning_Peak_Time__24hr_clock+$C176))^2))+(EXP(-(1/(Afternoon_Peak_Duration__hours*2))*(AN$141-(Afternoon_Peak_Time__24hr_clock+$C176))^2)))*$U43)/TZCalibrationValue,0)</f>
        <v>0</v>
      </c>
      <c r="AO176" s="224">
        <f t="shared" si="292"/>
        <v>0</v>
      </c>
      <c r="AP176" s="224">
        <f t="shared" si="292"/>
        <v>0</v>
      </c>
      <c r="AQ176" s="224">
        <f t="shared" si="292"/>
        <v>0</v>
      </c>
      <c r="AR176" s="224">
        <f t="shared" si="292"/>
        <v>0</v>
      </c>
      <c r="AS176" s="224">
        <f t="shared" si="292"/>
        <v>0</v>
      </c>
      <c r="AT176" s="224">
        <f t="shared" si="292"/>
        <v>0</v>
      </c>
      <c r="AU176" s="224">
        <f t="shared" si="292"/>
        <v>0</v>
      </c>
      <c r="AV176" s="224">
        <f t="shared" si="292"/>
        <v>0</v>
      </c>
      <c r="AW176" s="224">
        <f t="shared" si="292"/>
        <v>0</v>
      </c>
      <c r="AX176" s="224">
        <f t="shared" si="292"/>
        <v>0</v>
      </c>
      <c r="AY176" s="224">
        <f t="shared" si="292"/>
        <v>0</v>
      </c>
      <c r="AZ176" s="218"/>
      <c r="BA176"/>
      <c r="BB176" s="176" t="str">
        <f t="shared" si="260"/>
        <v>Site 35</v>
      </c>
      <c r="BC176" s="224">
        <f t="shared" ref="BC176:BN176" si="293">IF($T43&gt;0,(((EXP(-(1/(Morning_Peak_Duration__hours*2))*(BC$141-(Morning_Peak_Time__24hr_clock+$C176))^2))+(EXP(-(1/(Afternoon_Peak_Duration__hours*2))*(BC$141-(Afternoon_Peak_Time__24hr_clock+$C176))^2)))*$V43)/TZCalibrationValue,0)</f>
        <v>0</v>
      </c>
      <c r="BD176" s="224">
        <f t="shared" si="293"/>
        <v>0</v>
      </c>
      <c r="BE176" s="224">
        <f t="shared" si="293"/>
        <v>0</v>
      </c>
      <c r="BF176" s="224">
        <f t="shared" si="293"/>
        <v>0</v>
      </c>
      <c r="BG176" s="224">
        <f t="shared" si="293"/>
        <v>0</v>
      </c>
      <c r="BH176" s="224">
        <f t="shared" si="293"/>
        <v>0</v>
      </c>
      <c r="BI176" s="224">
        <f t="shared" si="293"/>
        <v>0</v>
      </c>
      <c r="BJ176" s="224">
        <f t="shared" si="293"/>
        <v>0</v>
      </c>
      <c r="BK176" s="224">
        <f t="shared" si="293"/>
        <v>0</v>
      </c>
      <c r="BL176" s="224">
        <f t="shared" si="293"/>
        <v>0</v>
      </c>
      <c r="BM176" s="224">
        <f t="shared" si="293"/>
        <v>0</v>
      </c>
      <c r="BN176" s="224">
        <f t="shared" si="293"/>
        <v>0</v>
      </c>
      <c r="BO176" s="229">
        <f t="shared" si="262"/>
        <v>0</v>
      </c>
      <c r="BP176" s="229">
        <f t="shared" si="263"/>
        <v>0</v>
      </c>
      <c r="BQ176" s="229">
        <f t="shared" si="264"/>
        <v>0</v>
      </c>
      <c r="BR176" s="229">
        <f t="shared" si="265"/>
        <v>0</v>
      </c>
      <c r="BS176" s="229">
        <f t="shared" si="266"/>
        <v>0</v>
      </c>
      <c r="BT176" s="229">
        <f t="shared" si="267"/>
        <v>0</v>
      </c>
      <c r="BU176" s="229">
        <f t="shared" si="268"/>
        <v>0</v>
      </c>
      <c r="BV176" s="229">
        <f t="shared" si="269"/>
        <v>0</v>
      </c>
      <c r="BW176" s="229">
        <f t="shared" si="270"/>
        <v>0</v>
      </c>
      <c r="BX176" s="229">
        <f t="shared" si="271"/>
        <v>0</v>
      </c>
      <c r="BY176" s="229">
        <f t="shared" si="272"/>
        <v>0</v>
      </c>
      <c r="BZ176" s="229">
        <f t="shared" si="273"/>
        <v>0</v>
      </c>
      <c r="CA176" s="229">
        <f t="shared" si="274"/>
        <v>0</v>
      </c>
      <c r="CB176" s="229">
        <f t="shared" si="275"/>
        <v>0</v>
      </c>
      <c r="CC176" s="229">
        <f t="shared" si="276"/>
        <v>0</v>
      </c>
      <c r="CD176" s="229">
        <f t="shared" si="277"/>
        <v>0</v>
      </c>
      <c r="CE176" s="229">
        <f t="shared" si="278"/>
        <v>0</v>
      </c>
      <c r="CF176" s="229">
        <f t="shared" si="279"/>
        <v>0</v>
      </c>
      <c r="CG176" s="229">
        <f t="shared" si="280"/>
        <v>0</v>
      </c>
      <c r="CH176" s="229">
        <f t="shared" si="281"/>
        <v>0</v>
      </c>
      <c r="CI176" s="229">
        <f t="shared" si="282"/>
        <v>0</v>
      </c>
      <c r="CJ176" s="229">
        <f t="shared" si="283"/>
        <v>0</v>
      </c>
      <c r="CK176" s="229">
        <f t="shared" si="284"/>
        <v>0</v>
      </c>
      <c r="CL176" s="229">
        <f t="shared" si="285"/>
        <v>0</v>
      </c>
      <c r="CM176" s="224">
        <f t="shared" ref="CM176:CX176" si="294">IF($T43&gt;0,(((EXP(-(1/(Morning_Peak_Duration__hours*2))*(CM$141-(Morning_Peak_Time__24hr_clock+$C176))^2))+(EXP(-(1/(Afternoon_Peak_Duration__hours*2))*(CM$141-(Afternoon_Peak_Time__24hr_clock+$C176))^2)))*$V43)/TZCalibrationValue,0)</f>
        <v>0</v>
      </c>
      <c r="CN176" s="224">
        <f t="shared" si="294"/>
        <v>0</v>
      </c>
      <c r="CO176" s="224">
        <f t="shared" si="294"/>
        <v>0</v>
      </c>
      <c r="CP176" s="224">
        <f t="shared" si="294"/>
        <v>0</v>
      </c>
      <c r="CQ176" s="224">
        <f t="shared" si="294"/>
        <v>0</v>
      </c>
      <c r="CR176" s="224">
        <f t="shared" si="294"/>
        <v>0</v>
      </c>
      <c r="CS176" s="224">
        <f t="shared" si="294"/>
        <v>0</v>
      </c>
      <c r="CT176" s="224">
        <f t="shared" si="294"/>
        <v>0</v>
      </c>
      <c r="CU176" s="224">
        <f t="shared" si="294"/>
        <v>0</v>
      </c>
      <c r="CV176" s="224">
        <f t="shared" si="294"/>
        <v>0</v>
      </c>
      <c r="CW176" s="224">
        <f t="shared" si="294"/>
        <v>0</v>
      </c>
      <c r="CX176" s="224">
        <f t="shared" si="294"/>
        <v>0</v>
      </c>
      <c r="CY176" s="218"/>
    </row>
    <row r="177" spans="2:103" hidden="1" outlineLevel="1">
      <c r="B177" t="str">
        <f t="shared" si="233"/>
        <v>Site 36</v>
      </c>
      <c r="C177" s="230">
        <f>VLOOKUP(D44,'Scaling Tables'!$B$123:$C$149,2,FALSE)-VLOOKUP($C$4,'Scaling Tables'!$B$123:$C$149,2,FALSE)</f>
        <v>0</v>
      </c>
      <c r="D177" s="224">
        <f t="shared" ref="D177:O177" si="295">IF($T44&gt;0,(((EXP(-(1/(Morning_Peak_Duration__hours*2))*(D$141-(Morning_Peak_Time__24hr_clock+$C177))^2))+(EXP(-(1/(Afternoon_Peak_Duration__hours*2))*(D$141-(Afternoon_Peak_Time__24hr_clock+$C177))^2)))*$U44)/TZCalibrationValue,0)</f>
        <v>0</v>
      </c>
      <c r="E177" s="224">
        <f t="shared" si="295"/>
        <v>0</v>
      </c>
      <c r="F177" s="224">
        <f t="shared" si="295"/>
        <v>0</v>
      </c>
      <c r="G177" s="224">
        <f t="shared" si="295"/>
        <v>0</v>
      </c>
      <c r="H177" s="224">
        <f t="shared" si="295"/>
        <v>0</v>
      </c>
      <c r="I177" s="224">
        <f t="shared" si="295"/>
        <v>0</v>
      </c>
      <c r="J177" s="224">
        <f t="shared" si="295"/>
        <v>0</v>
      </c>
      <c r="K177" s="224">
        <f t="shared" si="295"/>
        <v>0</v>
      </c>
      <c r="L177" s="224">
        <f t="shared" si="295"/>
        <v>0</v>
      </c>
      <c r="M177" s="224">
        <f t="shared" si="295"/>
        <v>0</v>
      </c>
      <c r="N177" s="224">
        <f t="shared" si="295"/>
        <v>0</v>
      </c>
      <c r="O177" s="224">
        <f t="shared" si="295"/>
        <v>0</v>
      </c>
      <c r="P177" s="229">
        <f t="shared" si="235"/>
        <v>0</v>
      </c>
      <c r="Q177" s="229">
        <f t="shared" si="236"/>
        <v>0</v>
      </c>
      <c r="R177" s="229">
        <f t="shared" si="237"/>
        <v>0</v>
      </c>
      <c r="S177" s="229">
        <f t="shared" si="238"/>
        <v>0</v>
      </c>
      <c r="T177" s="229">
        <f t="shared" si="239"/>
        <v>0</v>
      </c>
      <c r="U177" s="229">
        <f t="shared" si="240"/>
        <v>0</v>
      </c>
      <c r="V177" s="229">
        <f t="shared" si="241"/>
        <v>0</v>
      </c>
      <c r="W177" s="229">
        <f t="shared" si="242"/>
        <v>0</v>
      </c>
      <c r="X177" s="229">
        <f t="shared" si="243"/>
        <v>0</v>
      </c>
      <c r="Y177" s="229">
        <f t="shared" si="244"/>
        <v>0</v>
      </c>
      <c r="Z177" s="229">
        <f t="shared" si="245"/>
        <v>0</v>
      </c>
      <c r="AA177" s="229">
        <f t="shared" si="246"/>
        <v>0</v>
      </c>
      <c r="AB177" s="229">
        <f t="shared" si="247"/>
        <v>0</v>
      </c>
      <c r="AC177" s="229">
        <f t="shared" si="248"/>
        <v>0</v>
      </c>
      <c r="AD177" s="229">
        <f t="shared" si="249"/>
        <v>0</v>
      </c>
      <c r="AE177" s="229">
        <f t="shared" si="250"/>
        <v>0</v>
      </c>
      <c r="AF177" s="229">
        <f t="shared" si="251"/>
        <v>0</v>
      </c>
      <c r="AG177" s="229">
        <f t="shared" si="252"/>
        <v>0</v>
      </c>
      <c r="AH177" s="229">
        <f t="shared" si="253"/>
        <v>0</v>
      </c>
      <c r="AI177" s="229">
        <f t="shared" si="254"/>
        <v>0</v>
      </c>
      <c r="AJ177" s="229">
        <f t="shared" si="255"/>
        <v>0</v>
      </c>
      <c r="AK177" s="229">
        <f t="shared" si="256"/>
        <v>0</v>
      </c>
      <c r="AL177" s="229">
        <f t="shared" si="257"/>
        <v>0</v>
      </c>
      <c r="AM177" s="229">
        <f t="shared" si="258"/>
        <v>0</v>
      </c>
      <c r="AN177" s="224">
        <f t="shared" ref="AN177:AY177" si="296">IF($T44&gt;0,(((EXP(-(1/(Morning_Peak_Duration__hours*2))*(AN$141-(Morning_Peak_Time__24hr_clock+$C177))^2))+(EXP(-(1/(Afternoon_Peak_Duration__hours*2))*(AN$141-(Afternoon_Peak_Time__24hr_clock+$C177))^2)))*$U44)/TZCalibrationValue,0)</f>
        <v>0</v>
      </c>
      <c r="AO177" s="224">
        <f t="shared" si="296"/>
        <v>0</v>
      </c>
      <c r="AP177" s="224">
        <f t="shared" si="296"/>
        <v>0</v>
      </c>
      <c r="AQ177" s="224">
        <f t="shared" si="296"/>
        <v>0</v>
      </c>
      <c r="AR177" s="224">
        <f t="shared" si="296"/>
        <v>0</v>
      </c>
      <c r="AS177" s="224">
        <f t="shared" si="296"/>
        <v>0</v>
      </c>
      <c r="AT177" s="224">
        <f t="shared" si="296"/>
        <v>0</v>
      </c>
      <c r="AU177" s="224">
        <f t="shared" si="296"/>
        <v>0</v>
      </c>
      <c r="AV177" s="224">
        <f t="shared" si="296"/>
        <v>0</v>
      </c>
      <c r="AW177" s="224">
        <f t="shared" si="296"/>
        <v>0</v>
      </c>
      <c r="AX177" s="224">
        <f t="shared" si="296"/>
        <v>0</v>
      </c>
      <c r="AY177" s="224">
        <f t="shared" si="296"/>
        <v>0</v>
      </c>
      <c r="AZ177" s="218"/>
      <c r="BA177"/>
      <c r="BB177" s="176" t="str">
        <f t="shared" si="260"/>
        <v>Site 36</v>
      </c>
      <c r="BC177" s="224">
        <f t="shared" ref="BC177:BN177" si="297">IF($T44&gt;0,(((EXP(-(1/(Morning_Peak_Duration__hours*2))*(BC$141-(Morning_Peak_Time__24hr_clock+$C177))^2))+(EXP(-(1/(Afternoon_Peak_Duration__hours*2))*(BC$141-(Afternoon_Peak_Time__24hr_clock+$C177))^2)))*$V44)/TZCalibrationValue,0)</f>
        <v>0</v>
      </c>
      <c r="BD177" s="224">
        <f t="shared" si="297"/>
        <v>0</v>
      </c>
      <c r="BE177" s="224">
        <f t="shared" si="297"/>
        <v>0</v>
      </c>
      <c r="BF177" s="224">
        <f t="shared" si="297"/>
        <v>0</v>
      </c>
      <c r="BG177" s="224">
        <f t="shared" si="297"/>
        <v>0</v>
      </c>
      <c r="BH177" s="224">
        <f t="shared" si="297"/>
        <v>0</v>
      </c>
      <c r="BI177" s="224">
        <f t="shared" si="297"/>
        <v>0</v>
      </c>
      <c r="BJ177" s="224">
        <f t="shared" si="297"/>
        <v>0</v>
      </c>
      <c r="BK177" s="224">
        <f t="shared" si="297"/>
        <v>0</v>
      </c>
      <c r="BL177" s="224">
        <f t="shared" si="297"/>
        <v>0</v>
      </c>
      <c r="BM177" s="224">
        <f t="shared" si="297"/>
        <v>0</v>
      </c>
      <c r="BN177" s="224">
        <f t="shared" si="297"/>
        <v>0</v>
      </c>
      <c r="BO177" s="229">
        <f t="shared" si="262"/>
        <v>0</v>
      </c>
      <c r="BP177" s="229">
        <f t="shared" si="263"/>
        <v>0</v>
      </c>
      <c r="BQ177" s="229">
        <f t="shared" si="264"/>
        <v>0</v>
      </c>
      <c r="BR177" s="229">
        <f t="shared" si="265"/>
        <v>0</v>
      </c>
      <c r="BS177" s="229">
        <f t="shared" si="266"/>
        <v>0</v>
      </c>
      <c r="BT177" s="229">
        <f t="shared" si="267"/>
        <v>0</v>
      </c>
      <c r="BU177" s="229">
        <f t="shared" si="268"/>
        <v>0</v>
      </c>
      <c r="BV177" s="229">
        <f t="shared" si="269"/>
        <v>0</v>
      </c>
      <c r="BW177" s="229">
        <f t="shared" si="270"/>
        <v>0</v>
      </c>
      <c r="BX177" s="229">
        <f t="shared" si="271"/>
        <v>0</v>
      </c>
      <c r="BY177" s="229">
        <f t="shared" si="272"/>
        <v>0</v>
      </c>
      <c r="BZ177" s="229">
        <f t="shared" si="273"/>
        <v>0</v>
      </c>
      <c r="CA177" s="229">
        <f t="shared" si="274"/>
        <v>0</v>
      </c>
      <c r="CB177" s="229">
        <f t="shared" si="275"/>
        <v>0</v>
      </c>
      <c r="CC177" s="229">
        <f t="shared" si="276"/>
        <v>0</v>
      </c>
      <c r="CD177" s="229">
        <f t="shared" si="277"/>
        <v>0</v>
      </c>
      <c r="CE177" s="229">
        <f t="shared" si="278"/>
        <v>0</v>
      </c>
      <c r="CF177" s="229">
        <f t="shared" si="279"/>
        <v>0</v>
      </c>
      <c r="CG177" s="229">
        <f t="shared" si="280"/>
        <v>0</v>
      </c>
      <c r="CH177" s="229">
        <f t="shared" si="281"/>
        <v>0</v>
      </c>
      <c r="CI177" s="229">
        <f t="shared" si="282"/>
        <v>0</v>
      </c>
      <c r="CJ177" s="229">
        <f t="shared" si="283"/>
        <v>0</v>
      </c>
      <c r="CK177" s="229">
        <f t="shared" si="284"/>
        <v>0</v>
      </c>
      <c r="CL177" s="229">
        <f t="shared" si="285"/>
        <v>0</v>
      </c>
      <c r="CM177" s="224">
        <f t="shared" ref="CM177:CX177" si="298">IF($T44&gt;0,(((EXP(-(1/(Morning_Peak_Duration__hours*2))*(CM$141-(Morning_Peak_Time__24hr_clock+$C177))^2))+(EXP(-(1/(Afternoon_Peak_Duration__hours*2))*(CM$141-(Afternoon_Peak_Time__24hr_clock+$C177))^2)))*$V44)/TZCalibrationValue,0)</f>
        <v>0</v>
      </c>
      <c r="CN177" s="224">
        <f t="shared" si="298"/>
        <v>0</v>
      </c>
      <c r="CO177" s="224">
        <f t="shared" si="298"/>
        <v>0</v>
      </c>
      <c r="CP177" s="224">
        <f t="shared" si="298"/>
        <v>0</v>
      </c>
      <c r="CQ177" s="224">
        <f t="shared" si="298"/>
        <v>0</v>
      </c>
      <c r="CR177" s="224">
        <f t="shared" si="298"/>
        <v>0</v>
      </c>
      <c r="CS177" s="224">
        <f t="shared" si="298"/>
        <v>0</v>
      </c>
      <c r="CT177" s="224">
        <f t="shared" si="298"/>
        <v>0</v>
      </c>
      <c r="CU177" s="224">
        <f t="shared" si="298"/>
        <v>0</v>
      </c>
      <c r="CV177" s="224">
        <f t="shared" si="298"/>
        <v>0</v>
      </c>
      <c r="CW177" s="224">
        <f t="shared" si="298"/>
        <v>0</v>
      </c>
      <c r="CX177" s="224">
        <f t="shared" si="298"/>
        <v>0</v>
      </c>
      <c r="CY177" s="218"/>
    </row>
    <row r="178" spans="2:103" hidden="1" outlineLevel="1">
      <c r="B178" t="str">
        <f t="shared" si="233"/>
        <v>Site 37</v>
      </c>
      <c r="C178" s="230">
        <f>VLOOKUP(D45,'Scaling Tables'!$B$123:$C$149,2,FALSE)-VLOOKUP($C$4,'Scaling Tables'!$B$123:$C$149,2,FALSE)</f>
        <v>0</v>
      </c>
      <c r="D178" s="224">
        <f t="shared" ref="D178:O178" si="299">IF($T45&gt;0,(((EXP(-(1/(Morning_Peak_Duration__hours*2))*(D$141-(Morning_Peak_Time__24hr_clock+$C178))^2))+(EXP(-(1/(Afternoon_Peak_Duration__hours*2))*(D$141-(Afternoon_Peak_Time__24hr_clock+$C178))^2)))*$U45)/TZCalibrationValue,0)</f>
        <v>0</v>
      </c>
      <c r="E178" s="224">
        <f t="shared" si="299"/>
        <v>0</v>
      </c>
      <c r="F178" s="224">
        <f t="shared" si="299"/>
        <v>0</v>
      </c>
      <c r="G178" s="224">
        <f t="shared" si="299"/>
        <v>0</v>
      </c>
      <c r="H178" s="224">
        <f t="shared" si="299"/>
        <v>0</v>
      </c>
      <c r="I178" s="224">
        <f t="shared" si="299"/>
        <v>0</v>
      </c>
      <c r="J178" s="224">
        <f t="shared" si="299"/>
        <v>0</v>
      </c>
      <c r="K178" s="224">
        <f t="shared" si="299"/>
        <v>0</v>
      </c>
      <c r="L178" s="224">
        <f t="shared" si="299"/>
        <v>0</v>
      </c>
      <c r="M178" s="224">
        <f t="shared" si="299"/>
        <v>0</v>
      </c>
      <c r="N178" s="224">
        <f t="shared" si="299"/>
        <v>0</v>
      </c>
      <c r="O178" s="224">
        <f t="shared" si="299"/>
        <v>0</v>
      </c>
      <c r="P178" s="229">
        <f t="shared" si="235"/>
        <v>0</v>
      </c>
      <c r="Q178" s="229">
        <f t="shared" si="236"/>
        <v>0</v>
      </c>
      <c r="R178" s="229">
        <f t="shared" si="237"/>
        <v>0</v>
      </c>
      <c r="S178" s="229">
        <f t="shared" si="238"/>
        <v>0</v>
      </c>
      <c r="T178" s="229">
        <f t="shared" si="239"/>
        <v>0</v>
      </c>
      <c r="U178" s="229">
        <f t="shared" si="240"/>
        <v>0</v>
      </c>
      <c r="V178" s="229">
        <f t="shared" si="241"/>
        <v>0</v>
      </c>
      <c r="W178" s="229">
        <f t="shared" si="242"/>
        <v>0</v>
      </c>
      <c r="X178" s="229">
        <f t="shared" si="243"/>
        <v>0</v>
      </c>
      <c r="Y178" s="229">
        <f t="shared" si="244"/>
        <v>0</v>
      </c>
      <c r="Z178" s="229">
        <f t="shared" si="245"/>
        <v>0</v>
      </c>
      <c r="AA178" s="229">
        <f t="shared" si="246"/>
        <v>0</v>
      </c>
      <c r="AB178" s="229">
        <f t="shared" si="247"/>
        <v>0</v>
      </c>
      <c r="AC178" s="229">
        <f t="shared" si="248"/>
        <v>0</v>
      </c>
      <c r="AD178" s="229">
        <f t="shared" si="249"/>
        <v>0</v>
      </c>
      <c r="AE178" s="229">
        <f t="shared" si="250"/>
        <v>0</v>
      </c>
      <c r="AF178" s="229">
        <f t="shared" si="251"/>
        <v>0</v>
      </c>
      <c r="AG178" s="229">
        <f t="shared" si="252"/>
        <v>0</v>
      </c>
      <c r="AH178" s="229">
        <f t="shared" si="253"/>
        <v>0</v>
      </c>
      <c r="AI178" s="229">
        <f t="shared" si="254"/>
        <v>0</v>
      </c>
      <c r="AJ178" s="229">
        <f t="shared" si="255"/>
        <v>0</v>
      </c>
      <c r="AK178" s="229">
        <f t="shared" si="256"/>
        <v>0</v>
      </c>
      <c r="AL178" s="229">
        <f t="shared" si="257"/>
        <v>0</v>
      </c>
      <c r="AM178" s="229">
        <f t="shared" si="258"/>
        <v>0</v>
      </c>
      <c r="AN178" s="224">
        <f t="shared" ref="AN178:AY178" si="300">IF($T45&gt;0,(((EXP(-(1/(Morning_Peak_Duration__hours*2))*(AN$141-(Morning_Peak_Time__24hr_clock+$C178))^2))+(EXP(-(1/(Afternoon_Peak_Duration__hours*2))*(AN$141-(Afternoon_Peak_Time__24hr_clock+$C178))^2)))*$U45)/TZCalibrationValue,0)</f>
        <v>0</v>
      </c>
      <c r="AO178" s="224">
        <f t="shared" si="300"/>
        <v>0</v>
      </c>
      <c r="AP178" s="224">
        <f t="shared" si="300"/>
        <v>0</v>
      </c>
      <c r="AQ178" s="224">
        <f t="shared" si="300"/>
        <v>0</v>
      </c>
      <c r="AR178" s="224">
        <f t="shared" si="300"/>
        <v>0</v>
      </c>
      <c r="AS178" s="224">
        <f t="shared" si="300"/>
        <v>0</v>
      </c>
      <c r="AT178" s="224">
        <f t="shared" si="300"/>
        <v>0</v>
      </c>
      <c r="AU178" s="224">
        <f t="shared" si="300"/>
        <v>0</v>
      </c>
      <c r="AV178" s="224">
        <f t="shared" si="300"/>
        <v>0</v>
      </c>
      <c r="AW178" s="224">
        <f t="shared" si="300"/>
        <v>0</v>
      </c>
      <c r="AX178" s="224">
        <f t="shared" si="300"/>
        <v>0</v>
      </c>
      <c r="AY178" s="224">
        <f t="shared" si="300"/>
        <v>0</v>
      </c>
      <c r="AZ178" s="218"/>
      <c r="BA178"/>
      <c r="BB178" s="176" t="str">
        <f t="shared" si="260"/>
        <v>Site 37</v>
      </c>
      <c r="BC178" s="224">
        <f t="shared" ref="BC178:BN178" si="301">IF($T45&gt;0,(((EXP(-(1/(Morning_Peak_Duration__hours*2))*(BC$141-(Morning_Peak_Time__24hr_clock+$C178))^2))+(EXP(-(1/(Afternoon_Peak_Duration__hours*2))*(BC$141-(Afternoon_Peak_Time__24hr_clock+$C178))^2)))*$V45)/TZCalibrationValue,0)</f>
        <v>0</v>
      </c>
      <c r="BD178" s="224">
        <f t="shared" si="301"/>
        <v>0</v>
      </c>
      <c r="BE178" s="224">
        <f t="shared" si="301"/>
        <v>0</v>
      </c>
      <c r="BF178" s="224">
        <f t="shared" si="301"/>
        <v>0</v>
      </c>
      <c r="BG178" s="224">
        <f t="shared" si="301"/>
        <v>0</v>
      </c>
      <c r="BH178" s="224">
        <f t="shared" si="301"/>
        <v>0</v>
      </c>
      <c r="BI178" s="224">
        <f t="shared" si="301"/>
        <v>0</v>
      </c>
      <c r="BJ178" s="224">
        <f t="shared" si="301"/>
        <v>0</v>
      </c>
      <c r="BK178" s="224">
        <f t="shared" si="301"/>
        <v>0</v>
      </c>
      <c r="BL178" s="224">
        <f t="shared" si="301"/>
        <v>0</v>
      </c>
      <c r="BM178" s="224">
        <f t="shared" si="301"/>
        <v>0</v>
      </c>
      <c r="BN178" s="224">
        <f t="shared" si="301"/>
        <v>0</v>
      </c>
      <c r="BO178" s="229">
        <f t="shared" si="262"/>
        <v>0</v>
      </c>
      <c r="BP178" s="229">
        <f t="shared" si="263"/>
        <v>0</v>
      </c>
      <c r="BQ178" s="229">
        <f t="shared" si="264"/>
        <v>0</v>
      </c>
      <c r="BR178" s="229">
        <f t="shared" si="265"/>
        <v>0</v>
      </c>
      <c r="BS178" s="229">
        <f t="shared" si="266"/>
        <v>0</v>
      </c>
      <c r="BT178" s="229">
        <f t="shared" si="267"/>
        <v>0</v>
      </c>
      <c r="BU178" s="229">
        <f t="shared" si="268"/>
        <v>0</v>
      </c>
      <c r="BV178" s="229">
        <f t="shared" si="269"/>
        <v>0</v>
      </c>
      <c r="BW178" s="229">
        <f t="shared" si="270"/>
        <v>0</v>
      </c>
      <c r="BX178" s="229">
        <f t="shared" si="271"/>
        <v>0</v>
      </c>
      <c r="BY178" s="229">
        <f t="shared" si="272"/>
        <v>0</v>
      </c>
      <c r="BZ178" s="229">
        <f t="shared" si="273"/>
        <v>0</v>
      </c>
      <c r="CA178" s="229">
        <f t="shared" si="274"/>
        <v>0</v>
      </c>
      <c r="CB178" s="229">
        <f t="shared" si="275"/>
        <v>0</v>
      </c>
      <c r="CC178" s="229">
        <f t="shared" si="276"/>
        <v>0</v>
      </c>
      <c r="CD178" s="229">
        <f t="shared" si="277"/>
        <v>0</v>
      </c>
      <c r="CE178" s="229">
        <f t="shared" si="278"/>
        <v>0</v>
      </c>
      <c r="CF178" s="229">
        <f t="shared" si="279"/>
        <v>0</v>
      </c>
      <c r="CG178" s="229">
        <f t="shared" si="280"/>
        <v>0</v>
      </c>
      <c r="CH178" s="229">
        <f t="shared" si="281"/>
        <v>0</v>
      </c>
      <c r="CI178" s="229">
        <f t="shared" si="282"/>
        <v>0</v>
      </c>
      <c r="CJ178" s="229">
        <f t="shared" si="283"/>
        <v>0</v>
      </c>
      <c r="CK178" s="229">
        <f t="shared" si="284"/>
        <v>0</v>
      </c>
      <c r="CL178" s="229">
        <f t="shared" si="285"/>
        <v>0</v>
      </c>
      <c r="CM178" s="224">
        <f t="shared" ref="CM178:CX178" si="302">IF($T45&gt;0,(((EXP(-(1/(Morning_Peak_Duration__hours*2))*(CM$141-(Morning_Peak_Time__24hr_clock+$C178))^2))+(EXP(-(1/(Afternoon_Peak_Duration__hours*2))*(CM$141-(Afternoon_Peak_Time__24hr_clock+$C178))^2)))*$V45)/TZCalibrationValue,0)</f>
        <v>0</v>
      </c>
      <c r="CN178" s="224">
        <f t="shared" si="302"/>
        <v>0</v>
      </c>
      <c r="CO178" s="224">
        <f t="shared" si="302"/>
        <v>0</v>
      </c>
      <c r="CP178" s="224">
        <f t="shared" si="302"/>
        <v>0</v>
      </c>
      <c r="CQ178" s="224">
        <f t="shared" si="302"/>
        <v>0</v>
      </c>
      <c r="CR178" s="224">
        <f t="shared" si="302"/>
        <v>0</v>
      </c>
      <c r="CS178" s="224">
        <f t="shared" si="302"/>
        <v>0</v>
      </c>
      <c r="CT178" s="224">
        <f t="shared" si="302"/>
        <v>0</v>
      </c>
      <c r="CU178" s="224">
        <f t="shared" si="302"/>
        <v>0</v>
      </c>
      <c r="CV178" s="224">
        <f t="shared" si="302"/>
        <v>0</v>
      </c>
      <c r="CW178" s="224">
        <f t="shared" si="302"/>
        <v>0</v>
      </c>
      <c r="CX178" s="224">
        <f t="shared" si="302"/>
        <v>0</v>
      </c>
      <c r="CY178" s="218"/>
    </row>
    <row r="179" spans="2:103" hidden="1" outlineLevel="1">
      <c r="B179" t="str">
        <f t="shared" si="233"/>
        <v>Site 38</v>
      </c>
      <c r="C179" s="230">
        <f>VLOOKUP(D46,'Scaling Tables'!$B$123:$C$149,2,FALSE)-VLOOKUP($C$4,'Scaling Tables'!$B$123:$C$149,2,FALSE)</f>
        <v>0</v>
      </c>
      <c r="D179" s="224">
        <f t="shared" ref="D179:O179" si="303">IF($T46&gt;0,(((EXP(-(1/(Morning_Peak_Duration__hours*2))*(D$141-(Morning_Peak_Time__24hr_clock+$C179))^2))+(EXP(-(1/(Afternoon_Peak_Duration__hours*2))*(D$141-(Afternoon_Peak_Time__24hr_clock+$C179))^2)))*$U46)/TZCalibrationValue,0)</f>
        <v>0</v>
      </c>
      <c r="E179" s="224">
        <f t="shared" si="303"/>
        <v>0</v>
      </c>
      <c r="F179" s="224">
        <f t="shared" si="303"/>
        <v>0</v>
      </c>
      <c r="G179" s="224">
        <f t="shared" si="303"/>
        <v>0</v>
      </c>
      <c r="H179" s="224">
        <f t="shared" si="303"/>
        <v>0</v>
      </c>
      <c r="I179" s="224">
        <f t="shared" si="303"/>
        <v>0</v>
      </c>
      <c r="J179" s="224">
        <f t="shared" si="303"/>
        <v>0</v>
      </c>
      <c r="K179" s="224">
        <f t="shared" si="303"/>
        <v>0</v>
      </c>
      <c r="L179" s="224">
        <f t="shared" si="303"/>
        <v>0</v>
      </c>
      <c r="M179" s="224">
        <f t="shared" si="303"/>
        <v>0</v>
      </c>
      <c r="N179" s="224">
        <f t="shared" si="303"/>
        <v>0</v>
      </c>
      <c r="O179" s="224">
        <f t="shared" si="303"/>
        <v>0</v>
      </c>
      <c r="P179" s="229">
        <f t="shared" si="235"/>
        <v>0</v>
      </c>
      <c r="Q179" s="229">
        <f t="shared" si="236"/>
        <v>0</v>
      </c>
      <c r="R179" s="229">
        <f t="shared" si="237"/>
        <v>0</v>
      </c>
      <c r="S179" s="229">
        <f t="shared" si="238"/>
        <v>0</v>
      </c>
      <c r="T179" s="229">
        <f t="shared" si="239"/>
        <v>0</v>
      </c>
      <c r="U179" s="229">
        <f t="shared" si="240"/>
        <v>0</v>
      </c>
      <c r="V179" s="229">
        <f t="shared" si="241"/>
        <v>0</v>
      </c>
      <c r="W179" s="229">
        <f t="shared" si="242"/>
        <v>0</v>
      </c>
      <c r="X179" s="229">
        <f t="shared" si="243"/>
        <v>0</v>
      </c>
      <c r="Y179" s="229">
        <f t="shared" si="244"/>
        <v>0</v>
      </c>
      <c r="Z179" s="229">
        <f t="shared" si="245"/>
        <v>0</v>
      </c>
      <c r="AA179" s="229">
        <f t="shared" si="246"/>
        <v>0</v>
      </c>
      <c r="AB179" s="229">
        <f t="shared" si="247"/>
        <v>0</v>
      </c>
      <c r="AC179" s="229">
        <f t="shared" si="248"/>
        <v>0</v>
      </c>
      <c r="AD179" s="229">
        <f t="shared" si="249"/>
        <v>0</v>
      </c>
      <c r="AE179" s="229">
        <f t="shared" si="250"/>
        <v>0</v>
      </c>
      <c r="AF179" s="229">
        <f t="shared" si="251"/>
        <v>0</v>
      </c>
      <c r="AG179" s="229">
        <f t="shared" si="252"/>
        <v>0</v>
      </c>
      <c r="AH179" s="229">
        <f t="shared" si="253"/>
        <v>0</v>
      </c>
      <c r="AI179" s="229">
        <f t="shared" si="254"/>
        <v>0</v>
      </c>
      <c r="AJ179" s="229">
        <f t="shared" si="255"/>
        <v>0</v>
      </c>
      <c r="AK179" s="229">
        <f t="shared" si="256"/>
        <v>0</v>
      </c>
      <c r="AL179" s="229">
        <f t="shared" si="257"/>
        <v>0</v>
      </c>
      <c r="AM179" s="229">
        <f t="shared" si="258"/>
        <v>0</v>
      </c>
      <c r="AN179" s="224">
        <f t="shared" ref="AN179:AY179" si="304">IF($T46&gt;0,(((EXP(-(1/(Morning_Peak_Duration__hours*2))*(AN$141-(Morning_Peak_Time__24hr_clock+$C179))^2))+(EXP(-(1/(Afternoon_Peak_Duration__hours*2))*(AN$141-(Afternoon_Peak_Time__24hr_clock+$C179))^2)))*$U46)/TZCalibrationValue,0)</f>
        <v>0</v>
      </c>
      <c r="AO179" s="224">
        <f t="shared" si="304"/>
        <v>0</v>
      </c>
      <c r="AP179" s="224">
        <f t="shared" si="304"/>
        <v>0</v>
      </c>
      <c r="AQ179" s="224">
        <f t="shared" si="304"/>
        <v>0</v>
      </c>
      <c r="AR179" s="224">
        <f t="shared" si="304"/>
        <v>0</v>
      </c>
      <c r="AS179" s="224">
        <f t="shared" si="304"/>
        <v>0</v>
      </c>
      <c r="AT179" s="224">
        <f t="shared" si="304"/>
        <v>0</v>
      </c>
      <c r="AU179" s="224">
        <f t="shared" si="304"/>
        <v>0</v>
      </c>
      <c r="AV179" s="224">
        <f t="shared" si="304"/>
        <v>0</v>
      </c>
      <c r="AW179" s="224">
        <f t="shared" si="304"/>
        <v>0</v>
      </c>
      <c r="AX179" s="224">
        <f t="shared" si="304"/>
        <v>0</v>
      </c>
      <c r="AY179" s="224">
        <f t="shared" si="304"/>
        <v>0</v>
      </c>
      <c r="AZ179" s="218"/>
      <c r="BA179"/>
      <c r="BB179" s="176" t="str">
        <f t="shared" si="260"/>
        <v>Site 38</v>
      </c>
      <c r="BC179" s="224">
        <f t="shared" ref="BC179:BN179" si="305">IF($T46&gt;0,(((EXP(-(1/(Morning_Peak_Duration__hours*2))*(BC$141-(Morning_Peak_Time__24hr_clock+$C179))^2))+(EXP(-(1/(Afternoon_Peak_Duration__hours*2))*(BC$141-(Afternoon_Peak_Time__24hr_clock+$C179))^2)))*$V46)/TZCalibrationValue,0)</f>
        <v>0</v>
      </c>
      <c r="BD179" s="224">
        <f t="shared" si="305"/>
        <v>0</v>
      </c>
      <c r="BE179" s="224">
        <f t="shared" si="305"/>
        <v>0</v>
      </c>
      <c r="BF179" s="224">
        <f t="shared" si="305"/>
        <v>0</v>
      </c>
      <c r="BG179" s="224">
        <f t="shared" si="305"/>
        <v>0</v>
      </c>
      <c r="BH179" s="224">
        <f t="shared" si="305"/>
        <v>0</v>
      </c>
      <c r="BI179" s="224">
        <f t="shared" si="305"/>
        <v>0</v>
      </c>
      <c r="BJ179" s="224">
        <f t="shared" si="305"/>
        <v>0</v>
      </c>
      <c r="BK179" s="224">
        <f t="shared" si="305"/>
        <v>0</v>
      </c>
      <c r="BL179" s="224">
        <f t="shared" si="305"/>
        <v>0</v>
      </c>
      <c r="BM179" s="224">
        <f t="shared" si="305"/>
        <v>0</v>
      </c>
      <c r="BN179" s="224">
        <f t="shared" si="305"/>
        <v>0</v>
      </c>
      <c r="BO179" s="229">
        <f t="shared" si="262"/>
        <v>0</v>
      </c>
      <c r="BP179" s="229">
        <f t="shared" si="263"/>
        <v>0</v>
      </c>
      <c r="BQ179" s="229">
        <f t="shared" si="264"/>
        <v>0</v>
      </c>
      <c r="BR179" s="229">
        <f t="shared" si="265"/>
        <v>0</v>
      </c>
      <c r="BS179" s="229">
        <f t="shared" si="266"/>
        <v>0</v>
      </c>
      <c r="BT179" s="229">
        <f t="shared" si="267"/>
        <v>0</v>
      </c>
      <c r="BU179" s="229">
        <f t="shared" si="268"/>
        <v>0</v>
      </c>
      <c r="BV179" s="229">
        <f t="shared" si="269"/>
        <v>0</v>
      </c>
      <c r="BW179" s="229">
        <f t="shared" si="270"/>
        <v>0</v>
      </c>
      <c r="BX179" s="229">
        <f t="shared" si="271"/>
        <v>0</v>
      </c>
      <c r="BY179" s="229">
        <f t="shared" si="272"/>
        <v>0</v>
      </c>
      <c r="BZ179" s="229">
        <f t="shared" si="273"/>
        <v>0</v>
      </c>
      <c r="CA179" s="229">
        <f t="shared" si="274"/>
        <v>0</v>
      </c>
      <c r="CB179" s="229">
        <f t="shared" si="275"/>
        <v>0</v>
      </c>
      <c r="CC179" s="229">
        <f t="shared" si="276"/>
        <v>0</v>
      </c>
      <c r="CD179" s="229">
        <f t="shared" si="277"/>
        <v>0</v>
      </c>
      <c r="CE179" s="229">
        <f t="shared" si="278"/>
        <v>0</v>
      </c>
      <c r="CF179" s="229">
        <f t="shared" si="279"/>
        <v>0</v>
      </c>
      <c r="CG179" s="229">
        <f t="shared" si="280"/>
        <v>0</v>
      </c>
      <c r="CH179" s="229">
        <f t="shared" si="281"/>
        <v>0</v>
      </c>
      <c r="CI179" s="229">
        <f t="shared" si="282"/>
        <v>0</v>
      </c>
      <c r="CJ179" s="229">
        <f t="shared" si="283"/>
        <v>0</v>
      </c>
      <c r="CK179" s="229">
        <f t="shared" si="284"/>
        <v>0</v>
      </c>
      <c r="CL179" s="229">
        <f t="shared" si="285"/>
        <v>0</v>
      </c>
      <c r="CM179" s="224">
        <f t="shared" ref="CM179:CX179" si="306">IF($T46&gt;0,(((EXP(-(1/(Morning_Peak_Duration__hours*2))*(CM$141-(Morning_Peak_Time__24hr_clock+$C179))^2))+(EXP(-(1/(Afternoon_Peak_Duration__hours*2))*(CM$141-(Afternoon_Peak_Time__24hr_clock+$C179))^2)))*$V46)/TZCalibrationValue,0)</f>
        <v>0</v>
      </c>
      <c r="CN179" s="224">
        <f t="shared" si="306"/>
        <v>0</v>
      </c>
      <c r="CO179" s="224">
        <f t="shared" si="306"/>
        <v>0</v>
      </c>
      <c r="CP179" s="224">
        <f t="shared" si="306"/>
        <v>0</v>
      </c>
      <c r="CQ179" s="224">
        <f t="shared" si="306"/>
        <v>0</v>
      </c>
      <c r="CR179" s="224">
        <f t="shared" si="306"/>
        <v>0</v>
      </c>
      <c r="CS179" s="224">
        <f t="shared" si="306"/>
        <v>0</v>
      </c>
      <c r="CT179" s="224">
        <f t="shared" si="306"/>
        <v>0</v>
      </c>
      <c r="CU179" s="224">
        <f t="shared" si="306"/>
        <v>0</v>
      </c>
      <c r="CV179" s="224">
        <f t="shared" si="306"/>
        <v>0</v>
      </c>
      <c r="CW179" s="224">
        <f t="shared" si="306"/>
        <v>0</v>
      </c>
      <c r="CX179" s="224">
        <f t="shared" si="306"/>
        <v>0</v>
      </c>
      <c r="CY179" s="218"/>
    </row>
    <row r="180" spans="2:103" hidden="1" outlineLevel="1">
      <c r="B180" t="str">
        <f t="shared" si="233"/>
        <v>Site 39</v>
      </c>
      <c r="C180" s="230">
        <f>VLOOKUP(D47,'Scaling Tables'!$B$123:$C$149,2,FALSE)-VLOOKUP($C$4,'Scaling Tables'!$B$123:$C$149,2,FALSE)</f>
        <v>0</v>
      </c>
      <c r="D180" s="224">
        <f t="shared" ref="D180:O180" si="307">IF($T47&gt;0,(((EXP(-(1/(Morning_Peak_Duration__hours*2))*(D$141-(Morning_Peak_Time__24hr_clock+$C180))^2))+(EXP(-(1/(Afternoon_Peak_Duration__hours*2))*(D$141-(Afternoon_Peak_Time__24hr_clock+$C180))^2)))*$U47)/TZCalibrationValue,0)</f>
        <v>0</v>
      </c>
      <c r="E180" s="224">
        <f t="shared" si="307"/>
        <v>0</v>
      </c>
      <c r="F180" s="224">
        <f t="shared" si="307"/>
        <v>0</v>
      </c>
      <c r="G180" s="224">
        <f t="shared" si="307"/>
        <v>0</v>
      </c>
      <c r="H180" s="224">
        <f t="shared" si="307"/>
        <v>0</v>
      </c>
      <c r="I180" s="224">
        <f t="shared" si="307"/>
        <v>0</v>
      </c>
      <c r="J180" s="224">
        <f t="shared" si="307"/>
        <v>0</v>
      </c>
      <c r="K180" s="224">
        <f t="shared" si="307"/>
        <v>0</v>
      </c>
      <c r="L180" s="224">
        <f t="shared" si="307"/>
        <v>0</v>
      </c>
      <c r="M180" s="224">
        <f t="shared" si="307"/>
        <v>0</v>
      </c>
      <c r="N180" s="224">
        <f t="shared" si="307"/>
        <v>0</v>
      </c>
      <c r="O180" s="224">
        <f t="shared" si="307"/>
        <v>0</v>
      </c>
      <c r="P180" s="229">
        <f t="shared" si="235"/>
        <v>0</v>
      </c>
      <c r="Q180" s="229">
        <f t="shared" si="236"/>
        <v>0</v>
      </c>
      <c r="R180" s="229">
        <f t="shared" si="237"/>
        <v>0</v>
      </c>
      <c r="S180" s="229">
        <f t="shared" si="238"/>
        <v>0</v>
      </c>
      <c r="T180" s="229">
        <f t="shared" si="239"/>
        <v>0</v>
      </c>
      <c r="U180" s="229">
        <f t="shared" si="240"/>
        <v>0</v>
      </c>
      <c r="V180" s="229">
        <f t="shared" si="241"/>
        <v>0</v>
      </c>
      <c r="W180" s="229">
        <f t="shared" si="242"/>
        <v>0</v>
      </c>
      <c r="X180" s="229">
        <f t="shared" si="243"/>
        <v>0</v>
      </c>
      <c r="Y180" s="229">
        <f t="shared" si="244"/>
        <v>0</v>
      </c>
      <c r="Z180" s="229">
        <f t="shared" si="245"/>
        <v>0</v>
      </c>
      <c r="AA180" s="229">
        <f t="shared" si="246"/>
        <v>0</v>
      </c>
      <c r="AB180" s="229">
        <f t="shared" si="247"/>
        <v>0</v>
      </c>
      <c r="AC180" s="229">
        <f t="shared" si="248"/>
        <v>0</v>
      </c>
      <c r="AD180" s="229">
        <f t="shared" si="249"/>
        <v>0</v>
      </c>
      <c r="AE180" s="229">
        <f t="shared" si="250"/>
        <v>0</v>
      </c>
      <c r="AF180" s="229">
        <f t="shared" si="251"/>
        <v>0</v>
      </c>
      <c r="AG180" s="229">
        <f t="shared" si="252"/>
        <v>0</v>
      </c>
      <c r="AH180" s="229">
        <f t="shared" si="253"/>
        <v>0</v>
      </c>
      <c r="AI180" s="229">
        <f t="shared" si="254"/>
        <v>0</v>
      </c>
      <c r="AJ180" s="229">
        <f t="shared" si="255"/>
        <v>0</v>
      </c>
      <c r="AK180" s="229">
        <f t="shared" si="256"/>
        <v>0</v>
      </c>
      <c r="AL180" s="229">
        <f t="shared" si="257"/>
        <v>0</v>
      </c>
      <c r="AM180" s="229">
        <f t="shared" si="258"/>
        <v>0</v>
      </c>
      <c r="AN180" s="224">
        <f t="shared" ref="AN180:AY180" si="308">IF($T47&gt;0,(((EXP(-(1/(Morning_Peak_Duration__hours*2))*(AN$141-(Morning_Peak_Time__24hr_clock+$C180))^2))+(EXP(-(1/(Afternoon_Peak_Duration__hours*2))*(AN$141-(Afternoon_Peak_Time__24hr_clock+$C180))^2)))*$U47)/TZCalibrationValue,0)</f>
        <v>0</v>
      </c>
      <c r="AO180" s="224">
        <f t="shared" si="308"/>
        <v>0</v>
      </c>
      <c r="AP180" s="224">
        <f t="shared" si="308"/>
        <v>0</v>
      </c>
      <c r="AQ180" s="224">
        <f t="shared" si="308"/>
        <v>0</v>
      </c>
      <c r="AR180" s="224">
        <f t="shared" si="308"/>
        <v>0</v>
      </c>
      <c r="AS180" s="224">
        <f t="shared" si="308"/>
        <v>0</v>
      </c>
      <c r="AT180" s="224">
        <f t="shared" si="308"/>
        <v>0</v>
      </c>
      <c r="AU180" s="224">
        <f t="shared" si="308"/>
        <v>0</v>
      </c>
      <c r="AV180" s="224">
        <f t="shared" si="308"/>
        <v>0</v>
      </c>
      <c r="AW180" s="224">
        <f t="shared" si="308"/>
        <v>0</v>
      </c>
      <c r="AX180" s="224">
        <f t="shared" si="308"/>
        <v>0</v>
      </c>
      <c r="AY180" s="224">
        <f t="shared" si="308"/>
        <v>0</v>
      </c>
      <c r="AZ180" s="218"/>
      <c r="BA180"/>
      <c r="BB180" s="176" t="str">
        <f t="shared" si="260"/>
        <v>Site 39</v>
      </c>
      <c r="BC180" s="224">
        <f t="shared" ref="BC180:BN180" si="309">IF($T47&gt;0,(((EXP(-(1/(Morning_Peak_Duration__hours*2))*(BC$141-(Morning_Peak_Time__24hr_clock+$C180))^2))+(EXP(-(1/(Afternoon_Peak_Duration__hours*2))*(BC$141-(Afternoon_Peak_Time__24hr_clock+$C180))^2)))*$V47)/TZCalibrationValue,0)</f>
        <v>0</v>
      </c>
      <c r="BD180" s="224">
        <f t="shared" si="309"/>
        <v>0</v>
      </c>
      <c r="BE180" s="224">
        <f t="shared" si="309"/>
        <v>0</v>
      </c>
      <c r="BF180" s="224">
        <f t="shared" si="309"/>
        <v>0</v>
      </c>
      <c r="BG180" s="224">
        <f t="shared" si="309"/>
        <v>0</v>
      </c>
      <c r="BH180" s="224">
        <f t="shared" si="309"/>
        <v>0</v>
      </c>
      <c r="BI180" s="224">
        <f t="shared" si="309"/>
        <v>0</v>
      </c>
      <c r="BJ180" s="224">
        <f t="shared" si="309"/>
        <v>0</v>
      </c>
      <c r="BK180" s="224">
        <f t="shared" si="309"/>
        <v>0</v>
      </c>
      <c r="BL180" s="224">
        <f t="shared" si="309"/>
        <v>0</v>
      </c>
      <c r="BM180" s="224">
        <f t="shared" si="309"/>
        <v>0</v>
      </c>
      <c r="BN180" s="224">
        <f t="shared" si="309"/>
        <v>0</v>
      </c>
      <c r="BO180" s="229">
        <f t="shared" si="262"/>
        <v>0</v>
      </c>
      <c r="BP180" s="229">
        <f t="shared" si="263"/>
        <v>0</v>
      </c>
      <c r="BQ180" s="229">
        <f t="shared" si="264"/>
        <v>0</v>
      </c>
      <c r="BR180" s="229">
        <f t="shared" si="265"/>
        <v>0</v>
      </c>
      <c r="BS180" s="229">
        <f t="shared" si="266"/>
        <v>0</v>
      </c>
      <c r="BT180" s="229">
        <f t="shared" si="267"/>
        <v>0</v>
      </c>
      <c r="BU180" s="229">
        <f t="shared" si="268"/>
        <v>0</v>
      </c>
      <c r="BV180" s="229">
        <f t="shared" si="269"/>
        <v>0</v>
      </c>
      <c r="BW180" s="229">
        <f t="shared" si="270"/>
        <v>0</v>
      </c>
      <c r="BX180" s="229">
        <f t="shared" si="271"/>
        <v>0</v>
      </c>
      <c r="BY180" s="229">
        <f t="shared" si="272"/>
        <v>0</v>
      </c>
      <c r="BZ180" s="229">
        <f t="shared" si="273"/>
        <v>0</v>
      </c>
      <c r="CA180" s="229">
        <f t="shared" si="274"/>
        <v>0</v>
      </c>
      <c r="CB180" s="229">
        <f t="shared" si="275"/>
        <v>0</v>
      </c>
      <c r="CC180" s="229">
        <f t="shared" si="276"/>
        <v>0</v>
      </c>
      <c r="CD180" s="229">
        <f t="shared" si="277"/>
        <v>0</v>
      </c>
      <c r="CE180" s="229">
        <f t="shared" si="278"/>
        <v>0</v>
      </c>
      <c r="CF180" s="229">
        <f t="shared" si="279"/>
        <v>0</v>
      </c>
      <c r="CG180" s="229">
        <f t="shared" si="280"/>
        <v>0</v>
      </c>
      <c r="CH180" s="229">
        <f t="shared" si="281"/>
        <v>0</v>
      </c>
      <c r="CI180" s="229">
        <f t="shared" si="282"/>
        <v>0</v>
      </c>
      <c r="CJ180" s="229">
        <f t="shared" si="283"/>
        <v>0</v>
      </c>
      <c r="CK180" s="229">
        <f t="shared" si="284"/>
        <v>0</v>
      </c>
      <c r="CL180" s="229">
        <f t="shared" si="285"/>
        <v>0</v>
      </c>
      <c r="CM180" s="224">
        <f t="shared" ref="CM180:CX180" si="310">IF($T47&gt;0,(((EXP(-(1/(Morning_Peak_Duration__hours*2))*(CM$141-(Morning_Peak_Time__24hr_clock+$C180))^2))+(EXP(-(1/(Afternoon_Peak_Duration__hours*2))*(CM$141-(Afternoon_Peak_Time__24hr_clock+$C180))^2)))*$V47)/TZCalibrationValue,0)</f>
        <v>0</v>
      </c>
      <c r="CN180" s="224">
        <f t="shared" si="310"/>
        <v>0</v>
      </c>
      <c r="CO180" s="224">
        <f t="shared" si="310"/>
        <v>0</v>
      </c>
      <c r="CP180" s="224">
        <f t="shared" si="310"/>
        <v>0</v>
      </c>
      <c r="CQ180" s="224">
        <f t="shared" si="310"/>
        <v>0</v>
      </c>
      <c r="CR180" s="224">
        <f t="shared" si="310"/>
        <v>0</v>
      </c>
      <c r="CS180" s="224">
        <f t="shared" si="310"/>
        <v>0</v>
      </c>
      <c r="CT180" s="224">
        <f t="shared" si="310"/>
        <v>0</v>
      </c>
      <c r="CU180" s="224">
        <f t="shared" si="310"/>
        <v>0</v>
      </c>
      <c r="CV180" s="224">
        <f t="shared" si="310"/>
        <v>0</v>
      </c>
      <c r="CW180" s="224">
        <f t="shared" si="310"/>
        <v>0</v>
      </c>
      <c r="CX180" s="224">
        <f t="shared" si="310"/>
        <v>0</v>
      </c>
      <c r="CY180" s="218"/>
    </row>
    <row r="181" spans="2:103" hidden="1" outlineLevel="1">
      <c r="B181" t="str">
        <f t="shared" si="233"/>
        <v>Site 40</v>
      </c>
      <c r="C181" s="230">
        <f>VLOOKUP(D48,'Scaling Tables'!$B$123:$C$149,2,FALSE)-VLOOKUP($C$4,'Scaling Tables'!$B$123:$C$149,2,FALSE)</f>
        <v>0</v>
      </c>
      <c r="D181" s="224">
        <f t="shared" ref="D181:O181" si="311">IF($T48&gt;0,(((EXP(-(1/(Morning_Peak_Duration__hours*2))*(D$141-(Morning_Peak_Time__24hr_clock+$C181))^2))+(EXP(-(1/(Afternoon_Peak_Duration__hours*2))*(D$141-(Afternoon_Peak_Time__24hr_clock+$C181))^2)))*$U48)/TZCalibrationValue,0)</f>
        <v>0</v>
      </c>
      <c r="E181" s="224">
        <f t="shared" si="311"/>
        <v>0</v>
      </c>
      <c r="F181" s="224">
        <f t="shared" si="311"/>
        <v>0</v>
      </c>
      <c r="G181" s="224">
        <f t="shared" si="311"/>
        <v>0</v>
      </c>
      <c r="H181" s="224">
        <f t="shared" si="311"/>
        <v>0</v>
      </c>
      <c r="I181" s="224">
        <f t="shared" si="311"/>
        <v>0</v>
      </c>
      <c r="J181" s="224">
        <f t="shared" si="311"/>
        <v>0</v>
      </c>
      <c r="K181" s="224">
        <f t="shared" si="311"/>
        <v>0</v>
      </c>
      <c r="L181" s="224">
        <f t="shared" si="311"/>
        <v>0</v>
      </c>
      <c r="M181" s="224">
        <f t="shared" si="311"/>
        <v>0</v>
      </c>
      <c r="N181" s="224">
        <f t="shared" si="311"/>
        <v>0</v>
      </c>
      <c r="O181" s="224">
        <f t="shared" si="311"/>
        <v>0</v>
      </c>
      <c r="P181" s="229">
        <f t="shared" si="235"/>
        <v>0</v>
      </c>
      <c r="Q181" s="229">
        <f t="shared" si="236"/>
        <v>0</v>
      </c>
      <c r="R181" s="229">
        <f t="shared" si="237"/>
        <v>0</v>
      </c>
      <c r="S181" s="229">
        <f t="shared" si="238"/>
        <v>0</v>
      </c>
      <c r="T181" s="229">
        <f t="shared" si="239"/>
        <v>0</v>
      </c>
      <c r="U181" s="229">
        <f t="shared" si="240"/>
        <v>0</v>
      </c>
      <c r="V181" s="229">
        <f t="shared" si="241"/>
        <v>0</v>
      </c>
      <c r="W181" s="229">
        <f t="shared" si="242"/>
        <v>0</v>
      </c>
      <c r="X181" s="229">
        <f t="shared" si="243"/>
        <v>0</v>
      </c>
      <c r="Y181" s="229">
        <f t="shared" si="244"/>
        <v>0</v>
      </c>
      <c r="Z181" s="229">
        <f t="shared" si="245"/>
        <v>0</v>
      </c>
      <c r="AA181" s="229">
        <f t="shared" si="246"/>
        <v>0</v>
      </c>
      <c r="AB181" s="229">
        <f t="shared" si="247"/>
        <v>0</v>
      </c>
      <c r="AC181" s="229">
        <f t="shared" si="248"/>
        <v>0</v>
      </c>
      <c r="AD181" s="229">
        <f t="shared" si="249"/>
        <v>0</v>
      </c>
      <c r="AE181" s="229">
        <f t="shared" si="250"/>
        <v>0</v>
      </c>
      <c r="AF181" s="229">
        <f t="shared" si="251"/>
        <v>0</v>
      </c>
      <c r="AG181" s="229">
        <f t="shared" si="252"/>
        <v>0</v>
      </c>
      <c r="AH181" s="229">
        <f t="shared" si="253"/>
        <v>0</v>
      </c>
      <c r="AI181" s="229">
        <f t="shared" si="254"/>
        <v>0</v>
      </c>
      <c r="AJ181" s="229">
        <f t="shared" si="255"/>
        <v>0</v>
      </c>
      <c r="AK181" s="229">
        <f t="shared" si="256"/>
        <v>0</v>
      </c>
      <c r="AL181" s="229">
        <f t="shared" si="257"/>
        <v>0</v>
      </c>
      <c r="AM181" s="229">
        <f t="shared" si="258"/>
        <v>0</v>
      </c>
      <c r="AN181" s="224">
        <f t="shared" ref="AN181:AY181" si="312">IF($T48&gt;0,(((EXP(-(1/(Morning_Peak_Duration__hours*2))*(AN$141-(Morning_Peak_Time__24hr_clock+$C181))^2))+(EXP(-(1/(Afternoon_Peak_Duration__hours*2))*(AN$141-(Afternoon_Peak_Time__24hr_clock+$C181))^2)))*$U48)/TZCalibrationValue,0)</f>
        <v>0</v>
      </c>
      <c r="AO181" s="224">
        <f t="shared" si="312"/>
        <v>0</v>
      </c>
      <c r="AP181" s="224">
        <f t="shared" si="312"/>
        <v>0</v>
      </c>
      <c r="AQ181" s="224">
        <f t="shared" si="312"/>
        <v>0</v>
      </c>
      <c r="AR181" s="224">
        <f t="shared" si="312"/>
        <v>0</v>
      </c>
      <c r="AS181" s="224">
        <f t="shared" si="312"/>
        <v>0</v>
      </c>
      <c r="AT181" s="224">
        <f t="shared" si="312"/>
        <v>0</v>
      </c>
      <c r="AU181" s="224">
        <f t="shared" si="312"/>
        <v>0</v>
      </c>
      <c r="AV181" s="224">
        <f t="shared" si="312"/>
        <v>0</v>
      </c>
      <c r="AW181" s="224">
        <f t="shared" si="312"/>
        <v>0</v>
      </c>
      <c r="AX181" s="224">
        <f t="shared" si="312"/>
        <v>0</v>
      </c>
      <c r="AY181" s="224">
        <f t="shared" si="312"/>
        <v>0</v>
      </c>
      <c r="AZ181" s="218"/>
      <c r="BA181"/>
      <c r="BB181" s="176" t="str">
        <f t="shared" si="260"/>
        <v>Site 40</v>
      </c>
      <c r="BC181" s="224">
        <f t="shared" ref="BC181:BN181" si="313">IF($T48&gt;0,(((EXP(-(1/(Morning_Peak_Duration__hours*2))*(BC$141-(Morning_Peak_Time__24hr_clock+$C181))^2))+(EXP(-(1/(Afternoon_Peak_Duration__hours*2))*(BC$141-(Afternoon_Peak_Time__24hr_clock+$C181))^2)))*$V48)/TZCalibrationValue,0)</f>
        <v>0</v>
      </c>
      <c r="BD181" s="224">
        <f t="shared" si="313"/>
        <v>0</v>
      </c>
      <c r="BE181" s="224">
        <f t="shared" si="313"/>
        <v>0</v>
      </c>
      <c r="BF181" s="224">
        <f t="shared" si="313"/>
        <v>0</v>
      </c>
      <c r="BG181" s="224">
        <f t="shared" si="313"/>
        <v>0</v>
      </c>
      <c r="BH181" s="224">
        <f t="shared" si="313"/>
        <v>0</v>
      </c>
      <c r="BI181" s="224">
        <f t="shared" si="313"/>
        <v>0</v>
      </c>
      <c r="BJ181" s="224">
        <f t="shared" si="313"/>
        <v>0</v>
      </c>
      <c r="BK181" s="224">
        <f t="shared" si="313"/>
        <v>0</v>
      </c>
      <c r="BL181" s="224">
        <f t="shared" si="313"/>
        <v>0</v>
      </c>
      <c r="BM181" s="224">
        <f t="shared" si="313"/>
        <v>0</v>
      </c>
      <c r="BN181" s="224">
        <f t="shared" si="313"/>
        <v>0</v>
      </c>
      <c r="BO181" s="229">
        <f t="shared" si="262"/>
        <v>0</v>
      </c>
      <c r="BP181" s="229">
        <f t="shared" si="263"/>
        <v>0</v>
      </c>
      <c r="BQ181" s="229">
        <f t="shared" si="264"/>
        <v>0</v>
      </c>
      <c r="BR181" s="229">
        <f t="shared" si="265"/>
        <v>0</v>
      </c>
      <c r="BS181" s="229">
        <f t="shared" si="266"/>
        <v>0</v>
      </c>
      <c r="BT181" s="229">
        <f t="shared" si="267"/>
        <v>0</v>
      </c>
      <c r="BU181" s="229">
        <f t="shared" si="268"/>
        <v>0</v>
      </c>
      <c r="BV181" s="229">
        <f t="shared" si="269"/>
        <v>0</v>
      </c>
      <c r="BW181" s="229">
        <f t="shared" si="270"/>
        <v>0</v>
      </c>
      <c r="BX181" s="229">
        <f t="shared" si="271"/>
        <v>0</v>
      </c>
      <c r="BY181" s="229">
        <f t="shared" si="272"/>
        <v>0</v>
      </c>
      <c r="BZ181" s="229">
        <f t="shared" si="273"/>
        <v>0</v>
      </c>
      <c r="CA181" s="229">
        <f t="shared" si="274"/>
        <v>0</v>
      </c>
      <c r="CB181" s="229">
        <f t="shared" si="275"/>
        <v>0</v>
      </c>
      <c r="CC181" s="229">
        <f t="shared" si="276"/>
        <v>0</v>
      </c>
      <c r="CD181" s="229">
        <f t="shared" si="277"/>
        <v>0</v>
      </c>
      <c r="CE181" s="229">
        <f t="shared" si="278"/>
        <v>0</v>
      </c>
      <c r="CF181" s="229">
        <f t="shared" si="279"/>
        <v>0</v>
      </c>
      <c r="CG181" s="229">
        <f t="shared" si="280"/>
        <v>0</v>
      </c>
      <c r="CH181" s="229">
        <f t="shared" si="281"/>
        <v>0</v>
      </c>
      <c r="CI181" s="229">
        <f t="shared" si="282"/>
        <v>0</v>
      </c>
      <c r="CJ181" s="229">
        <f t="shared" si="283"/>
        <v>0</v>
      </c>
      <c r="CK181" s="229">
        <f t="shared" si="284"/>
        <v>0</v>
      </c>
      <c r="CL181" s="229">
        <f t="shared" si="285"/>
        <v>0</v>
      </c>
      <c r="CM181" s="224">
        <f t="shared" ref="CM181:CX181" si="314">IF($T48&gt;0,(((EXP(-(1/(Morning_Peak_Duration__hours*2))*(CM$141-(Morning_Peak_Time__24hr_clock+$C181))^2))+(EXP(-(1/(Afternoon_Peak_Duration__hours*2))*(CM$141-(Afternoon_Peak_Time__24hr_clock+$C181))^2)))*$V48)/TZCalibrationValue,0)</f>
        <v>0</v>
      </c>
      <c r="CN181" s="224">
        <f t="shared" si="314"/>
        <v>0</v>
      </c>
      <c r="CO181" s="224">
        <f t="shared" si="314"/>
        <v>0</v>
      </c>
      <c r="CP181" s="224">
        <f t="shared" si="314"/>
        <v>0</v>
      </c>
      <c r="CQ181" s="224">
        <f t="shared" si="314"/>
        <v>0</v>
      </c>
      <c r="CR181" s="224">
        <f t="shared" si="314"/>
        <v>0</v>
      </c>
      <c r="CS181" s="224">
        <f t="shared" si="314"/>
        <v>0</v>
      </c>
      <c r="CT181" s="224">
        <f t="shared" si="314"/>
        <v>0</v>
      </c>
      <c r="CU181" s="224">
        <f t="shared" si="314"/>
        <v>0</v>
      </c>
      <c r="CV181" s="224">
        <f t="shared" si="314"/>
        <v>0</v>
      </c>
      <c r="CW181" s="224">
        <f t="shared" si="314"/>
        <v>0</v>
      </c>
      <c r="CX181" s="224">
        <f t="shared" si="314"/>
        <v>0</v>
      </c>
      <c r="CY181" s="218"/>
    </row>
    <row r="182" spans="2:103" hidden="1" outlineLevel="1">
      <c r="B182" t="str">
        <f t="shared" si="233"/>
        <v>Site 41</v>
      </c>
      <c r="C182" s="230">
        <f>VLOOKUP(D49,'Scaling Tables'!$B$123:$C$149,2,FALSE)-VLOOKUP($C$4,'Scaling Tables'!$B$123:$C$149,2,FALSE)</f>
        <v>0</v>
      </c>
      <c r="D182" s="224">
        <f t="shared" ref="D182:O182" si="315">IF($T49&gt;0,(((EXP(-(1/(Morning_Peak_Duration__hours*2))*(D$141-(Morning_Peak_Time__24hr_clock+$C182))^2))+(EXP(-(1/(Afternoon_Peak_Duration__hours*2))*(D$141-(Afternoon_Peak_Time__24hr_clock+$C182))^2)))*$U49)/TZCalibrationValue,0)</f>
        <v>0</v>
      </c>
      <c r="E182" s="224">
        <f t="shared" si="315"/>
        <v>0</v>
      </c>
      <c r="F182" s="224">
        <f t="shared" si="315"/>
        <v>0</v>
      </c>
      <c r="G182" s="224">
        <f t="shared" si="315"/>
        <v>0</v>
      </c>
      <c r="H182" s="224">
        <f t="shared" si="315"/>
        <v>0</v>
      </c>
      <c r="I182" s="224">
        <f t="shared" si="315"/>
        <v>0</v>
      </c>
      <c r="J182" s="224">
        <f t="shared" si="315"/>
        <v>0</v>
      </c>
      <c r="K182" s="224">
        <f t="shared" si="315"/>
        <v>0</v>
      </c>
      <c r="L182" s="224">
        <f t="shared" si="315"/>
        <v>0</v>
      </c>
      <c r="M182" s="224">
        <f t="shared" si="315"/>
        <v>0</v>
      </c>
      <c r="N182" s="224">
        <f t="shared" si="315"/>
        <v>0</v>
      </c>
      <c r="O182" s="224">
        <f t="shared" si="315"/>
        <v>0</v>
      </c>
      <c r="P182" s="229">
        <f t="shared" si="235"/>
        <v>0</v>
      </c>
      <c r="Q182" s="229">
        <f t="shared" si="236"/>
        <v>0</v>
      </c>
      <c r="R182" s="229">
        <f t="shared" si="237"/>
        <v>0</v>
      </c>
      <c r="S182" s="229">
        <f t="shared" si="238"/>
        <v>0</v>
      </c>
      <c r="T182" s="229">
        <f t="shared" si="239"/>
        <v>0</v>
      </c>
      <c r="U182" s="229">
        <f t="shared" si="240"/>
        <v>0</v>
      </c>
      <c r="V182" s="229">
        <f t="shared" si="241"/>
        <v>0</v>
      </c>
      <c r="W182" s="229">
        <f t="shared" si="242"/>
        <v>0</v>
      </c>
      <c r="X182" s="229">
        <f t="shared" si="243"/>
        <v>0</v>
      </c>
      <c r="Y182" s="229">
        <f t="shared" si="244"/>
        <v>0</v>
      </c>
      <c r="Z182" s="229">
        <f t="shared" si="245"/>
        <v>0</v>
      </c>
      <c r="AA182" s="229">
        <f t="shared" si="246"/>
        <v>0</v>
      </c>
      <c r="AB182" s="229">
        <f t="shared" si="247"/>
        <v>0</v>
      </c>
      <c r="AC182" s="229">
        <f t="shared" si="248"/>
        <v>0</v>
      </c>
      <c r="AD182" s="229">
        <f t="shared" si="249"/>
        <v>0</v>
      </c>
      <c r="AE182" s="229">
        <f t="shared" si="250"/>
        <v>0</v>
      </c>
      <c r="AF182" s="229">
        <f t="shared" si="251"/>
        <v>0</v>
      </c>
      <c r="AG182" s="229">
        <f t="shared" si="252"/>
        <v>0</v>
      </c>
      <c r="AH182" s="229">
        <f t="shared" si="253"/>
        <v>0</v>
      </c>
      <c r="AI182" s="229">
        <f t="shared" si="254"/>
        <v>0</v>
      </c>
      <c r="AJ182" s="229">
        <f t="shared" si="255"/>
        <v>0</v>
      </c>
      <c r="AK182" s="229">
        <f t="shared" si="256"/>
        <v>0</v>
      </c>
      <c r="AL182" s="229">
        <f t="shared" si="257"/>
        <v>0</v>
      </c>
      <c r="AM182" s="229">
        <f t="shared" si="258"/>
        <v>0</v>
      </c>
      <c r="AN182" s="224">
        <f t="shared" ref="AN182:AY182" si="316">IF($T49&gt;0,(((EXP(-(1/(Morning_Peak_Duration__hours*2))*(AN$141-(Morning_Peak_Time__24hr_clock+$C182))^2))+(EXP(-(1/(Afternoon_Peak_Duration__hours*2))*(AN$141-(Afternoon_Peak_Time__24hr_clock+$C182))^2)))*$U49)/TZCalibrationValue,0)</f>
        <v>0</v>
      </c>
      <c r="AO182" s="224">
        <f t="shared" si="316"/>
        <v>0</v>
      </c>
      <c r="AP182" s="224">
        <f t="shared" si="316"/>
        <v>0</v>
      </c>
      <c r="AQ182" s="224">
        <f t="shared" si="316"/>
        <v>0</v>
      </c>
      <c r="AR182" s="224">
        <f t="shared" si="316"/>
        <v>0</v>
      </c>
      <c r="AS182" s="224">
        <f t="shared" si="316"/>
        <v>0</v>
      </c>
      <c r="AT182" s="224">
        <f t="shared" si="316"/>
        <v>0</v>
      </c>
      <c r="AU182" s="224">
        <f t="shared" si="316"/>
        <v>0</v>
      </c>
      <c r="AV182" s="224">
        <f t="shared" si="316"/>
        <v>0</v>
      </c>
      <c r="AW182" s="224">
        <f t="shared" si="316"/>
        <v>0</v>
      </c>
      <c r="AX182" s="224">
        <f t="shared" si="316"/>
        <v>0</v>
      </c>
      <c r="AY182" s="224">
        <f t="shared" si="316"/>
        <v>0</v>
      </c>
      <c r="AZ182" s="218"/>
      <c r="BA182"/>
      <c r="BB182" s="176" t="str">
        <f t="shared" si="260"/>
        <v>Site 41</v>
      </c>
      <c r="BC182" s="224">
        <f t="shared" ref="BC182:BN182" si="317">IF($T49&gt;0,(((EXP(-(1/(Morning_Peak_Duration__hours*2))*(BC$141-(Morning_Peak_Time__24hr_clock+$C182))^2))+(EXP(-(1/(Afternoon_Peak_Duration__hours*2))*(BC$141-(Afternoon_Peak_Time__24hr_clock+$C182))^2)))*$V49)/TZCalibrationValue,0)</f>
        <v>0</v>
      </c>
      <c r="BD182" s="224">
        <f t="shared" si="317"/>
        <v>0</v>
      </c>
      <c r="BE182" s="224">
        <f t="shared" si="317"/>
        <v>0</v>
      </c>
      <c r="BF182" s="224">
        <f t="shared" si="317"/>
        <v>0</v>
      </c>
      <c r="BG182" s="224">
        <f t="shared" si="317"/>
        <v>0</v>
      </c>
      <c r="BH182" s="224">
        <f t="shared" si="317"/>
        <v>0</v>
      </c>
      <c r="BI182" s="224">
        <f t="shared" si="317"/>
        <v>0</v>
      </c>
      <c r="BJ182" s="224">
        <f t="shared" si="317"/>
        <v>0</v>
      </c>
      <c r="BK182" s="224">
        <f t="shared" si="317"/>
        <v>0</v>
      </c>
      <c r="BL182" s="224">
        <f t="shared" si="317"/>
        <v>0</v>
      </c>
      <c r="BM182" s="224">
        <f t="shared" si="317"/>
        <v>0</v>
      </c>
      <c r="BN182" s="224">
        <f t="shared" si="317"/>
        <v>0</v>
      </c>
      <c r="BO182" s="229">
        <f t="shared" si="262"/>
        <v>0</v>
      </c>
      <c r="BP182" s="229">
        <f t="shared" si="263"/>
        <v>0</v>
      </c>
      <c r="BQ182" s="229">
        <f t="shared" si="264"/>
        <v>0</v>
      </c>
      <c r="BR182" s="229">
        <f t="shared" si="265"/>
        <v>0</v>
      </c>
      <c r="BS182" s="229">
        <f t="shared" si="266"/>
        <v>0</v>
      </c>
      <c r="BT182" s="229">
        <f t="shared" si="267"/>
        <v>0</v>
      </c>
      <c r="BU182" s="229">
        <f t="shared" si="268"/>
        <v>0</v>
      </c>
      <c r="BV182" s="229">
        <f t="shared" si="269"/>
        <v>0</v>
      </c>
      <c r="BW182" s="229">
        <f t="shared" si="270"/>
        <v>0</v>
      </c>
      <c r="BX182" s="229">
        <f t="shared" si="271"/>
        <v>0</v>
      </c>
      <c r="BY182" s="229">
        <f t="shared" si="272"/>
        <v>0</v>
      </c>
      <c r="BZ182" s="229">
        <f t="shared" si="273"/>
        <v>0</v>
      </c>
      <c r="CA182" s="229">
        <f t="shared" si="274"/>
        <v>0</v>
      </c>
      <c r="CB182" s="229">
        <f t="shared" si="275"/>
        <v>0</v>
      </c>
      <c r="CC182" s="229">
        <f t="shared" si="276"/>
        <v>0</v>
      </c>
      <c r="CD182" s="229">
        <f t="shared" si="277"/>
        <v>0</v>
      </c>
      <c r="CE182" s="229">
        <f t="shared" si="278"/>
        <v>0</v>
      </c>
      <c r="CF182" s="229">
        <f t="shared" si="279"/>
        <v>0</v>
      </c>
      <c r="CG182" s="229">
        <f t="shared" si="280"/>
        <v>0</v>
      </c>
      <c r="CH182" s="229">
        <f t="shared" si="281"/>
        <v>0</v>
      </c>
      <c r="CI182" s="229">
        <f t="shared" si="282"/>
        <v>0</v>
      </c>
      <c r="CJ182" s="229">
        <f t="shared" si="283"/>
        <v>0</v>
      </c>
      <c r="CK182" s="229">
        <f t="shared" si="284"/>
        <v>0</v>
      </c>
      <c r="CL182" s="229">
        <f t="shared" si="285"/>
        <v>0</v>
      </c>
      <c r="CM182" s="224">
        <f t="shared" ref="CM182:CX182" si="318">IF($T49&gt;0,(((EXP(-(1/(Morning_Peak_Duration__hours*2))*(CM$141-(Morning_Peak_Time__24hr_clock+$C182))^2))+(EXP(-(1/(Afternoon_Peak_Duration__hours*2))*(CM$141-(Afternoon_Peak_Time__24hr_clock+$C182))^2)))*$V49)/TZCalibrationValue,0)</f>
        <v>0</v>
      </c>
      <c r="CN182" s="224">
        <f t="shared" si="318"/>
        <v>0</v>
      </c>
      <c r="CO182" s="224">
        <f t="shared" si="318"/>
        <v>0</v>
      </c>
      <c r="CP182" s="224">
        <f t="shared" si="318"/>
        <v>0</v>
      </c>
      <c r="CQ182" s="224">
        <f t="shared" si="318"/>
        <v>0</v>
      </c>
      <c r="CR182" s="224">
        <f t="shared" si="318"/>
        <v>0</v>
      </c>
      <c r="CS182" s="224">
        <f t="shared" si="318"/>
        <v>0</v>
      </c>
      <c r="CT182" s="224">
        <f t="shared" si="318"/>
        <v>0</v>
      </c>
      <c r="CU182" s="224">
        <f t="shared" si="318"/>
        <v>0</v>
      </c>
      <c r="CV182" s="224">
        <f t="shared" si="318"/>
        <v>0</v>
      </c>
      <c r="CW182" s="224">
        <f t="shared" si="318"/>
        <v>0</v>
      </c>
      <c r="CX182" s="224">
        <f t="shared" si="318"/>
        <v>0</v>
      </c>
      <c r="CY182" s="218"/>
    </row>
    <row r="183" spans="2:103" hidden="1" outlineLevel="1">
      <c r="B183" t="str">
        <f t="shared" si="233"/>
        <v>Site 42</v>
      </c>
      <c r="C183" s="230">
        <f>VLOOKUP(D50,'Scaling Tables'!$B$123:$C$149,2,FALSE)-VLOOKUP($C$4,'Scaling Tables'!$B$123:$C$149,2,FALSE)</f>
        <v>0</v>
      </c>
      <c r="D183" s="224">
        <f t="shared" ref="D183:O183" si="319">IF($T50&gt;0,(((EXP(-(1/(Morning_Peak_Duration__hours*2))*(D$141-(Morning_Peak_Time__24hr_clock+$C183))^2))+(EXP(-(1/(Afternoon_Peak_Duration__hours*2))*(D$141-(Afternoon_Peak_Time__24hr_clock+$C183))^2)))*$U50)/TZCalibrationValue,0)</f>
        <v>0</v>
      </c>
      <c r="E183" s="224">
        <f t="shared" si="319"/>
        <v>0</v>
      </c>
      <c r="F183" s="224">
        <f t="shared" si="319"/>
        <v>0</v>
      </c>
      <c r="G183" s="224">
        <f t="shared" si="319"/>
        <v>0</v>
      </c>
      <c r="H183" s="224">
        <f t="shared" si="319"/>
        <v>0</v>
      </c>
      <c r="I183" s="224">
        <f t="shared" si="319"/>
        <v>0</v>
      </c>
      <c r="J183" s="224">
        <f t="shared" si="319"/>
        <v>0</v>
      </c>
      <c r="K183" s="224">
        <f t="shared" si="319"/>
        <v>0</v>
      </c>
      <c r="L183" s="224">
        <f t="shared" si="319"/>
        <v>0</v>
      </c>
      <c r="M183" s="224">
        <f t="shared" si="319"/>
        <v>0</v>
      </c>
      <c r="N183" s="224">
        <f t="shared" si="319"/>
        <v>0</v>
      </c>
      <c r="O183" s="224">
        <f t="shared" si="319"/>
        <v>0</v>
      </c>
      <c r="P183" s="229">
        <f t="shared" si="235"/>
        <v>0</v>
      </c>
      <c r="Q183" s="229">
        <f t="shared" si="236"/>
        <v>0</v>
      </c>
      <c r="R183" s="229">
        <f t="shared" si="237"/>
        <v>0</v>
      </c>
      <c r="S183" s="229">
        <f t="shared" si="238"/>
        <v>0</v>
      </c>
      <c r="T183" s="229">
        <f t="shared" si="239"/>
        <v>0</v>
      </c>
      <c r="U183" s="229">
        <f t="shared" si="240"/>
        <v>0</v>
      </c>
      <c r="V183" s="229">
        <f t="shared" si="241"/>
        <v>0</v>
      </c>
      <c r="W183" s="229">
        <f t="shared" si="242"/>
        <v>0</v>
      </c>
      <c r="X183" s="229">
        <f t="shared" si="243"/>
        <v>0</v>
      </c>
      <c r="Y183" s="229">
        <f t="shared" si="244"/>
        <v>0</v>
      </c>
      <c r="Z183" s="229">
        <f t="shared" si="245"/>
        <v>0</v>
      </c>
      <c r="AA183" s="229">
        <f t="shared" si="246"/>
        <v>0</v>
      </c>
      <c r="AB183" s="229">
        <f t="shared" si="247"/>
        <v>0</v>
      </c>
      <c r="AC183" s="229">
        <f t="shared" si="248"/>
        <v>0</v>
      </c>
      <c r="AD183" s="229">
        <f t="shared" si="249"/>
        <v>0</v>
      </c>
      <c r="AE183" s="229">
        <f t="shared" si="250"/>
        <v>0</v>
      </c>
      <c r="AF183" s="229">
        <f t="shared" si="251"/>
        <v>0</v>
      </c>
      <c r="AG183" s="229">
        <f t="shared" si="252"/>
        <v>0</v>
      </c>
      <c r="AH183" s="229">
        <f t="shared" si="253"/>
        <v>0</v>
      </c>
      <c r="AI183" s="229">
        <f t="shared" si="254"/>
        <v>0</v>
      </c>
      <c r="AJ183" s="229">
        <f t="shared" si="255"/>
        <v>0</v>
      </c>
      <c r="AK183" s="229">
        <f t="shared" si="256"/>
        <v>0</v>
      </c>
      <c r="AL183" s="229">
        <f t="shared" si="257"/>
        <v>0</v>
      </c>
      <c r="AM183" s="229">
        <f t="shared" si="258"/>
        <v>0</v>
      </c>
      <c r="AN183" s="224">
        <f t="shared" ref="AN183:AY183" si="320">IF($T50&gt;0,(((EXP(-(1/(Morning_Peak_Duration__hours*2))*(AN$141-(Morning_Peak_Time__24hr_clock+$C183))^2))+(EXP(-(1/(Afternoon_Peak_Duration__hours*2))*(AN$141-(Afternoon_Peak_Time__24hr_clock+$C183))^2)))*$U50)/TZCalibrationValue,0)</f>
        <v>0</v>
      </c>
      <c r="AO183" s="224">
        <f t="shared" si="320"/>
        <v>0</v>
      </c>
      <c r="AP183" s="224">
        <f t="shared" si="320"/>
        <v>0</v>
      </c>
      <c r="AQ183" s="224">
        <f t="shared" si="320"/>
        <v>0</v>
      </c>
      <c r="AR183" s="224">
        <f t="shared" si="320"/>
        <v>0</v>
      </c>
      <c r="AS183" s="224">
        <f t="shared" si="320"/>
        <v>0</v>
      </c>
      <c r="AT183" s="224">
        <f t="shared" si="320"/>
        <v>0</v>
      </c>
      <c r="AU183" s="224">
        <f t="shared" si="320"/>
        <v>0</v>
      </c>
      <c r="AV183" s="224">
        <f t="shared" si="320"/>
        <v>0</v>
      </c>
      <c r="AW183" s="224">
        <f t="shared" si="320"/>
        <v>0</v>
      </c>
      <c r="AX183" s="224">
        <f t="shared" si="320"/>
        <v>0</v>
      </c>
      <c r="AY183" s="224">
        <f t="shared" si="320"/>
        <v>0</v>
      </c>
      <c r="AZ183" s="218"/>
      <c r="BA183"/>
      <c r="BB183" s="176" t="str">
        <f t="shared" si="260"/>
        <v>Site 42</v>
      </c>
      <c r="BC183" s="224">
        <f t="shared" ref="BC183:BN183" si="321">IF($T50&gt;0,(((EXP(-(1/(Morning_Peak_Duration__hours*2))*(BC$141-(Morning_Peak_Time__24hr_clock+$C183))^2))+(EXP(-(1/(Afternoon_Peak_Duration__hours*2))*(BC$141-(Afternoon_Peak_Time__24hr_clock+$C183))^2)))*$V50)/TZCalibrationValue,0)</f>
        <v>0</v>
      </c>
      <c r="BD183" s="224">
        <f t="shared" si="321"/>
        <v>0</v>
      </c>
      <c r="BE183" s="224">
        <f t="shared" si="321"/>
        <v>0</v>
      </c>
      <c r="BF183" s="224">
        <f t="shared" si="321"/>
        <v>0</v>
      </c>
      <c r="BG183" s="224">
        <f t="shared" si="321"/>
        <v>0</v>
      </c>
      <c r="BH183" s="224">
        <f t="shared" si="321"/>
        <v>0</v>
      </c>
      <c r="BI183" s="224">
        <f t="shared" si="321"/>
        <v>0</v>
      </c>
      <c r="BJ183" s="224">
        <f t="shared" si="321"/>
        <v>0</v>
      </c>
      <c r="BK183" s="224">
        <f t="shared" si="321"/>
        <v>0</v>
      </c>
      <c r="BL183" s="224">
        <f t="shared" si="321"/>
        <v>0</v>
      </c>
      <c r="BM183" s="224">
        <f t="shared" si="321"/>
        <v>0</v>
      </c>
      <c r="BN183" s="224">
        <f t="shared" si="321"/>
        <v>0</v>
      </c>
      <c r="BO183" s="229">
        <f t="shared" si="262"/>
        <v>0</v>
      </c>
      <c r="BP183" s="229">
        <f t="shared" si="263"/>
        <v>0</v>
      </c>
      <c r="BQ183" s="229">
        <f t="shared" si="264"/>
        <v>0</v>
      </c>
      <c r="BR183" s="229">
        <f t="shared" si="265"/>
        <v>0</v>
      </c>
      <c r="BS183" s="229">
        <f t="shared" si="266"/>
        <v>0</v>
      </c>
      <c r="BT183" s="229">
        <f t="shared" si="267"/>
        <v>0</v>
      </c>
      <c r="BU183" s="229">
        <f t="shared" si="268"/>
        <v>0</v>
      </c>
      <c r="BV183" s="229">
        <f t="shared" si="269"/>
        <v>0</v>
      </c>
      <c r="BW183" s="229">
        <f t="shared" si="270"/>
        <v>0</v>
      </c>
      <c r="BX183" s="229">
        <f t="shared" si="271"/>
        <v>0</v>
      </c>
      <c r="BY183" s="229">
        <f t="shared" si="272"/>
        <v>0</v>
      </c>
      <c r="BZ183" s="229">
        <f t="shared" si="273"/>
        <v>0</v>
      </c>
      <c r="CA183" s="229">
        <f t="shared" si="274"/>
        <v>0</v>
      </c>
      <c r="CB183" s="229">
        <f t="shared" si="275"/>
        <v>0</v>
      </c>
      <c r="CC183" s="229">
        <f t="shared" si="276"/>
        <v>0</v>
      </c>
      <c r="CD183" s="229">
        <f t="shared" si="277"/>
        <v>0</v>
      </c>
      <c r="CE183" s="229">
        <f t="shared" si="278"/>
        <v>0</v>
      </c>
      <c r="CF183" s="229">
        <f t="shared" si="279"/>
        <v>0</v>
      </c>
      <c r="CG183" s="229">
        <f t="shared" si="280"/>
        <v>0</v>
      </c>
      <c r="CH183" s="229">
        <f t="shared" si="281"/>
        <v>0</v>
      </c>
      <c r="CI183" s="229">
        <f t="shared" si="282"/>
        <v>0</v>
      </c>
      <c r="CJ183" s="229">
        <f t="shared" si="283"/>
        <v>0</v>
      </c>
      <c r="CK183" s="229">
        <f t="shared" si="284"/>
        <v>0</v>
      </c>
      <c r="CL183" s="229">
        <f t="shared" si="285"/>
        <v>0</v>
      </c>
      <c r="CM183" s="224">
        <f t="shared" ref="CM183:CX183" si="322">IF($T50&gt;0,(((EXP(-(1/(Morning_Peak_Duration__hours*2))*(CM$141-(Morning_Peak_Time__24hr_clock+$C183))^2))+(EXP(-(1/(Afternoon_Peak_Duration__hours*2))*(CM$141-(Afternoon_Peak_Time__24hr_clock+$C183))^2)))*$V50)/TZCalibrationValue,0)</f>
        <v>0</v>
      </c>
      <c r="CN183" s="224">
        <f t="shared" si="322"/>
        <v>0</v>
      </c>
      <c r="CO183" s="224">
        <f t="shared" si="322"/>
        <v>0</v>
      </c>
      <c r="CP183" s="224">
        <f t="shared" si="322"/>
        <v>0</v>
      </c>
      <c r="CQ183" s="224">
        <f t="shared" si="322"/>
        <v>0</v>
      </c>
      <c r="CR183" s="224">
        <f t="shared" si="322"/>
        <v>0</v>
      </c>
      <c r="CS183" s="224">
        <f t="shared" si="322"/>
        <v>0</v>
      </c>
      <c r="CT183" s="224">
        <f t="shared" si="322"/>
        <v>0</v>
      </c>
      <c r="CU183" s="224">
        <f t="shared" si="322"/>
        <v>0</v>
      </c>
      <c r="CV183" s="224">
        <f t="shared" si="322"/>
        <v>0</v>
      </c>
      <c r="CW183" s="224">
        <f t="shared" si="322"/>
        <v>0</v>
      </c>
      <c r="CX183" s="224">
        <f t="shared" si="322"/>
        <v>0</v>
      </c>
      <c r="CY183" s="218"/>
    </row>
    <row r="184" spans="2:103" hidden="1" outlineLevel="1">
      <c r="B184" t="str">
        <f t="shared" si="233"/>
        <v>Site 43</v>
      </c>
      <c r="C184" s="230">
        <f>VLOOKUP(D51,'Scaling Tables'!$B$123:$C$149,2,FALSE)-VLOOKUP($C$4,'Scaling Tables'!$B$123:$C$149,2,FALSE)</f>
        <v>0</v>
      </c>
      <c r="D184" s="224">
        <f t="shared" ref="D184:O184" si="323">IF($T51&gt;0,(((EXP(-(1/(Morning_Peak_Duration__hours*2))*(D$141-(Morning_Peak_Time__24hr_clock+$C184))^2))+(EXP(-(1/(Afternoon_Peak_Duration__hours*2))*(D$141-(Afternoon_Peak_Time__24hr_clock+$C184))^2)))*$U51)/TZCalibrationValue,0)</f>
        <v>0</v>
      </c>
      <c r="E184" s="224">
        <f t="shared" si="323"/>
        <v>0</v>
      </c>
      <c r="F184" s="224">
        <f t="shared" si="323"/>
        <v>0</v>
      </c>
      <c r="G184" s="224">
        <f t="shared" si="323"/>
        <v>0</v>
      </c>
      <c r="H184" s="224">
        <f t="shared" si="323"/>
        <v>0</v>
      </c>
      <c r="I184" s="224">
        <f t="shared" si="323"/>
        <v>0</v>
      </c>
      <c r="J184" s="224">
        <f t="shared" si="323"/>
        <v>0</v>
      </c>
      <c r="K184" s="224">
        <f t="shared" si="323"/>
        <v>0</v>
      </c>
      <c r="L184" s="224">
        <f t="shared" si="323"/>
        <v>0</v>
      </c>
      <c r="M184" s="224">
        <f t="shared" si="323"/>
        <v>0</v>
      </c>
      <c r="N184" s="224">
        <f t="shared" si="323"/>
        <v>0</v>
      </c>
      <c r="O184" s="224">
        <f t="shared" si="323"/>
        <v>0</v>
      </c>
      <c r="P184" s="229">
        <f t="shared" si="235"/>
        <v>0</v>
      </c>
      <c r="Q184" s="229">
        <f t="shared" si="236"/>
        <v>0</v>
      </c>
      <c r="R184" s="229">
        <f t="shared" si="237"/>
        <v>0</v>
      </c>
      <c r="S184" s="229">
        <f t="shared" si="238"/>
        <v>0</v>
      </c>
      <c r="T184" s="229">
        <f t="shared" si="239"/>
        <v>0</v>
      </c>
      <c r="U184" s="229">
        <f t="shared" si="240"/>
        <v>0</v>
      </c>
      <c r="V184" s="229">
        <f t="shared" si="241"/>
        <v>0</v>
      </c>
      <c r="W184" s="229">
        <f t="shared" si="242"/>
        <v>0</v>
      </c>
      <c r="X184" s="229">
        <f t="shared" si="243"/>
        <v>0</v>
      </c>
      <c r="Y184" s="229">
        <f t="shared" si="244"/>
        <v>0</v>
      </c>
      <c r="Z184" s="229">
        <f t="shared" si="245"/>
        <v>0</v>
      </c>
      <c r="AA184" s="229">
        <f t="shared" si="246"/>
        <v>0</v>
      </c>
      <c r="AB184" s="229">
        <f t="shared" si="247"/>
        <v>0</v>
      </c>
      <c r="AC184" s="229">
        <f t="shared" si="248"/>
        <v>0</v>
      </c>
      <c r="AD184" s="229">
        <f t="shared" si="249"/>
        <v>0</v>
      </c>
      <c r="AE184" s="229">
        <f t="shared" si="250"/>
        <v>0</v>
      </c>
      <c r="AF184" s="229">
        <f t="shared" si="251"/>
        <v>0</v>
      </c>
      <c r="AG184" s="229">
        <f t="shared" si="252"/>
        <v>0</v>
      </c>
      <c r="AH184" s="229">
        <f t="shared" si="253"/>
        <v>0</v>
      </c>
      <c r="AI184" s="229">
        <f t="shared" si="254"/>
        <v>0</v>
      </c>
      <c r="AJ184" s="229">
        <f t="shared" si="255"/>
        <v>0</v>
      </c>
      <c r="AK184" s="229">
        <f t="shared" si="256"/>
        <v>0</v>
      </c>
      <c r="AL184" s="229">
        <f t="shared" si="257"/>
        <v>0</v>
      </c>
      <c r="AM184" s="229">
        <f t="shared" si="258"/>
        <v>0</v>
      </c>
      <c r="AN184" s="224">
        <f t="shared" ref="AN184:AY184" si="324">IF($T51&gt;0,(((EXP(-(1/(Morning_Peak_Duration__hours*2))*(AN$141-(Morning_Peak_Time__24hr_clock+$C184))^2))+(EXP(-(1/(Afternoon_Peak_Duration__hours*2))*(AN$141-(Afternoon_Peak_Time__24hr_clock+$C184))^2)))*$U51)/TZCalibrationValue,0)</f>
        <v>0</v>
      </c>
      <c r="AO184" s="224">
        <f t="shared" si="324"/>
        <v>0</v>
      </c>
      <c r="AP184" s="224">
        <f t="shared" si="324"/>
        <v>0</v>
      </c>
      <c r="AQ184" s="224">
        <f t="shared" si="324"/>
        <v>0</v>
      </c>
      <c r="AR184" s="224">
        <f t="shared" si="324"/>
        <v>0</v>
      </c>
      <c r="AS184" s="224">
        <f t="shared" si="324"/>
        <v>0</v>
      </c>
      <c r="AT184" s="224">
        <f t="shared" si="324"/>
        <v>0</v>
      </c>
      <c r="AU184" s="224">
        <f t="shared" si="324"/>
        <v>0</v>
      </c>
      <c r="AV184" s="224">
        <f t="shared" si="324"/>
        <v>0</v>
      </c>
      <c r="AW184" s="224">
        <f t="shared" si="324"/>
        <v>0</v>
      </c>
      <c r="AX184" s="224">
        <f t="shared" si="324"/>
        <v>0</v>
      </c>
      <c r="AY184" s="224">
        <f t="shared" si="324"/>
        <v>0</v>
      </c>
      <c r="AZ184" s="218"/>
      <c r="BA184"/>
      <c r="BB184" s="176" t="str">
        <f t="shared" si="260"/>
        <v>Site 43</v>
      </c>
      <c r="BC184" s="224">
        <f t="shared" ref="BC184:BN184" si="325">IF($T51&gt;0,(((EXP(-(1/(Morning_Peak_Duration__hours*2))*(BC$141-(Morning_Peak_Time__24hr_clock+$C184))^2))+(EXP(-(1/(Afternoon_Peak_Duration__hours*2))*(BC$141-(Afternoon_Peak_Time__24hr_clock+$C184))^2)))*$V51)/TZCalibrationValue,0)</f>
        <v>0</v>
      </c>
      <c r="BD184" s="224">
        <f t="shared" si="325"/>
        <v>0</v>
      </c>
      <c r="BE184" s="224">
        <f t="shared" si="325"/>
        <v>0</v>
      </c>
      <c r="BF184" s="224">
        <f t="shared" si="325"/>
        <v>0</v>
      </c>
      <c r="BG184" s="224">
        <f t="shared" si="325"/>
        <v>0</v>
      </c>
      <c r="BH184" s="224">
        <f t="shared" si="325"/>
        <v>0</v>
      </c>
      <c r="BI184" s="224">
        <f t="shared" si="325"/>
        <v>0</v>
      </c>
      <c r="BJ184" s="224">
        <f t="shared" si="325"/>
        <v>0</v>
      </c>
      <c r="BK184" s="224">
        <f t="shared" si="325"/>
        <v>0</v>
      </c>
      <c r="BL184" s="224">
        <f t="shared" si="325"/>
        <v>0</v>
      </c>
      <c r="BM184" s="224">
        <f t="shared" si="325"/>
        <v>0</v>
      </c>
      <c r="BN184" s="224">
        <f t="shared" si="325"/>
        <v>0</v>
      </c>
      <c r="BO184" s="229">
        <f t="shared" si="262"/>
        <v>0</v>
      </c>
      <c r="BP184" s="229">
        <f t="shared" si="263"/>
        <v>0</v>
      </c>
      <c r="BQ184" s="229">
        <f t="shared" si="264"/>
        <v>0</v>
      </c>
      <c r="BR184" s="229">
        <f t="shared" si="265"/>
        <v>0</v>
      </c>
      <c r="BS184" s="229">
        <f t="shared" si="266"/>
        <v>0</v>
      </c>
      <c r="BT184" s="229">
        <f t="shared" si="267"/>
        <v>0</v>
      </c>
      <c r="BU184" s="229">
        <f t="shared" si="268"/>
        <v>0</v>
      </c>
      <c r="BV184" s="229">
        <f t="shared" si="269"/>
        <v>0</v>
      </c>
      <c r="BW184" s="229">
        <f t="shared" si="270"/>
        <v>0</v>
      </c>
      <c r="BX184" s="229">
        <f t="shared" si="271"/>
        <v>0</v>
      </c>
      <c r="BY184" s="229">
        <f t="shared" si="272"/>
        <v>0</v>
      </c>
      <c r="BZ184" s="229">
        <f t="shared" si="273"/>
        <v>0</v>
      </c>
      <c r="CA184" s="229">
        <f t="shared" si="274"/>
        <v>0</v>
      </c>
      <c r="CB184" s="229">
        <f t="shared" si="275"/>
        <v>0</v>
      </c>
      <c r="CC184" s="229">
        <f t="shared" si="276"/>
        <v>0</v>
      </c>
      <c r="CD184" s="229">
        <f t="shared" si="277"/>
        <v>0</v>
      </c>
      <c r="CE184" s="229">
        <f t="shared" si="278"/>
        <v>0</v>
      </c>
      <c r="CF184" s="229">
        <f t="shared" si="279"/>
        <v>0</v>
      </c>
      <c r="CG184" s="229">
        <f t="shared" si="280"/>
        <v>0</v>
      </c>
      <c r="CH184" s="229">
        <f t="shared" si="281"/>
        <v>0</v>
      </c>
      <c r="CI184" s="229">
        <f t="shared" si="282"/>
        <v>0</v>
      </c>
      <c r="CJ184" s="229">
        <f t="shared" si="283"/>
        <v>0</v>
      </c>
      <c r="CK184" s="229">
        <f t="shared" si="284"/>
        <v>0</v>
      </c>
      <c r="CL184" s="229">
        <f t="shared" si="285"/>
        <v>0</v>
      </c>
      <c r="CM184" s="224">
        <f t="shared" ref="CM184:CX184" si="326">IF($T51&gt;0,(((EXP(-(1/(Morning_Peak_Duration__hours*2))*(CM$141-(Morning_Peak_Time__24hr_clock+$C184))^2))+(EXP(-(1/(Afternoon_Peak_Duration__hours*2))*(CM$141-(Afternoon_Peak_Time__24hr_clock+$C184))^2)))*$V51)/TZCalibrationValue,0)</f>
        <v>0</v>
      </c>
      <c r="CN184" s="224">
        <f t="shared" si="326"/>
        <v>0</v>
      </c>
      <c r="CO184" s="224">
        <f t="shared" si="326"/>
        <v>0</v>
      </c>
      <c r="CP184" s="224">
        <f t="shared" si="326"/>
        <v>0</v>
      </c>
      <c r="CQ184" s="224">
        <f t="shared" si="326"/>
        <v>0</v>
      </c>
      <c r="CR184" s="224">
        <f t="shared" si="326"/>
        <v>0</v>
      </c>
      <c r="CS184" s="224">
        <f t="shared" si="326"/>
        <v>0</v>
      </c>
      <c r="CT184" s="224">
        <f t="shared" si="326"/>
        <v>0</v>
      </c>
      <c r="CU184" s="224">
        <f t="shared" si="326"/>
        <v>0</v>
      </c>
      <c r="CV184" s="224">
        <f t="shared" si="326"/>
        <v>0</v>
      </c>
      <c r="CW184" s="224">
        <f t="shared" si="326"/>
        <v>0</v>
      </c>
      <c r="CX184" s="224">
        <f t="shared" si="326"/>
        <v>0</v>
      </c>
      <c r="CY184" s="218"/>
    </row>
    <row r="185" spans="2:103" hidden="1" outlineLevel="1">
      <c r="B185" t="str">
        <f t="shared" si="233"/>
        <v>Site 44</v>
      </c>
      <c r="C185" s="230">
        <f>VLOOKUP(D52,'Scaling Tables'!$B$123:$C$149,2,FALSE)-VLOOKUP($C$4,'Scaling Tables'!$B$123:$C$149,2,FALSE)</f>
        <v>0</v>
      </c>
      <c r="D185" s="224">
        <f t="shared" ref="D185:O185" si="327">IF($T52&gt;0,(((EXP(-(1/(Morning_Peak_Duration__hours*2))*(D$141-(Morning_Peak_Time__24hr_clock+$C185))^2))+(EXP(-(1/(Afternoon_Peak_Duration__hours*2))*(D$141-(Afternoon_Peak_Time__24hr_clock+$C185))^2)))*$U52)/TZCalibrationValue,0)</f>
        <v>0</v>
      </c>
      <c r="E185" s="224">
        <f t="shared" si="327"/>
        <v>0</v>
      </c>
      <c r="F185" s="224">
        <f t="shared" si="327"/>
        <v>0</v>
      </c>
      <c r="G185" s="224">
        <f t="shared" si="327"/>
        <v>0</v>
      </c>
      <c r="H185" s="224">
        <f t="shared" si="327"/>
        <v>0</v>
      </c>
      <c r="I185" s="224">
        <f t="shared" si="327"/>
        <v>0</v>
      </c>
      <c r="J185" s="224">
        <f t="shared" si="327"/>
        <v>0</v>
      </c>
      <c r="K185" s="224">
        <f t="shared" si="327"/>
        <v>0</v>
      </c>
      <c r="L185" s="224">
        <f t="shared" si="327"/>
        <v>0</v>
      </c>
      <c r="M185" s="224">
        <f t="shared" si="327"/>
        <v>0</v>
      </c>
      <c r="N185" s="224">
        <f t="shared" si="327"/>
        <v>0</v>
      </c>
      <c r="O185" s="224">
        <f t="shared" si="327"/>
        <v>0</v>
      </c>
      <c r="P185" s="229">
        <f t="shared" si="235"/>
        <v>0</v>
      </c>
      <c r="Q185" s="229">
        <f t="shared" si="236"/>
        <v>0</v>
      </c>
      <c r="R185" s="229">
        <f t="shared" si="237"/>
        <v>0</v>
      </c>
      <c r="S185" s="229">
        <f t="shared" si="238"/>
        <v>0</v>
      </c>
      <c r="T185" s="229">
        <f t="shared" si="239"/>
        <v>0</v>
      </c>
      <c r="U185" s="229">
        <f t="shared" si="240"/>
        <v>0</v>
      </c>
      <c r="V185" s="229">
        <f t="shared" si="241"/>
        <v>0</v>
      </c>
      <c r="W185" s="229">
        <f t="shared" si="242"/>
        <v>0</v>
      </c>
      <c r="X185" s="229">
        <f t="shared" si="243"/>
        <v>0</v>
      </c>
      <c r="Y185" s="229">
        <f t="shared" si="244"/>
        <v>0</v>
      </c>
      <c r="Z185" s="229">
        <f t="shared" si="245"/>
        <v>0</v>
      </c>
      <c r="AA185" s="229">
        <f t="shared" si="246"/>
        <v>0</v>
      </c>
      <c r="AB185" s="229">
        <f t="shared" si="247"/>
        <v>0</v>
      </c>
      <c r="AC185" s="229">
        <f t="shared" si="248"/>
        <v>0</v>
      </c>
      <c r="AD185" s="229">
        <f t="shared" si="249"/>
        <v>0</v>
      </c>
      <c r="AE185" s="229">
        <f t="shared" si="250"/>
        <v>0</v>
      </c>
      <c r="AF185" s="229">
        <f t="shared" si="251"/>
        <v>0</v>
      </c>
      <c r="AG185" s="229">
        <f t="shared" si="252"/>
        <v>0</v>
      </c>
      <c r="AH185" s="229">
        <f t="shared" si="253"/>
        <v>0</v>
      </c>
      <c r="AI185" s="229">
        <f t="shared" si="254"/>
        <v>0</v>
      </c>
      <c r="AJ185" s="229">
        <f t="shared" si="255"/>
        <v>0</v>
      </c>
      <c r="AK185" s="229">
        <f t="shared" si="256"/>
        <v>0</v>
      </c>
      <c r="AL185" s="229">
        <f t="shared" si="257"/>
        <v>0</v>
      </c>
      <c r="AM185" s="229">
        <f t="shared" si="258"/>
        <v>0</v>
      </c>
      <c r="AN185" s="224">
        <f t="shared" ref="AN185:AY185" si="328">IF($T52&gt;0,(((EXP(-(1/(Morning_Peak_Duration__hours*2))*(AN$141-(Morning_Peak_Time__24hr_clock+$C185))^2))+(EXP(-(1/(Afternoon_Peak_Duration__hours*2))*(AN$141-(Afternoon_Peak_Time__24hr_clock+$C185))^2)))*$U52)/TZCalibrationValue,0)</f>
        <v>0</v>
      </c>
      <c r="AO185" s="224">
        <f t="shared" si="328"/>
        <v>0</v>
      </c>
      <c r="AP185" s="224">
        <f t="shared" si="328"/>
        <v>0</v>
      </c>
      <c r="AQ185" s="224">
        <f t="shared" si="328"/>
        <v>0</v>
      </c>
      <c r="AR185" s="224">
        <f t="shared" si="328"/>
        <v>0</v>
      </c>
      <c r="AS185" s="224">
        <f t="shared" si="328"/>
        <v>0</v>
      </c>
      <c r="AT185" s="224">
        <f t="shared" si="328"/>
        <v>0</v>
      </c>
      <c r="AU185" s="224">
        <f t="shared" si="328"/>
        <v>0</v>
      </c>
      <c r="AV185" s="224">
        <f t="shared" si="328"/>
        <v>0</v>
      </c>
      <c r="AW185" s="224">
        <f t="shared" si="328"/>
        <v>0</v>
      </c>
      <c r="AX185" s="224">
        <f t="shared" si="328"/>
        <v>0</v>
      </c>
      <c r="AY185" s="224">
        <f t="shared" si="328"/>
        <v>0</v>
      </c>
      <c r="AZ185" s="218"/>
      <c r="BA185"/>
      <c r="BB185" s="176" t="str">
        <f t="shared" si="260"/>
        <v>Site 44</v>
      </c>
      <c r="BC185" s="224">
        <f t="shared" ref="BC185:BN185" si="329">IF($T52&gt;0,(((EXP(-(1/(Morning_Peak_Duration__hours*2))*(BC$141-(Morning_Peak_Time__24hr_clock+$C185))^2))+(EXP(-(1/(Afternoon_Peak_Duration__hours*2))*(BC$141-(Afternoon_Peak_Time__24hr_clock+$C185))^2)))*$V52)/TZCalibrationValue,0)</f>
        <v>0</v>
      </c>
      <c r="BD185" s="224">
        <f t="shared" si="329"/>
        <v>0</v>
      </c>
      <c r="BE185" s="224">
        <f t="shared" si="329"/>
        <v>0</v>
      </c>
      <c r="BF185" s="224">
        <f t="shared" si="329"/>
        <v>0</v>
      </c>
      <c r="BG185" s="224">
        <f t="shared" si="329"/>
        <v>0</v>
      </c>
      <c r="BH185" s="224">
        <f t="shared" si="329"/>
        <v>0</v>
      </c>
      <c r="BI185" s="224">
        <f t="shared" si="329"/>
        <v>0</v>
      </c>
      <c r="BJ185" s="224">
        <f t="shared" si="329"/>
        <v>0</v>
      </c>
      <c r="BK185" s="224">
        <f t="shared" si="329"/>
        <v>0</v>
      </c>
      <c r="BL185" s="224">
        <f t="shared" si="329"/>
        <v>0</v>
      </c>
      <c r="BM185" s="224">
        <f t="shared" si="329"/>
        <v>0</v>
      </c>
      <c r="BN185" s="224">
        <f t="shared" si="329"/>
        <v>0</v>
      </c>
      <c r="BO185" s="229">
        <f t="shared" si="262"/>
        <v>0</v>
      </c>
      <c r="BP185" s="229">
        <f t="shared" si="263"/>
        <v>0</v>
      </c>
      <c r="BQ185" s="229">
        <f t="shared" si="264"/>
        <v>0</v>
      </c>
      <c r="BR185" s="229">
        <f t="shared" si="265"/>
        <v>0</v>
      </c>
      <c r="BS185" s="229">
        <f t="shared" si="266"/>
        <v>0</v>
      </c>
      <c r="BT185" s="229">
        <f t="shared" si="267"/>
        <v>0</v>
      </c>
      <c r="BU185" s="229">
        <f t="shared" si="268"/>
        <v>0</v>
      </c>
      <c r="BV185" s="229">
        <f t="shared" si="269"/>
        <v>0</v>
      </c>
      <c r="BW185" s="229">
        <f t="shared" si="270"/>
        <v>0</v>
      </c>
      <c r="BX185" s="229">
        <f t="shared" si="271"/>
        <v>0</v>
      </c>
      <c r="BY185" s="229">
        <f t="shared" si="272"/>
        <v>0</v>
      </c>
      <c r="BZ185" s="229">
        <f t="shared" si="273"/>
        <v>0</v>
      </c>
      <c r="CA185" s="229">
        <f t="shared" si="274"/>
        <v>0</v>
      </c>
      <c r="CB185" s="229">
        <f t="shared" si="275"/>
        <v>0</v>
      </c>
      <c r="CC185" s="229">
        <f t="shared" si="276"/>
        <v>0</v>
      </c>
      <c r="CD185" s="229">
        <f t="shared" si="277"/>
        <v>0</v>
      </c>
      <c r="CE185" s="229">
        <f t="shared" si="278"/>
        <v>0</v>
      </c>
      <c r="CF185" s="229">
        <f t="shared" si="279"/>
        <v>0</v>
      </c>
      <c r="CG185" s="229">
        <f t="shared" si="280"/>
        <v>0</v>
      </c>
      <c r="CH185" s="229">
        <f t="shared" si="281"/>
        <v>0</v>
      </c>
      <c r="CI185" s="229">
        <f t="shared" si="282"/>
        <v>0</v>
      </c>
      <c r="CJ185" s="229">
        <f t="shared" si="283"/>
        <v>0</v>
      </c>
      <c r="CK185" s="229">
        <f t="shared" si="284"/>
        <v>0</v>
      </c>
      <c r="CL185" s="229">
        <f t="shared" si="285"/>
        <v>0</v>
      </c>
      <c r="CM185" s="224">
        <f t="shared" ref="CM185:CX185" si="330">IF($T52&gt;0,(((EXP(-(1/(Morning_Peak_Duration__hours*2))*(CM$141-(Morning_Peak_Time__24hr_clock+$C185))^2))+(EXP(-(1/(Afternoon_Peak_Duration__hours*2))*(CM$141-(Afternoon_Peak_Time__24hr_clock+$C185))^2)))*$V52)/TZCalibrationValue,0)</f>
        <v>0</v>
      </c>
      <c r="CN185" s="224">
        <f t="shared" si="330"/>
        <v>0</v>
      </c>
      <c r="CO185" s="224">
        <f t="shared" si="330"/>
        <v>0</v>
      </c>
      <c r="CP185" s="224">
        <f t="shared" si="330"/>
        <v>0</v>
      </c>
      <c r="CQ185" s="224">
        <f t="shared" si="330"/>
        <v>0</v>
      </c>
      <c r="CR185" s="224">
        <f t="shared" si="330"/>
        <v>0</v>
      </c>
      <c r="CS185" s="224">
        <f t="shared" si="330"/>
        <v>0</v>
      </c>
      <c r="CT185" s="224">
        <f t="shared" si="330"/>
        <v>0</v>
      </c>
      <c r="CU185" s="224">
        <f t="shared" si="330"/>
        <v>0</v>
      </c>
      <c r="CV185" s="224">
        <f t="shared" si="330"/>
        <v>0</v>
      </c>
      <c r="CW185" s="224">
        <f t="shared" si="330"/>
        <v>0</v>
      </c>
      <c r="CX185" s="224">
        <f t="shared" si="330"/>
        <v>0</v>
      </c>
      <c r="CY185" s="218"/>
    </row>
    <row r="186" spans="2:103" hidden="1" outlineLevel="1">
      <c r="B186" t="str">
        <f t="shared" si="233"/>
        <v>Site 45</v>
      </c>
      <c r="C186" s="230">
        <f>VLOOKUP(D53,'Scaling Tables'!$B$123:$C$149,2,FALSE)-VLOOKUP($C$4,'Scaling Tables'!$B$123:$C$149,2,FALSE)</f>
        <v>0</v>
      </c>
      <c r="D186" s="224">
        <f t="shared" ref="D186:O186" si="331">IF($T53&gt;0,(((EXP(-(1/(Morning_Peak_Duration__hours*2))*(D$141-(Morning_Peak_Time__24hr_clock+$C186))^2))+(EXP(-(1/(Afternoon_Peak_Duration__hours*2))*(D$141-(Afternoon_Peak_Time__24hr_clock+$C186))^2)))*$U53)/TZCalibrationValue,0)</f>
        <v>0</v>
      </c>
      <c r="E186" s="224">
        <f t="shared" si="331"/>
        <v>0</v>
      </c>
      <c r="F186" s="224">
        <f t="shared" si="331"/>
        <v>0</v>
      </c>
      <c r="G186" s="224">
        <f t="shared" si="331"/>
        <v>0</v>
      </c>
      <c r="H186" s="224">
        <f t="shared" si="331"/>
        <v>0</v>
      </c>
      <c r="I186" s="224">
        <f t="shared" si="331"/>
        <v>0</v>
      </c>
      <c r="J186" s="224">
        <f t="shared" si="331"/>
        <v>0</v>
      </c>
      <c r="K186" s="224">
        <f t="shared" si="331"/>
        <v>0</v>
      </c>
      <c r="L186" s="224">
        <f t="shared" si="331"/>
        <v>0</v>
      </c>
      <c r="M186" s="224">
        <f t="shared" si="331"/>
        <v>0</v>
      </c>
      <c r="N186" s="224">
        <f t="shared" si="331"/>
        <v>0</v>
      </c>
      <c r="O186" s="224">
        <f t="shared" si="331"/>
        <v>0</v>
      </c>
      <c r="P186" s="229">
        <f t="shared" si="235"/>
        <v>0</v>
      </c>
      <c r="Q186" s="229">
        <f t="shared" si="236"/>
        <v>0</v>
      </c>
      <c r="R186" s="229">
        <f t="shared" si="237"/>
        <v>0</v>
      </c>
      <c r="S186" s="229">
        <f t="shared" si="238"/>
        <v>0</v>
      </c>
      <c r="T186" s="229">
        <f t="shared" si="239"/>
        <v>0</v>
      </c>
      <c r="U186" s="229">
        <f t="shared" si="240"/>
        <v>0</v>
      </c>
      <c r="V186" s="229">
        <f t="shared" si="241"/>
        <v>0</v>
      </c>
      <c r="W186" s="229">
        <f t="shared" si="242"/>
        <v>0</v>
      </c>
      <c r="X186" s="229">
        <f t="shared" si="243"/>
        <v>0</v>
      </c>
      <c r="Y186" s="229">
        <f t="shared" si="244"/>
        <v>0</v>
      </c>
      <c r="Z186" s="229">
        <f t="shared" si="245"/>
        <v>0</v>
      </c>
      <c r="AA186" s="229">
        <f t="shared" si="246"/>
        <v>0</v>
      </c>
      <c r="AB186" s="229">
        <f t="shared" si="247"/>
        <v>0</v>
      </c>
      <c r="AC186" s="229">
        <f t="shared" si="248"/>
        <v>0</v>
      </c>
      <c r="AD186" s="229">
        <f t="shared" si="249"/>
        <v>0</v>
      </c>
      <c r="AE186" s="229">
        <f t="shared" si="250"/>
        <v>0</v>
      </c>
      <c r="AF186" s="229">
        <f t="shared" si="251"/>
        <v>0</v>
      </c>
      <c r="AG186" s="229">
        <f t="shared" si="252"/>
        <v>0</v>
      </c>
      <c r="AH186" s="229">
        <f t="shared" si="253"/>
        <v>0</v>
      </c>
      <c r="AI186" s="229">
        <f t="shared" si="254"/>
        <v>0</v>
      </c>
      <c r="AJ186" s="229">
        <f t="shared" si="255"/>
        <v>0</v>
      </c>
      <c r="AK186" s="229">
        <f t="shared" si="256"/>
        <v>0</v>
      </c>
      <c r="AL186" s="229">
        <f t="shared" si="257"/>
        <v>0</v>
      </c>
      <c r="AM186" s="229">
        <f t="shared" si="258"/>
        <v>0</v>
      </c>
      <c r="AN186" s="224">
        <f t="shared" ref="AN186:AY186" si="332">IF($T53&gt;0,(((EXP(-(1/(Morning_Peak_Duration__hours*2))*(AN$141-(Morning_Peak_Time__24hr_clock+$C186))^2))+(EXP(-(1/(Afternoon_Peak_Duration__hours*2))*(AN$141-(Afternoon_Peak_Time__24hr_clock+$C186))^2)))*$U53)/TZCalibrationValue,0)</f>
        <v>0</v>
      </c>
      <c r="AO186" s="224">
        <f t="shared" si="332"/>
        <v>0</v>
      </c>
      <c r="AP186" s="224">
        <f t="shared" si="332"/>
        <v>0</v>
      </c>
      <c r="AQ186" s="224">
        <f t="shared" si="332"/>
        <v>0</v>
      </c>
      <c r="AR186" s="224">
        <f t="shared" si="332"/>
        <v>0</v>
      </c>
      <c r="AS186" s="224">
        <f t="shared" si="332"/>
        <v>0</v>
      </c>
      <c r="AT186" s="224">
        <f t="shared" si="332"/>
        <v>0</v>
      </c>
      <c r="AU186" s="224">
        <f t="shared" si="332"/>
        <v>0</v>
      </c>
      <c r="AV186" s="224">
        <f t="shared" si="332"/>
        <v>0</v>
      </c>
      <c r="AW186" s="224">
        <f t="shared" si="332"/>
        <v>0</v>
      </c>
      <c r="AX186" s="224">
        <f t="shared" si="332"/>
        <v>0</v>
      </c>
      <c r="AY186" s="224">
        <f t="shared" si="332"/>
        <v>0</v>
      </c>
      <c r="AZ186" s="218"/>
      <c r="BA186"/>
      <c r="BB186" s="176" t="str">
        <f t="shared" si="260"/>
        <v>Site 45</v>
      </c>
      <c r="BC186" s="224">
        <f t="shared" ref="BC186:BN186" si="333">IF($T53&gt;0,(((EXP(-(1/(Morning_Peak_Duration__hours*2))*(BC$141-(Morning_Peak_Time__24hr_clock+$C186))^2))+(EXP(-(1/(Afternoon_Peak_Duration__hours*2))*(BC$141-(Afternoon_Peak_Time__24hr_clock+$C186))^2)))*$V53)/TZCalibrationValue,0)</f>
        <v>0</v>
      </c>
      <c r="BD186" s="224">
        <f t="shared" si="333"/>
        <v>0</v>
      </c>
      <c r="BE186" s="224">
        <f t="shared" si="333"/>
        <v>0</v>
      </c>
      <c r="BF186" s="224">
        <f t="shared" si="333"/>
        <v>0</v>
      </c>
      <c r="BG186" s="224">
        <f t="shared" si="333"/>
        <v>0</v>
      </c>
      <c r="BH186" s="224">
        <f t="shared" si="333"/>
        <v>0</v>
      </c>
      <c r="BI186" s="224">
        <f t="shared" si="333"/>
        <v>0</v>
      </c>
      <c r="BJ186" s="224">
        <f t="shared" si="333"/>
        <v>0</v>
      </c>
      <c r="BK186" s="224">
        <f t="shared" si="333"/>
        <v>0</v>
      </c>
      <c r="BL186" s="224">
        <f t="shared" si="333"/>
        <v>0</v>
      </c>
      <c r="BM186" s="224">
        <f t="shared" si="333"/>
        <v>0</v>
      </c>
      <c r="BN186" s="224">
        <f t="shared" si="333"/>
        <v>0</v>
      </c>
      <c r="BO186" s="229">
        <f t="shared" si="262"/>
        <v>0</v>
      </c>
      <c r="BP186" s="229">
        <f t="shared" si="263"/>
        <v>0</v>
      </c>
      <c r="BQ186" s="229">
        <f t="shared" si="264"/>
        <v>0</v>
      </c>
      <c r="BR186" s="229">
        <f t="shared" si="265"/>
        <v>0</v>
      </c>
      <c r="BS186" s="229">
        <f t="shared" si="266"/>
        <v>0</v>
      </c>
      <c r="BT186" s="229">
        <f t="shared" si="267"/>
        <v>0</v>
      </c>
      <c r="BU186" s="229">
        <f t="shared" si="268"/>
        <v>0</v>
      </c>
      <c r="BV186" s="229">
        <f t="shared" si="269"/>
        <v>0</v>
      </c>
      <c r="BW186" s="229">
        <f t="shared" si="270"/>
        <v>0</v>
      </c>
      <c r="BX186" s="229">
        <f t="shared" si="271"/>
        <v>0</v>
      </c>
      <c r="BY186" s="229">
        <f t="shared" si="272"/>
        <v>0</v>
      </c>
      <c r="BZ186" s="229">
        <f t="shared" si="273"/>
        <v>0</v>
      </c>
      <c r="CA186" s="229">
        <f t="shared" si="274"/>
        <v>0</v>
      </c>
      <c r="CB186" s="229">
        <f t="shared" si="275"/>
        <v>0</v>
      </c>
      <c r="CC186" s="229">
        <f t="shared" si="276"/>
        <v>0</v>
      </c>
      <c r="CD186" s="229">
        <f t="shared" si="277"/>
        <v>0</v>
      </c>
      <c r="CE186" s="229">
        <f t="shared" si="278"/>
        <v>0</v>
      </c>
      <c r="CF186" s="229">
        <f t="shared" si="279"/>
        <v>0</v>
      </c>
      <c r="CG186" s="229">
        <f t="shared" si="280"/>
        <v>0</v>
      </c>
      <c r="CH186" s="229">
        <f t="shared" si="281"/>
        <v>0</v>
      </c>
      <c r="CI186" s="229">
        <f t="shared" si="282"/>
        <v>0</v>
      </c>
      <c r="CJ186" s="229">
        <f t="shared" si="283"/>
        <v>0</v>
      </c>
      <c r="CK186" s="229">
        <f t="shared" si="284"/>
        <v>0</v>
      </c>
      <c r="CL186" s="229">
        <f t="shared" si="285"/>
        <v>0</v>
      </c>
      <c r="CM186" s="224">
        <f t="shared" ref="CM186:CX186" si="334">IF($T53&gt;0,(((EXP(-(1/(Morning_Peak_Duration__hours*2))*(CM$141-(Morning_Peak_Time__24hr_clock+$C186))^2))+(EXP(-(1/(Afternoon_Peak_Duration__hours*2))*(CM$141-(Afternoon_Peak_Time__24hr_clock+$C186))^2)))*$V53)/TZCalibrationValue,0)</f>
        <v>0</v>
      </c>
      <c r="CN186" s="224">
        <f t="shared" si="334"/>
        <v>0</v>
      </c>
      <c r="CO186" s="224">
        <f t="shared" si="334"/>
        <v>0</v>
      </c>
      <c r="CP186" s="224">
        <f t="shared" si="334"/>
        <v>0</v>
      </c>
      <c r="CQ186" s="224">
        <f t="shared" si="334"/>
        <v>0</v>
      </c>
      <c r="CR186" s="224">
        <f t="shared" si="334"/>
        <v>0</v>
      </c>
      <c r="CS186" s="224">
        <f t="shared" si="334"/>
        <v>0</v>
      </c>
      <c r="CT186" s="224">
        <f t="shared" si="334"/>
        <v>0</v>
      </c>
      <c r="CU186" s="224">
        <f t="shared" si="334"/>
        <v>0</v>
      </c>
      <c r="CV186" s="224">
        <f t="shared" si="334"/>
        <v>0</v>
      </c>
      <c r="CW186" s="224">
        <f t="shared" si="334"/>
        <v>0</v>
      </c>
      <c r="CX186" s="224">
        <f t="shared" si="334"/>
        <v>0</v>
      </c>
      <c r="CY186" s="218"/>
    </row>
    <row r="187" spans="2:103" hidden="1" outlineLevel="1">
      <c r="B187" t="str">
        <f t="shared" si="233"/>
        <v>Site 46</v>
      </c>
      <c r="C187" s="230">
        <f>VLOOKUP(D54,'Scaling Tables'!$B$123:$C$149,2,FALSE)-VLOOKUP($C$4,'Scaling Tables'!$B$123:$C$149,2,FALSE)</f>
        <v>0</v>
      </c>
      <c r="D187" s="224">
        <f t="shared" ref="D187:O187" si="335">IF($T54&gt;0,(((EXP(-(1/(Morning_Peak_Duration__hours*2))*(D$141-(Morning_Peak_Time__24hr_clock+$C187))^2))+(EXP(-(1/(Afternoon_Peak_Duration__hours*2))*(D$141-(Afternoon_Peak_Time__24hr_clock+$C187))^2)))*$U54)/TZCalibrationValue,0)</f>
        <v>0</v>
      </c>
      <c r="E187" s="224">
        <f t="shared" si="335"/>
        <v>0</v>
      </c>
      <c r="F187" s="224">
        <f t="shared" si="335"/>
        <v>0</v>
      </c>
      <c r="G187" s="224">
        <f t="shared" si="335"/>
        <v>0</v>
      </c>
      <c r="H187" s="224">
        <f t="shared" si="335"/>
        <v>0</v>
      </c>
      <c r="I187" s="224">
        <f t="shared" si="335"/>
        <v>0</v>
      </c>
      <c r="J187" s="224">
        <f t="shared" si="335"/>
        <v>0</v>
      </c>
      <c r="K187" s="224">
        <f t="shared" si="335"/>
        <v>0</v>
      </c>
      <c r="L187" s="224">
        <f t="shared" si="335"/>
        <v>0</v>
      </c>
      <c r="M187" s="224">
        <f t="shared" si="335"/>
        <v>0</v>
      </c>
      <c r="N187" s="224">
        <f t="shared" si="335"/>
        <v>0</v>
      </c>
      <c r="O187" s="224">
        <f t="shared" si="335"/>
        <v>0</v>
      </c>
      <c r="P187" s="229">
        <f t="shared" si="235"/>
        <v>0</v>
      </c>
      <c r="Q187" s="229">
        <f t="shared" si="236"/>
        <v>0</v>
      </c>
      <c r="R187" s="229">
        <f t="shared" si="237"/>
        <v>0</v>
      </c>
      <c r="S187" s="229">
        <f t="shared" si="238"/>
        <v>0</v>
      </c>
      <c r="T187" s="229">
        <f t="shared" si="239"/>
        <v>0</v>
      </c>
      <c r="U187" s="229">
        <f t="shared" si="240"/>
        <v>0</v>
      </c>
      <c r="V187" s="229">
        <f t="shared" si="241"/>
        <v>0</v>
      </c>
      <c r="W187" s="229">
        <f t="shared" si="242"/>
        <v>0</v>
      </c>
      <c r="X187" s="229">
        <f t="shared" si="243"/>
        <v>0</v>
      </c>
      <c r="Y187" s="229">
        <f t="shared" si="244"/>
        <v>0</v>
      </c>
      <c r="Z187" s="229">
        <f t="shared" si="245"/>
        <v>0</v>
      </c>
      <c r="AA187" s="229">
        <f t="shared" si="246"/>
        <v>0</v>
      </c>
      <c r="AB187" s="229">
        <f t="shared" si="247"/>
        <v>0</v>
      </c>
      <c r="AC187" s="229">
        <f t="shared" si="248"/>
        <v>0</v>
      </c>
      <c r="AD187" s="229">
        <f t="shared" si="249"/>
        <v>0</v>
      </c>
      <c r="AE187" s="229">
        <f t="shared" si="250"/>
        <v>0</v>
      </c>
      <c r="AF187" s="229">
        <f t="shared" si="251"/>
        <v>0</v>
      </c>
      <c r="AG187" s="229">
        <f t="shared" si="252"/>
        <v>0</v>
      </c>
      <c r="AH187" s="229">
        <f t="shared" si="253"/>
        <v>0</v>
      </c>
      <c r="AI187" s="229">
        <f t="shared" si="254"/>
        <v>0</v>
      </c>
      <c r="AJ187" s="229">
        <f t="shared" si="255"/>
        <v>0</v>
      </c>
      <c r="AK187" s="229">
        <f t="shared" si="256"/>
        <v>0</v>
      </c>
      <c r="AL187" s="229">
        <f t="shared" si="257"/>
        <v>0</v>
      </c>
      <c r="AM187" s="229">
        <f t="shared" si="258"/>
        <v>0</v>
      </c>
      <c r="AN187" s="224">
        <f t="shared" ref="AN187:AY187" si="336">IF($T54&gt;0,(((EXP(-(1/(Morning_Peak_Duration__hours*2))*(AN$141-(Morning_Peak_Time__24hr_clock+$C187))^2))+(EXP(-(1/(Afternoon_Peak_Duration__hours*2))*(AN$141-(Afternoon_Peak_Time__24hr_clock+$C187))^2)))*$U54)/TZCalibrationValue,0)</f>
        <v>0</v>
      </c>
      <c r="AO187" s="224">
        <f t="shared" si="336"/>
        <v>0</v>
      </c>
      <c r="AP187" s="224">
        <f t="shared" si="336"/>
        <v>0</v>
      </c>
      <c r="AQ187" s="224">
        <f t="shared" si="336"/>
        <v>0</v>
      </c>
      <c r="AR187" s="224">
        <f t="shared" si="336"/>
        <v>0</v>
      </c>
      <c r="AS187" s="224">
        <f t="shared" si="336"/>
        <v>0</v>
      </c>
      <c r="AT187" s="224">
        <f t="shared" si="336"/>
        <v>0</v>
      </c>
      <c r="AU187" s="224">
        <f t="shared" si="336"/>
        <v>0</v>
      </c>
      <c r="AV187" s="224">
        <f t="shared" si="336"/>
        <v>0</v>
      </c>
      <c r="AW187" s="224">
        <f t="shared" si="336"/>
        <v>0</v>
      </c>
      <c r="AX187" s="224">
        <f t="shared" si="336"/>
        <v>0</v>
      </c>
      <c r="AY187" s="224">
        <f t="shared" si="336"/>
        <v>0</v>
      </c>
      <c r="AZ187" s="218"/>
      <c r="BA187"/>
      <c r="BB187" s="176" t="str">
        <f t="shared" si="260"/>
        <v>Site 46</v>
      </c>
      <c r="BC187" s="224">
        <f t="shared" ref="BC187:BN187" si="337">IF($T54&gt;0,(((EXP(-(1/(Morning_Peak_Duration__hours*2))*(BC$141-(Morning_Peak_Time__24hr_clock+$C187))^2))+(EXP(-(1/(Afternoon_Peak_Duration__hours*2))*(BC$141-(Afternoon_Peak_Time__24hr_clock+$C187))^2)))*$V54)/TZCalibrationValue,0)</f>
        <v>0</v>
      </c>
      <c r="BD187" s="224">
        <f t="shared" si="337"/>
        <v>0</v>
      </c>
      <c r="BE187" s="224">
        <f t="shared" si="337"/>
        <v>0</v>
      </c>
      <c r="BF187" s="224">
        <f t="shared" si="337"/>
        <v>0</v>
      </c>
      <c r="BG187" s="224">
        <f t="shared" si="337"/>
        <v>0</v>
      </c>
      <c r="BH187" s="224">
        <f t="shared" si="337"/>
        <v>0</v>
      </c>
      <c r="BI187" s="224">
        <f t="shared" si="337"/>
        <v>0</v>
      </c>
      <c r="BJ187" s="224">
        <f t="shared" si="337"/>
        <v>0</v>
      </c>
      <c r="BK187" s="224">
        <f t="shared" si="337"/>
        <v>0</v>
      </c>
      <c r="BL187" s="224">
        <f t="shared" si="337"/>
        <v>0</v>
      </c>
      <c r="BM187" s="224">
        <f t="shared" si="337"/>
        <v>0</v>
      </c>
      <c r="BN187" s="224">
        <f t="shared" si="337"/>
        <v>0</v>
      </c>
      <c r="BO187" s="229">
        <f t="shared" si="262"/>
        <v>0</v>
      </c>
      <c r="BP187" s="229">
        <f t="shared" si="263"/>
        <v>0</v>
      </c>
      <c r="BQ187" s="229">
        <f t="shared" si="264"/>
        <v>0</v>
      </c>
      <c r="BR187" s="229">
        <f t="shared" si="265"/>
        <v>0</v>
      </c>
      <c r="BS187" s="229">
        <f t="shared" si="266"/>
        <v>0</v>
      </c>
      <c r="BT187" s="229">
        <f t="shared" si="267"/>
        <v>0</v>
      </c>
      <c r="BU187" s="229">
        <f t="shared" si="268"/>
        <v>0</v>
      </c>
      <c r="BV187" s="229">
        <f t="shared" si="269"/>
        <v>0</v>
      </c>
      <c r="BW187" s="229">
        <f t="shared" si="270"/>
        <v>0</v>
      </c>
      <c r="BX187" s="229">
        <f t="shared" si="271"/>
        <v>0</v>
      </c>
      <c r="BY187" s="229">
        <f t="shared" si="272"/>
        <v>0</v>
      </c>
      <c r="BZ187" s="229">
        <f t="shared" si="273"/>
        <v>0</v>
      </c>
      <c r="CA187" s="229">
        <f t="shared" si="274"/>
        <v>0</v>
      </c>
      <c r="CB187" s="229">
        <f t="shared" si="275"/>
        <v>0</v>
      </c>
      <c r="CC187" s="229">
        <f t="shared" si="276"/>
        <v>0</v>
      </c>
      <c r="CD187" s="229">
        <f t="shared" si="277"/>
        <v>0</v>
      </c>
      <c r="CE187" s="229">
        <f t="shared" si="278"/>
        <v>0</v>
      </c>
      <c r="CF187" s="229">
        <f t="shared" si="279"/>
        <v>0</v>
      </c>
      <c r="CG187" s="229">
        <f t="shared" si="280"/>
        <v>0</v>
      </c>
      <c r="CH187" s="229">
        <f t="shared" si="281"/>
        <v>0</v>
      </c>
      <c r="CI187" s="229">
        <f t="shared" si="282"/>
        <v>0</v>
      </c>
      <c r="CJ187" s="229">
        <f t="shared" si="283"/>
        <v>0</v>
      </c>
      <c r="CK187" s="229">
        <f t="shared" si="284"/>
        <v>0</v>
      </c>
      <c r="CL187" s="229">
        <f t="shared" si="285"/>
        <v>0</v>
      </c>
      <c r="CM187" s="224">
        <f t="shared" ref="CM187:CX187" si="338">IF($T54&gt;0,(((EXP(-(1/(Morning_Peak_Duration__hours*2))*(CM$141-(Morning_Peak_Time__24hr_clock+$C187))^2))+(EXP(-(1/(Afternoon_Peak_Duration__hours*2))*(CM$141-(Afternoon_Peak_Time__24hr_clock+$C187))^2)))*$V54)/TZCalibrationValue,0)</f>
        <v>0</v>
      </c>
      <c r="CN187" s="224">
        <f t="shared" si="338"/>
        <v>0</v>
      </c>
      <c r="CO187" s="224">
        <f t="shared" si="338"/>
        <v>0</v>
      </c>
      <c r="CP187" s="224">
        <f t="shared" si="338"/>
        <v>0</v>
      </c>
      <c r="CQ187" s="224">
        <f t="shared" si="338"/>
        <v>0</v>
      </c>
      <c r="CR187" s="224">
        <f t="shared" si="338"/>
        <v>0</v>
      </c>
      <c r="CS187" s="224">
        <f t="shared" si="338"/>
        <v>0</v>
      </c>
      <c r="CT187" s="224">
        <f t="shared" si="338"/>
        <v>0</v>
      </c>
      <c r="CU187" s="224">
        <f t="shared" si="338"/>
        <v>0</v>
      </c>
      <c r="CV187" s="224">
        <f t="shared" si="338"/>
        <v>0</v>
      </c>
      <c r="CW187" s="224">
        <f t="shared" si="338"/>
        <v>0</v>
      </c>
      <c r="CX187" s="224">
        <f t="shared" si="338"/>
        <v>0</v>
      </c>
      <c r="CY187" s="218"/>
    </row>
    <row r="188" spans="2:103" hidden="1" outlineLevel="1">
      <c r="B188" t="str">
        <f t="shared" si="233"/>
        <v>Site 47</v>
      </c>
      <c r="C188" s="230">
        <f>VLOOKUP(D55,'Scaling Tables'!$B$123:$C$149,2,FALSE)-VLOOKUP($C$4,'Scaling Tables'!$B$123:$C$149,2,FALSE)</f>
        <v>0</v>
      </c>
      <c r="D188" s="224">
        <f t="shared" ref="D188:O188" si="339">IF($T55&gt;0,(((EXP(-(1/(Morning_Peak_Duration__hours*2))*(D$141-(Morning_Peak_Time__24hr_clock+$C188))^2))+(EXP(-(1/(Afternoon_Peak_Duration__hours*2))*(D$141-(Afternoon_Peak_Time__24hr_clock+$C188))^2)))*$U55)/TZCalibrationValue,0)</f>
        <v>0</v>
      </c>
      <c r="E188" s="224">
        <f t="shared" si="339"/>
        <v>0</v>
      </c>
      <c r="F188" s="224">
        <f t="shared" si="339"/>
        <v>0</v>
      </c>
      <c r="G188" s="224">
        <f t="shared" si="339"/>
        <v>0</v>
      </c>
      <c r="H188" s="224">
        <f t="shared" si="339"/>
        <v>0</v>
      </c>
      <c r="I188" s="224">
        <f t="shared" si="339"/>
        <v>0</v>
      </c>
      <c r="J188" s="224">
        <f t="shared" si="339"/>
        <v>0</v>
      </c>
      <c r="K188" s="224">
        <f t="shared" si="339"/>
        <v>0</v>
      </c>
      <c r="L188" s="224">
        <f t="shared" si="339"/>
        <v>0</v>
      </c>
      <c r="M188" s="224">
        <f t="shared" si="339"/>
        <v>0</v>
      </c>
      <c r="N188" s="224">
        <f t="shared" si="339"/>
        <v>0</v>
      </c>
      <c r="O188" s="224">
        <f t="shared" si="339"/>
        <v>0</v>
      </c>
      <c r="P188" s="229">
        <f t="shared" si="235"/>
        <v>0</v>
      </c>
      <c r="Q188" s="229">
        <f t="shared" si="236"/>
        <v>0</v>
      </c>
      <c r="R188" s="229">
        <f t="shared" si="237"/>
        <v>0</v>
      </c>
      <c r="S188" s="229">
        <f t="shared" si="238"/>
        <v>0</v>
      </c>
      <c r="T188" s="229">
        <f t="shared" si="239"/>
        <v>0</v>
      </c>
      <c r="U188" s="229">
        <f t="shared" si="240"/>
        <v>0</v>
      </c>
      <c r="V188" s="229">
        <f t="shared" si="241"/>
        <v>0</v>
      </c>
      <c r="W188" s="229">
        <f t="shared" si="242"/>
        <v>0</v>
      </c>
      <c r="X188" s="229">
        <f t="shared" si="243"/>
        <v>0</v>
      </c>
      <c r="Y188" s="229">
        <f t="shared" si="244"/>
        <v>0</v>
      </c>
      <c r="Z188" s="229">
        <f t="shared" si="245"/>
        <v>0</v>
      </c>
      <c r="AA188" s="229">
        <f t="shared" si="246"/>
        <v>0</v>
      </c>
      <c r="AB188" s="229">
        <f t="shared" si="247"/>
        <v>0</v>
      </c>
      <c r="AC188" s="229">
        <f t="shared" si="248"/>
        <v>0</v>
      </c>
      <c r="AD188" s="229">
        <f t="shared" si="249"/>
        <v>0</v>
      </c>
      <c r="AE188" s="229">
        <f t="shared" si="250"/>
        <v>0</v>
      </c>
      <c r="AF188" s="229">
        <f t="shared" si="251"/>
        <v>0</v>
      </c>
      <c r="AG188" s="229">
        <f t="shared" si="252"/>
        <v>0</v>
      </c>
      <c r="AH188" s="229">
        <f t="shared" si="253"/>
        <v>0</v>
      </c>
      <c r="AI188" s="229">
        <f t="shared" si="254"/>
        <v>0</v>
      </c>
      <c r="AJ188" s="229">
        <f t="shared" si="255"/>
        <v>0</v>
      </c>
      <c r="AK188" s="229">
        <f t="shared" si="256"/>
        <v>0</v>
      </c>
      <c r="AL188" s="229">
        <f t="shared" si="257"/>
        <v>0</v>
      </c>
      <c r="AM188" s="229">
        <f t="shared" si="258"/>
        <v>0</v>
      </c>
      <c r="AN188" s="224">
        <f t="shared" ref="AN188:AY188" si="340">IF($T55&gt;0,(((EXP(-(1/(Morning_Peak_Duration__hours*2))*(AN$141-(Morning_Peak_Time__24hr_clock+$C188))^2))+(EXP(-(1/(Afternoon_Peak_Duration__hours*2))*(AN$141-(Afternoon_Peak_Time__24hr_clock+$C188))^2)))*$U55)/TZCalibrationValue,0)</f>
        <v>0</v>
      </c>
      <c r="AO188" s="224">
        <f t="shared" si="340"/>
        <v>0</v>
      </c>
      <c r="AP188" s="224">
        <f t="shared" si="340"/>
        <v>0</v>
      </c>
      <c r="AQ188" s="224">
        <f t="shared" si="340"/>
        <v>0</v>
      </c>
      <c r="AR188" s="224">
        <f t="shared" si="340"/>
        <v>0</v>
      </c>
      <c r="AS188" s="224">
        <f t="shared" si="340"/>
        <v>0</v>
      </c>
      <c r="AT188" s="224">
        <f t="shared" si="340"/>
        <v>0</v>
      </c>
      <c r="AU188" s="224">
        <f t="shared" si="340"/>
        <v>0</v>
      </c>
      <c r="AV188" s="224">
        <f t="shared" si="340"/>
        <v>0</v>
      </c>
      <c r="AW188" s="224">
        <f t="shared" si="340"/>
        <v>0</v>
      </c>
      <c r="AX188" s="224">
        <f t="shared" si="340"/>
        <v>0</v>
      </c>
      <c r="AY188" s="224">
        <f t="shared" si="340"/>
        <v>0</v>
      </c>
      <c r="AZ188" s="218"/>
      <c r="BA188"/>
      <c r="BB188" s="176" t="str">
        <f t="shared" si="260"/>
        <v>Site 47</v>
      </c>
      <c r="BC188" s="224">
        <f t="shared" ref="BC188:BN188" si="341">IF($T55&gt;0,(((EXP(-(1/(Morning_Peak_Duration__hours*2))*(BC$141-(Morning_Peak_Time__24hr_clock+$C188))^2))+(EXP(-(1/(Afternoon_Peak_Duration__hours*2))*(BC$141-(Afternoon_Peak_Time__24hr_clock+$C188))^2)))*$V55)/TZCalibrationValue,0)</f>
        <v>0</v>
      </c>
      <c r="BD188" s="224">
        <f t="shared" si="341"/>
        <v>0</v>
      </c>
      <c r="BE188" s="224">
        <f t="shared" si="341"/>
        <v>0</v>
      </c>
      <c r="BF188" s="224">
        <f t="shared" si="341"/>
        <v>0</v>
      </c>
      <c r="BG188" s="224">
        <f t="shared" si="341"/>
        <v>0</v>
      </c>
      <c r="BH188" s="224">
        <f t="shared" si="341"/>
        <v>0</v>
      </c>
      <c r="BI188" s="224">
        <f t="shared" si="341"/>
        <v>0</v>
      </c>
      <c r="BJ188" s="224">
        <f t="shared" si="341"/>
        <v>0</v>
      </c>
      <c r="BK188" s="224">
        <f t="shared" si="341"/>
        <v>0</v>
      </c>
      <c r="BL188" s="224">
        <f t="shared" si="341"/>
        <v>0</v>
      </c>
      <c r="BM188" s="224">
        <f t="shared" si="341"/>
        <v>0</v>
      </c>
      <c r="BN188" s="224">
        <f t="shared" si="341"/>
        <v>0</v>
      </c>
      <c r="BO188" s="229">
        <f t="shared" si="262"/>
        <v>0</v>
      </c>
      <c r="BP188" s="229">
        <f t="shared" si="263"/>
        <v>0</v>
      </c>
      <c r="BQ188" s="229">
        <f t="shared" si="264"/>
        <v>0</v>
      </c>
      <c r="BR188" s="229">
        <f t="shared" si="265"/>
        <v>0</v>
      </c>
      <c r="BS188" s="229">
        <f t="shared" si="266"/>
        <v>0</v>
      </c>
      <c r="BT188" s="229">
        <f t="shared" si="267"/>
        <v>0</v>
      </c>
      <c r="BU188" s="229">
        <f t="shared" si="268"/>
        <v>0</v>
      </c>
      <c r="BV188" s="229">
        <f t="shared" si="269"/>
        <v>0</v>
      </c>
      <c r="BW188" s="229">
        <f t="shared" si="270"/>
        <v>0</v>
      </c>
      <c r="BX188" s="229">
        <f t="shared" si="271"/>
        <v>0</v>
      </c>
      <c r="BY188" s="229">
        <f t="shared" si="272"/>
        <v>0</v>
      </c>
      <c r="BZ188" s="229">
        <f t="shared" si="273"/>
        <v>0</v>
      </c>
      <c r="CA188" s="229">
        <f t="shared" si="274"/>
        <v>0</v>
      </c>
      <c r="CB188" s="229">
        <f t="shared" si="275"/>
        <v>0</v>
      </c>
      <c r="CC188" s="229">
        <f t="shared" si="276"/>
        <v>0</v>
      </c>
      <c r="CD188" s="229">
        <f t="shared" si="277"/>
        <v>0</v>
      </c>
      <c r="CE188" s="229">
        <f t="shared" si="278"/>
        <v>0</v>
      </c>
      <c r="CF188" s="229">
        <f t="shared" si="279"/>
        <v>0</v>
      </c>
      <c r="CG188" s="229">
        <f t="shared" si="280"/>
        <v>0</v>
      </c>
      <c r="CH188" s="229">
        <f t="shared" si="281"/>
        <v>0</v>
      </c>
      <c r="CI188" s="229">
        <f t="shared" si="282"/>
        <v>0</v>
      </c>
      <c r="CJ188" s="229">
        <f t="shared" si="283"/>
        <v>0</v>
      </c>
      <c r="CK188" s="229">
        <f t="shared" si="284"/>
        <v>0</v>
      </c>
      <c r="CL188" s="229">
        <f t="shared" si="285"/>
        <v>0</v>
      </c>
      <c r="CM188" s="224">
        <f t="shared" ref="CM188:CX188" si="342">IF($T55&gt;0,(((EXP(-(1/(Morning_Peak_Duration__hours*2))*(CM$141-(Morning_Peak_Time__24hr_clock+$C188))^2))+(EXP(-(1/(Afternoon_Peak_Duration__hours*2))*(CM$141-(Afternoon_Peak_Time__24hr_clock+$C188))^2)))*$V55)/TZCalibrationValue,0)</f>
        <v>0</v>
      </c>
      <c r="CN188" s="224">
        <f t="shared" si="342"/>
        <v>0</v>
      </c>
      <c r="CO188" s="224">
        <f t="shared" si="342"/>
        <v>0</v>
      </c>
      <c r="CP188" s="224">
        <f t="shared" si="342"/>
        <v>0</v>
      </c>
      <c r="CQ188" s="224">
        <f t="shared" si="342"/>
        <v>0</v>
      </c>
      <c r="CR188" s="224">
        <f t="shared" si="342"/>
        <v>0</v>
      </c>
      <c r="CS188" s="224">
        <f t="shared" si="342"/>
        <v>0</v>
      </c>
      <c r="CT188" s="224">
        <f t="shared" si="342"/>
        <v>0</v>
      </c>
      <c r="CU188" s="224">
        <f t="shared" si="342"/>
        <v>0</v>
      </c>
      <c r="CV188" s="224">
        <f t="shared" si="342"/>
        <v>0</v>
      </c>
      <c r="CW188" s="224">
        <f t="shared" si="342"/>
        <v>0</v>
      </c>
      <c r="CX188" s="224">
        <f t="shared" si="342"/>
        <v>0</v>
      </c>
      <c r="CY188" s="218"/>
    </row>
    <row r="189" spans="2:103" hidden="1" outlineLevel="1">
      <c r="B189" t="str">
        <f t="shared" si="233"/>
        <v>Site 48</v>
      </c>
      <c r="C189" s="230">
        <f>VLOOKUP(D56,'Scaling Tables'!$B$123:$C$149,2,FALSE)-VLOOKUP($C$4,'Scaling Tables'!$B$123:$C$149,2,FALSE)</f>
        <v>0</v>
      </c>
      <c r="D189" s="224">
        <f t="shared" ref="D189:O189" si="343">IF($T56&gt;0,(((EXP(-(1/(Morning_Peak_Duration__hours*2))*(D$141-(Morning_Peak_Time__24hr_clock+$C189))^2))+(EXP(-(1/(Afternoon_Peak_Duration__hours*2))*(D$141-(Afternoon_Peak_Time__24hr_clock+$C189))^2)))*$U56)/TZCalibrationValue,0)</f>
        <v>0</v>
      </c>
      <c r="E189" s="224">
        <f t="shared" si="343"/>
        <v>0</v>
      </c>
      <c r="F189" s="224">
        <f t="shared" si="343"/>
        <v>0</v>
      </c>
      <c r="G189" s="224">
        <f t="shared" si="343"/>
        <v>0</v>
      </c>
      <c r="H189" s="224">
        <f t="shared" si="343"/>
        <v>0</v>
      </c>
      <c r="I189" s="224">
        <f t="shared" si="343"/>
        <v>0</v>
      </c>
      <c r="J189" s="224">
        <f t="shared" si="343"/>
        <v>0</v>
      </c>
      <c r="K189" s="224">
        <f t="shared" si="343"/>
        <v>0</v>
      </c>
      <c r="L189" s="224">
        <f t="shared" si="343"/>
        <v>0</v>
      </c>
      <c r="M189" s="224">
        <f t="shared" si="343"/>
        <v>0</v>
      </c>
      <c r="N189" s="224">
        <f t="shared" si="343"/>
        <v>0</v>
      </c>
      <c r="O189" s="224">
        <f t="shared" si="343"/>
        <v>0</v>
      </c>
      <c r="P189" s="229">
        <f t="shared" si="235"/>
        <v>0</v>
      </c>
      <c r="Q189" s="229">
        <f t="shared" si="236"/>
        <v>0</v>
      </c>
      <c r="R189" s="229">
        <f t="shared" si="237"/>
        <v>0</v>
      </c>
      <c r="S189" s="229">
        <f t="shared" si="238"/>
        <v>0</v>
      </c>
      <c r="T189" s="229">
        <f t="shared" si="239"/>
        <v>0</v>
      </c>
      <c r="U189" s="229">
        <f t="shared" si="240"/>
        <v>0</v>
      </c>
      <c r="V189" s="229">
        <f t="shared" si="241"/>
        <v>0</v>
      </c>
      <c r="W189" s="229">
        <f t="shared" si="242"/>
        <v>0</v>
      </c>
      <c r="X189" s="229">
        <f t="shared" si="243"/>
        <v>0</v>
      </c>
      <c r="Y189" s="229">
        <f t="shared" si="244"/>
        <v>0</v>
      </c>
      <c r="Z189" s="229">
        <f t="shared" si="245"/>
        <v>0</v>
      </c>
      <c r="AA189" s="229">
        <f t="shared" si="246"/>
        <v>0</v>
      </c>
      <c r="AB189" s="229">
        <f t="shared" si="247"/>
        <v>0</v>
      </c>
      <c r="AC189" s="229">
        <f t="shared" si="248"/>
        <v>0</v>
      </c>
      <c r="AD189" s="229">
        <f t="shared" si="249"/>
        <v>0</v>
      </c>
      <c r="AE189" s="229">
        <f t="shared" si="250"/>
        <v>0</v>
      </c>
      <c r="AF189" s="229">
        <f t="shared" si="251"/>
        <v>0</v>
      </c>
      <c r="AG189" s="229">
        <f t="shared" si="252"/>
        <v>0</v>
      </c>
      <c r="AH189" s="229">
        <f t="shared" si="253"/>
        <v>0</v>
      </c>
      <c r="AI189" s="229">
        <f t="shared" si="254"/>
        <v>0</v>
      </c>
      <c r="AJ189" s="229">
        <f t="shared" si="255"/>
        <v>0</v>
      </c>
      <c r="AK189" s="229">
        <f t="shared" si="256"/>
        <v>0</v>
      </c>
      <c r="AL189" s="229">
        <f t="shared" si="257"/>
        <v>0</v>
      </c>
      <c r="AM189" s="229">
        <f t="shared" si="258"/>
        <v>0</v>
      </c>
      <c r="AN189" s="224">
        <f t="shared" ref="AN189:AY189" si="344">IF($T56&gt;0,(((EXP(-(1/(Morning_Peak_Duration__hours*2))*(AN$141-(Morning_Peak_Time__24hr_clock+$C189))^2))+(EXP(-(1/(Afternoon_Peak_Duration__hours*2))*(AN$141-(Afternoon_Peak_Time__24hr_clock+$C189))^2)))*$U56)/TZCalibrationValue,0)</f>
        <v>0</v>
      </c>
      <c r="AO189" s="224">
        <f t="shared" si="344"/>
        <v>0</v>
      </c>
      <c r="AP189" s="224">
        <f t="shared" si="344"/>
        <v>0</v>
      </c>
      <c r="AQ189" s="224">
        <f t="shared" si="344"/>
        <v>0</v>
      </c>
      <c r="AR189" s="224">
        <f t="shared" si="344"/>
        <v>0</v>
      </c>
      <c r="AS189" s="224">
        <f t="shared" si="344"/>
        <v>0</v>
      </c>
      <c r="AT189" s="224">
        <f t="shared" si="344"/>
        <v>0</v>
      </c>
      <c r="AU189" s="224">
        <f t="shared" si="344"/>
        <v>0</v>
      </c>
      <c r="AV189" s="224">
        <f t="shared" si="344"/>
        <v>0</v>
      </c>
      <c r="AW189" s="224">
        <f t="shared" si="344"/>
        <v>0</v>
      </c>
      <c r="AX189" s="224">
        <f t="shared" si="344"/>
        <v>0</v>
      </c>
      <c r="AY189" s="224">
        <f t="shared" si="344"/>
        <v>0</v>
      </c>
      <c r="AZ189" s="218"/>
      <c r="BA189"/>
      <c r="BB189" s="176" t="str">
        <f t="shared" si="260"/>
        <v>Site 48</v>
      </c>
      <c r="BC189" s="224">
        <f t="shared" ref="BC189:BN189" si="345">IF($T56&gt;0,(((EXP(-(1/(Morning_Peak_Duration__hours*2))*(BC$141-(Morning_Peak_Time__24hr_clock+$C189))^2))+(EXP(-(1/(Afternoon_Peak_Duration__hours*2))*(BC$141-(Afternoon_Peak_Time__24hr_clock+$C189))^2)))*$V56)/TZCalibrationValue,0)</f>
        <v>0</v>
      </c>
      <c r="BD189" s="224">
        <f t="shared" si="345"/>
        <v>0</v>
      </c>
      <c r="BE189" s="224">
        <f t="shared" si="345"/>
        <v>0</v>
      </c>
      <c r="BF189" s="224">
        <f t="shared" si="345"/>
        <v>0</v>
      </c>
      <c r="BG189" s="224">
        <f t="shared" si="345"/>
        <v>0</v>
      </c>
      <c r="BH189" s="224">
        <f t="shared" si="345"/>
        <v>0</v>
      </c>
      <c r="BI189" s="224">
        <f t="shared" si="345"/>
        <v>0</v>
      </c>
      <c r="BJ189" s="224">
        <f t="shared" si="345"/>
        <v>0</v>
      </c>
      <c r="BK189" s="224">
        <f t="shared" si="345"/>
        <v>0</v>
      </c>
      <c r="BL189" s="224">
        <f t="shared" si="345"/>
        <v>0</v>
      </c>
      <c r="BM189" s="224">
        <f t="shared" si="345"/>
        <v>0</v>
      </c>
      <c r="BN189" s="224">
        <f t="shared" si="345"/>
        <v>0</v>
      </c>
      <c r="BO189" s="229">
        <f t="shared" si="262"/>
        <v>0</v>
      </c>
      <c r="BP189" s="229">
        <f t="shared" si="263"/>
        <v>0</v>
      </c>
      <c r="BQ189" s="229">
        <f t="shared" si="264"/>
        <v>0</v>
      </c>
      <c r="BR189" s="229">
        <f t="shared" si="265"/>
        <v>0</v>
      </c>
      <c r="BS189" s="229">
        <f t="shared" si="266"/>
        <v>0</v>
      </c>
      <c r="BT189" s="229">
        <f t="shared" si="267"/>
        <v>0</v>
      </c>
      <c r="BU189" s="229">
        <f t="shared" si="268"/>
        <v>0</v>
      </c>
      <c r="BV189" s="229">
        <f t="shared" si="269"/>
        <v>0</v>
      </c>
      <c r="BW189" s="229">
        <f t="shared" si="270"/>
        <v>0</v>
      </c>
      <c r="BX189" s="229">
        <f t="shared" si="271"/>
        <v>0</v>
      </c>
      <c r="BY189" s="229">
        <f t="shared" si="272"/>
        <v>0</v>
      </c>
      <c r="BZ189" s="229">
        <f t="shared" si="273"/>
        <v>0</v>
      </c>
      <c r="CA189" s="229">
        <f t="shared" si="274"/>
        <v>0</v>
      </c>
      <c r="CB189" s="229">
        <f t="shared" si="275"/>
        <v>0</v>
      </c>
      <c r="CC189" s="229">
        <f t="shared" si="276"/>
        <v>0</v>
      </c>
      <c r="CD189" s="229">
        <f t="shared" si="277"/>
        <v>0</v>
      </c>
      <c r="CE189" s="229">
        <f t="shared" si="278"/>
        <v>0</v>
      </c>
      <c r="CF189" s="229">
        <f t="shared" si="279"/>
        <v>0</v>
      </c>
      <c r="CG189" s="229">
        <f t="shared" si="280"/>
        <v>0</v>
      </c>
      <c r="CH189" s="229">
        <f t="shared" si="281"/>
        <v>0</v>
      </c>
      <c r="CI189" s="229">
        <f t="shared" si="282"/>
        <v>0</v>
      </c>
      <c r="CJ189" s="229">
        <f t="shared" si="283"/>
        <v>0</v>
      </c>
      <c r="CK189" s="229">
        <f t="shared" si="284"/>
        <v>0</v>
      </c>
      <c r="CL189" s="229">
        <f t="shared" si="285"/>
        <v>0</v>
      </c>
      <c r="CM189" s="224">
        <f t="shared" ref="CM189:CX189" si="346">IF($T56&gt;0,(((EXP(-(1/(Morning_Peak_Duration__hours*2))*(CM$141-(Morning_Peak_Time__24hr_clock+$C189))^2))+(EXP(-(1/(Afternoon_Peak_Duration__hours*2))*(CM$141-(Afternoon_Peak_Time__24hr_clock+$C189))^2)))*$V56)/TZCalibrationValue,0)</f>
        <v>0</v>
      </c>
      <c r="CN189" s="224">
        <f t="shared" si="346"/>
        <v>0</v>
      </c>
      <c r="CO189" s="224">
        <f t="shared" si="346"/>
        <v>0</v>
      </c>
      <c r="CP189" s="224">
        <f t="shared" si="346"/>
        <v>0</v>
      </c>
      <c r="CQ189" s="224">
        <f t="shared" si="346"/>
        <v>0</v>
      </c>
      <c r="CR189" s="224">
        <f t="shared" si="346"/>
        <v>0</v>
      </c>
      <c r="CS189" s="224">
        <f t="shared" si="346"/>
        <v>0</v>
      </c>
      <c r="CT189" s="224">
        <f t="shared" si="346"/>
        <v>0</v>
      </c>
      <c r="CU189" s="224">
        <f t="shared" si="346"/>
        <v>0</v>
      </c>
      <c r="CV189" s="224">
        <f t="shared" si="346"/>
        <v>0</v>
      </c>
      <c r="CW189" s="224">
        <f t="shared" si="346"/>
        <v>0</v>
      </c>
      <c r="CX189" s="224">
        <f t="shared" si="346"/>
        <v>0</v>
      </c>
      <c r="CY189" s="218"/>
    </row>
    <row r="190" spans="2:103" hidden="1" outlineLevel="1">
      <c r="B190" t="str">
        <f t="shared" si="233"/>
        <v>Site 49</v>
      </c>
      <c r="C190" s="230">
        <f>VLOOKUP(D57,'Scaling Tables'!$B$123:$C$149,2,FALSE)-VLOOKUP($C$4,'Scaling Tables'!$B$123:$C$149,2,FALSE)</f>
        <v>0</v>
      </c>
      <c r="D190" s="224">
        <f t="shared" ref="D190:O190" si="347">IF($T57&gt;0,(((EXP(-(1/(Morning_Peak_Duration__hours*2))*(D$141-(Morning_Peak_Time__24hr_clock+$C190))^2))+(EXP(-(1/(Afternoon_Peak_Duration__hours*2))*(D$141-(Afternoon_Peak_Time__24hr_clock+$C190))^2)))*$U57)/TZCalibrationValue,0)</f>
        <v>0</v>
      </c>
      <c r="E190" s="224">
        <f t="shared" si="347"/>
        <v>0</v>
      </c>
      <c r="F190" s="224">
        <f t="shared" si="347"/>
        <v>0</v>
      </c>
      <c r="G190" s="224">
        <f t="shared" si="347"/>
        <v>0</v>
      </c>
      <c r="H190" s="224">
        <f t="shared" si="347"/>
        <v>0</v>
      </c>
      <c r="I190" s="224">
        <f t="shared" si="347"/>
        <v>0</v>
      </c>
      <c r="J190" s="224">
        <f t="shared" si="347"/>
        <v>0</v>
      </c>
      <c r="K190" s="224">
        <f t="shared" si="347"/>
        <v>0</v>
      </c>
      <c r="L190" s="224">
        <f t="shared" si="347"/>
        <v>0</v>
      </c>
      <c r="M190" s="224">
        <f t="shared" si="347"/>
        <v>0</v>
      </c>
      <c r="N190" s="224">
        <f t="shared" si="347"/>
        <v>0</v>
      </c>
      <c r="O190" s="224">
        <f t="shared" si="347"/>
        <v>0</v>
      </c>
      <c r="P190" s="229">
        <f t="shared" si="235"/>
        <v>0</v>
      </c>
      <c r="Q190" s="229">
        <f t="shared" si="236"/>
        <v>0</v>
      </c>
      <c r="R190" s="229">
        <f t="shared" si="237"/>
        <v>0</v>
      </c>
      <c r="S190" s="229">
        <f t="shared" si="238"/>
        <v>0</v>
      </c>
      <c r="T190" s="229">
        <f t="shared" si="239"/>
        <v>0</v>
      </c>
      <c r="U190" s="229">
        <f t="shared" si="240"/>
        <v>0</v>
      </c>
      <c r="V190" s="229">
        <f t="shared" si="241"/>
        <v>0</v>
      </c>
      <c r="W190" s="229">
        <f t="shared" si="242"/>
        <v>0</v>
      </c>
      <c r="X190" s="229">
        <f t="shared" si="243"/>
        <v>0</v>
      </c>
      <c r="Y190" s="229">
        <f t="shared" si="244"/>
        <v>0</v>
      </c>
      <c r="Z190" s="229">
        <f t="shared" si="245"/>
        <v>0</v>
      </c>
      <c r="AA190" s="229">
        <f t="shared" si="246"/>
        <v>0</v>
      </c>
      <c r="AB190" s="229">
        <f t="shared" si="247"/>
        <v>0</v>
      </c>
      <c r="AC190" s="229">
        <f t="shared" si="248"/>
        <v>0</v>
      </c>
      <c r="AD190" s="229">
        <f t="shared" si="249"/>
        <v>0</v>
      </c>
      <c r="AE190" s="229">
        <f t="shared" si="250"/>
        <v>0</v>
      </c>
      <c r="AF190" s="229">
        <f t="shared" si="251"/>
        <v>0</v>
      </c>
      <c r="AG190" s="229">
        <f t="shared" si="252"/>
        <v>0</v>
      </c>
      <c r="AH190" s="229">
        <f t="shared" si="253"/>
        <v>0</v>
      </c>
      <c r="AI190" s="229">
        <f t="shared" si="254"/>
        <v>0</v>
      </c>
      <c r="AJ190" s="229">
        <f t="shared" si="255"/>
        <v>0</v>
      </c>
      <c r="AK190" s="229">
        <f t="shared" si="256"/>
        <v>0</v>
      </c>
      <c r="AL190" s="229">
        <f t="shared" si="257"/>
        <v>0</v>
      </c>
      <c r="AM190" s="229">
        <f t="shared" si="258"/>
        <v>0</v>
      </c>
      <c r="AN190" s="224">
        <f t="shared" ref="AN190:AY190" si="348">IF($T57&gt;0,(((EXP(-(1/(Morning_Peak_Duration__hours*2))*(AN$141-(Morning_Peak_Time__24hr_clock+$C190))^2))+(EXP(-(1/(Afternoon_Peak_Duration__hours*2))*(AN$141-(Afternoon_Peak_Time__24hr_clock+$C190))^2)))*$U57)/TZCalibrationValue,0)</f>
        <v>0</v>
      </c>
      <c r="AO190" s="224">
        <f t="shared" si="348"/>
        <v>0</v>
      </c>
      <c r="AP190" s="224">
        <f t="shared" si="348"/>
        <v>0</v>
      </c>
      <c r="AQ190" s="224">
        <f t="shared" si="348"/>
        <v>0</v>
      </c>
      <c r="AR190" s="224">
        <f t="shared" si="348"/>
        <v>0</v>
      </c>
      <c r="AS190" s="224">
        <f t="shared" si="348"/>
        <v>0</v>
      </c>
      <c r="AT190" s="224">
        <f t="shared" si="348"/>
        <v>0</v>
      </c>
      <c r="AU190" s="224">
        <f t="shared" si="348"/>
        <v>0</v>
      </c>
      <c r="AV190" s="224">
        <f t="shared" si="348"/>
        <v>0</v>
      </c>
      <c r="AW190" s="224">
        <f t="shared" si="348"/>
        <v>0</v>
      </c>
      <c r="AX190" s="224">
        <f t="shared" si="348"/>
        <v>0</v>
      </c>
      <c r="AY190" s="224">
        <f t="shared" si="348"/>
        <v>0</v>
      </c>
      <c r="AZ190" s="218"/>
      <c r="BA190"/>
      <c r="BB190" s="176" t="str">
        <f t="shared" si="260"/>
        <v>Site 49</v>
      </c>
      <c r="BC190" s="224">
        <f t="shared" ref="BC190:BN190" si="349">IF($T57&gt;0,(((EXP(-(1/(Morning_Peak_Duration__hours*2))*(BC$141-(Morning_Peak_Time__24hr_clock+$C190))^2))+(EXP(-(1/(Afternoon_Peak_Duration__hours*2))*(BC$141-(Afternoon_Peak_Time__24hr_clock+$C190))^2)))*$V57)/TZCalibrationValue,0)</f>
        <v>0</v>
      </c>
      <c r="BD190" s="224">
        <f t="shared" si="349"/>
        <v>0</v>
      </c>
      <c r="BE190" s="224">
        <f t="shared" si="349"/>
        <v>0</v>
      </c>
      <c r="BF190" s="224">
        <f t="shared" si="349"/>
        <v>0</v>
      </c>
      <c r="BG190" s="224">
        <f t="shared" si="349"/>
        <v>0</v>
      </c>
      <c r="BH190" s="224">
        <f t="shared" si="349"/>
        <v>0</v>
      </c>
      <c r="BI190" s="224">
        <f t="shared" si="349"/>
        <v>0</v>
      </c>
      <c r="BJ190" s="224">
        <f t="shared" si="349"/>
        <v>0</v>
      </c>
      <c r="BK190" s="224">
        <f t="shared" si="349"/>
        <v>0</v>
      </c>
      <c r="BL190" s="224">
        <f t="shared" si="349"/>
        <v>0</v>
      </c>
      <c r="BM190" s="224">
        <f t="shared" si="349"/>
        <v>0</v>
      </c>
      <c r="BN190" s="224">
        <f t="shared" si="349"/>
        <v>0</v>
      </c>
      <c r="BO190" s="229">
        <f t="shared" si="262"/>
        <v>0</v>
      </c>
      <c r="BP190" s="229">
        <f t="shared" si="263"/>
        <v>0</v>
      </c>
      <c r="BQ190" s="229">
        <f t="shared" si="264"/>
        <v>0</v>
      </c>
      <c r="BR190" s="229">
        <f t="shared" si="265"/>
        <v>0</v>
      </c>
      <c r="BS190" s="229">
        <f t="shared" si="266"/>
        <v>0</v>
      </c>
      <c r="BT190" s="229">
        <f t="shared" si="267"/>
        <v>0</v>
      </c>
      <c r="BU190" s="229">
        <f t="shared" si="268"/>
        <v>0</v>
      </c>
      <c r="BV190" s="229">
        <f t="shared" si="269"/>
        <v>0</v>
      </c>
      <c r="BW190" s="229">
        <f t="shared" si="270"/>
        <v>0</v>
      </c>
      <c r="BX190" s="229">
        <f t="shared" si="271"/>
        <v>0</v>
      </c>
      <c r="BY190" s="229">
        <f t="shared" si="272"/>
        <v>0</v>
      </c>
      <c r="BZ190" s="229">
        <f t="shared" si="273"/>
        <v>0</v>
      </c>
      <c r="CA190" s="229">
        <f t="shared" si="274"/>
        <v>0</v>
      </c>
      <c r="CB190" s="229">
        <f t="shared" si="275"/>
        <v>0</v>
      </c>
      <c r="CC190" s="229">
        <f t="shared" si="276"/>
        <v>0</v>
      </c>
      <c r="CD190" s="229">
        <f t="shared" si="277"/>
        <v>0</v>
      </c>
      <c r="CE190" s="229">
        <f t="shared" si="278"/>
        <v>0</v>
      </c>
      <c r="CF190" s="229">
        <f t="shared" si="279"/>
        <v>0</v>
      </c>
      <c r="CG190" s="229">
        <f t="shared" si="280"/>
        <v>0</v>
      </c>
      <c r="CH190" s="229">
        <f t="shared" si="281"/>
        <v>0</v>
      </c>
      <c r="CI190" s="229">
        <f t="shared" si="282"/>
        <v>0</v>
      </c>
      <c r="CJ190" s="229">
        <f t="shared" si="283"/>
        <v>0</v>
      </c>
      <c r="CK190" s="229">
        <f t="shared" si="284"/>
        <v>0</v>
      </c>
      <c r="CL190" s="229">
        <f t="shared" si="285"/>
        <v>0</v>
      </c>
      <c r="CM190" s="224">
        <f t="shared" ref="CM190:CX190" si="350">IF($T57&gt;0,(((EXP(-(1/(Morning_Peak_Duration__hours*2))*(CM$141-(Morning_Peak_Time__24hr_clock+$C190))^2))+(EXP(-(1/(Afternoon_Peak_Duration__hours*2))*(CM$141-(Afternoon_Peak_Time__24hr_clock+$C190))^2)))*$V57)/TZCalibrationValue,0)</f>
        <v>0</v>
      </c>
      <c r="CN190" s="224">
        <f t="shared" si="350"/>
        <v>0</v>
      </c>
      <c r="CO190" s="224">
        <f t="shared" si="350"/>
        <v>0</v>
      </c>
      <c r="CP190" s="224">
        <f t="shared" si="350"/>
        <v>0</v>
      </c>
      <c r="CQ190" s="224">
        <f t="shared" si="350"/>
        <v>0</v>
      </c>
      <c r="CR190" s="224">
        <f t="shared" si="350"/>
        <v>0</v>
      </c>
      <c r="CS190" s="224">
        <f t="shared" si="350"/>
        <v>0</v>
      </c>
      <c r="CT190" s="224">
        <f t="shared" si="350"/>
        <v>0</v>
      </c>
      <c r="CU190" s="224">
        <f t="shared" si="350"/>
        <v>0</v>
      </c>
      <c r="CV190" s="224">
        <f t="shared" si="350"/>
        <v>0</v>
      </c>
      <c r="CW190" s="224">
        <f t="shared" si="350"/>
        <v>0</v>
      </c>
      <c r="CX190" s="224">
        <f t="shared" si="350"/>
        <v>0</v>
      </c>
      <c r="CY190" s="218"/>
    </row>
    <row r="191" spans="2:103" hidden="1" outlineLevel="1">
      <c r="B191" t="str">
        <f t="shared" si="233"/>
        <v>Site 50</v>
      </c>
      <c r="C191" s="230">
        <f>VLOOKUP(D58,'Scaling Tables'!$B$123:$C$149,2,FALSE)-VLOOKUP($C$4,'Scaling Tables'!$B$123:$C$149,2,FALSE)</f>
        <v>0</v>
      </c>
      <c r="D191" s="224">
        <f t="shared" ref="D191:O191" si="351">IF($T58&gt;0,(((EXP(-(1/(Morning_Peak_Duration__hours*2))*(D$141-(Morning_Peak_Time__24hr_clock+$C191))^2))+(EXP(-(1/(Afternoon_Peak_Duration__hours*2))*(D$141-(Afternoon_Peak_Time__24hr_clock+$C191))^2)))*$U58)/TZCalibrationValue,0)</f>
        <v>0</v>
      </c>
      <c r="E191" s="224">
        <f t="shared" si="351"/>
        <v>0</v>
      </c>
      <c r="F191" s="224">
        <f t="shared" si="351"/>
        <v>0</v>
      </c>
      <c r="G191" s="224">
        <f t="shared" si="351"/>
        <v>0</v>
      </c>
      <c r="H191" s="224">
        <f t="shared" si="351"/>
        <v>0</v>
      </c>
      <c r="I191" s="224">
        <f t="shared" si="351"/>
        <v>0</v>
      </c>
      <c r="J191" s="224">
        <f t="shared" si="351"/>
        <v>0</v>
      </c>
      <c r="K191" s="224">
        <f t="shared" si="351"/>
        <v>0</v>
      </c>
      <c r="L191" s="224">
        <f t="shared" si="351"/>
        <v>0</v>
      </c>
      <c r="M191" s="224">
        <f t="shared" si="351"/>
        <v>0</v>
      </c>
      <c r="N191" s="224">
        <f t="shared" si="351"/>
        <v>0</v>
      </c>
      <c r="O191" s="224">
        <f t="shared" si="351"/>
        <v>0</v>
      </c>
      <c r="P191" s="229">
        <f t="shared" si="235"/>
        <v>0</v>
      </c>
      <c r="Q191" s="229">
        <f t="shared" si="236"/>
        <v>0</v>
      </c>
      <c r="R191" s="229">
        <f t="shared" si="237"/>
        <v>0</v>
      </c>
      <c r="S191" s="229">
        <f t="shared" si="238"/>
        <v>0</v>
      </c>
      <c r="T191" s="229">
        <f t="shared" si="239"/>
        <v>0</v>
      </c>
      <c r="U191" s="229">
        <f t="shared" si="240"/>
        <v>0</v>
      </c>
      <c r="V191" s="229">
        <f t="shared" si="241"/>
        <v>0</v>
      </c>
      <c r="W191" s="229">
        <f t="shared" si="242"/>
        <v>0</v>
      </c>
      <c r="X191" s="229">
        <f t="shared" si="243"/>
        <v>0</v>
      </c>
      <c r="Y191" s="229">
        <f t="shared" si="244"/>
        <v>0</v>
      </c>
      <c r="Z191" s="229">
        <f t="shared" si="245"/>
        <v>0</v>
      </c>
      <c r="AA191" s="229">
        <f t="shared" si="246"/>
        <v>0</v>
      </c>
      <c r="AB191" s="229">
        <f t="shared" si="247"/>
        <v>0</v>
      </c>
      <c r="AC191" s="229">
        <f t="shared" si="248"/>
        <v>0</v>
      </c>
      <c r="AD191" s="229">
        <f t="shared" si="249"/>
        <v>0</v>
      </c>
      <c r="AE191" s="229">
        <f t="shared" si="250"/>
        <v>0</v>
      </c>
      <c r="AF191" s="229">
        <f t="shared" si="251"/>
        <v>0</v>
      </c>
      <c r="AG191" s="229">
        <f t="shared" si="252"/>
        <v>0</v>
      </c>
      <c r="AH191" s="229">
        <f t="shared" si="253"/>
        <v>0</v>
      </c>
      <c r="AI191" s="229">
        <f t="shared" si="254"/>
        <v>0</v>
      </c>
      <c r="AJ191" s="229">
        <f t="shared" si="255"/>
        <v>0</v>
      </c>
      <c r="AK191" s="229">
        <f t="shared" si="256"/>
        <v>0</v>
      </c>
      <c r="AL191" s="229">
        <f t="shared" si="257"/>
        <v>0</v>
      </c>
      <c r="AM191" s="229">
        <f t="shared" si="258"/>
        <v>0</v>
      </c>
      <c r="AN191" s="224">
        <f t="shared" ref="AN191:AY191" si="352">IF($T58&gt;0,(((EXP(-(1/(Morning_Peak_Duration__hours*2))*(AN$141-(Morning_Peak_Time__24hr_clock+$C191))^2))+(EXP(-(1/(Afternoon_Peak_Duration__hours*2))*(AN$141-(Afternoon_Peak_Time__24hr_clock+$C191))^2)))*$U58)/TZCalibrationValue,0)</f>
        <v>0</v>
      </c>
      <c r="AO191" s="224">
        <f t="shared" si="352"/>
        <v>0</v>
      </c>
      <c r="AP191" s="224">
        <f t="shared" si="352"/>
        <v>0</v>
      </c>
      <c r="AQ191" s="224">
        <f t="shared" si="352"/>
        <v>0</v>
      </c>
      <c r="AR191" s="224">
        <f t="shared" si="352"/>
        <v>0</v>
      </c>
      <c r="AS191" s="224">
        <f t="shared" si="352"/>
        <v>0</v>
      </c>
      <c r="AT191" s="224">
        <f t="shared" si="352"/>
        <v>0</v>
      </c>
      <c r="AU191" s="224">
        <f t="shared" si="352"/>
        <v>0</v>
      </c>
      <c r="AV191" s="224">
        <f t="shared" si="352"/>
        <v>0</v>
      </c>
      <c r="AW191" s="224">
        <f t="shared" si="352"/>
        <v>0</v>
      </c>
      <c r="AX191" s="224">
        <f t="shared" si="352"/>
        <v>0</v>
      </c>
      <c r="AY191" s="224">
        <f t="shared" si="352"/>
        <v>0</v>
      </c>
      <c r="AZ191" s="218"/>
      <c r="BA191"/>
      <c r="BB191" s="176" t="str">
        <f t="shared" si="260"/>
        <v>Site 50</v>
      </c>
      <c r="BC191" s="224">
        <f t="shared" ref="BC191:BN191" si="353">IF($T58&gt;0,(((EXP(-(1/(Morning_Peak_Duration__hours*2))*(BC$141-(Morning_Peak_Time__24hr_clock+$C191))^2))+(EXP(-(1/(Afternoon_Peak_Duration__hours*2))*(BC$141-(Afternoon_Peak_Time__24hr_clock+$C191))^2)))*$V58)/TZCalibrationValue,0)</f>
        <v>0</v>
      </c>
      <c r="BD191" s="224">
        <f t="shared" si="353"/>
        <v>0</v>
      </c>
      <c r="BE191" s="224">
        <f t="shared" si="353"/>
        <v>0</v>
      </c>
      <c r="BF191" s="224">
        <f t="shared" si="353"/>
        <v>0</v>
      </c>
      <c r="BG191" s="224">
        <f t="shared" si="353"/>
        <v>0</v>
      </c>
      <c r="BH191" s="224">
        <f t="shared" si="353"/>
        <v>0</v>
      </c>
      <c r="BI191" s="224">
        <f t="shared" si="353"/>
        <v>0</v>
      </c>
      <c r="BJ191" s="224">
        <f t="shared" si="353"/>
        <v>0</v>
      </c>
      <c r="BK191" s="224">
        <f t="shared" si="353"/>
        <v>0</v>
      </c>
      <c r="BL191" s="224">
        <f t="shared" si="353"/>
        <v>0</v>
      </c>
      <c r="BM191" s="224">
        <f t="shared" si="353"/>
        <v>0</v>
      </c>
      <c r="BN191" s="224">
        <f t="shared" si="353"/>
        <v>0</v>
      </c>
      <c r="BO191" s="229">
        <f t="shared" si="262"/>
        <v>0</v>
      </c>
      <c r="BP191" s="229">
        <f t="shared" si="263"/>
        <v>0</v>
      </c>
      <c r="BQ191" s="229">
        <f t="shared" si="264"/>
        <v>0</v>
      </c>
      <c r="BR191" s="229">
        <f t="shared" si="265"/>
        <v>0</v>
      </c>
      <c r="BS191" s="229">
        <f t="shared" si="266"/>
        <v>0</v>
      </c>
      <c r="BT191" s="229">
        <f t="shared" si="267"/>
        <v>0</v>
      </c>
      <c r="BU191" s="229">
        <f t="shared" si="268"/>
        <v>0</v>
      </c>
      <c r="BV191" s="229">
        <f t="shared" si="269"/>
        <v>0</v>
      </c>
      <c r="BW191" s="229">
        <f t="shared" si="270"/>
        <v>0</v>
      </c>
      <c r="BX191" s="229">
        <f t="shared" si="271"/>
        <v>0</v>
      </c>
      <c r="BY191" s="229">
        <f t="shared" si="272"/>
        <v>0</v>
      </c>
      <c r="BZ191" s="229">
        <f t="shared" si="273"/>
        <v>0</v>
      </c>
      <c r="CA191" s="229">
        <f t="shared" si="274"/>
        <v>0</v>
      </c>
      <c r="CB191" s="229">
        <f t="shared" si="275"/>
        <v>0</v>
      </c>
      <c r="CC191" s="229">
        <f t="shared" si="276"/>
        <v>0</v>
      </c>
      <c r="CD191" s="229">
        <f t="shared" si="277"/>
        <v>0</v>
      </c>
      <c r="CE191" s="229">
        <f t="shared" si="278"/>
        <v>0</v>
      </c>
      <c r="CF191" s="229">
        <f t="shared" si="279"/>
        <v>0</v>
      </c>
      <c r="CG191" s="229">
        <f t="shared" si="280"/>
        <v>0</v>
      </c>
      <c r="CH191" s="229">
        <f t="shared" si="281"/>
        <v>0</v>
      </c>
      <c r="CI191" s="229">
        <f t="shared" si="282"/>
        <v>0</v>
      </c>
      <c r="CJ191" s="229">
        <f t="shared" si="283"/>
        <v>0</v>
      </c>
      <c r="CK191" s="229">
        <f t="shared" si="284"/>
        <v>0</v>
      </c>
      <c r="CL191" s="229">
        <f t="shared" si="285"/>
        <v>0</v>
      </c>
      <c r="CM191" s="224">
        <f t="shared" ref="CM191:CX191" si="354">IF($T58&gt;0,(((EXP(-(1/(Morning_Peak_Duration__hours*2))*(CM$141-(Morning_Peak_Time__24hr_clock+$C191))^2))+(EXP(-(1/(Afternoon_Peak_Duration__hours*2))*(CM$141-(Afternoon_Peak_Time__24hr_clock+$C191))^2)))*$V58)/TZCalibrationValue,0)</f>
        <v>0</v>
      </c>
      <c r="CN191" s="224">
        <f t="shared" si="354"/>
        <v>0</v>
      </c>
      <c r="CO191" s="224">
        <f t="shared" si="354"/>
        <v>0</v>
      </c>
      <c r="CP191" s="224">
        <f t="shared" si="354"/>
        <v>0</v>
      </c>
      <c r="CQ191" s="224">
        <f t="shared" si="354"/>
        <v>0</v>
      </c>
      <c r="CR191" s="224">
        <f t="shared" si="354"/>
        <v>0</v>
      </c>
      <c r="CS191" s="224">
        <f t="shared" si="354"/>
        <v>0</v>
      </c>
      <c r="CT191" s="224">
        <f t="shared" si="354"/>
        <v>0</v>
      </c>
      <c r="CU191" s="224">
        <f t="shared" si="354"/>
        <v>0</v>
      </c>
      <c r="CV191" s="224">
        <f t="shared" si="354"/>
        <v>0</v>
      </c>
      <c r="CW191" s="224">
        <f t="shared" si="354"/>
        <v>0</v>
      </c>
      <c r="CX191" s="224">
        <f t="shared" si="354"/>
        <v>0</v>
      </c>
      <c r="CY191" s="218"/>
    </row>
    <row r="192" spans="2:103" hidden="1" outlineLevel="1">
      <c r="B192" t="str">
        <f t="shared" si="233"/>
        <v>Site 51</v>
      </c>
      <c r="C192" s="230">
        <f>VLOOKUP(D59,'Scaling Tables'!$B$123:$C$149,2,FALSE)-VLOOKUP($C$4,'Scaling Tables'!$B$123:$C$149,2,FALSE)</f>
        <v>0</v>
      </c>
      <c r="D192" s="224">
        <f t="shared" ref="D192:O192" si="355">IF($T59&gt;0,(((EXP(-(1/(Morning_Peak_Duration__hours*2))*(D$141-(Morning_Peak_Time__24hr_clock+$C192))^2))+(EXP(-(1/(Afternoon_Peak_Duration__hours*2))*(D$141-(Afternoon_Peak_Time__24hr_clock+$C192))^2)))*$U59)/TZCalibrationValue,0)</f>
        <v>0</v>
      </c>
      <c r="E192" s="224">
        <f t="shared" si="355"/>
        <v>0</v>
      </c>
      <c r="F192" s="224">
        <f t="shared" si="355"/>
        <v>0</v>
      </c>
      <c r="G192" s="224">
        <f t="shared" si="355"/>
        <v>0</v>
      </c>
      <c r="H192" s="224">
        <f t="shared" si="355"/>
        <v>0</v>
      </c>
      <c r="I192" s="224">
        <f t="shared" si="355"/>
        <v>0</v>
      </c>
      <c r="J192" s="224">
        <f t="shared" si="355"/>
        <v>0</v>
      </c>
      <c r="K192" s="224">
        <f t="shared" si="355"/>
        <v>0</v>
      </c>
      <c r="L192" s="224">
        <f t="shared" si="355"/>
        <v>0</v>
      </c>
      <c r="M192" s="224">
        <f t="shared" si="355"/>
        <v>0</v>
      </c>
      <c r="N192" s="224">
        <f t="shared" si="355"/>
        <v>0</v>
      </c>
      <c r="O192" s="224">
        <f t="shared" si="355"/>
        <v>0</v>
      </c>
      <c r="P192" s="229">
        <f t="shared" si="235"/>
        <v>0</v>
      </c>
      <c r="Q192" s="229">
        <f t="shared" si="236"/>
        <v>0</v>
      </c>
      <c r="R192" s="229">
        <f t="shared" si="237"/>
        <v>0</v>
      </c>
      <c r="S192" s="229">
        <f t="shared" si="238"/>
        <v>0</v>
      </c>
      <c r="T192" s="229">
        <f t="shared" si="239"/>
        <v>0</v>
      </c>
      <c r="U192" s="229">
        <f t="shared" si="240"/>
        <v>0</v>
      </c>
      <c r="V192" s="229">
        <f t="shared" si="241"/>
        <v>0</v>
      </c>
      <c r="W192" s="229">
        <f t="shared" si="242"/>
        <v>0</v>
      </c>
      <c r="X192" s="229">
        <f t="shared" si="243"/>
        <v>0</v>
      </c>
      <c r="Y192" s="229">
        <f t="shared" si="244"/>
        <v>0</v>
      </c>
      <c r="Z192" s="229">
        <f t="shared" si="245"/>
        <v>0</v>
      </c>
      <c r="AA192" s="229">
        <f t="shared" si="246"/>
        <v>0</v>
      </c>
      <c r="AB192" s="229">
        <f t="shared" si="247"/>
        <v>0</v>
      </c>
      <c r="AC192" s="229">
        <f t="shared" si="248"/>
        <v>0</v>
      </c>
      <c r="AD192" s="229">
        <f t="shared" si="249"/>
        <v>0</v>
      </c>
      <c r="AE192" s="229">
        <f t="shared" si="250"/>
        <v>0</v>
      </c>
      <c r="AF192" s="229">
        <f t="shared" si="251"/>
        <v>0</v>
      </c>
      <c r="AG192" s="229">
        <f t="shared" si="252"/>
        <v>0</v>
      </c>
      <c r="AH192" s="229">
        <f t="shared" si="253"/>
        <v>0</v>
      </c>
      <c r="AI192" s="229">
        <f t="shared" si="254"/>
        <v>0</v>
      </c>
      <c r="AJ192" s="229">
        <f t="shared" si="255"/>
        <v>0</v>
      </c>
      <c r="AK192" s="229">
        <f t="shared" si="256"/>
        <v>0</v>
      </c>
      <c r="AL192" s="229">
        <f t="shared" si="257"/>
        <v>0</v>
      </c>
      <c r="AM192" s="229">
        <f t="shared" si="258"/>
        <v>0</v>
      </c>
      <c r="AN192" s="224">
        <f t="shared" ref="AN192:AY192" si="356">IF($T59&gt;0,(((EXP(-(1/(Morning_Peak_Duration__hours*2))*(AN$141-(Morning_Peak_Time__24hr_clock+$C192))^2))+(EXP(-(1/(Afternoon_Peak_Duration__hours*2))*(AN$141-(Afternoon_Peak_Time__24hr_clock+$C192))^2)))*$U59)/TZCalibrationValue,0)</f>
        <v>0</v>
      </c>
      <c r="AO192" s="224">
        <f t="shared" si="356"/>
        <v>0</v>
      </c>
      <c r="AP192" s="224">
        <f t="shared" si="356"/>
        <v>0</v>
      </c>
      <c r="AQ192" s="224">
        <f t="shared" si="356"/>
        <v>0</v>
      </c>
      <c r="AR192" s="224">
        <f t="shared" si="356"/>
        <v>0</v>
      </c>
      <c r="AS192" s="224">
        <f t="shared" si="356"/>
        <v>0</v>
      </c>
      <c r="AT192" s="224">
        <f t="shared" si="356"/>
        <v>0</v>
      </c>
      <c r="AU192" s="224">
        <f t="shared" si="356"/>
        <v>0</v>
      </c>
      <c r="AV192" s="224">
        <f t="shared" si="356"/>
        <v>0</v>
      </c>
      <c r="AW192" s="224">
        <f t="shared" si="356"/>
        <v>0</v>
      </c>
      <c r="AX192" s="224">
        <f t="shared" si="356"/>
        <v>0</v>
      </c>
      <c r="AY192" s="224">
        <f t="shared" si="356"/>
        <v>0</v>
      </c>
      <c r="AZ192" s="218"/>
      <c r="BA192"/>
      <c r="BB192" s="176" t="str">
        <f t="shared" si="260"/>
        <v>Site 51</v>
      </c>
      <c r="BC192" s="224">
        <f t="shared" ref="BC192:BN192" si="357">IF($T59&gt;0,(((EXP(-(1/(Morning_Peak_Duration__hours*2))*(BC$141-(Morning_Peak_Time__24hr_clock+$C192))^2))+(EXP(-(1/(Afternoon_Peak_Duration__hours*2))*(BC$141-(Afternoon_Peak_Time__24hr_clock+$C192))^2)))*$V59)/TZCalibrationValue,0)</f>
        <v>0</v>
      </c>
      <c r="BD192" s="224">
        <f t="shared" si="357"/>
        <v>0</v>
      </c>
      <c r="BE192" s="224">
        <f t="shared" si="357"/>
        <v>0</v>
      </c>
      <c r="BF192" s="224">
        <f t="shared" si="357"/>
        <v>0</v>
      </c>
      <c r="BG192" s="224">
        <f t="shared" si="357"/>
        <v>0</v>
      </c>
      <c r="BH192" s="224">
        <f t="shared" si="357"/>
        <v>0</v>
      </c>
      <c r="BI192" s="224">
        <f t="shared" si="357"/>
        <v>0</v>
      </c>
      <c r="BJ192" s="224">
        <f t="shared" si="357"/>
        <v>0</v>
      </c>
      <c r="BK192" s="224">
        <f t="shared" si="357"/>
        <v>0</v>
      </c>
      <c r="BL192" s="224">
        <f t="shared" si="357"/>
        <v>0</v>
      </c>
      <c r="BM192" s="224">
        <f t="shared" si="357"/>
        <v>0</v>
      </c>
      <c r="BN192" s="224">
        <f t="shared" si="357"/>
        <v>0</v>
      </c>
      <c r="BO192" s="229">
        <f t="shared" si="262"/>
        <v>0</v>
      </c>
      <c r="BP192" s="229">
        <f t="shared" si="263"/>
        <v>0</v>
      </c>
      <c r="BQ192" s="229">
        <f t="shared" si="264"/>
        <v>0</v>
      </c>
      <c r="BR192" s="229">
        <f t="shared" si="265"/>
        <v>0</v>
      </c>
      <c r="BS192" s="229">
        <f t="shared" si="266"/>
        <v>0</v>
      </c>
      <c r="BT192" s="229">
        <f t="shared" si="267"/>
        <v>0</v>
      </c>
      <c r="BU192" s="229">
        <f t="shared" si="268"/>
        <v>0</v>
      </c>
      <c r="BV192" s="229">
        <f t="shared" si="269"/>
        <v>0</v>
      </c>
      <c r="BW192" s="229">
        <f t="shared" si="270"/>
        <v>0</v>
      </c>
      <c r="BX192" s="229">
        <f t="shared" si="271"/>
        <v>0</v>
      </c>
      <c r="BY192" s="229">
        <f t="shared" si="272"/>
        <v>0</v>
      </c>
      <c r="BZ192" s="229">
        <f t="shared" si="273"/>
        <v>0</v>
      </c>
      <c r="CA192" s="229">
        <f t="shared" si="274"/>
        <v>0</v>
      </c>
      <c r="CB192" s="229">
        <f t="shared" si="275"/>
        <v>0</v>
      </c>
      <c r="CC192" s="229">
        <f t="shared" si="276"/>
        <v>0</v>
      </c>
      <c r="CD192" s="229">
        <f t="shared" si="277"/>
        <v>0</v>
      </c>
      <c r="CE192" s="229">
        <f t="shared" si="278"/>
        <v>0</v>
      </c>
      <c r="CF192" s="229">
        <f t="shared" si="279"/>
        <v>0</v>
      </c>
      <c r="CG192" s="229">
        <f t="shared" si="280"/>
        <v>0</v>
      </c>
      <c r="CH192" s="229">
        <f t="shared" si="281"/>
        <v>0</v>
      </c>
      <c r="CI192" s="229">
        <f t="shared" si="282"/>
        <v>0</v>
      </c>
      <c r="CJ192" s="229">
        <f t="shared" si="283"/>
        <v>0</v>
      </c>
      <c r="CK192" s="229">
        <f t="shared" si="284"/>
        <v>0</v>
      </c>
      <c r="CL192" s="229">
        <f t="shared" si="285"/>
        <v>0</v>
      </c>
      <c r="CM192" s="224">
        <f t="shared" ref="CM192:CX192" si="358">IF($T59&gt;0,(((EXP(-(1/(Morning_Peak_Duration__hours*2))*(CM$141-(Morning_Peak_Time__24hr_clock+$C192))^2))+(EXP(-(1/(Afternoon_Peak_Duration__hours*2))*(CM$141-(Afternoon_Peak_Time__24hr_clock+$C192))^2)))*$V59)/TZCalibrationValue,0)</f>
        <v>0</v>
      </c>
      <c r="CN192" s="224">
        <f t="shared" si="358"/>
        <v>0</v>
      </c>
      <c r="CO192" s="224">
        <f t="shared" si="358"/>
        <v>0</v>
      </c>
      <c r="CP192" s="224">
        <f t="shared" si="358"/>
        <v>0</v>
      </c>
      <c r="CQ192" s="224">
        <f t="shared" si="358"/>
        <v>0</v>
      </c>
      <c r="CR192" s="224">
        <f t="shared" si="358"/>
        <v>0</v>
      </c>
      <c r="CS192" s="224">
        <f t="shared" si="358"/>
        <v>0</v>
      </c>
      <c r="CT192" s="224">
        <f t="shared" si="358"/>
        <v>0</v>
      </c>
      <c r="CU192" s="224">
        <f t="shared" si="358"/>
        <v>0</v>
      </c>
      <c r="CV192" s="224">
        <f t="shared" si="358"/>
        <v>0</v>
      </c>
      <c r="CW192" s="224">
        <f t="shared" si="358"/>
        <v>0</v>
      </c>
      <c r="CX192" s="224">
        <f t="shared" si="358"/>
        <v>0</v>
      </c>
      <c r="CY192" s="218"/>
    </row>
    <row r="193" spans="2:103" hidden="1" outlineLevel="1">
      <c r="B193" t="str">
        <f t="shared" si="233"/>
        <v>Site 52</v>
      </c>
      <c r="C193" s="230">
        <f>VLOOKUP(D60,'Scaling Tables'!$B$123:$C$149,2,FALSE)-VLOOKUP($C$4,'Scaling Tables'!$B$123:$C$149,2,FALSE)</f>
        <v>0</v>
      </c>
      <c r="D193" s="224">
        <f t="shared" ref="D193:O193" si="359">IF($T60&gt;0,(((EXP(-(1/(Morning_Peak_Duration__hours*2))*(D$141-(Morning_Peak_Time__24hr_clock+$C193))^2))+(EXP(-(1/(Afternoon_Peak_Duration__hours*2))*(D$141-(Afternoon_Peak_Time__24hr_clock+$C193))^2)))*$U60)/TZCalibrationValue,0)</f>
        <v>0</v>
      </c>
      <c r="E193" s="224">
        <f t="shared" si="359"/>
        <v>0</v>
      </c>
      <c r="F193" s="224">
        <f t="shared" si="359"/>
        <v>0</v>
      </c>
      <c r="G193" s="224">
        <f t="shared" si="359"/>
        <v>0</v>
      </c>
      <c r="H193" s="224">
        <f t="shared" si="359"/>
        <v>0</v>
      </c>
      <c r="I193" s="224">
        <f t="shared" si="359"/>
        <v>0</v>
      </c>
      <c r="J193" s="224">
        <f t="shared" si="359"/>
        <v>0</v>
      </c>
      <c r="K193" s="224">
        <f t="shared" si="359"/>
        <v>0</v>
      </c>
      <c r="L193" s="224">
        <f t="shared" si="359"/>
        <v>0</v>
      </c>
      <c r="M193" s="224">
        <f t="shared" si="359"/>
        <v>0</v>
      </c>
      <c r="N193" s="224">
        <f t="shared" si="359"/>
        <v>0</v>
      </c>
      <c r="O193" s="224">
        <f t="shared" si="359"/>
        <v>0</v>
      </c>
      <c r="P193" s="229">
        <f t="shared" si="235"/>
        <v>0</v>
      </c>
      <c r="Q193" s="229">
        <f t="shared" si="236"/>
        <v>0</v>
      </c>
      <c r="R193" s="229">
        <f t="shared" si="237"/>
        <v>0</v>
      </c>
      <c r="S193" s="229">
        <f t="shared" si="238"/>
        <v>0</v>
      </c>
      <c r="T193" s="229">
        <f t="shared" si="239"/>
        <v>0</v>
      </c>
      <c r="U193" s="229">
        <f t="shared" si="240"/>
        <v>0</v>
      </c>
      <c r="V193" s="229">
        <f t="shared" si="241"/>
        <v>0</v>
      </c>
      <c r="W193" s="229">
        <f t="shared" si="242"/>
        <v>0</v>
      </c>
      <c r="X193" s="229">
        <f t="shared" si="243"/>
        <v>0</v>
      </c>
      <c r="Y193" s="229">
        <f t="shared" si="244"/>
        <v>0</v>
      </c>
      <c r="Z193" s="229">
        <f t="shared" si="245"/>
        <v>0</v>
      </c>
      <c r="AA193" s="229">
        <f t="shared" si="246"/>
        <v>0</v>
      </c>
      <c r="AB193" s="229">
        <f t="shared" si="247"/>
        <v>0</v>
      </c>
      <c r="AC193" s="229">
        <f t="shared" si="248"/>
        <v>0</v>
      </c>
      <c r="AD193" s="229">
        <f t="shared" si="249"/>
        <v>0</v>
      </c>
      <c r="AE193" s="229">
        <f t="shared" si="250"/>
        <v>0</v>
      </c>
      <c r="AF193" s="229">
        <f t="shared" si="251"/>
        <v>0</v>
      </c>
      <c r="AG193" s="229">
        <f t="shared" si="252"/>
        <v>0</v>
      </c>
      <c r="AH193" s="229">
        <f t="shared" si="253"/>
        <v>0</v>
      </c>
      <c r="AI193" s="229">
        <f t="shared" si="254"/>
        <v>0</v>
      </c>
      <c r="AJ193" s="229">
        <f t="shared" si="255"/>
        <v>0</v>
      </c>
      <c r="AK193" s="229">
        <f t="shared" si="256"/>
        <v>0</v>
      </c>
      <c r="AL193" s="229">
        <f t="shared" si="257"/>
        <v>0</v>
      </c>
      <c r="AM193" s="229">
        <f t="shared" si="258"/>
        <v>0</v>
      </c>
      <c r="AN193" s="224">
        <f t="shared" ref="AN193:AY193" si="360">IF($T60&gt;0,(((EXP(-(1/(Morning_Peak_Duration__hours*2))*(AN$141-(Morning_Peak_Time__24hr_clock+$C193))^2))+(EXP(-(1/(Afternoon_Peak_Duration__hours*2))*(AN$141-(Afternoon_Peak_Time__24hr_clock+$C193))^2)))*$U60)/TZCalibrationValue,0)</f>
        <v>0</v>
      </c>
      <c r="AO193" s="224">
        <f t="shared" si="360"/>
        <v>0</v>
      </c>
      <c r="AP193" s="224">
        <f t="shared" si="360"/>
        <v>0</v>
      </c>
      <c r="AQ193" s="224">
        <f t="shared" si="360"/>
        <v>0</v>
      </c>
      <c r="AR193" s="224">
        <f t="shared" si="360"/>
        <v>0</v>
      </c>
      <c r="AS193" s="224">
        <f t="shared" si="360"/>
        <v>0</v>
      </c>
      <c r="AT193" s="224">
        <f t="shared" si="360"/>
        <v>0</v>
      </c>
      <c r="AU193" s="224">
        <f t="shared" si="360"/>
        <v>0</v>
      </c>
      <c r="AV193" s="224">
        <f t="shared" si="360"/>
        <v>0</v>
      </c>
      <c r="AW193" s="224">
        <f t="shared" si="360"/>
        <v>0</v>
      </c>
      <c r="AX193" s="224">
        <f t="shared" si="360"/>
        <v>0</v>
      </c>
      <c r="AY193" s="224">
        <f t="shared" si="360"/>
        <v>0</v>
      </c>
      <c r="AZ193" s="218"/>
      <c r="BA193"/>
      <c r="BB193" s="176" t="str">
        <f t="shared" si="260"/>
        <v>Site 52</v>
      </c>
      <c r="BC193" s="224">
        <f t="shared" ref="BC193:BN193" si="361">IF($T60&gt;0,(((EXP(-(1/(Morning_Peak_Duration__hours*2))*(BC$141-(Morning_Peak_Time__24hr_clock+$C193))^2))+(EXP(-(1/(Afternoon_Peak_Duration__hours*2))*(BC$141-(Afternoon_Peak_Time__24hr_clock+$C193))^2)))*$V60)/TZCalibrationValue,0)</f>
        <v>0</v>
      </c>
      <c r="BD193" s="224">
        <f t="shared" si="361"/>
        <v>0</v>
      </c>
      <c r="BE193" s="224">
        <f t="shared" si="361"/>
        <v>0</v>
      </c>
      <c r="BF193" s="224">
        <f t="shared" si="361"/>
        <v>0</v>
      </c>
      <c r="BG193" s="224">
        <f t="shared" si="361"/>
        <v>0</v>
      </c>
      <c r="BH193" s="224">
        <f t="shared" si="361"/>
        <v>0</v>
      </c>
      <c r="BI193" s="224">
        <f t="shared" si="361"/>
        <v>0</v>
      </c>
      <c r="BJ193" s="224">
        <f t="shared" si="361"/>
        <v>0</v>
      </c>
      <c r="BK193" s="224">
        <f t="shared" si="361"/>
        <v>0</v>
      </c>
      <c r="BL193" s="224">
        <f t="shared" si="361"/>
        <v>0</v>
      </c>
      <c r="BM193" s="224">
        <f t="shared" si="361"/>
        <v>0</v>
      </c>
      <c r="BN193" s="224">
        <f t="shared" si="361"/>
        <v>0</v>
      </c>
      <c r="BO193" s="229">
        <f t="shared" si="262"/>
        <v>0</v>
      </c>
      <c r="BP193" s="229">
        <f t="shared" si="263"/>
        <v>0</v>
      </c>
      <c r="BQ193" s="229">
        <f t="shared" si="264"/>
        <v>0</v>
      </c>
      <c r="BR193" s="229">
        <f t="shared" si="265"/>
        <v>0</v>
      </c>
      <c r="BS193" s="229">
        <f t="shared" si="266"/>
        <v>0</v>
      </c>
      <c r="BT193" s="229">
        <f t="shared" si="267"/>
        <v>0</v>
      </c>
      <c r="BU193" s="229">
        <f t="shared" si="268"/>
        <v>0</v>
      </c>
      <c r="BV193" s="229">
        <f t="shared" si="269"/>
        <v>0</v>
      </c>
      <c r="BW193" s="229">
        <f t="shared" si="270"/>
        <v>0</v>
      </c>
      <c r="BX193" s="229">
        <f t="shared" si="271"/>
        <v>0</v>
      </c>
      <c r="BY193" s="229">
        <f t="shared" si="272"/>
        <v>0</v>
      </c>
      <c r="BZ193" s="229">
        <f t="shared" si="273"/>
        <v>0</v>
      </c>
      <c r="CA193" s="229">
        <f t="shared" si="274"/>
        <v>0</v>
      </c>
      <c r="CB193" s="229">
        <f t="shared" si="275"/>
        <v>0</v>
      </c>
      <c r="CC193" s="229">
        <f t="shared" si="276"/>
        <v>0</v>
      </c>
      <c r="CD193" s="229">
        <f t="shared" si="277"/>
        <v>0</v>
      </c>
      <c r="CE193" s="229">
        <f t="shared" si="278"/>
        <v>0</v>
      </c>
      <c r="CF193" s="229">
        <f t="shared" si="279"/>
        <v>0</v>
      </c>
      <c r="CG193" s="229">
        <f t="shared" si="280"/>
        <v>0</v>
      </c>
      <c r="CH193" s="229">
        <f t="shared" si="281"/>
        <v>0</v>
      </c>
      <c r="CI193" s="229">
        <f t="shared" si="282"/>
        <v>0</v>
      </c>
      <c r="CJ193" s="229">
        <f t="shared" si="283"/>
        <v>0</v>
      </c>
      <c r="CK193" s="229">
        <f t="shared" si="284"/>
        <v>0</v>
      </c>
      <c r="CL193" s="229">
        <f t="shared" si="285"/>
        <v>0</v>
      </c>
      <c r="CM193" s="224">
        <f t="shared" ref="CM193:CX193" si="362">IF($T60&gt;0,(((EXP(-(1/(Morning_Peak_Duration__hours*2))*(CM$141-(Morning_Peak_Time__24hr_clock+$C193))^2))+(EXP(-(1/(Afternoon_Peak_Duration__hours*2))*(CM$141-(Afternoon_Peak_Time__24hr_clock+$C193))^2)))*$V60)/TZCalibrationValue,0)</f>
        <v>0</v>
      </c>
      <c r="CN193" s="224">
        <f t="shared" si="362"/>
        <v>0</v>
      </c>
      <c r="CO193" s="224">
        <f t="shared" si="362"/>
        <v>0</v>
      </c>
      <c r="CP193" s="224">
        <f t="shared" si="362"/>
        <v>0</v>
      </c>
      <c r="CQ193" s="224">
        <f t="shared" si="362"/>
        <v>0</v>
      </c>
      <c r="CR193" s="224">
        <f t="shared" si="362"/>
        <v>0</v>
      </c>
      <c r="CS193" s="224">
        <f t="shared" si="362"/>
        <v>0</v>
      </c>
      <c r="CT193" s="224">
        <f t="shared" si="362"/>
        <v>0</v>
      </c>
      <c r="CU193" s="224">
        <f t="shared" si="362"/>
        <v>0</v>
      </c>
      <c r="CV193" s="224">
        <f t="shared" si="362"/>
        <v>0</v>
      </c>
      <c r="CW193" s="224">
        <f t="shared" si="362"/>
        <v>0</v>
      </c>
      <c r="CX193" s="224">
        <f t="shared" si="362"/>
        <v>0</v>
      </c>
      <c r="CY193" s="218"/>
    </row>
    <row r="194" spans="2:103" hidden="1" outlineLevel="1">
      <c r="B194" t="str">
        <f t="shared" si="233"/>
        <v>Site 53</v>
      </c>
      <c r="C194" s="230">
        <f>VLOOKUP(D61,'Scaling Tables'!$B$123:$C$149,2,FALSE)-VLOOKUP($C$4,'Scaling Tables'!$B$123:$C$149,2,FALSE)</f>
        <v>0</v>
      </c>
      <c r="D194" s="224">
        <f t="shared" ref="D194:O194" si="363">IF($T61&gt;0,(((EXP(-(1/(Morning_Peak_Duration__hours*2))*(D$141-(Morning_Peak_Time__24hr_clock+$C194))^2))+(EXP(-(1/(Afternoon_Peak_Duration__hours*2))*(D$141-(Afternoon_Peak_Time__24hr_clock+$C194))^2)))*$U61)/TZCalibrationValue,0)</f>
        <v>0</v>
      </c>
      <c r="E194" s="224">
        <f t="shared" si="363"/>
        <v>0</v>
      </c>
      <c r="F194" s="224">
        <f t="shared" si="363"/>
        <v>0</v>
      </c>
      <c r="G194" s="224">
        <f t="shared" si="363"/>
        <v>0</v>
      </c>
      <c r="H194" s="224">
        <f t="shared" si="363"/>
        <v>0</v>
      </c>
      <c r="I194" s="224">
        <f t="shared" si="363"/>
        <v>0</v>
      </c>
      <c r="J194" s="224">
        <f t="shared" si="363"/>
        <v>0</v>
      </c>
      <c r="K194" s="224">
        <f t="shared" si="363"/>
        <v>0</v>
      </c>
      <c r="L194" s="224">
        <f t="shared" si="363"/>
        <v>0</v>
      </c>
      <c r="M194" s="224">
        <f t="shared" si="363"/>
        <v>0</v>
      </c>
      <c r="N194" s="224">
        <f t="shared" si="363"/>
        <v>0</v>
      </c>
      <c r="O194" s="224">
        <f t="shared" si="363"/>
        <v>0</v>
      </c>
      <c r="P194" s="229">
        <f t="shared" si="235"/>
        <v>0</v>
      </c>
      <c r="Q194" s="229">
        <f t="shared" si="236"/>
        <v>0</v>
      </c>
      <c r="R194" s="229">
        <f t="shared" si="237"/>
        <v>0</v>
      </c>
      <c r="S194" s="229">
        <f t="shared" si="238"/>
        <v>0</v>
      </c>
      <c r="T194" s="229">
        <f t="shared" si="239"/>
        <v>0</v>
      </c>
      <c r="U194" s="229">
        <f t="shared" si="240"/>
        <v>0</v>
      </c>
      <c r="V194" s="229">
        <f t="shared" si="241"/>
        <v>0</v>
      </c>
      <c r="W194" s="229">
        <f t="shared" si="242"/>
        <v>0</v>
      </c>
      <c r="X194" s="229">
        <f t="shared" si="243"/>
        <v>0</v>
      </c>
      <c r="Y194" s="229">
        <f t="shared" si="244"/>
        <v>0</v>
      </c>
      <c r="Z194" s="229">
        <f t="shared" si="245"/>
        <v>0</v>
      </c>
      <c r="AA194" s="229">
        <f t="shared" si="246"/>
        <v>0</v>
      </c>
      <c r="AB194" s="229">
        <f t="shared" si="247"/>
        <v>0</v>
      </c>
      <c r="AC194" s="229">
        <f t="shared" si="248"/>
        <v>0</v>
      </c>
      <c r="AD194" s="229">
        <f t="shared" si="249"/>
        <v>0</v>
      </c>
      <c r="AE194" s="229">
        <f t="shared" si="250"/>
        <v>0</v>
      </c>
      <c r="AF194" s="229">
        <f t="shared" si="251"/>
        <v>0</v>
      </c>
      <c r="AG194" s="229">
        <f t="shared" si="252"/>
        <v>0</v>
      </c>
      <c r="AH194" s="229">
        <f t="shared" si="253"/>
        <v>0</v>
      </c>
      <c r="AI194" s="229">
        <f t="shared" si="254"/>
        <v>0</v>
      </c>
      <c r="AJ194" s="229">
        <f t="shared" si="255"/>
        <v>0</v>
      </c>
      <c r="AK194" s="229">
        <f t="shared" si="256"/>
        <v>0</v>
      </c>
      <c r="AL194" s="229">
        <f t="shared" si="257"/>
        <v>0</v>
      </c>
      <c r="AM194" s="229">
        <f t="shared" si="258"/>
        <v>0</v>
      </c>
      <c r="AN194" s="224">
        <f t="shared" ref="AN194:AY194" si="364">IF($T61&gt;0,(((EXP(-(1/(Morning_Peak_Duration__hours*2))*(AN$141-(Morning_Peak_Time__24hr_clock+$C194))^2))+(EXP(-(1/(Afternoon_Peak_Duration__hours*2))*(AN$141-(Afternoon_Peak_Time__24hr_clock+$C194))^2)))*$U61)/TZCalibrationValue,0)</f>
        <v>0</v>
      </c>
      <c r="AO194" s="224">
        <f t="shared" si="364"/>
        <v>0</v>
      </c>
      <c r="AP194" s="224">
        <f t="shared" si="364"/>
        <v>0</v>
      </c>
      <c r="AQ194" s="224">
        <f t="shared" si="364"/>
        <v>0</v>
      </c>
      <c r="AR194" s="224">
        <f t="shared" si="364"/>
        <v>0</v>
      </c>
      <c r="AS194" s="224">
        <f t="shared" si="364"/>
        <v>0</v>
      </c>
      <c r="AT194" s="224">
        <f t="shared" si="364"/>
        <v>0</v>
      </c>
      <c r="AU194" s="224">
        <f t="shared" si="364"/>
        <v>0</v>
      </c>
      <c r="AV194" s="224">
        <f t="shared" si="364"/>
        <v>0</v>
      </c>
      <c r="AW194" s="224">
        <f t="shared" si="364"/>
        <v>0</v>
      </c>
      <c r="AX194" s="224">
        <f t="shared" si="364"/>
        <v>0</v>
      </c>
      <c r="AY194" s="224">
        <f t="shared" si="364"/>
        <v>0</v>
      </c>
      <c r="AZ194" s="218"/>
      <c r="BA194"/>
      <c r="BB194" s="176" t="str">
        <f t="shared" si="260"/>
        <v>Site 53</v>
      </c>
      <c r="BC194" s="224">
        <f t="shared" ref="BC194:BN194" si="365">IF($T61&gt;0,(((EXP(-(1/(Morning_Peak_Duration__hours*2))*(BC$141-(Morning_Peak_Time__24hr_clock+$C194))^2))+(EXP(-(1/(Afternoon_Peak_Duration__hours*2))*(BC$141-(Afternoon_Peak_Time__24hr_clock+$C194))^2)))*$V61)/TZCalibrationValue,0)</f>
        <v>0</v>
      </c>
      <c r="BD194" s="224">
        <f t="shared" si="365"/>
        <v>0</v>
      </c>
      <c r="BE194" s="224">
        <f t="shared" si="365"/>
        <v>0</v>
      </c>
      <c r="BF194" s="224">
        <f t="shared" si="365"/>
        <v>0</v>
      </c>
      <c r="BG194" s="224">
        <f t="shared" si="365"/>
        <v>0</v>
      </c>
      <c r="BH194" s="224">
        <f t="shared" si="365"/>
        <v>0</v>
      </c>
      <c r="BI194" s="224">
        <f t="shared" si="365"/>
        <v>0</v>
      </c>
      <c r="BJ194" s="224">
        <f t="shared" si="365"/>
        <v>0</v>
      </c>
      <c r="BK194" s="224">
        <f t="shared" si="365"/>
        <v>0</v>
      </c>
      <c r="BL194" s="224">
        <f t="shared" si="365"/>
        <v>0</v>
      </c>
      <c r="BM194" s="224">
        <f t="shared" si="365"/>
        <v>0</v>
      </c>
      <c r="BN194" s="224">
        <f t="shared" si="365"/>
        <v>0</v>
      </c>
      <c r="BO194" s="229">
        <f t="shared" si="262"/>
        <v>0</v>
      </c>
      <c r="BP194" s="229">
        <f t="shared" si="263"/>
        <v>0</v>
      </c>
      <c r="BQ194" s="229">
        <f t="shared" si="264"/>
        <v>0</v>
      </c>
      <c r="BR194" s="229">
        <f t="shared" si="265"/>
        <v>0</v>
      </c>
      <c r="BS194" s="229">
        <f t="shared" si="266"/>
        <v>0</v>
      </c>
      <c r="BT194" s="229">
        <f t="shared" si="267"/>
        <v>0</v>
      </c>
      <c r="BU194" s="229">
        <f t="shared" si="268"/>
        <v>0</v>
      </c>
      <c r="BV194" s="229">
        <f t="shared" si="269"/>
        <v>0</v>
      </c>
      <c r="BW194" s="229">
        <f t="shared" si="270"/>
        <v>0</v>
      </c>
      <c r="BX194" s="229">
        <f t="shared" si="271"/>
        <v>0</v>
      </c>
      <c r="BY194" s="229">
        <f t="shared" si="272"/>
        <v>0</v>
      </c>
      <c r="BZ194" s="229">
        <f t="shared" si="273"/>
        <v>0</v>
      </c>
      <c r="CA194" s="229">
        <f t="shared" si="274"/>
        <v>0</v>
      </c>
      <c r="CB194" s="229">
        <f t="shared" si="275"/>
        <v>0</v>
      </c>
      <c r="CC194" s="229">
        <f t="shared" si="276"/>
        <v>0</v>
      </c>
      <c r="CD194" s="229">
        <f t="shared" si="277"/>
        <v>0</v>
      </c>
      <c r="CE194" s="229">
        <f t="shared" si="278"/>
        <v>0</v>
      </c>
      <c r="CF194" s="229">
        <f t="shared" si="279"/>
        <v>0</v>
      </c>
      <c r="CG194" s="229">
        <f t="shared" si="280"/>
        <v>0</v>
      </c>
      <c r="CH194" s="229">
        <f t="shared" si="281"/>
        <v>0</v>
      </c>
      <c r="CI194" s="229">
        <f t="shared" si="282"/>
        <v>0</v>
      </c>
      <c r="CJ194" s="229">
        <f t="shared" si="283"/>
        <v>0</v>
      </c>
      <c r="CK194" s="229">
        <f t="shared" si="284"/>
        <v>0</v>
      </c>
      <c r="CL194" s="229">
        <f t="shared" si="285"/>
        <v>0</v>
      </c>
      <c r="CM194" s="224">
        <f t="shared" ref="CM194:CX194" si="366">IF($T61&gt;0,(((EXP(-(1/(Morning_Peak_Duration__hours*2))*(CM$141-(Morning_Peak_Time__24hr_clock+$C194))^2))+(EXP(-(1/(Afternoon_Peak_Duration__hours*2))*(CM$141-(Afternoon_Peak_Time__24hr_clock+$C194))^2)))*$V61)/TZCalibrationValue,0)</f>
        <v>0</v>
      </c>
      <c r="CN194" s="224">
        <f t="shared" si="366"/>
        <v>0</v>
      </c>
      <c r="CO194" s="224">
        <f t="shared" si="366"/>
        <v>0</v>
      </c>
      <c r="CP194" s="224">
        <f t="shared" si="366"/>
        <v>0</v>
      </c>
      <c r="CQ194" s="224">
        <f t="shared" si="366"/>
        <v>0</v>
      </c>
      <c r="CR194" s="224">
        <f t="shared" si="366"/>
        <v>0</v>
      </c>
      <c r="CS194" s="224">
        <f t="shared" si="366"/>
        <v>0</v>
      </c>
      <c r="CT194" s="224">
        <f t="shared" si="366"/>
        <v>0</v>
      </c>
      <c r="CU194" s="224">
        <f t="shared" si="366"/>
        <v>0</v>
      </c>
      <c r="CV194" s="224">
        <f t="shared" si="366"/>
        <v>0</v>
      </c>
      <c r="CW194" s="224">
        <f t="shared" si="366"/>
        <v>0</v>
      </c>
      <c r="CX194" s="224">
        <f t="shared" si="366"/>
        <v>0</v>
      </c>
      <c r="CY194" s="218"/>
    </row>
    <row r="195" spans="2:103" hidden="1" outlineLevel="1">
      <c r="B195" t="str">
        <f t="shared" si="233"/>
        <v>Site 54</v>
      </c>
      <c r="C195" s="230">
        <f>VLOOKUP(D62,'Scaling Tables'!$B$123:$C$149,2,FALSE)-VLOOKUP($C$4,'Scaling Tables'!$B$123:$C$149,2,FALSE)</f>
        <v>0</v>
      </c>
      <c r="D195" s="224">
        <f t="shared" ref="D195:O195" si="367">IF($T62&gt;0,(((EXP(-(1/(Morning_Peak_Duration__hours*2))*(D$141-(Morning_Peak_Time__24hr_clock+$C195))^2))+(EXP(-(1/(Afternoon_Peak_Duration__hours*2))*(D$141-(Afternoon_Peak_Time__24hr_clock+$C195))^2)))*$U62)/TZCalibrationValue,0)</f>
        <v>0</v>
      </c>
      <c r="E195" s="224">
        <f t="shared" si="367"/>
        <v>0</v>
      </c>
      <c r="F195" s="224">
        <f t="shared" si="367"/>
        <v>0</v>
      </c>
      <c r="G195" s="224">
        <f t="shared" si="367"/>
        <v>0</v>
      </c>
      <c r="H195" s="224">
        <f t="shared" si="367"/>
        <v>0</v>
      </c>
      <c r="I195" s="224">
        <f t="shared" si="367"/>
        <v>0</v>
      </c>
      <c r="J195" s="224">
        <f t="shared" si="367"/>
        <v>0</v>
      </c>
      <c r="K195" s="224">
        <f t="shared" si="367"/>
        <v>0</v>
      </c>
      <c r="L195" s="224">
        <f t="shared" si="367"/>
        <v>0</v>
      </c>
      <c r="M195" s="224">
        <f t="shared" si="367"/>
        <v>0</v>
      </c>
      <c r="N195" s="224">
        <f t="shared" si="367"/>
        <v>0</v>
      </c>
      <c r="O195" s="224">
        <f t="shared" si="367"/>
        <v>0</v>
      </c>
      <c r="P195" s="229">
        <f t="shared" si="235"/>
        <v>0</v>
      </c>
      <c r="Q195" s="229">
        <f t="shared" si="236"/>
        <v>0</v>
      </c>
      <c r="R195" s="229">
        <f t="shared" si="237"/>
        <v>0</v>
      </c>
      <c r="S195" s="229">
        <f t="shared" si="238"/>
        <v>0</v>
      </c>
      <c r="T195" s="229">
        <f t="shared" si="239"/>
        <v>0</v>
      </c>
      <c r="U195" s="229">
        <f t="shared" si="240"/>
        <v>0</v>
      </c>
      <c r="V195" s="229">
        <f t="shared" si="241"/>
        <v>0</v>
      </c>
      <c r="W195" s="229">
        <f t="shared" si="242"/>
        <v>0</v>
      </c>
      <c r="X195" s="229">
        <f t="shared" si="243"/>
        <v>0</v>
      </c>
      <c r="Y195" s="229">
        <f t="shared" si="244"/>
        <v>0</v>
      </c>
      <c r="Z195" s="229">
        <f t="shared" si="245"/>
        <v>0</v>
      </c>
      <c r="AA195" s="229">
        <f t="shared" si="246"/>
        <v>0</v>
      </c>
      <c r="AB195" s="229">
        <f t="shared" si="247"/>
        <v>0</v>
      </c>
      <c r="AC195" s="229">
        <f t="shared" si="248"/>
        <v>0</v>
      </c>
      <c r="AD195" s="229">
        <f t="shared" si="249"/>
        <v>0</v>
      </c>
      <c r="AE195" s="229">
        <f t="shared" si="250"/>
        <v>0</v>
      </c>
      <c r="AF195" s="229">
        <f t="shared" si="251"/>
        <v>0</v>
      </c>
      <c r="AG195" s="229">
        <f t="shared" si="252"/>
        <v>0</v>
      </c>
      <c r="AH195" s="229">
        <f t="shared" si="253"/>
        <v>0</v>
      </c>
      <c r="AI195" s="229">
        <f t="shared" si="254"/>
        <v>0</v>
      </c>
      <c r="AJ195" s="229">
        <f t="shared" si="255"/>
        <v>0</v>
      </c>
      <c r="AK195" s="229">
        <f t="shared" si="256"/>
        <v>0</v>
      </c>
      <c r="AL195" s="229">
        <f t="shared" si="257"/>
        <v>0</v>
      </c>
      <c r="AM195" s="229">
        <f t="shared" si="258"/>
        <v>0</v>
      </c>
      <c r="AN195" s="224">
        <f t="shared" ref="AN195:AY195" si="368">IF($T62&gt;0,(((EXP(-(1/(Morning_Peak_Duration__hours*2))*(AN$141-(Morning_Peak_Time__24hr_clock+$C195))^2))+(EXP(-(1/(Afternoon_Peak_Duration__hours*2))*(AN$141-(Afternoon_Peak_Time__24hr_clock+$C195))^2)))*$U62)/TZCalibrationValue,0)</f>
        <v>0</v>
      </c>
      <c r="AO195" s="224">
        <f t="shared" si="368"/>
        <v>0</v>
      </c>
      <c r="AP195" s="224">
        <f t="shared" si="368"/>
        <v>0</v>
      </c>
      <c r="AQ195" s="224">
        <f t="shared" si="368"/>
        <v>0</v>
      </c>
      <c r="AR195" s="224">
        <f t="shared" si="368"/>
        <v>0</v>
      </c>
      <c r="AS195" s="224">
        <f t="shared" si="368"/>
        <v>0</v>
      </c>
      <c r="AT195" s="224">
        <f t="shared" si="368"/>
        <v>0</v>
      </c>
      <c r="AU195" s="224">
        <f t="shared" si="368"/>
        <v>0</v>
      </c>
      <c r="AV195" s="224">
        <f t="shared" si="368"/>
        <v>0</v>
      </c>
      <c r="AW195" s="224">
        <f t="shared" si="368"/>
        <v>0</v>
      </c>
      <c r="AX195" s="224">
        <f t="shared" si="368"/>
        <v>0</v>
      </c>
      <c r="AY195" s="224">
        <f t="shared" si="368"/>
        <v>0</v>
      </c>
      <c r="AZ195" s="218"/>
      <c r="BA195"/>
      <c r="BB195" s="176" t="str">
        <f t="shared" si="260"/>
        <v>Site 54</v>
      </c>
      <c r="BC195" s="224">
        <f t="shared" ref="BC195:BN195" si="369">IF($T62&gt;0,(((EXP(-(1/(Morning_Peak_Duration__hours*2))*(BC$141-(Morning_Peak_Time__24hr_clock+$C195))^2))+(EXP(-(1/(Afternoon_Peak_Duration__hours*2))*(BC$141-(Afternoon_Peak_Time__24hr_clock+$C195))^2)))*$V62)/TZCalibrationValue,0)</f>
        <v>0</v>
      </c>
      <c r="BD195" s="224">
        <f t="shared" si="369"/>
        <v>0</v>
      </c>
      <c r="BE195" s="224">
        <f t="shared" si="369"/>
        <v>0</v>
      </c>
      <c r="BF195" s="224">
        <f t="shared" si="369"/>
        <v>0</v>
      </c>
      <c r="BG195" s="224">
        <f t="shared" si="369"/>
        <v>0</v>
      </c>
      <c r="BH195" s="224">
        <f t="shared" si="369"/>
        <v>0</v>
      </c>
      <c r="BI195" s="224">
        <f t="shared" si="369"/>
        <v>0</v>
      </c>
      <c r="BJ195" s="224">
        <f t="shared" si="369"/>
        <v>0</v>
      </c>
      <c r="BK195" s="224">
        <f t="shared" si="369"/>
        <v>0</v>
      </c>
      <c r="BL195" s="224">
        <f t="shared" si="369"/>
        <v>0</v>
      </c>
      <c r="BM195" s="224">
        <f t="shared" si="369"/>
        <v>0</v>
      </c>
      <c r="BN195" s="224">
        <f t="shared" si="369"/>
        <v>0</v>
      </c>
      <c r="BO195" s="229">
        <f t="shared" si="262"/>
        <v>0</v>
      </c>
      <c r="BP195" s="229">
        <f t="shared" si="263"/>
        <v>0</v>
      </c>
      <c r="BQ195" s="229">
        <f t="shared" si="264"/>
        <v>0</v>
      </c>
      <c r="BR195" s="229">
        <f t="shared" si="265"/>
        <v>0</v>
      </c>
      <c r="BS195" s="229">
        <f t="shared" si="266"/>
        <v>0</v>
      </c>
      <c r="BT195" s="229">
        <f t="shared" si="267"/>
        <v>0</v>
      </c>
      <c r="BU195" s="229">
        <f t="shared" si="268"/>
        <v>0</v>
      </c>
      <c r="BV195" s="229">
        <f t="shared" si="269"/>
        <v>0</v>
      </c>
      <c r="BW195" s="229">
        <f t="shared" si="270"/>
        <v>0</v>
      </c>
      <c r="BX195" s="229">
        <f t="shared" si="271"/>
        <v>0</v>
      </c>
      <c r="BY195" s="229">
        <f t="shared" si="272"/>
        <v>0</v>
      </c>
      <c r="BZ195" s="229">
        <f t="shared" si="273"/>
        <v>0</v>
      </c>
      <c r="CA195" s="229">
        <f t="shared" si="274"/>
        <v>0</v>
      </c>
      <c r="CB195" s="229">
        <f t="shared" si="275"/>
        <v>0</v>
      </c>
      <c r="CC195" s="229">
        <f t="shared" si="276"/>
        <v>0</v>
      </c>
      <c r="CD195" s="229">
        <f t="shared" si="277"/>
        <v>0</v>
      </c>
      <c r="CE195" s="229">
        <f t="shared" si="278"/>
        <v>0</v>
      </c>
      <c r="CF195" s="229">
        <f t="shared" si="279"/>
        <v>0</v>
      </c>
      <c r="CG195" s="229">
        <f t="shared" si="280"/>
        <v>0</v>
      </c>
      <c r="CH195" s="229">
        <f t="shared" si="281"/>
        <v>0</v>
      </c>
      <c r="CI195" s="229">
        <f t="shared" si="282"/>
        <v>0</v>
      </c>
      <c r="CJ195" s="229">
        <f t="shared" si="283"/>
        <v>0</v>
      </c>
      <c r="CK195" s="229">
        <f t="shared" si="284"/>
        <v>0</v>
      </c>
      <c r="CL195" s="229">
        <f t="shared" si="285"/>
        <v>0</v>
      </c>
      <c r="CM195" s="224">
        <f t="shared" ref="CM195:CX195" si="370">IF($T62&gt;0,(((EXP(-(1/(Morning_Peak_Duration__hours*2))*(CM$141-(Morning_Peak_Time__24hr_clock+$C195))^2))+(EXP(-(1/(Afternoon_Peak_Duration__hours*2))*(CM$141-(Afternoon_Peak_Time__24hr_clock+$C195))^2)))*$V62)/TZCalibrationValue,0)</f>
        <v>0</v>
      </c>
      <c r="CN195" s="224">
        <f t="shared" si="370"/>
        <v>0</v>
      </c>
      <c r="CO195" s="224">
        <f t="shared" si="370"/>
        <v>0</v>
      </c>
      <c r="CP195" s="224">
        <f t="shared" si="370"/>
        <v>0</v>
      </c>
      <c r="CQ195" s="224">
        <f t="shared" si="370"/>
        <v>0</v>
      </c>
      <c r="CR195" s="224">
        <f t="shared" si="370"/>
        <v>0</v>
      </c>
      <c r="CS195" s="224">
        <f t="shared" si="370"/>
        <v>0</v>
      </c>
      <c r="CT195" s="224">
        <f t="shared" si="370"/>
        <v>0</v>
      </c>
      <c r="CU195" s="224">
        <f t="shared" si="370"/>
        <v>0</v>
      </c>
      <c r="CV195" s="224">
        <f t="shared" si="370"/>
        <v>0</v>
      </c>
      <c r="CW195" s="224">
        <f t="shared" si="370"/>
        <v>0</v>
      </c>
      <c r="CX195" s="224">
        <f t="shared" si="370"/>
        <v>0</v>
      </c>
      <c r="CY195" s="218"/>
    </row>
    <row r="196" spans="2:103" hidden="1" outlineLevel="1">
      <c r="B196" t="str">
        <f t="shared" si="233"/>
        <v>Site 55</v>
      </c>
      <c r="C196" s="230">
        <f>VLOOKUP(D63,'Scaling Tables'!$B$123:$C$149,2,FALSE)-VLOOKUP($C$4,'Scaling Tables'!$B$123:$C$149,2,FALSE)</f>
        <v>0</v>
      </c>
      <c r="D196" s="224">
        <f t="shared" ref="D196:O196" si="371">IF($T63&gt;0,(((EXP(-(1/(Morning_Peak_Duration__hours*2))*(D$141-(Morning_Peak_Time__24hr_clock+$C196))^2))+(EXP(-(1/(Afternoon_Peak_Duration__hours*2))*(D$141-(Afternoon_Peak_Time__24hr_clock+$C196))^2)))*$U63)/TZCalibrationValue,0)</f>
        <v>0</v>
      </c>
      <c r="E196" s="224">
        <f t="shared" si="371"/>
        <v>0</v>
      </c>
      <c r="F196" s="224">
        <f t="shared" si="371"/>
        <v>0</v>
      </c>
      <c r="G196" s="224">
        <f t="shared" si="371"/>
        <v>0</v>
      </c>
      <c r="H196" s="224">
        <f t="shared" si="371"/>
        <v>0</v>
      </c>
      <c r="I196" s="224">
        <f t="shared" si="371"/>
        <v>0</v>
      </c>
      <c r="J196" s="224">
        <f t="shared" si="371"/>
        <v>0</v>
      </c>
      <c r="K196" s="224">
        <f t="shared" si="371"/>
        <v>0</v>
      </c>
      <c r="L196" s="224">
        <f t="shared" si="371"/>
        <v>0</v>
      </c>
      <c r="M196" s="224">
        <f t="shared" si="371"/>
        <v>0</v>
      </c>
      <c r="N196" s="224">
        <f t="shared" si="371"/>
        <v>0</v>
      </c>
      <c r="O196" s="224">
        <f t="shared" si="371"/>
        <v>0</v>
      </c>
      <c r="P196" s="229">
        <f t="shared" si="235"/>
        <v>0</v>
      </c>
      <c r="Q196" s="229">
        <f t="shared" si="236"/>
        <v>0</v>
      </c>
      <c r="R196" s="229">
        <f t="shared" si="237"/>
        <v>0</v>
      </c>
      <c r="S196" s="229">
        <f t="shared" si="238"/>
        <v>0</v>
      </c>
      <c r="T196" s="229">
        <f t="shared" si="239"/>
        <v>0</v>
      </c>
      <c r="U196" s="229">
        <f t="shared" si="240"/>
        <v>0</v>
      </c>
      <c r="V196" s="229">
        <f t="shared" si="241"/>
        <v>0</v>
      </c>
      <c r="W196" s="229">
        <f t="shared" si="242"/>
        <v>0</v>
      </c>
      <c r="X196" s="229">
        <f t="shared" si="243"/>
        <v>0</v>
      </c>
      <c r="Y196" s="229">
        <f t="shared" si="244"/>
        <v>0</v>
      </c>
      <c r="Z196" s="229">
        <f t="shared" si="245"/>
        <v>0</v>
      </c>
      <c r="AA196" s="229">
        <f t="shared" si="246"/>
        <v>0</v>
      </c>
      <c r="AB196" s="229">
        <f t="shared" si="247"/>
        <v>0</v>
      </c>
      <c r="AC196" s="229">
        <f t="shared" si="248"/>
        <v>0</v>
      </c>
      <c r="AD196" s="229">
        <f t="shared" si="249"/>
        <v>0</v>
      </c>
      <c r="AE196" s="229">
        <f t="shared" si="250"/>
        <v>0</v>
      </c>
      <c r="AF196" s="229">
        <f t="shared" si="251"/>
        <v>0</v>
      </c>
      <c r="AG196" s="229">
        <f t="shared" si="252"/>
        <v>0</v>
      </c>
      <c r="AH196" s="229">
        <f t="shared" si="253"/>
        <v>0</v>
      </c>
      <c r="AI196" s="229">
        <f t="shared" si="254"/>
        <v>0</v>
      </c>
      <c r="AJ196" s="229">
        <f t="shared" si="255"/>
        <v>0</v>
      </c>
      <c r="AK196" s="229">
        <f t="shared" si="256"/>
        <v>0</v>
      </c>
      <c r="AL196" s="229">
        <f t="shared" si="257"/>
        <v>0</v>
      </c>
      <c r="AM196" s="229">
        <f t="shared" si="258"/>
        <v>0</v>
      </c>
      <c r="AN196" s="224">
        <f t="shared" ref="AN196:AY196" si="372">IF($T63&gt;0,(((EXP(-(1/(Morning_Peak_Duration__hours*2))*(AN$141-(Morning_Peak_Time__24hr_clock+$C196))^2))+(EXP(-(1/(Afternoon_Peak_Duration__hours*2))*(AN$141-(Afternoon_Peak_Time__24hr_clock+$C196))^2)))*$U63)/TZCalibrationValue,0)</f>
        <v>0</v>
      </c>
      <c r="AO196" s="224">
        <f t="shared" si="372"/>
        <v>0</v>
      </c>
      <c r="AP196" s="224">
        <f t="shared" si="372"/>
        <v>0</v>
      </c>
      <c r="AQ196" s="224">
        <f t="shared" si="372"/>
        <v>0</v>
      </c>
      <c r="AR196" s="224">
        <f t="shared" si="372"/>
        <v>0</v>
      </c>
      <c r="AS196" s="224">
        <f t="shared" si="372"/>
        <v>0</v>
      </c>
      <c r="AT196" s="224">
        <f t="shared" si="372"/>
        <v>0</v>
      </c>
      <c r="AU196" s="224">
        <f t="shared" si="372"/>
        <v>0</v>
      </c>
      <c r="AV196" s="224">
        <f t="shared" si="372"/>
        <v>0</v>
      </c>
      <c r="AW196" s="224">
        <f t="shared" si="372"/>
        <v>0</v>
      </c>
      <c r="AX196" s="224">
        <f t="shared" si="372"/>
        <v>0</v>
      </c>
      <c r="AY196" s="224">
        <f t="shared" si="372"/>
        <v>0</v>
      </c>
      <c r="AZ196" s="218"/>
      <c r="BA196"/>
      <c r="BB196" s="176" t="str">
        <f t="shared" si="260"/>
        <v>Site 55</v>
      </c>
      <c r="BC196" s="224">
        <f t="shared" ref="BC196:BN196" si="373">IF($T63&gt;0,(((EXP(-(1/(Morning_Peak_Duration__hours*2))*(BC$141-(Morning_Peak_Time__24hr_clock+$C196))^2))+(EXP(-(1/(Afternoon_Peak_Duration__hours*2))*(BC$141-(Afternoon_Peak_Time__24hr_clock+$C196))^2)))*$V63)/TZCalibrationValue,0)</f>
        <v>0</v>
      </c>
      <c r="BD196" s="224">
        <f t="shared" si="373"/>
        <v>0</v>
      </c>
      <c r="BE196" s="224">
        <f t="shared" si="373"/>
        <v>0</v>
      </c>
      <c r="BF196" s="224">
        <f t="shared" si="373"/>
        <v>0</v>
      </c>
      <c r="BG196" s="224">
        <f t="shared" si="373"/>
        <v>0</v>
      </c>
      <c r="BH196" s="224">
        <f t="shared" si="373"/>
        <v>0</v>
      </c>
      <c r="BI196" s="224">
        <f t="shared" si="373"/>
        <v>0</v>
      </c>
      <c r="BJ196" s="224">
        <f t="shared" si="373"/>
        <v>0</v>
      </c>
      <c r="BK196" s="224">
        <f t="shared" si="373"/>
        <v>0</v>
      </c>
      <c r="BL196" s="224">
        <f t="shared" si="373"/>
        <v>0</v>
      </c>
      <c r="BM196" s="224">
        <f t="shared" si="373"/>
        <v>0</v>
      </c>
      <c r="BN196" s="224">
        <f t="shared" si="373"/>
        <v>0</v>
      </c>
      <c r="BO196" s="229">
        <f t="shared" si="262"/>
        <v>0</v>
      </c>
      <c r="BP196" s="229">
        <f t="shared" si="263"/>
        <v>0</v>
      </c>
      <c r="BQ196" s="229">
        <f t="shared" si="264"/>
        <v>0</v>
      </c>
      <c r="BR196" s="229">
        <f t="shared" si="265"/>
        <v>0</v>
      </c>
      <c r="BS196" s="229">
        <f t="shared" si="266"/>
        <v>0</v>
      </c>
      <c r="BT196" s="229">
        <f t="shared" si="267"/>
        <v>0</v>
      </c>
      <c r="BU196" s="229">
        <f t="shared" si="268"/>
        <v>0</v>
      </c>
      <c r="BV196" s="229">
        <f t="shared" si="269"/>
        <v>0</v>
      </c>
      <c r="BW196" s="229">
        <f t="shared" si="270"/>
        <v>0</v>
      </c>
      <c r="BX196" s="229">
        <f t="shared" si="271"/>
        <v>0</v>
      </c>
      <c r="BY196" s="229">
        <f t="shared" si="272"/>
        <v>0</v>
      </c>
      <c r="BZ196" s="229">
        <f t="shared" si="273"/>
        <v>0</v>
      </c>
      <c r="CA196" s="229">
        <f t="shared" si="274"/>
        <v>0</v>
      </c>
      <c r="CB196" s="229">
        <f t="shared" si="275"/>
        <v>0</v>
      </c>
      <c r="CC196" s="229">
        <f t="shared" si="276"/>
        <v>0</v>
      </c>
      <c r="CD196" s="229">
        <f t="shared" si="277"/>
        <v>0</v>
      </c>
      <c r="CE196" s="229">
        <f t="shared" si="278"/>
        <v>0</v>
      </c>
      <c r="CF196" s="229">
        <f t="shared" si="279"/>
        <v>0</v>
      </c>
      <c r="CG196" s="229">
        <f t="shared" si="280"/>
        <v>0</v>
      </c>
      <c r="CH196" s="229">
        <f t="shared" si="281"/>
        <v>0</v>
      </c>
      <c r="CI196" s="229">
        <f t="shared" si="282"/>
        <v>0</v>
      </c>
      <c r="CJ196" s="229">
        <f t="shared" si="283"/>
        <v>0</v>
      </c>
      <c r="CK196" s="229">
        <f t="shared" si="284"/>
        <v>0</v>
      </c>
      <c r="CL196" s="229">
        <f t="shared" si="285"/>
        <v>0</v>
      </c>
      <c r="CM196" s="224">
        <f t="shared" ref="CM196:CX196" si="374">IF($T63&gt;0,(((EXP(-(1/(Morning_Peak_Duration__hours*2))*(CM$141-(Morning_Peak_Time__24hr_clock+$C196))^2))+(EXP(-(1/(Afternoon_Peak_Duration__hours*2))*(CM$141-(Afternoon_Peak_Time__24hr_clock+$C196))^2)))*$V63)/TZCalibrationValue,0)</f>
        <v>0</v>
      </c>
      <c r="CN196" s="224">
        <f t="shared" si="374"/>
        <v>0</v>
      </c>
      <c r="CO196" s="224">
        <f t="shared" si="374"/>
        <v>0</v>
      </c>
      <c r="CP196" s="224">
        <f t="shared" si="374"/>
        <v>0</v>
      </c>
      <c r="CQ196" s="224">
        <f t="shared" si="374"/>
        <v>0</v>
      </c>
      <c r="CR196" s="224">
        <f t="shared" si="374"/>
        <v>0</v>
      </c>
      <c r="CS196" s="224">
        <f t="shared" si="374"/>
        <v>0</v>
      </c>
      <c r="CT196" s="224">
        <f t="shared" si="374"/>
        <v>0</v>
      </c>
      <c r="CU196" s="224">
        <f t="shared" si="374"/>
        <v>0</v>
      </c>
      <c r="CV196" s="224">
        <f t="shared" si="374"/>
        <v>0</v>
      </c>
      <c r="CW196" s="224">
        <f t="shared" si="374"/>
        <v>0</v>
      </c>
      <c r="CX196" s="224">
        <f t="shared" si="374"/>
        <v>0</v>
      </c>
      <c r="CY196" s="218"/>
    </row>
    <row r="197" spans="2:103" hidden="1" outlineLevel="1">
      <c r="B197" t="str">
        <f t="shared" si="233"/>
        <v>Site 56</v>
      </c>
      <c r="C197" s="230">
        <f>VLOOKUP(D64,'Scaling Tables'!$B$123:$C$149,2,FALSE)-VLOOKUP($C$4,'Scaling Tables'!$B$123:$C$149,2,FALSE)</f>
        <v>0</v>
      </c>
      <c r="D197" s="224">
        <f t="shared" ref="D197:O197" si="375">IF($T64&gt;0,(((EXP(-(1/(Morning_Peak_Duration__hours*2))*(D$141-(Morning_Peak_Time__24hr_clock+$C197))^2))+(EXP(-(1/(Afternoon_Peak_Duration__hours*2))*(D$141-(Afternoon_Peak_Time__24hr_clock+$C197))^2)))*$U64)/TZCalibrationValue,0)</f>
        <v>0</v>
      </c>
      <c r="E197" s="224">
        <f t="shared" si="375"/>
        <v>0</v>
      </c>
      <c r="F197" s="224">
        <f t="shared" si="375"/>
        <v>0</v>
      </c>
      <c r="G197" s="224">
        <f t="shared" si="375"/>
        <v>0</v>
      </c>
      <c r="H197" s="224">
        <f t="shared" si="375"/>
        <v>0</v>
      </c>
      <c r="I197" s="224">
        <f t="shared" si="375"/>
        <v>0</v>
      </c>
      <c r="J197" s="224">
        <f t="shared" si="375"/>
        <v>0</v>
      </c>
      <c r="K197" s="224">
        <f t="shared" si="375"/>
        <v>0</v>
      </c>
      <c r="L197" s="224">
        <f t="shared" si="375"/>
        <v>0</v>
      </c>
      <c r="M197" s="224">
        <f t="shared" si="375"/>
        <v>0</v>
      </c>
      <c r="N197" s="224">
        <f t="shared" si="375"/>
        <v>0</v>
      </c>
      <c r="O197" s="224">
        <f t="shared" si="375"/>
        <v>0</v>
      </c>
      <c r="P197" s="229">
        <f t="shared" si="235"/>
        <v>0</v>
      </c>
      <c r="Q197" s="229">
        <f t="shared" si="236"/>
        <v>0</v>
      </c>
      <c r="R197" s="229">
        <f t="shared" si="237"/>
        <v>0</v>
      </c>
      <c r="S197" s="229">
        <f t="shared" si="238"/>
        <v>0</v>
      </c>
      <c r="T197" s="229">
        <f t="shared" si="239"/>
        <v>0</v>
      </c>
      <c r="U197" s="229">
        <f t="shared" si="240"/>
        <v>0</v>
      </c>
      <c r="V197" s="229">
        <f t="shared" si="241"/>
        <v>0</v>
      </c>
      <c r="W197" s="229">
        <f t="shared" si="242"/>
        <v>0</v>
      </c>
      <c r="X197" s="229">
        <f t="shared" si="243"/>
        <v>0</v>
      </c>
      <c r="Y197" s="229">
        <f t="shared" si="244"/>
        <v>0</v>
      </c>
      <c r="Z197" s="229">
        <f t="shared" si="245"/>
        <v>0</v>
      </c>
      <c r="AA197" s="229">
        <f t="shared" si="246"/>
        <v>0</v>
      </c>
      <c r="AB197" s="229">
        <f t="shared" si="247"/>
        <v>0</v>
      </c>
      <c r="AC197" s="229">
        <f t="shared" si="248"/>
        <v>0</v>
      </c>
      <c r="AD197" s="229">
        <f t="shared" si="249"/>
        <v>0</v>
      </c>
      <c r="AE197" s="229">
        <f t="shared" si="250"/>
        <v>0</v>
      </c>
      <c r="AF197" s="229">
        <f t="shared" si="251"/>
        <v>0</v>
      </c>
      <c r="AG197" s="229">
        <f t="shared" si="252"/>
        <v>0</v>
      </c>
      <c r="AH197" s="229">
        <f t="shared" si="253"/>
        <v>0</v>
      </c>
      <c r="AI197" s="229">
        <f t="shared" si="254"/>
        <v>0</v>
      </c>
      <c r="AJ197" s="229">
        <f t="shared" si="255"/>
        <v>0</v>
      </c>
      <c r="AK197" s="229">
        <f t="shared" si="256"/>
        <v>0</v>
      </c>
      <c r="AL197" s="229">
        <f t="shared" si="257"/>
        <v>0</v>
      </c>
      <c r="AM197" s="229">
        <f t="shared" si="258"/>
        <v>0</v>
      </c>
      <c r="AN197" s="224">
        <f t="shared" ref="AN197:AY197" si="376">IF($T64&gt;0,(((EXP(-(1/(Morning_Peak_Duration__hours*2))*(AN$141-(Morning_Peak_Time__24hr_clock+$C197))^2))+(EXP(-(1/(Afternoon_Peak_Duration__hours*2))*(AN$141-(Afternoon_Peak_Time__24hr_clock+$C197))^2)))*$U64)/TZCalibrationValue,0)</f>
        <v>0</v>
      </c>
      <c r="AO197" s="224">
        <f t="shared" si="376"/>
        <v>0</v>
      </c>
      <c r="AP197" s="224">
        <f t="shared" si="376"/>
        <v>0</v>
      </c>
      <c r="AQ197" s="224">
        <f t="shared" si="376"/>
        <v>0</v>
      </c>
      <c r="AR197" s="224">
        <f t="shared" si="376"/>
        <v>0</v>
      </c>
      <c r="AS197" s="224">
        <f t="shared" si="376"/>
        <v>0</v>
      </c>
      <c r="AT197" s="224">
        <f t="shared" si="376"/>
        <v>0</v>
      </c>
      <c r="AU197" s="224">
        <f t="shared" si="376"/>
        <v>0</v>
      </c>
      <c r="AV197" s="224">
        <f t="shared" si="376"/>
        <v>0</v>
      </c>
      <c r="AW197" s="224">
        <f t="shared" si="376"/>
        <v>0</v>
      </c>
      <c r="AX197" s="224">
        <f t="shared" si="376"/>
        <v>0</v>
      </c>
      <c r="AY197" s="224">
        <f t="shared" si="376"/>
        <v>0</v>
      </c>
      <c r="AZ197" s="218"/>
      <c r="BA197"/>
      <c r="BB197" s="176" t="str">
        <f t="shared" si="260"/>
        <v>Site 56</v>
      </c>
      <c r="BC197" s="224">
        <f t="shared" ref="BC197:BN197" si="377">IF($T64&gt;0,(((EXP(-(1/(Morning_Peak_Duration__hours*2))*(BC$141-(Morning_Peak_Time__24hr_clock+$C197))^2))+(EXP(-(1/(Afternoon_Peak_Duration__hours*2))*(BC$141-(Afternoon_Peak_Time__24hr_clock+$C197))^2)))*$V64)/TZCalibrationValue,0)</f>
        <v>0</v>
      </c>
      <c r="BD197" s="224">
        <f t="shared" si="377"/>
        <v>0</v>
      </c>
      <c r="BE197" s="224">
        <f t="shared" si="377"/>
        <v>0</v>
      </c>
      <c r="BF197" s="224">
        <f t="shared" si="377"/>
        <v>0</v>
      </c>
      <c r="BG197" s="224">
        <f t="shared" si="377"/>
        <v>0</v>
      </c>
      <c r="BH197" s="224">
        <f t="shared" si="377"/>
        <v>0</v>
      </c>
      <c r="BI197" s="224">
        <f t="shared" si="377"/>
        <v>0</v>
      </c>
      <c r="BJ197" s="224">
        <f t="shared" si="377"/>
        <v>0</v>
      </c>
      <c r="BK197" s="224">
        <f t="shared" si="377"/>
        <v>0</v>
      </c>
      <c r="BL197" s="224">
        <f t="shared" si="377"/>
        <v>0</v>
      </c>
      <c r="BM197" s="224">
        <f t="shared" si="377"/>
        <v>0</v>
      </c>
      <c r="BN197" s="224">
        <f t="shared" si="377"/>
        <v>0</v>
      </c>
      <c r="BO197" s="229">
        <f t="shared" si="262"/>
        <v>0</v>
      </c>
      <c r="BP197" s="229">
        <f t="shared" si="263"/>
        <v>0</v>
      </c>
      <c r="BQ197" s="229">
        <f t="shared" si="264"/>
        <v>0</v>
      </c>
      <c r="BR197" s="229">
        <f t="shared" si="265"/>
        <v>0</v>
      </c>
      <c r="BS197" s="229">
        <f t="shared" si="266"/>
        <v>0</v>
      </c>
      <c r="BT197" s="229">
        <f t="shared" si="267"/>
        <v>0</v>
      </c>
      <c r="BU197" s="229">
        <f t="shared" si="268"/>
        <v>0</v>
      </c>
      <c r="BV197" s="229">
        <f t="shared" si="269"/>
        <v>0</v>
      </c>
      <c r="BW197" s="229">
        <f t="shared" si="270"/>
        <v>0</v>
      </c>
      <c r="BX197" s="229">
        <f t="shared" si="271"/>
        <v>0</v>
      </c>
      <c r="BY197" s="229">
        <f t="shared" si="272"/>
        <v>0</v>
      </c>
      <c r="BZ197" s="229">
        <f t="shared" si="273"/>
        <v>0</v>
      </c>
      <c r="CA197" s="229">
        <f t="shared" si="274"/>
        <v>0</v>
      </c>
      <c r="CB197" s="229">
        <f t="shared" si="275"/>
        <v>0</v>
      </c>
      <c r="CC197" s="229">
        <f t="shared" si="276"/>
        <v>0</v>
      </c>
      <c r="CD197" s="229">
        <f t="shared" si="277"/>
        <v>0</v>
      </c>
      <c r="CE197" s="229">
        <f t="shared" si="278"/>
        <v>0</v>
      </c>
      <c r="CF197" s="229">
        <f t="shared" si="279"/>
        <v>0</v>
      </c>
      <c r="CG197" s="229">
        <f t="shared" si="280"/>
        <v>0</v>
      </c>
      <c r="CH197" s="229">
        <f t="shared" si="281"/>
        <v>0</v>
      </c>
      <c r="CI197" s="229">
        <f t="shared" si="282"/>
        <v>0</v>
      </c>
      <c r="CJ197" s="229">
        <f t="shared" si="283"/>
        <v>0</v>
      </c>
      <c r="CK197" s="229">
        <f t="shared" si="284"/>
        <v>0</v>
      </c>
      <c r="CL197" s="229">
        <f t="shared" si="285"/>
        <v>0</v>
      </c>
      <c r="CM197" s="224">
        <f t="shared" ref="CM197:CX197" si="378">IF($T64&gt;0,(((EXP(-(1/(Morning_Peak_Duration__hours*2))*(CM$141-(Morning_Peak_Time__24hr_clock+$C197))^2))+(EXP(-(1/(Afternoon_Peak_Duration__hours*2))*(CM$141-(Afternoon_Peak_Time__24hr_clock+$C197))^2)))*$V64)/TZCalibrationValue,0)</f>
        <v>0</v>
      </c>
      <c r="CN197" s="224">
        <f t="shared" si="378"/>
        <v>0</v>
      </c>
      <c r="CO197" s="224">
        <f t="shared" si="378"/>
        <v>0</v>
      </c>
      <c r="CP197" s="224">
        <f t="shared" si="378"/>
        <v>0</v>
      </c>
      <c r="CQ197" s="224">
        <f t="shared" si="378"/>
        <v>0</v>
      </c>
      <c r="CR197" s="224">
        <f t="shared" si="378"/>
        <v>0</v>
      </c>
      <c r="CS197" s="224">
        <f t="shared" si="378"/>
        <v>0</v>
      </c>
      <c r="CT197" s="224">
        <f t="shared" si="378"/>
        <v>0</v>
      </c>
      <c r="CU197" s="224">
        <f t="shared" si="378"/>
        <v>0</v>
      </c>
      <c r="CV197" s="224">
        <f t="shared" si="378"/>
        <v>0</v>
      </c>
      <c r="CW197" s="224">
        <f t="shared" si="378"/>
        <v>0</v>
      </c>
      <c r="CX197" s="224">
        <f t="shared" si="378"/>
        <v>0</v>
      </c>
      <c r="CY197" s="218"/>
    </row>
    <row r="198" spans="2:103" hidden="1" outlineLevel="1">
      <c r="B198" t="str">
        <f t="shared" si="233"/>
        <v>Site 57</v>
      </c>
      <c r="C198" s="230">
        <f>VLOOKUP(D65,'Scaling Tables'!$B$123:$C$149,2,FALSE)-VLOOKUP($C$4,'Scaling Tables'!$B$123:$C$149,2,FALSE)</f>
        <v>0</v>
      </c>
      <c r="D198" s="224">
        <f t="shared" ref="D198:O198" si="379">IF($T65&gt;0,(((EXP(-(1/(Morning_Peak_Duration__hours*2))*(D$141-(Morning_Peak_Time__24hr_clock+$C198))^2))+(EXP(-(1/(Afternoon_Peak_Duration__hours*2))*(D$141-(Afternoon_Peak_Time__24hr_clock+$C198))^2)))*$U65)/TZCalibrationValue,0)</f>
        <v>0</v>
      </c>
      <c r="E198" s="224">
        <f t="shared" si="379"/>
        <v>0</v>
      </c>
      <c r="F198" s="224">
        <f t="shared" si="379"/>
        <v>0</v>
      </c>
      <c r="G198" s="224">
        <f t="shared" si="379"/>
        <v>0</v>
      </c>
      <c r="H198" s="224">
        <f t="shared" si="379"/>
        <v>0</v>
      </c>
      <c r="I198" s="224">
        <f t="shared" si="379"/>
        <v>0</v>
      </c>
      <c r="J198" s="224">
        <f t="shared" si="379"/>
        <v>0</v>
      </c>
      <c r="K198" s="224">
        <f t="shared" si="379"/>
        <v>0</v>
      </c>
      <c r="L198" s="224">
        <f t="shared" si="379"/>
        <v>0</v>
      </c>
      <c r="M198" s="224">
        <f t="shared" si="379"/>
        <v>0</v>
      </c>
      <c r="N198" s="224">
        <f t="shared" si="379"/>
        <v>0</v>
      </c>
      <c r="O198" s="224">
        <f t="shared" si="379"/>
        <v>0</v>
      </c>
      <c r="P198" s="229">
        <f t="shared" si="235"/>
        <v>0</v>
      </c>
      <c r="Q198" s="229">
        <f t="shared" si="236"/>
        <v>0</v>
      </c>
      <c r="R198" s="229">
        <f t="shared" si="237"/>
        <v>0</v>
      </c>
      <c r="S198" s="229">
        <f t="shared" si="238"/>
        <v>0</v>
      </c>
      <c r="T198" s="229">
        <f t="shared" si="239"/>
        <v>0</v>
      </c>
      <c r="U198" s="229">
        <f t="shared" si="240"/>
        <v>0</v>
      </c>
      <c r="V198" s="229">
        <f t="shared" si="241"/>
        <v>0</v>
      </c>
      <c r="W198" s="229">
        <f t="shared" si="242"/>
        <v>0</v>
      </c>
      <c r="X198" s="229">
        <f t="shared" si="243"/>
        <v>0</v>
      </c>
      <c r="Y198" s="229">
        <f t="shared" si="244"/>
        <v>0</v>
      </c>
      <c r="Z198" s="229">
        <f t="shared" si="245"/>
        <v>0</v>
      </c>
      <c r="AA198" s="229">
        <f t="shared" si="246"/>
        <v>0</v>
      </c>
      <c r="AB198" s="229">
        <f t="shared" si="247"/>
        <v>0</v>
      </c>
      <c r="AC198" s="229">
        <f t="shared" si="248"/>
        <v>0</v>
      </c>
      <c r="AD198" s="229">
        <f t="shared" si="249"/>
        <v>0</v>
      </c>
      <c r="AE198" s="229">
        <f t="shared" si="250"/>
        <v>0</v>
      </c>
      <c r="AF198" s="229">
        <f t="shared" si="251"/>
        <v>0</v>
      </c>
      <c r="AG198" s="229">
        <f t="shared" si="252"/>
        <v>0</v>
      </c>
      <c r="AH198" s="229">
        <f t="shared" si="253"/>
        <v>0</v>
      </c>
      <c r="AI198" s="229">
        <f t="shared" si="254"/>
        <v>0</v>
      </c>
      <c r="AJ198" s="229">
        <f t="shared" si="255"/>
        <v>0</v>
      </c>
      <c r="AK198" s="229">
        <f t="shared" si="256"/>
        <v>0</v>
      </c>
      <c r="AL198" s="229">
        <f t="shared" si="257"/>
        <v>0</v>
      </c>
      <c r="AM198" s="229">
        <f t="shared" si="258"/>
        <v>0</v>
      </c>
      <c r="AN198" s="224">
        <f t="shared" ref="AN198:AY198" si="380">IF($T65&gt;0,(((EXP(-(1/(Morning_Peak_Duration__hours*2))*(AN$141-(Morning_Peak_Time__24hr_clock+$C198))^2))+(EXP(-(1/(Afternoon_Peak_Duration__hours*2))*(AN$141-(Afternoon_Peak_Time__24hr_clock+$C198))^2)))*$U65)/TZCalibrationValue,0)</f>
        <v>0</v>
      </c>
      <c r="AO198" s="224">
        <f t="shared" si="380"/>
        <v>0</v>
      </c>
      <c r="AP198" s="224">
        <f t="shared" si="380"/>
        <v>0</v>
      </c>
      <c r="AQ198" s="224">
        <f t="shared" si="380"/>
        <v>0</v>
      </c>
      <c r="AR198" s="224">
        <f t="shared" si="380"/>
        <v>0</v>
      </c>
      <c r="AS198" s="224">
        <f t="shared" si="380"/>
        <v>0</v>
      </c>
      <c r="AT198" s="224">
        <f t="shared" si="380"/>
        <v>0</v>
      </c>
      <c r="AU198" s="224">
        <f t="shared" si="380"/>
        <v>0</v>
      </c>
      <c r="AV198" s="224">
        <f t="shared" si="380"/>
        <v>0</v>
      </c>
      <c r="AW198" s="224">
        <f t="shared" si="380"/>
        <v>0</v>
      </c>
      <c r="AX198" s="224">
        <f t="shared" si="380"/>
        <v>0</v>
      </c>
      <c r="AY198" s="224">
        <f t="shared" si="380"/>
        <v>0</v>
      </c>
      <c r="AZ198" s="218"/>
      <c r="BA198"/>
      <c r="BB198" s="176" t="str">
        <f t="shared" si="260"/>
        <v>Site 57</v>
      </c>
      <c r="BC198" s="224">
        <f t="shared" ref="BC198:BN198" si="381">IF($T65&gt;0,(((EXP(-(1/(Morning_Peak_Duration__hours*2))*(BC$141-(Morning_Peak_Time__24hr_clock+$C198))^2))+(EXP(-(1/(Afternoon_Peak_Duration__hours*2))*(BC$141-(Afternoon_Peak_Time__24hr_clock+$C198))^2)))*$V65)/TZCalibrationValue,0)</f>
        <v>0</v>
      </c>
      <c r="BD198" s="224">
        <f t="shared" si="381"/>
        <v>0</v>
      </c>
      <c r="BE198" s="224">
        <f t="shared" si="381"/>
        <v>0</v>
      </c>
      <c r="BF198" s="224">
        <f t="shared" si="381"/>
        <v>0</v>
      </c>
      <c r="BG198" s="224">
        <f t="shared" si="381"/>
        <v>0</v>
      </c>
      <c r="BH198" s="224">
        <f t="shared" si="381"/>
        <v>0</v>
      </c>
      <c r="BI198" s="224">
        <f t="shared" si="381"/>
        <v>0</v>
      </c>
      <c r="BJ198" s="224">
        <f t="shared" si="381"/>
        <v>0</v>
      </c>
      <c r="BK198" s="224">
        <f t="shared" si="381"/>
        <v>0</v>
      </c>
      <c r="BL198" s="224">
        <f t="shared" si="381"/>
        <v>0</v>
      </c>
      <c r="BM198" s="224">
        <f t="shared" si="381"/>
        <v>0</v>
      </c>
      <c r="BN198" s="224">
        <f t="shared" si="381"/>
        <v>0</v>
      </c>
      <c r="BO198" s="229">
        <f t="shared" si="262"/>
        <v>0</v>
      </c>
      <c r="BP198" s="229">
        <f t="shared" si="263"/>
        <v>0</v>
      </c>
      <c r="BQ198" s="229">
        <f t="shared" si="264"/>
        <v>0</v>
      </c>
      <c r="BR198" s="229">
        <f t="shared" si="265"/>
        <v>0</v>
      </c>
      <c r="BS198" s="229">
        <f t="shared" si="266"/>
        <v>0</v>
      </c>
      <c r="BT198" s="229">
        <f t="shared" si="267"/>
        <v>0</v>
      </c>
      <c r="BU198" s="229">
        <f t="shared" si="268"/>
        <v>0</v>
      </c>
      <c r="BV198" s="229">
        <f t="shared" si="269"/>
        <v>0</v>
      </c>
      <c r="BW198" s="229">
        <f t="shared" si="270"/>
        <v>0</v>
      </c>
      <c r="BX198" s="229">
        <f t="shared" si="271"/>
        <v>0</v>
      </c>
      <c r="BY198" s="229">
        <f t="shared" si="272"/>
        <v>0</v>
      </c>
      <c r="BZ198" s="229">
        <f t="shared" si="273"/>
        <v>0</v>
      </c>
      <c r="CA198" s="229">
        <f t="shared" si="274"/>
        <v>0</v>
      </c>
      <c r="CB198" s="229">
        <f t="shared" si="275"/>
        <v>0</v>
      </c>
      <c r="CC198" s="229">
        <f t="shared" si="276"/>
        <v>0</v>
      </c>
      <c r="CD198" s="229">
        <f t="shared" si="277"/>
        <v>0</v>
      </c>
      <c r="CE198" s="229">
        <f t="shared" si="278"/>
        <v>0</v>
      </c>
      <c r="CF198" s="229">
        <f t="shared" si="279"/>
        <v>0</v>
      </c>
      <c r="CG198" s="229">
        <f t="shared" si="280"/>
        <v>0</v>
      </c>
      <c r="CH198" s="229">
        <f t="shared" si="281"/>
        <v>0</v>
      </c>
      <c r="CI198" s="229">
        <f t="shared" si="282"/>
        <v>0</v>
      </c>
      <c r="CJ198" s="229">
        <f t="shared" si="283"/>
        <v>0</v>
      </c>
      <c r="CK198" s="229">
        <f t="shared" si="284"/>
        <v>0</v>
      </c>
      <c r="CL198" s="229">
        <f t="shared" si="285"/>
        <v>0</v>
      </c>
      <c r="CM198" s="224">
        <f t="shared" ref="CM198:CX198" si="382">IF($T65&gt;0,(((EXP(-(1/(Morning_Peak_Duration__hours*2))*(CM$141-(Morning_Peak_Time__24hr_clock+$C198))^2))+(EXP(-(1/(Afternoon_Peak_Duration__hours*2))*(CM$141-(Afternoon_Peak_Time__24hr_clock+$C198))^2)))*$V65)/TZCalibrationValue,0)</f>
        <v>0</v>
      </c>
      <c r="CN198" s="224">
        <f t="shared" si="382"/>
        <v>0</v>
      </c>
      <c r="CO198" s="224">
        <f t="shared" si="382"/>
        <v>0</v>
      </c>
      <c r="CP198" s="224">
        <f t="shared" si="382"/>
        <v>0</v>
      </c>
      <c r="CQ198" s="224">
        <f t="shared" si="382"/>
        <v>0</v>
      </c>
      <c r="CR198" s="224">
        <f t="shared" si="382"/>
        <v>0</v>
      </c>
      <c r="CS198" s="224">
        <f t="shared" si="382"/>
        <v>0</v>
      </c>
      <c r="CT198" s="224">
        <f t="shared" si="382"/>
        <v>0</v>
      </c>
      <c r="CU198" s="224">
        <f t="shared" si="382"/>
        <v>0</v>
      </c>
      <c r="CV198" s="224">
        <f t="shared" si="382"/>
        <v>0</v>
      </c>
      <c r="CW198" s="224">
        <f t="shared" si="382"/>
        <v>0</v>
      </c>
      <c r="CX198" s="224">
        <f t="shared" si="382"/>
        <v>0</v>
      </c>
      <c r="CY198" s="218"/>
    </row>
    <row r="199" spans="2:103" hidden="1" outlineLevel="1">
      <c r="B199" t="str">
        <f t="shared" si="233"/>
        <v>Site 58</v>
      </c>
      <c r="C199" s="230">
        <f>VLOOKUP(D66,'Scaling Tables'!$B$123:$C$149,2,FALSE)-VLOOKUP($C$4,'Scaling Tables'!$B$123:$C$149,2,FALSE)</f>
        <v>0</v>
      </c>
      <c r="D199" s="224">
        <f t="shared" ref="D199:O199" si="383">IF($T66&gt;0,(((EXP(-(1/(Morning_Peak_Duration__hours*2))*(D$141-(Morning_Peak_Time__24hr_clock+$C199))^2))+(EXP(-(1/(Afternoon_Peak_Duration__hours*2))*(D$141-(Afternoon_Peak_Time__24hr_clock+$C199))^2)))*$U66)/TZCalibrationValue,0)</f>
        <v>0</v>
      </c>
      <c r="E199" s="224">
        <f t="shared" si="383"/>
        <v>0</v>
      </c>
      <c r="F199" s="224">
        <f t="shared" si="383"/>
        <v>0</v>
      </c>
      <c r="G199" s="224">
        <f t="shared" si="383"/>
        <v>0</v>
      </c>
      <c r="H199" s="224">
        <f t="shared" si="383"/>
        <v>0</v>
      </c>
      <c r="I199" s="224">
        <f t="shared" si="383"/>
        <v>0</v>
      </c>
      <c r="J199" s="224">
        <f t="shared" si="383"/>
        <v>0</v>
      </c>
      <c r="K199" s="224">
        <f t="shared" si="383"/>
        <v>0</v>
      </c>
      <c r="L199" s="224">
        <f t="shared" si="383"/>
        <v>0</v>
      </c>
      <c r="M199" s="224">
        <f t="shared" si="383"/>
        <v>0</v>
      </c>
      <c r="N199" s="224">
        <f t="shared" si="383"/>
        <v>0</v>
      </c>
      <c r="O199" s="224">
        <f t="shared" si="383"/>
        <v>0</v>
      </c>
      <c r="P199" s="229">
        <f t="shared" si="235"/>
        <v>0</v>
      </c>
      <c r="Q199" s="229">
        <f t="shared" si="236"/>
        <v>0</v>
      </c>
      <c r="R199" s="229">
        <f t="shared" si="237"/>
        <v>0</v>
      </c>
      <c r="S199" s="229">
        <f t="shared" si="238"/>
        <v>0</v>
      </c>
      <c r="T199" s="229">
        <f t="shared" si="239"/>
        <v>0</v>
      </c>
      <c r="U199" s="229">
        <f t="shared" si="240"/>
        <v>0</v>
      </c>
      <c r="V199" s="229">
        <f t="shared" si="241"/>
        <v>0</v>
      </c>
      <c r="W199" s="229">
        <f t="shared" si="242"/>
        <v>0</v>
      </c>
      <c r="X199" s="229">
        <f t="shared" si="243"/>
        <v>0</v>
      </c>
      <c r="Y199" s="229">
        <f t="shared" si="244"/>
        <v>0</v>
      </c>
      <c r="Z199" s="229">
        <f t="shared" si="245"/>
        <v>0</v>
      </c>
      <c r="AA199" s="229">
        <f t="shared" si="246"/>
        <v>0</v>
      </c>
      <c r="AB199" s="229">
        <f t="shared" si="247"/>
        <v>0</v>
      </c>
      <c r="AC199" s="229">
        <f t="shared" si="248"/>
        <v>0</v>
      </c>
      <c r="AD199" s="229">
        <f t="shared" si="249"/>
        <v>0</v>
      </c>
      <c r="AE199" s="229">
        <f t="shared" si="250"/>
        <v>0</v>
      </c>
      <c r="AF199" s="229">
        <f t="shared" si="251"/>
        <v>0</v>
      </c>
      <c r="AG199" s="229">
        <f t="shared" si="252"/>
        <v>0</v>
      </c>
      <c r="AH199" s="229">
        <f t="shared" si="253"/>
        <v>0</v>
      </c>
      <c r="AI199" s="229">
        <f t="shared" si="254"/>
        <v>0</v>
      </c>
      <c r="AJ199" s="229">
        <f t="shared" si="255"/>
        <v>0</v>
      </c>
      <c r="AK199" s="229">
        <f t="shared" si="256"/>
        <v>0</v>
      </c>
      <c r="AL199" s="229">
        <f t="shared" si="257"/>
        <v>0</v>
      </c>
      <c r="AM199" s="229">
        <f t="shared" si="258"/>
        <v>0</v>
      </c>
      <c r="AN199" s="224">
        <f t="shared" ref="AN199:AY199" si="384">IF($T66&gt;0,(((EXP(-(1/(Morning_Peak_Duration__hours*2))*(AN$141-(Morning_Peak_Time__24hr_clock+$C199))^2))+(EXP(-(1/(Afternoon_Peak_Duration__hours*2))*(AN$141-(Afternoon_Peak_Time__24hr_clock+$C199))^2)))*$U66)/TZCalibrationValue,0)</f>
        <v>0</v>
      </c>
      <c r="AO199" s="224">
        <f t="shared" si="384"/>
        <v>0</v>
      </c>
      <c r="AP199" s="224">
        <f t="shared" si="384"/>
        <v>0</v>
      </c>
      <c r="AQ199" s="224">
        <f t="shared" si="384"/>
        <v>0</v>
      </c>
      <c r="AR199" s="224">
        <f t="shared" si="384"/>
        <v>0</v>
      </c>
      <c r="AS199" s="224">
        <f t="shared" si="384"/>
        <v>0</v>
      </c>
      <c r="AT199" s="224">
        <f t="shared" si="384"/>
        <v>0</v>
      </c>
      <c r="AU199" s="224">
        <f t="shared" si="384"/>
        <v>0</v>
      </c>
      <c r="AV199" s="224">
        <f t="shared" si="384"/>
        <v>0</v>
      </c>
      <c r="AW199" s="224">
        <f t="shared" si="384"/>
        <v>0</v>
      </c>
      <c r="AX199" s="224">
        <f t="shared" si="384"/>
        <v>0</v>
      </c>
      <c r="AY199" s="224">
        <f t="shared" si="384"/>
        <v>0</v>
      </c>
      <c r="AZ199" s="218"/>
      <c r="BA199"/>
      <c r="BB199" s="176" t="str">
        <f t="shared" si="260"/>
        <v>Site 58</v>
      </c>
      <c r="BC199" s="224">
        <f t="shared" ref="BC199:BN199" si="385">IF($T66&gt;0,(((EXP(-(1/(Morning_Peak_Duration__hours*2))*(BC$141-(Morning_Peak_Time__24hr_clock+$C199))^2))+(EXP(-(1/(Afternoon_Peak_Duration__hours*2))*(BC$141-(Afternoon_Peak_Time__24hr_clock+$C199))^2)))*$V66)/TZCalibrationValue,0)</f>
        <v>0</v>
      </c>
      <c r="BD199" s="224">
        <f t="shared" si="385"/>
        <v>0</v>
      </c>
      <c r="BE199" s="224">
        <f t="shared" si="385"/>
        <v>0</v>
      </c>
      <c r="BF199" s="224">
        <f t="shared" si="385"/>
        <v>0</v>
      </c>
      <c r="BG199" s="224">
        <f t="shared" si="385"/>
        <v>0</v>
      </c>
      <c r="BH199" s="224">
        <f t="shared" si="385"/>
        <v>0</v>
      </c>
      <c r="BI199" s="224">
        <f t="shared" si="385"/>
        <v>0</v>
      </c>
      <c r="BJ199" s="224">
        <f t="shared" si="385"/>
        <v>0</v>
      </c>
      <c r="BK199" s="224">
        <f t="shared" si="385"/>
        <v>0</v>
      </c>
      <c r="BL199" s="224">
        <f t="shared" si="385"/>
        <v>0</v>
      </c>
      <c r="BM199" s="224">
        <f t="shared" si="385"/>
        <v>0</v>
      </c>
      <c r="BN199" s="224">
        <f t="shared" si="385"/>
        <v>0</v>
      </c>
      <c r="BO199" s="229">
        <f t="shared" si="262"/>
        <v>0</v>
      </c>
      <c r="BP199" s="229">
        <f t="shared" si="263"/>
        <v>0</v>
      </c>
      <c r="BQ199" s="229">
        <f t="shared" si="264"/>
        <v>0</v>
      </c>
      <c r="BR199" s="229">
        <f t="shared" si="265"/>
        <v>0</v>
      </c>
      <c r="BS199" s="229">
        <f t="shared" si="266"/>
        <v>0</v>
      </c>
      <c r="BT199" s="229">
        <f t="shared" si="267"/>
        <v>0</v>
      </c>
      <c r="BU199" s="229">
        <f t="shared" si="268"/>
        <v>0</v>
      </c>
      <c r="BV199" s="229">
        <f t="shared" si="269"/>
        <v>0</v>
      </c>
      <c r="BW199" s="229">
        <f t="shared" si="270"/>
        <v>0</v>
      </c>
      <c r="BX199" s="229">
        <f t="shared" si="271"/>
        <v>0</v>
      </c>
      <c r="BY199" s="229">
        <f t="shared" si="272"/>
        <v>0</v>
      </c>
      <c r="BZ199" s="229">
        <f t="shared" si="273"/>
        <v>0</v>
      </c>
      <c r="CA199" s="229">
        <f t="shared" si="274"/>
        <v>0</v>
      </c>
      <c r="CB199" s="229">
        <f t="shared" si="275"/>
        <v>0</v>
      </c>
      <c r="CC199" s="229">
        <f t="shared" si="276"/>
        <v>0</v>
      </c>
      <c r="CD199" s="229">
        <f t="shared" si="277"/>
        <v>0</v>
      </c>
      <c r="CE199" s="229">
        <f t="shared" si="278"/>
        <v>0</v>
      </c>
      <c r="CF199" s="229">
        <f t="shared" si="279"/>
        <v>0</v>
      </c>
      <c r="CG199" s="229">
        <f t="shared" si="280"/>
        <v>0</v>
      </c>
      <c r="CH199" s="229">
        <f t="shared" si="281"/>
        <v>0</v>
      </c>
      <c r="CI199" s="229">
        <f t="shared" si="282"/>
        <v>0</v>
      </c>
      <c r="CJ199" s="229">
        <f t="shared" si="283"/>
        <v>0</v>
      </c>
      <c r="CK199" s="229">
        <f t="shared" si="284"/>
        <v>0</v>
      </c>
      <c r="CL199" s="229">
        <f t="shared" si="285"/>
        <v>0</v>
      </c>
      <c r="CM199" s="224">
        <f t="shared" ref="CM199:CX199" si="386">IF($T66&gt;0,(((EXP(-(1/(Morning_Peak_Duration__hours*2))*(CM$141-(Morning_Peak_Time__24hr_clock+$C199))^2))+(EXP(-(1/(Afternoon_Peak_Duration__hours*2))*(CM$141-(Afternoon_Peak_Time__24hr_clock+$C199))^2)))*$V66)/TZCalibrationValue,0)</f>
        <v>0</v>
      </c>
      <c r="CN199" s="224">
        <f t="shared" si="386"/>
        <v>0</v>
      </c>
      <c r="CO199" s="224">
        <f t="shared" si="386"/>
        <v>0</v>
      </c>
      <c r="CP199" s="224">
        <f t="shared" si="386"/>
        <v>0</v>
      </c>
      <c r="CQ199" s="224">
        <f t="shared" si="386"/>
        <v>0</v>
      </c>
      <c r="CR199" s="224">
        <f t="shared" si="386"/>
        <v>0</v>
      </c>
      <c r="CS199" s="224">
        <f t="shared" si="386"/>
        <v>0</v>
      </c>
      <c r="CT199" s="224">
        <f t="shared" si="386"/>
        <v>0</v>
      </c>
      <c r="CU199" s="224">
        <f t="shared" si="386"/>
        <v>0</v>
      </c>
      <c r="CV199" s="224">
        <f t="shared" si="386"/>
        <v>0</v>
      </c>
      <c r="CW199" s="224">
        <f t="shared" si="386"/>
        <v>0</v>
      </c>
      <c r="CX199" s="224">
        <f t="shared" si="386"/>
        <v>0</v>
      </c>
      <c r="CY199" s="218"/>
    </row>
    <row r="200" spans="2:103" hidden="1" outlineLevel="1">
      <c r="B200" t="str">
        <f t="shared" si="233"/>
        <v>Site 59</v>
      </c>
      <c r="C200" s="230">
        <f>VLOOKUP(D67,'Scaling Tables'!$B$123:$C$149,2,FALSE)-VLOOKUP($C$4,'Scaling Tables'!$B$123:$C$149,2,FALSE)</f>
        <v>0</v>
      </c>
      <c r="D200" s="224">
        <f t="shared" ref="D200:O200" si="387">IF($T67&gt;0,(((EXP(-(1/(Morning_Peak_Duration__hours*2))*(D$141-(Morning_Peak_Time__24hr_clock+$C200))^2))+(EXP(-(1/(Afternoon_Peak_Duration__hours*2))*(D$141-(Afternoon_Peak_Time__24hr_clock+$C200))^2)))*$U67)/TZCalibrationValue,0)</f>
        <v>0</v>
      </c>
      <c r="E200" s="224">
        <f t="shared" si="387"/>
        <v>0</v>
      </c>
      <c r="F200" s="224">
        <f t="shared" si="387"/>
        <v>0</v>
      </c>
      <c r="G200" s="224">
        <f t="shared" si="387"/>
        <v>0</v>
      </c>
      <c r="H200" s="224">
        <f t="shared" si="387"/>
        <v>0</v>
      </c>
      <c r="I200" s="224">
        <f t="shared" si="387"/>
        <v>0</v>
      </c>
      <c r="J200" s="224">
        <f t="shared" si="387"/>
        <v>0</v>
      </c>
      <c r="K200" s="224">
        <f t="shared" si="387"/>
        <v>0</v>
      </c>
      <c r="L200" s="224">
        <f t="shared" si="387"/>
        <v>0</v>
      </c>
      <c r="M200" s="224">
        <f t="shared" si="387"/>
        <v>0</v>
      </c>
      <c r="N200" s="224">
        <f t="shared" si="387"/>
        <v>0</v>
      </c>
      <c r="O200" s="224">
        <f t="shared" si="387"/>
        <v>0</v>
      </c>
      <c r="P200" s="229">
        <f t="shared" si="235"/>
        <v>0</v>
      </c>
      <c r="Q200" s="229">
        <f t="shared" si="236"/>
        <v>0</v>
      </c>
      <c r="R200" s="229">
        <f t="shared" si="237"/>
        <v>0</v>
      </c>
      <c r="S200" s="229">
        <f t="shared" si="238"/>
        <v>0</v>
      </c>
      <c r="T200" s="229">
        <f t="shared" si="239"/>
        <v>0</v>
      </c>
      <c r="U200" s="229">
        <f t="shared" si="240"/>
        <v>0</v>
      </c>
      <c r="V200" s="229">
        <f t="shared" si="241"/>
        <v>0</v>
      </c>
      <c r="W200" s="229">
        <f t="shared" si="242"/>
        <v>0</v>
      </c>
      <c r="X200" s="229">
        <f t="shared" si="243"/>
        <v>0</v>
      </c>
      <c r="Y200" s="229">
        <f t="shared" si="244"/>
        <v>0</v>
      </c>
      <c r="Z200" s="229">
        <f t="shared" si="245"/>
        <v>0</v>
      </c>
      <c r="AA200" s="229">
        <f t="shared" si="246"/>
        <v>0</v>
      </c>
      <c r="AB200" s="229">
        <f t="shared" si="247"/>
        <v>0</v>
      </c>
      <c r="AC200" s="229">
        <f t="shared" si="248"/>
        <v>0</v>
      </c>
      <c r="AD200" s="229">
        <f t="shared" si="249"/>
        <v>0</v>
      </c>
      <c r="AE200" s="229">
        <f t="shared" si="250"/>
        <v>0</v>
      </c>
      <c r="AF200" s="229">
        <f t="shared" si="251"/>
        <v>0</v>
      </c>
      <c r="AG200" s="229">
        <f t="shared" si="252"/>
        <v>0</v>
      </c>
      <c r="AH200" s="229">
        <f t="shared" si="253"/>
        <v>0</v>
      </c>
      <c r="AI200" s="229">
        <f t="shared" si="254"/>
        <v>0</v>
      </c>
      <c r="AJ200" s="229">
        <f t="shared" si="255"/>
        <v>0</v>
      </c>
      <c r="AK200" s="229">
        <f t="shared" si="256"/>
        <v>0</v>
      </c>
      <c r="AL200" s="229">
        <f t="shared" si="257"/>
        <v>0</v>
      </c>
      <c r="AM200" s="229">
        <f t="shared" si="258"/>
        <v>0</v>
      </c>
      <c r="AN200" s="224">
        <f t="shared" ref="AN200:AY200" si="388">IF($T67&gt;0,(((EXP(-(1/(Morning_Peak_Duration__hours*2))*(AN$141-(Morning_Peak_Time__24hr_clock+$C200))^2))+(EXP(-(1/(Afternoon_Peak_Duration__hours*2))*(AN$141-(Afternoon_Peak_Time__24hr_clock+$C200))^2)))*$U67)/TZCalibrationValue,0)</f>
        <v>0</v>
      </c>
      <c r="AO200" s="224">
        <f t="shared" si="388"/>
        <v>0</v>
      </c>
      <c r="AP200" s="224">
        <f t="shared" si="388"/>
        <v>0</v>
      </c>
      <c r="AQ200" s="224">
        <f t="shared" si="388"/>
        <v>0</v>
      </c>
      <c r="AR200" s="224">
        <f t="shared" si="388"/>
        <v>0</v>
      </c>
      <c r="AS200" s="224">
        <f t="shared" si="388"/>
        <v>0</v>
      </c>
      <c r="AT200" s="224">
        <f t="shared" si="388"/>
        <v>0</v>
      </c>
      <c r="AU200" s="224">
        <f t="shared" si="388"/>
        <v>0</v>
      </c>
      <c r="AV200" s="224">
        <f t="shared" si="388"/>
        <v>0</v>
      </c>
      <c r="AW200" s="224">
        <f t="shared" si="388"/>
        <v>0</v>
      </c>
      <c r="AX200" s="224">
        <f t="shared" si="388"/>
        <v>0</v>
      </c>
      <c r="AY200" s="224">
        <f t="shared" si="388"/>
        <v>0</v>
      </c>
      <c r="AZ200" s="218"/>
      <c r="BA200"/>
      <c r="BB200" s="176" t="str">
        <f t="shared" si="260"/>
        <v>Site 59</v>
      </c>
      <c r="BC200" s="224">
        <f t="shared" ref="BC200:BN200" si="389">IF($T67&gt;0,(((EXP(-(1/(Morning_Peak_Duration__hours*2))*(BC$141-(Morning_Peak_Time__24hr_clock+$C200))^2))+(EXP(-(1/(Afternoon_Peak_Duration__hours*2))*(BC$141-(Afternoon_Peak_Time__24hr_clock+$C200))^2)))*$V67)/TZCalibrationValue,0)</f>
        <v>0</v>
      </c>
      <c r="BD200" s="224">
        <f t="shared" si="389"/>
        <v>0</v>
      </c>
      <c r="BE200" s="224">
        <f t="shared" si="389"/>
        <v>0</v>
      </c>
      <c r="BF200" s="224">
        <f t="shared" si="389"/>
        <v>0</v>
      </c>
      <c r="BG200" s="224">
        <f t="shared" si="389"/>
        <v>0</v>
      </c>
      <c r="BH200" s="224">
        <f t="shared" si="389"/>
        <v>0</v>
      </c>
      <c r="BI200" s="224">
        <f t="shared" si="389"/>
        <v>0</v>
      </c>
      <c r="BJ200" s="224">
        <f t="shared" si="389"/>
        <v>0</v>
      </c>
      <c r="BK200" s="224">
        <f t="shared" si="389"/>
        <v>0</v>
      </c>
      <c r="BL200" s="224">
        <f t="shared" si="389"/>
        <v>0</v>
      </c>
      <c r="BM200" s="224">
        <f t="shared" si="389"/>
        <v>0</v>
      </c>
      <c r="BN200" s="224">
        <f t="shared" si="389"/>
        <v>0</v>
      </c>
      <c r="BO200" s="229">
        <f t="shared" si="262"/>
        <v>0</v>
      </c>
      <c r="BP200" s="229">
        <f t="shared" si="263"/>
        <v>0</v>
      </c>
      <c r="BQ200" s="229">
        <f t="shared" si="264"/>
        <v>0</v>
      </c>
      <c r="BR200" s="229">
        <f t="shared" si="265"/>
        <v>0</v>
      </c>
      <c r="BS200" s="229">
        <f t="shared" si="266"/>
        <v>0</v>
      </c>
      <c r="BT200" s="229">
        <f t="shared" si="267"/>
        <v>0</v>
      </c>
      <c r="BU200" s="229">
        <f t="shared" si="268"/>
        <v>0</v>
      </c>
      <c r="BV200" s="229">
        <f t="shared" si="269"/>
        <v>0</v>
      </c>
      <c r="BW200" s="229">
        <f t="shared" si="270"/>
        <v>0</v>
      </c>
      <c r="BX200" s="229">
        <f t="shared" si="271"/>
        <v>0</v>
      </c>
      <c r="BY200" s="229">
        <f t="shared" si="272"/>
        <v>0</v>
      </c>
      <c r="BZ200" s="229">
        <f t="shared" si="273"/>
        <v>0</v>
      </c>
      <c r="CA200" s="229">
        <f t="shared" si="274"/>
        <v>0</v>
      </c>
      <c r="CB200" s="229">
        <f t="shared" si="275"/>
        <v>0</v>
      </c>
      <c r="CC200" s="229">
        <f t="shared" si="276"/>
        <v>0</v>
      </c>
      <c r="CD200" s="229">
        <f t="shared" si="277"/>
        <v>0</v>
      </c>
      <c r="CE200" s="229">
        <f t="shared" si="278"/>
        <v>0</v>
      </c>
      <c r="CF200" s="229">
        <f t="shared" si="279"/>
        <v>0</v>
      </c>
      <c r="CG200" s="229">
        <f t="shared" si="280"/>
        <v>0</v>
      </c>
      <c r="CH200" s="229">
        <f t="shared" si="281"/>
        <v>0</v>
      </c>
      <c r="CI200" s="229">
        <f t="shared" si="282"/>
        <v>0</v>
      </c>
      <c r="CJ200" s="229">
        <f t="shared" si="283"/>
        <v>0</v>
      </c>
      <c r="CK200" s="229">
        <f t="shared" si="284"/>
        <v>0</v>
      </c>
      <c r="CL200" s="229">
        <f t="shared" si="285"/>
        <v>0</v>
      </c>
      <c r="CM200" s="224">
        <f t="shared" ref="CM200:CX200" si="390">IF($T67&gt;0,(((EXP(-(1/(Morning_Peak_Duration__hours*2))*(CM$141-(Morning_Peak_Time__24hr_clock+$C200))^2))+(EXP(-(1/(Afternoon_Peak_Duration__hours*2))*(CM$141-(Afternoon_Peak_Time__24hr_clock+$C200))^2)))*$V67)/TZCalibrationValue,0)</f>
        <v>0</v>
      </c>
      <c r="CN200" s="224">
        <f t="shared" si="390"/>
        <v>0</v>
      </c>
      <c r="CO200" s="224">
        <f t="shared" si="390"/>
        <v>0</v>
      </c>
      <c r="CP200" s="224">
        <f t="shared" si="390"/>
        <v>0</v>
      </c>
      <c r="CQ200" s="224">
        <f t="shared" si="390"/>
        <v>0</v>
      </c>
      <c r="CR200" s="224">
        <f t="shared" si="390"/>
        <v>0</v>
      </c>
      <c r="CS200" s="224">
        <f t="shared" si="390"/>
        <v>0</v>
      </c>
      <c r="CT200" s="224">
        <f t="shared" si="390"/>
        <v>0</v>
      </c>
      <c r="CU200" s="224">
        <f t="shared" si="390"/>
        <v>0</v>
      </c>
      <c r="CV200" s="224">
        <f t="shared" si="390"/>
        <v>0</v>
      </c>
      <c r="CW200" s="224">
        <f t="shared" si="390"/>
        <v>0</v>
      </c>
      <c r="CX200" s="224">
        <f t="shared" si="390"/>
        <v>0</v>
      </c>
      <c r="CY200" s="218"/>
    </row>
    <row r="201" spans="2:103" hidden="1" outlineLevel="1">
      <c r="B201" t="str">
        <f t="shared" si="233"/>
        <v>Site 60</v>
      </c>
      <c r="C201" s="230">
        <f>VLOOKUP(D68,'Scaling Tables'!$B$123:$C$149,2,FALSE)-VLOOKUP($C$4,'Scaling Tables'!$B$123:$C$149,2,FALSE)</f>
        <v>0</v>
      </c>
      <c r="D201" s="224">
        <f t="shared" ref="D201:O201" si="391">IF($T68&gt;0,(((EXP(-(1/(Morning_Peak_Duration__hours*2))*(D$141-(Morning_Peak_Time__24hr_clock+$C201))^2))+(EXP(-(1/(Afternoon_Peak_Duration__hours*2))*(D$141-(Afternoon_Peak_Time__24hr_clock+$C201))^2)))*$U68)/TZCalibrationValue,0)</f>
        <v>0</v>
      </c>
      <c r="E201" s="224">
        <f t="shared" si="391"/>
        <v>0</v>
      </c>
      <c r="F201" s="224">
        <f t="shared" si="391"/>
        <v>0</v>
      </c>
      <c r="G201" s="224">
        <f t="shared" si="391"/>
        <v>0</v>
      </c>
      <c r="H201" s="224">
        <f t="shared" si="391"/>
        <v>0</v>
      </c>
      <c r="I201" s="224">
        <f t="shared" si="391"/>
        <v>0</v>
      </c>
      <c r="J201" s="224">
        <f t="shared" si="391"/>
        <v>0</v>
      </c>
      <c r="K201" s="224">
        <f t="shared" si="391"/>
        <v>0</v>
      </c>
      <c r="L201" s="224">
        <f t="shared" si="391"/>
        <v>0</v>
      </c>
      <c r="M201" s="224">
        <f t="shared" si="391"/>
        <v>0</v>
      </c>
      <c r="N201" s="224">
        <f t="shared" si="391"/>
        <v>0</v>
      </c>
      <c r="O201" s="224">
        <f t="shared" si="391"/>
        <v>0</v>
      </c>
      <c r="P201" s="229">
        <f t="shared" si="235"/>
        <v>0</v>
      </c>
      <c r="Q201" s="229">
        <f t="shared" si="236"/>
        <v>0</v>
      </c>
      <c r="R201" s="229">
        <f t="shared" si="237"/>
        <v>0</v>
      </c>
      <c r="S201" s="229">
        <f t="shared" si="238"/>
        <v>0</v>
      </c>
      <c r="T201" s="229">
        <f t="shared" si="239"/>
        <v>0</v>
      </c>
      <c r="U201" s="229">
        <f t="shared" si="240"/>
        <v>0</v>
      </c>
      <c r="V201" s="229">
        <f t="shared" si="241"/>
        <v>0</v>
      </c>
      <c r="W201" s="229">
        <f t="shared" si="242"/>
        <v>0</v>
      </c>
      <c r="X201" s="229">
        <f t="shared" si="243"/>
        <v>0</v>
      </c>
      <c r="Y201" s="229">
        <f t="shared" si="244"/>
        <v>0</v>
      </c>
      <c r="Z201" s="229">
        <f t="shared" si="245"/>
        <v>0</v>
      </c>
      <c r="AA201" s="229">
        <f t="shared" si="246"/>
        <v>0</v>
      </c>
      <c r="AB201" s="229">
        <f t="shared" si="247"/>
        <v>0</v>
      </c>
      <c r="AC201" s="229">
        <f t="shared" si="248"/>
        <v>0</v>
      </c>
      <c r="AD201" s="229">
        <f t="shared" si="249"/>
        <v>0</v>
      </c>
      <c r="AE201" s="229">
        <f t="shared" si="250"/>
        <v>0</v>
      </c>
      <c r="AF201" s="229">
        <f t="shared" si="251"/>
        <v>0</v>
      </c>
      <c r="AG201" s="229">
        <f t="shared" si="252"/>
        <v>0</v>
      </c>
      <c r="AH201" s="229">
        <f t="shared" si="253"/>
        <v>0</v>
      </c>
      <c r="AI201" s="229">
        <f t="shared" si="254"/>
        <v>0</v>
      </c>
      <c r="AJ201" s="229">
        <f t="shared" si="255"/>
        <v>0</v>
      </c>
      <c r="AK201" s="229">
        <f t="shared" si="256"/>
        <v>0</v>
      </c>
      <c r="AL201" s="229">
        <f t="shared" si="257"/>
        <v>0</v>
      </c>
      <c r="AM201" s="229">
        <f t="shared" si="258"/>
        <v>0</v>
      </c>
      <c r="AN201" s="224">
        <f t="shared" ref="AN201:AY201" si="392">IF($T68&gt;0,(((EXP(-(1/(Morning_Peak_Duration__hours*2))*(AN$141-(Morning_Peak_Time__24hr_clock+$C201))^2))+(EXP(-(1/(Afternoon_Peak_Duration__hours*2))*(AN$141-(Afternoon_Peak_Time__24hr_clock+$C201))^2)))*$U68)/TZCalibrationValue,0)</f>
        <v>0</v>
      </c>
      <c r="AO201" s="224">
        <f t="shared" si="392"/>
        <v>0</v>
      </c>
      <c r="AP201" s="224">
        <f t="shared" si="392"/>
        <v>0</v>
      </c>
      <c r="AQ201" s="224">
        <f t="shared" si="392"/>
        <v>0</v>
      </c>
      <c r="AR201" s="224">
        <f t="shared" si="392"/>
        <v>0</v>
      </c>
      <c r="AS201" s="224">
        <f t="shared" si="392"/>
        <v>0</v>
      </c>
      <c r="AT201" s="224">
        <f t="shared" si="392"/>
        <v>0</v>
      </c>
      <c r="AU201" s="224">
        <f t="shared" si="392"/>
        <v>0</v>
      </c>
      <c r="AV201" s="224">
        <f t="shared" si="392"/>
        <v>0</v>
      </c>
      <c r="AW201" s="224">
        <f t="shared" si="392"/>
        <v>0</v>
      </c>
      <c r="AX201" s="224">
        <f t="shared" si="392"/>
        <v>0</v>
      </c>
      <c r="AY201" s="224">
        <f t="shared" si="392"/>
        <v>0</v>
      </c>
      <c r="AZ201" s="218"/>
      <c r="BA201"/>
      <c r="BB201" s="176" t="str">
        <f t="shared" si="260"/>
        <v>Site 60</v>
      </c>
      <c r="BC201" s="224">
        <f t="shared" ref="BC201:BN201" si="393">IF($T68&gt;0,(((EXP(-(1/(Morning_Peak_Duration__hours*2))*(BC$141-(Morning_Peak_Time__24hr_clock+$C201))^2))+(EXP(-(1/(Afternoon_Peak_Duration__hours*2))*(BC$141-(Afternoon_Peak_Time__24hr_clock+$C201))^2)))*$V68)/TZCalibrationValue,0)</f>
        <v>0</v>
      </c>
      <c r="BD201" s="224">
        <f t="shared" si="393"/>
        <v>0</v>
      </c>
      <c r="BE201" s="224">
        <f t="shared" si="393"/>
        <v>0</v>
      </c>
      <c r="BF201" s="224">
        <f t="shared" si="393"/>
        <v>0</v>
      </c>
      <c r="BG201" s="224">
        <f t="shared" si="393"/>
        <v>0</v>
      </c>
      <c r="BH201" s="224">
        <f t="shared" si="393"/>
        <v>0</v>
      </c>
      <c r="BI201" s="224">
        <f t="shared" si="393"/>
        <v>0</v>
      </c>
      <c r="BJ201" s="224">
        <f t="shared" si="393"/>
        <v>0</v>
      </c>
      <c r="BK201" s="224">
        <f t="shared" si="393"/>
        <v>0</v>
      </c>
      <c r="BL201" s="224">
        <f t="shared" si="393"/>
        <v>0</v>
      </c>
      <c r="BM201" s="224">
        <f t="shared" si="393"/>
        <v>0</v>
      </c>
      <c r="BN201" s="224">
        <f t="shared" si="393"/>
        <v>0</v>
      </c>
      <c r="BO201" s="229">
        <f t="shared" si="262"/>
        <v>0</v>
      </c>
      <c r="BP201" s="229">
        <f t="shared" si="263"/>
        <v>0</v>
      </c>
      <c r="BQ201" s="229">
        <f t="shared" si="264"/>
        <v>0</v>
      </c>
      <c r="BR201" s="229">
        <f t="shared" si="265"/>
        <v>0</v>
      </c>
      <c r="BS201" s="229">
        <f t="shared" si="266"/>
        <v>0</v>
      </c>
      <c r="BT201" s="229">
        <f t="shared" si="267"/>
        <v>0</v>
      </c>
      <c r="BU201" s="229">
        <f t="shared" si="268"/>
        <v>0</v>
      </c>
      <c r="BV201" s="229">
        <f t="shared" si="269"/>
        <v>0</v>
      </c>
      <c r="BW201" s="229">
        <f t="shared" si="270"/>
        <v>0</v>
      </c>
      <c r="BX201" s="229">
        <f t="shared" si="271"/>
        <v>0</v>
      </c>
      <c r="BY201" s="229">
        <f t="shared" si="272"/>
        <v>0</v>
      </c>
      <c r="BZ201" s="229">
        <f t="shared" si="273"/>
        <v>0</v>
      </c>
      <c r="CA201" s="229">
        <f t="shared" si="274"/>
        <v>0</v>
      </c>
      <c r="CB201" s="229">
        <f t="shared" si="275"/>
        <v>0</v>
      </c>
      <c r="CC201" s="229">
        <f t="shared" si="276"/>
        <v>0</v>
      </c>
      <c r="CD201" s="229">
        <f t="shared" si="277"/>
        <v>0</v>
      </c>
      <c r="CE201" s="229">
        <f t="shared" si="278"/>
        <v>0</v>
      </c>
      <c r="CF201" s="229">
        <f t="shared" si="279"/>
        <v>0</v>
      </c>
      <c r="CG201" s="229">
        <f t="shared" si="280"/>
        <v>0</v>
      </c>
      <c r="CH201" s="229">
        <f t="shared" si="281"/>
        <v>0</v>
      </c>
      <c r="CI201" s="229">
        <f t="shared" si="282"/>
        <v>0</v>
      </c>
      <c r="CJ201" s="229">
        <f t="shared" si="283"/>
        <v>0</v>
      </c>
      <c r="CK201" s="229">
        <f t="shared" si="284"/>
        <v>0</v>
      </c>
      <c r="CL201" s="229">
        <f t="shared" si="285"/>
        <v>0</v>
      </c>
      <c r="CM201" s="224">
        <f t="shared" ref="CM201:CX201" si="394">IF($T68&gt;0,(((EXP(-(1/(Morning_Peak_Duration__hours*2))*(CM$141-(Morning_Peak_Time__24hr_clock+$C201))^2))+(EXP(-(1/(Afternoon_Peak_Duration__hours*2))*(CM$141-(Afternoon_Peak_Time__24hr_clock+$C201))^2)))*$V68)/TZCalibrationValue,0)</f>
        <v>0</v>
      </c>
      <c r="CN201" s="224">
        <f t="shared" si="394"/>
        <v>0</v>
      </c>
      <c r="CO201" s="224">
        <f t="shared" si="394"/>
        <v>0</v>
      </c>
      <c r="CP201" s="224">
        <f t="shared" si="394"/>
        <v>0</v>
      </c>
      <c r="CQ201" s="224">
        <f t="shared" si="394"/>
        <v>0</v>
      </c>
      <c r="CR201" s="224">
        <f t="shared" si="394"/>
        <v>0</v>
      </c>
      <c r="CS201" s="224">
        <f t="shared" si="394"/>
        <v>0</v>
      </c>
      <c r="CT201" s="224">
        <f t="shared" si="394"/>
        <v>0</v>
      </c>
      <c r="CU201" s="224">
        <f t="shared" si="394"/>
        <v>0</v>
      </c>
      <c r="CV201" s="224">
        <f t="shared" si="394"/>
        <v>0</v>
      </c>
      <c r="CW201" s="224">
        <f t="shared" si="394"/>
        <v>0</v>
      </c>
      <c r="CX201" s="224">
        <f t="shared" si="394"/>
        <v>0</v>
      </c>
      <c r="CY201" s="218"/>
    </row>
    <row r="202" spans="2:103" hidden="1" outlineLevel="1">
      <c r="B202" t="str">
        <f t="shared" si="233"/>
        <v>Site 61</v>
      </c>
      <c r="C202" s="230">
        <f>VLOOKUP(D69,'Scaling Tables'!$B$123:$C$149,2,FALSE)-VLOOKUP($C$4,'Scaling Tables'!$B$123:$C$149,2,FALSE)</f>
        <v>0</v>
      </c>
      <c r="D202" s="224">
        <f t="shared" ref="D202:O202" si="395">IF($T69&gt;0,(((EXP(-(1/(Morning_Peak_Duration__hours*2))*(D$141-(Morning_Peak_Time__24hr_clock+$C202))^2))+(EXP(-(1/(Afternoon_Peak_Duration__hours*2))*(D$141-(Afternoon_Peak_Time__24hr_clock+$C202))^2)))*$U69)/TZCalibrationValue,0)</f>
        <v>0</v>
      </c>
      <c r="E202" s="224">
        <f t="shared" si="395"/>
        <v>0</v>
      </c>
      <c r="F202" s="224">
        <f t="shared" si="395"/>
        <v>0</v>
      </c>
      <c r="G202" s="224">
        <f t="shared" si="395"/>
        <v>0</v>
      </c>
      <c r="H202" s="224">
        <f t="shared" si="395"/>
        <v>0</v>
      </c>
      <c r="I202" s="224">
        <f t="shared" si="395"/>
        <v>0</v>
      </c>
      <c r="J202" s="224">
        <f t="shared" si="395"/>
        <v>0</v>
      </c>
      <c r="K202" s="224">
        <f t="shared" si="395"/>
        <v>0</v>
      </c>
      <c r="L202" s="224">
        <f t="shared" si="395"/>
        <v>0</v>
      </c>
      <c r="M202" s="224">
        <f t="shared" si="395"/>
        <v>0</v>
      </c>
      <c r="N202" s="224">
        <f t="shared" si="395"/>
        <v>0</v>
      </c>
      <c r="O202" s="224">
        <f t="shared" si="395"/>
        <v>0</v>
      </c>
      <c r="P202" s="229">
        <f t="shared" si="235"/>
        <v>0</v>
      </c>
      <c r="Q202" s="229">
        <f t="shared" si="236"/>
        <v>0</v>
      </c>
      <c r="R202" s="229">
        <f t="shared" si="237"/>
        <v>0</v>
      </c>
      <c r="S202" s="229">
        <f t="shared" si="238"/>
        <v>0</v>
      </c>
      <c r="T202" s="229">
        <f t="shared" si="239"/>
        <v>0</v>
      </c>
      <c r="U202" s="229">
        <f t="shared" si="240"/>
        <v>0</v>
      </c>
      <c r="V202" s="229">
        <f t="shared" si="241"/>
        <v>0</v>
      </c>
      <c r="W202" s="229">
        <f t="shared" si="242"/>
        <v>0</v>
      </c>
      <c r="X202" s="229">
        <f t="shared" si="243"/>
        <v>0</v>
      </c>
      <c r="Y202" s="229">
        <f t="shared" si="244"/>
        <v>0</v>
      </c>
      <c r="Z202" s="229">
        <f t="shared" si="245"/>
        <v>0</v>
      </c>
      <c r="AA202" s="229">
        <f t="shared" si="246"/>
        <v>0</v>
      </c>
      <c r="AB202" s="229">
        <f t="shared" si="247"/>
        <v>0</v>
      </c>
      <c r="AC202" s="229">
        <f t="shared" si="248"/>
        <v>0</v>
      </c>
      <c r="AD202" s="229">
        <f t="shared" si="249"/>
        <v>0</v>
      </c>
      <c r="AE202" s="229">
        <f t="shared" si="250"/>
        <v>0</v>
      </c>
      <c r="AF202" s="229">
        <f t="shared" si="251"/>
        <v>0</v>
      </c>
      <c r="AG202" s="229">
        <f t="shared" si="252"/>
        <v>0</v>
      </c>
      <c r="AH202" s="229">
        <f t="shared" si="253"/>
        <v>0</v>
      </c>
      <c r="AI202" s="229">
        <f t="shared" si="254"/>
        <v>0</v>
      </c>
      <c r="AJ202" s="229">
        <f t="shared" si="255"/>
        <v>0</v>
      </c>
      <c r="AK202" s="229">
        <f t="shared" si="256"/>
        <v>0</v>
      </c>
      <c r="AL202" s="229">
        <f t="shared" si="257"/>
        <v>0</v>
      </c>
      <c r="AM202" s="229">
        <f t="shared" si="258"/>
        <v>0</v>
      </c>
      <c r="AN202" s="224">
        <f t="shared" ref="AN202:AY202" si="396">IF($T69&gt;0,(((EXP(-(1/(Morning_Peak_Duration__hours*2))*(AN$141-(Morning_Peak_Time__24hr_clock+$C202))^2))+(EXP(-(1/(Afternoon_Peak_Duration__hours*2))*(AN$141-(Afternoon_Peak_Time__24hr_clock+$C202))^2)))*$U69)/TZCalibrationValue,0)</f>
        <v>0</v>
      </c>
      <c r="AO202" s="224">
        <f t="shared" si="396"/>
        <v>0</v>
      </c>
      <c r="AP202" s="224">
        <f t="shared" si="396"/>
        <v>0</v>
      </c>
      <c r="AQ202" s="224">
        <f t="shared" si="396"/>
        <v>0</v>
      </c>
      <c r="AR202" s="224">
        <f t="shared" si="396"/>
        <v>0</v>
      </c>
      <c r="AS202" s="224">
        <f t="shared" si="396"/>
        <v>0</v>
      </c>
      <c r="AT202" s="224">
        <f t="shared" si="396"/>
        <v>0</v>
      </c>
      <c r="AU202" s="224">
        <f t="shared" si="396"/>
        <v>0</v>
      </c>
      <c r="AV202" s="224">
        <f t="shared" si="396"/>
        <v>0</v>
      </c>
      <c r="AW202" s="224">
        <f t="shared" si="396"/>
        <v>0</v>
      </c>
      <c r="AX202" s="224">
        <f t="shared" si="396"/>
        <v>0</v>
      </c>
      <c r="AY202" s="224">
        <f t="shared" si="396"/>
        <v>0</v>
      </c>
      <c r="AZ202" s="218"/>
      <c r="BA202"/>
      <c r="BB202" s="176" t="str">
        <f t="shared" si="260"/>
        <v>Site 61</v>
      </c>
      <c r="BC202" s="224">
        <f t="shared" ref="BC202:BN202" si="397">IF($T69&gt;0,(((EXP(-(1/(Morning_Peak_Duration__hours*2))*(BC$141-(Morning_Peak_Time__24hr_clock+$C202))^2))+(EXP(-(1/(Afternoon_Peak_Duration__hours*2))*(BC$141-(Afternoon_Peak_Time__24hr_clock+$C202))^2)))*$V69)/TZCalibrationValue,0)</f>
        <v>0</v>
      </c>
      <c r="BD202" s="224">
        <f t="shared" si="397"/>
        <v>0</v>
      </c>
      <c r="BE202" s="224">
        <f t="shared" si="397"/>
        <v>0</v>
      </c>
      <c r="BF202" s="224">
        <f t="shared" si="397"/>
        <v>0</v>
      </c>
      <c r="BG202" s="224">
        <f t="shared" si="397"/>
        <v>0</v>
      </c>
      <c r="BH202" s="224">
        <f t="shared" si="397"/>
        <v>0</v>
      </c>
      <c r="BI202" s="224">
        <f t="shared" si="397"/>
        <v>0</v>
      </c>
      <c r="BJ202" s="224">
        <f t="shared" si="397"/>
        <v>0</v>
      </c>
      <c r="BK202" s="224">
        <f t="shared" si="397"/>
        <v>0</v>
      </c>
      <c r="BL202" s="224">
        <f t="shared" si="397"/>
        <v>0</v>
      </c>
      <c r="BM202" s="224">
        <f t="shared" si="397"/>
        <v>0</v>
      </c>
      <c r="BN202" s="224">
        <f t="shared" si="397"/>
        <v>0</v>
      </c>
      <c r="BO202" s="229">
        <f t="shared" si="262"/>
        <v>0</v>
      </c>
      <c r="BP202" s="229">
        <f t="shared" si="263"/>
        <v>0</v>
      </c>
      <c r="BQ202" s="229">
        <f t="shared" si="264"/>
        <v>0</v>
      </c>
      <c r="BR202" s="229">
        <f t="shared" si="265"/>
        <v>0</v>
      </c>
      <c r="BS202" s="229">
        <f t="shared" si="266"/>
        <v>0</v>
      </c>
      <c r="BT202" s="229">
        <f t="shared" si="267"/>
        <v>0</v>
      </c>
      <c r="BU202" s="229">
        <f t="shared" si="268"/>
        <v>0</v>
      </c>
      <c r="BV202" s="229">
        <f t="shared" si="269"/>
        <v>0</v>
      </c>
      <c r="BW202" s="229">
        <f t="shared" si="270"/>
        <v>0</v>
      </c>
      <c r="BX202" s="229">
        <f t="shared" si="271"/>
        <v>0</v>
      </c>
      <c r="BY202" s="229">
        <f t="shared" si="272"/>
        <v>0</v>
      </c>
      <c r="BZ202" s="229">
        <f t="shared" si="273"/>
        <v>0</v>
      </c>
      <c r="CA202" s="229">
        <f t="shared" si="274"/>
        <v>0</v>
      </c>
      <c r="CB202" s="229">
        <f t="shared" si="275"/>
        <v>0</v>
      </c>
      <c r="CC202" s="229">
        <f t="shared" si="276"/>
        <v>0</v>
      </c>
      <c r="CD202" s="229">
        <f t="shared" si="277"/>
        <v>0</v>
      </c>
      <c r="CE202" s="229">
        <f t="shared" si="278"/>
        <v>0</v>
      </c>
      <c r="CF202" s="229">
        <f t="shared" si="279"/>
        <v>0</v>
      </c>
      <c r="CG202" s="229">
        <f t="shared" si="280"/>
        <v>0</v>
      </c>
      <c r="CH202" s="229">
        <f t="shared" si="281"/>
        <v>0</v>
      </c>
      <c r="CI202" s="229">
        <f t="shared" si="282"/>
        <v>0</v>
      </c>
      <c r="CJ202" s="229">
        <f t="shared" si="283"/>
        <v>0</v>
      </c>
      <c r="CK202" s="229">
        <f t="shared" si="284"/>
        <v>0</v>
      </c>
      <c r="CL202" s="229">
        <f t="shared" si="285"/>
        <v>0</v>
      </c>
      <c r="CM202" s="224">
        <f t="shared" ref="CM202:CX202" si="398">IF($T69&gt;0,(((EXP(-(1/(Morning_Peak_Duration__hours*2))*(CM$141-(Morning_Peak_Time__24hr_clock+$C202))^2))+(EXP(-(1/(Afternoon_Peak_Duration__hours*2))*(CM$141-(Afternoon_Peak_Time__24hr_clock+$C202))^2)))*$V69)/TZCalibrationValue,0)</f>
        <v>0</v>
      </c>
      <c r="CN202" s="224">
        <f t="shared" si="398"/>
        <v>0</v>
      </c>
      <c r="CO202" s="224">
        <f t="shared" si="398"/>
        <v>0</v>
      </c>
      <c r="CP202" s="224">
        <f t="shared" si="398"/>
        <v>0</v>
      </c>
      <c r="CQ202" s="224">
        <f t="shared" si="398"/>
        <v>0</v>
      </c>
      <c r="CR202" s="224">
        <f t="shared" si="398"/>
        <v>0</v>
      </c>
      <c r="CS202" s="224">
        <f t="shared" si="398"/>
        <v>0</v>
      </c>
      <c r="CT202" s="224">
        <f t="shared" si="398"/>
        <v>0</v>
      </c>
      <c r="CU202" s="224">
        <f t="shared" si="398"/>
        <v>0</v>
      </c>
      <c r="CV202" s="224">
        <f t="shared" si="398"/>
        <v>0</v>
      </c>
      <c r="CW202" s="224">
        <f t="shared" si="398"/>
        <v>0</v>
      </c>
      <c r="CX202" s="224">
        <f t="shared" si="398"/>
        <v>0</v>
      </c>
      <c r="CY202" s="218"/>
    </row>
    <row r="203" spans="2:103" hidden="1" outlineLevel="1">
      <c r="B203" t="str">
        <f t="shared" si="233"/>
        <v>Site 62</v>
      </c>
      <c r="C203" s="230">
        <f>VLOOKUP(D70,'Scaling Tables'!$B$123:$C$149,2,FALSE)-VLOOKUP($C$4,'Scaling Tables'!$B$123:$C$149,2,FALSE)</f>
        <v>0</v>
      </c>
      <c r="D203" s="224">
        <f t="shared" ref="D203:O203" si="399">IF($T70&gt;0,(((EXP(-(1/(Morning_Peak_Duration__hours*2))*(D$141-(Morning_Peak_Time__24hr_clock+$C203))^2))+(EXP(-(1/(Afternoon_Peak_Duration__hours*2))*(D$141-(Afternoon_Peak_Time__24hr_clock+$C203))^2)))*$U70)/TZCalibrationValue,0)</f>
        <v>0</v>
      </c>
      <c r="E203" s="224">
        <f t="shared" si="399"/>
        <v>0</v>
      </c>
      <c r="F203" s="224">
        <f t="shared" si="399"/>
        <v>0</v>
      </c>
      <c r="G203" s="224">
        <f t="shared" si="399"/>
        <v>0</v>
      </c>
      <c r="H203" s="224">
        <f t="shared" si="399"/>
        <v>0</v>
      </c>
      <c r="I203" s="224">
        <f t="shared" si="399"/>
        <v>0</v>
      </c>
      <c r="J203" s="224">
        <f t="shared" si="399"/>
        <v>0</v>
      </c>
      <c r="K203" s="224">
        <f t="shared" si="399"/>
        <v>0</v>
      </c>
      <c r="L203" s="224">
        <f t="shared" si="399"/>
        <v>0</v>
      </c>
      <c r="M203" s="224">
        <f t="shared" si="399"/>
        <v>0</v>
      </c>
      <c r="N203" s="224">
        <f t="shared" si="399"/>
        <v>0</v>
      </c>
      <c r="O203" s="224">
        <f t="shared" si="399"/>
        <v>0</v>
      </c>
      <c r="P203" s="229">
        <f t="shared" si="235"/>
        <v>0</v>
      </c>
      <c r="Q203" s="229">
        <f t="shared" si="236"/>
        <v>0</v>
      </c>
      <c r="R203" s="229">
        <f t="shared" si="237"/>
        <v>0</v>
      </c>
      <c r="S203" s="229">
        <f t="shared" si="238"/>
        <v>0</v>
      </c>
      <c r="T203" s="229">
        <f t="shared" si="239"/>
        <v>0</v>
      </c>
      <c r="U203" s="229">
        <f t="shared" si="240"/>
        <v>0</v>
      </c>
      <c r="V203" s="229">
        <f t="shared" si="241"/>
        <v>0</v>
      </c>
      <c r="W203" s="229">
        <f t="shared" si="242"/>
        <v>0</v>
      </c>
      <c r="X203" s="229">
        <f t="shared" si="243"/>
        <v>0</v>
      </c>
      <c r="Y203" s="229">
        <f t="shared" si="244"/>
        <v>0</v>
      </c>
      <c r="Z203" s="229">
        <f t="shared" si="245"/>
        <v>0</v>
      </c>
      <c r="AA203" s="229">
        <f t="shared" si="246"/>
        <v>0</v>
      </c>
      <c r="AB203" s="229">
        <f t="shared" si="247"/>
        <v>0</v>
      </c>
      <c r="AC203" s="229">
        <f t="shared" si="248"/>
        <v>0</v>
      </c>
      <c r="AD203" s="229">
        <f t="shared" si="249"/>
        <v>0</v>
      </c>
      <c r="AE203" s="229">
        <f t="shared" si="250"/>
        <v>0</v>
      </c>
      <c r="AF203" s="229">
        <f t="shared" si="251"/>
        <v>0</v>
      </c>
      <c r="AG203" s="229">
        <f t="shared" si="252"/>
        <v>0</v>
      </c>
      <c r="AH203" s="229">
        <f t="shared" si="253"/>
        <v>0</v>
      </c>
      <c r="AI203" s="229">
        <f t="shared" si="254"/>
        <v>0</v>
      </c>
      <c r="AJ203" s="229">
        <f t="shared" si="255"/>
        <v>0</v>
      </c>
      <c r="AK203" s="229">
        <f t="shared" si="256"/>
        <v>0</v>
      </c>
      <c r="AL203" s="229">
        <f t="shared" si="257"/>
        <v>0</v>
      </c>
      <c r="AM203" s="229">
        <f t="shared" si="258"/>
        <v>0</v>
      </c>
      <c r="AN203" s="224">
        <f t="shared" ref="AN203:AY203" si="400">IF($T70&gt;0,(((EXP(-(1/(Morning_Peak_Duration__hours*2))*(AN$141-(Morning_Peak_Time__24hr_clock+$C203))^2))+(EXP(-(1/(Afternoon_Peak_Duration__hours*2))*(AN$141-(Afternoon_Peak_Time__24hr_clock+$C203))^2)))*$U70)/TZCalibrationValue,0)</f>
        <v>0</v>
      </c>
      <c r="AO203" s="224">
        <f t="shared" si="400"/>
        <v>0</v>
      </c>
      <c r="AP203" s="224">
        <f t="shared" si="400"/>
        <v>0</v>
      </c>
      <c r="AQ203" s="224">
        <f t="shared" si="400"/>
        <v>0</v>
      </c>
      <c r="AR203" s="224">
        <f t="shared" si="400"/>
        <v>0</v>
      </c>
      <c r="AS203" s="224">
        <f t="shared" si="400"/>
        <v>0</v>
      </c>
      <c r="AT203" s="224">
        <f t="shared" si="400"/>
        <v>0</v>
      </c>
      <c r="AU203" s="224">
        <f t="shared" si="400"/>
        <v>0</v>
      </c>
      <c r="AV203" s="224">
        <f t="shared" si="400"/>
        <v>0</v>
      </c>
      <c r="AW203" s="224">
        <f t="shared" si="400"/>
        <v>0</v>
      </c>
      <c r="AX203" s="224">
        <f t="shared" si="400"/>
        <v>0</v>
      </c>
      <c r="AY203" s="224">
        <f t="shared" si="400"/>
        <v>0</v>
      </c>
      <c r="AZ203" s="218"/>
      <c r="BA203"/>
      <c r="BB203" s="176" t="str">
        <f t="shared" si="260"/>
        <v>Site 62</v>
      </c>
      <c r="BC203" s="224">
        <f t="shared" ref="BC203:BN203" si="401">IF($T70&gt;0,(((EXP(-(1/(Morning_Peak_Duration__hours*2))*(BC$141-(Morning_Peak_Time__24hr_clock+$C203))^2))+(EXP(-(1/(Afternoon_Peak_Duration__hours*2))*(BC$141-(Afternoon_Peak_Time__24hr_clock+$C203))^2)))*$V70)/TZCalibrationValue,0)</f>
        <v>0</v>
      </c>
      <c r="BD203" s="224">
        <f t="shared" si="401"/>
        <v>0</v>
      </c>
      <c r="BE203" s="224">
        <f t="shared" si="401"/>
        <v>0</v>
      </c>
      <c r="BF203" s="224">
        <f t="shared" si="401"/>
        <v>0</v>
      </c>
      <c r="BG203" s="224">
        <f t="shared" si="401"/>
        <v>0</v>
      </c>
      <c r="BH203" s="224">
        <f t="shared" si="401"/>
        <v>0</v>
      </c>
      <c r="BI203" s="224">
        <f t="shared" si="401"/>
        <v>0</v>
      </c>
      <c r="BJ203" s="224">
        <f t="shared" si="401"/>
        <v>0</v>
      </c>
      <c r="BK203" s="224">
        <f t="shared" si="401"/>
        <v>0</v>
      </c>
      <c r="BL203" s="224">
        <f t="shared" si="401"/>
        <v>0</v>
      </c>
      <c r="BM203" s="224">
        <f t="shared" si="401"/>
        <v>0</v>
      </c>
      <c r="BN203" s="224">
        <f t="shared" si="401"/>
        <v>0</v>
      </c>
      <c r="BO203" s="229">
        <f t="shared" si="262"/>
        <v>0</v>
      </c>
      <c r="BP203" s="229">
        <f t="shared" si="263"/>
        <v>0</v>
      </c>
      <c r="BQ203" s="229">
        <f t="shared" si="264"/>
        <v>0</v>
      </c>
      <c r="BR203" s="229">
        <f t="shared" si="265"/>
        <v>0</v>
      </c>
      <c r="BS203" s="229">
        <f t="shared" si="266"/>
        <v>0</v>
      </c>
      <c r="BT203" s="229">
        <f t="shared" si="267"/>
        <v>0</v>
      </c>
      <c r="BU203" s="229">
        <f t="shared" si="268"/>
        <v>0</v>
      </c>
      <c r="BV203" s="229">
        <f t="shared" si="269"/>
        <v>0</v>
      </c>
      <c r="BW203" s="229">
        <f t="shared" si="270"/>
        <v>0</v>
      </c>
      <c r="BX203" s="229">
        <f t="shared" si="271"/>
        <v>0</v>
      </c>
      <c r="BY203" s="229">
        <f t="shared" si="272"/>
        <v>0</v>
      </c>
      <c r="BZ203" s="229">
        <f t="shared" si="273"/>
        <v>0</v>
      </c>
      <c r="CA203" s="229">
        <f t="shared" si="274"/>
        <v>0</v>
      </c>
      <c r="CB203" s="229">
        <f t="shared" si="275"/>
        <v>0</v>
      </c>
      <c r="CC203" s="229">
        <f t="shared" si="276"/>
        <v>0</v>
      </c>
      <c r="CD203" s="229">
        <f t="shared" si="277"/>
        <v>0</v>
      </c>
      <c r="CE203" s="229">
        <f t="shared" si="278"/>
        <v>0</v>
      </c>
      <c r="CF203" s="229">
        <f t="shared" si="279"/>
        <v>0</v>
      </c>
      <c r="CG203" s="229">
        <f t="shared" si="280"/>
        <v>0</v>
      </c>
      <c r="CH203" s="229">
        <f t="shared" si="281"/>
        <v>0</v>
      </c>
      <c r="CI203" s="229">
        <f t="shared" si="282"/>
        <v>0</v>
      </c>
      <c r="CJ203" s="229">
        <f t="shared" si="283"/>
        <v>0</v>
      </c>
      <c r="CK203" s="229">
        <f t="shared" si="284"/>
        <v>0</v>
      </c>
      <c r="CL203" s="229">
        <f t="shared" si="285"/>
        <v>0</v>
      </c>
      <c r="CM203" s="224">
        <f t="shared" ref="CM203:CX203" si="402">IF($T70&gt;0,(((EXP(-(1/(Morning_Peak_Duration__hours*2))*(CM$141-(Morning_Peak_Time__24hr_clock+$C203))^2))+(EXP(-(1/(Afternoon_Peak_Duration__hours*2))*(CM$141-(Afternoon_Peak_Time__24hr_clock+$C203))^2)))*$V70)/TZCalibrationValue,0)</f>
        <v>0</v>
      </c>
      <c r="CN203" s="224">
        <f t="shared" si="402"/>
        <v>0</v>
      </c>
      <c r="CO203" s="224">
        <f t="shared" si="402"/>
        <v>0</v>
      </c>
      <c r="CP203" s="224">
        <f t="shared" si="402"/>
        <v>0</v>
      </c>
      <c r="CQ203" s="224">
        <f t="shared" si="402"/>
        <v>0</v>
      </c>
      <c r="CR203" s="224">
        <f t="shared" si="402"/>
        <v>0</v>
      </c>
      <c r="CS203" s="224">
        <f t="shared" si="402"/>
        <v>0</v>
      </c>
      <c r="CT203" s="224">
        <f t="shared" si="402"/>
        <v>0</v>
      </c>
      <c r="CU203" s="224">
        <f t="shared" si="402"/>
        <v>0</v>
      </c>
      <c r="CV203" s="224">
        <f t="shared" si="402"/>
        <v>0</v>
      </c>
      <c r="CW203" s="224">
        <f t="shared" si="402"/>
        <v>0</v>
      </c>
      <c r="CX203" s="224">
        <f t="shared" si="402"/>
        <v>0</v>
      </c>
      <c r="CY203" s="218"/>
    </row>
    <row r="204" spans="2:103" hidden="1" outlineLevel="1">
      <c r="B204" t="str">
        <f t="shared" si="233"/>
        <v>Site 63</v>
      </c>
      <c r="C204" s="230">
        <f>VLOOKUP(D71,'Scaling Tables'!$B$123:$C$149,2,FALSE)-VLOOKUP($C$4,'Scaling Tables'!$B$123:$C$149,2,FALSE)</f>
        <v>0</v>
      </c>
      <c r="D204" s="224">
        <f t="shared" ref="D204:O204" si="403">IF($T71&gt;0,(((EXP(-(1/(Morning_Peak_Duration__hours*2))*(D$141-(Morning_Peak_Time__24hr_clock+$C204))^2))+(EXP(-(1/(Afternoon_Peak_Duration__hours*2))*(D$141-(Afternoon_Peak_Time__24hr_clock+$C204))^2)))*$U71)/TZCalibrationValue,0)</f>
        <v>0</v>
      </c>
      <c r="E204" s="224">
        <f t="shared" si="403"/>
        <v>0</v>
      </c>
      <c r="F204" s="224">
        <f t="shared" si="403"/>
        <v>0</v>
      </c>
      <c r="G204" s="224">
        <f t="shared" si="403"/>
        <v>0</v>
      </c>
      <c r="H204" s="224">
        <f t="shared" si="403"/>
        <v>0</v>
      </c>
      <c r="I204" s="224">
        <f t="shared" si="403"/>
        <v>0</v>
      </c>
      <c r="J204" s="224">
        <f t="shared" si="403"/>
        <v>0</v>
      </c>
      <c r="K204" s="224">
        <f t="shared" si="403"/>
        <v>0</v>
      </c>
      <c r="L204" s="224">
        <f t="shared" si="403"/>
        <v>0</v>
      </c>
      <c r="M204" s="224">
        <f t="shared" si="403"/>
        <v>0</v>
      </c>
      <c r="N204" s="224">
        <f t="shared" si="403"/>
        <v>0</v>
      </c>
      <c r="O204" s="224">
        <f t="shared" si="403"/>
        <v>0</v>
      </c>
      <c r="P204" s="229">
        <f t="shared" si="235"/>
        <v>0</v>
      </c>
      <c r="Q204" s="229">
        <f t="shared" si="236"/>
        <v>0</v>
      </c>
      <c r="R204" s="229">
        <f t="shared" si="237"/>
        <v>0</v>
      </c>
      <c r="S204" s="229">
        <f t="shared" si="238"/>
        <v>0</v>
      </c>
      <c r="T204" s="229">
        <f t="shared" si="239"/>
        <v>0</v>
      </c>
      <c r="U204" s="229">
        <f t="shared" si="240"/>
        <v>0</v>
      </c>
      <c r="V204" s="229">
        <f t="shared" si="241"/>
        <v>0</v>
      </c>
      <c r="W204" s="229">
        <f t="shared" si="242"/>
        <v>0</v>
      </c>
      <c r="X204" s="229">
        <f t="shared" si="243"/>
        <v>0</v>
      </c>
      <c r="Y204" s="229">
        <f t="shared" si="244"/>
        <v>0</v>
      </c>
      <c r="Z204" s="229">
        <f t="shared" si="245"/>
        <v>0</v>
      </c>
      <c r="AA204" s="229">
        <f t="shared" si="246"/>
        <v>0</v>
      </c>
      <c r="AB204" s="229">
        <f t="shared" si="247"/>
        <v>0</v>
      </c>
      <c r="AC204" s="229">
        <f t="shared" si="248"/>
        <v>0</v>
      </c>
      <c r="AD204" s="229">
        <f t="shared" si="249"/>
        <v>0</v>
      </c>
      <c r="AE204" s="229">
        <f t="shared" si="250"/>
        <v>0</v>
      </c>
      <c r="AF204" s="229">
        <f t="shared" si="251"/>
        <v>0</v>
      </c>
      <c r="AG204" s="229">
        <f t="shared" si="252"/>
        <v>0</v>
      </c>
      <c r="AH204" s="229">
        <f t="shared" si="253"/>
        <v>0</v>
      </c>
      <c r="AI204" s="229">
        <f t="shared" si="254"/>
        <v>0</v>
      </c>
      <c r="AJ204" s="229">
        <f t="shared" si="255"/>
        <v>0</v>
      </c>
      <c r="AK204" s="229">
        <f t="shared" si="256"/>
        <v>0</v>
      </c>
      <c r="AL204" s="229">
        <f t="shared" si="257"/>
        <v>0</v>
      </c>
      <c r="AM204" s="229">
        <f t="shared" si="258"/>
        <v>0</v>
      </c>
      <c r="AN204" s="224">
        <f t="shared" ref="AN204:AY204" si="404">IF($T71&gt;0,(((EXP(-(1/(Morning_Peak_Duration__hours*2))*(AN$141-(Morning_Peak_Time__24hr_clock+$C204))^2))+(EXP(-(1/(Afternoon_Peak_Duration__hours*2))*(AN$141-(Afternoon_Peak_Time__24hr_clock+$C204))^2)))*$U71)/TZCalibrationValue,0)</f>
        <v>0</v>
      </c>
      <c r="AO204" s="224">
        <f t="shared" si="404"/>
        <v>0</v>
      </c>
      <c r="AP204" s="224">
        <f t="shared" si="404"/>
        <v>0</v>
      </c>
      <c r="AQ204" s="224">
        <f t="shared" si="404"/>
        <v>0</v>
      </c>
      <c r="AR204" s="224">
        <f t="shared" si="404"/>
        <v>0</v>
      </c>
      <c r="AS204" s="224">
        <f t="shared" si="404"/>
        <v>0</v>
      </c>
      <c r="AT204" s="224">
        <f t="shared" si="404"/>
        <v>0</v>
      </c>
      <c r="AU204" s="224">
        <f t="shared" si="404"/>
        <v>0</v>
      </c>
      <c r="AV204" s="224">
        <f t="shared" si="404"/>
        <v>0</v>
      </c>
      <c r="AW204" s="224">
        <f t="shared" si="404"/>
        <v>0</v>
      </c>
      <c r="AX204" s="224">
        <f t="shared" si="404"/>
        <v>0</v>
      </c>
      <c r="AY204" s="224">
        <f t="shared" si="404"/>
        <v>0</v>
      </c>
      <c r="AZ204" s="218"/>
      <c r="BA204"/>
      <c r="BB204" s="176" t="str">
        <f t="shared" si="260"/>
        <v>Site 63</v>
      </c>
      <c r="BC204" s="224">
        <f t="shared" ref="BC204:BN204" si="405">IF($T71&gt;0,(((EXP(-(1/(Morning_Peak_Duration__hours*2))*(BC$141-(Morning_Peak_Time__24hr_clock+$C204))^2))+(EXP(-(1/(Afternoon_Peak_Duration__hours*2))*(BC$141-(Afternoon_Peak_Time__24hr_clock+$C204))^2)))*$V71)/TZCalibrationValue,0)</f>
        <v>0</v>
      </c>
      <c r="BD204" s="224">
        <f t="shared" si="405"/>
        <v>0</v>
      </c>
      <c r="BE204" s="224">
        <f t="shared" si="405"/>
        <v>0</v>
      </c>
      <c r="BF204" s="224">
        <f t="shared" si="405"/>
        <v>0</v>
      </c>
      <c r="BG204" s="224">
        <f t="shared" si="405"/>
        <v>0</v>
      </c>
      <c r="BH204" s="224">
        <f t="shared" si="405"/>
        <v>0</v>
      </c>
      <c r="BI204" s="224">
        <f t="shared" si="405"/>
        <v>0</v>
      </c>
      <c r="BJ204" s="224">
        <f t="shared" si="405"/>
        <v>0</v>
      </c>
      <c r="BK204" s="224">
        <f t="shared" si="405"/>
        <v>0</v>
      </c>
      <c r="BL204" s="224">
        <f t="shared" si="405"/>
        <v>0</v>
      </c>
      <c r="BM204" s="224">
        <f t="shared" si="405"/>
        <v>0</v>
      </c>
      <c r="BN204" s="224">
        <f t="shared" si="405"/>
        <v>0</v>
      </c>
      <c r="BO204" s="229">
        <f t="shared" si="262"/>
        <v>0</v>
      </c>
      <c r="BP204" s="229">
        <f t="shared" si="263"/>
        <v>0</v>
      </c>
      <c r="BQ204" s="229">
        <f t="shared" si="264"/>
        <v>0</v>
      </c>
      <c r="BR204" s="229">
        <f t="shared" si="265"/>
        <v>0</v>
      </c>
      <c r="BS204" s="229">
        <f t="shared" si="266"/>
        <v>0</v>
      </c>
      <c r="BT204" s="229">
        <f t="shared" si="267"/>
        <v>0</v>
      </c>
      <c r="BU204" s="229">
        <f t="shared" si="268"/>
        <v>0</v>
      </c>
      <c r="BV204" s="229">
        <f t="shared" si="269"/>
        <v>0</v>
      </c>
      <c r="BW204" s="229">
        <f t="shared" si="270"/>
        <v>0</v>
      </c>
      <c r="BX204" s="229">
        <f t="shared" si="271"/>
        <v>0</v>
      </c>
      <c r="BY204" s="229">
        <f t="shared" si="272"/>
        <v>0</v>
      </c>
      <c r="BZ204" s="229">
        <f t="shared" si="273"/>
        <v>0</v>
      </c>
      <c r="CA204" s="229">
        <f t="shared" si="274"/>
        <v>0</v>
      </c>
      <c r="CB204" s="229">
        <f t="shared" si="275"/>
        <v>0</v>
      </c>
      <c r="CC204" s="229">
        <f t="shared" si="276"/>
        <v>0</v>
      </c>
      <c r="CD204" s="229">
        <f t="shared" si="277"/>
        <v>0</v>
      </c>
      <c r="CE204" s="229">
        <f t="shared" si="278"/>
        <v>0</v>
      </c>
      <c r="CF204" s="229">
        <f t="shared" si="279"/>
        <v>0</v>
      </c>
      <c r="CG204" s="229">
        <f t="shared" si="280"/>
        <v>0</v>
      </c>
      <c r="CH204" s="229">
        <f t="shared" si="281"/>
        <v>0</v>
      </c>
      <c r="CI204" s="229">
        <f t="shared" si="282"/>
        <v>0</v>
      </c>
      <c r="CJ204" s="229">
        <f t="shared" si="283"/>
        <v>0</v>
      </c>
      <c r="CK204" s="229">
        <f t="shared" si="284"/>
        <v>0</v>
      </c>
      <c r="CL204" s="229">
        <f t="shared" si="285"/>
        <v>0</v>
      </c>
      <c r="CM204" s="224">
        <f t="shared" ref="CM204:CX204" si="406">IF($T71&gt;0,(((EXP(-(1/(Morning_Peak_Duration__hours*2))*(CM$141-(Morning_Peak_Time__24hr_clock+$C204))^2))+(EXP(-(1/(Afternoon_Peak_Duration__hours*2))*(CM$141-(Afternoon_Peak_Time__24hr_clock+$C204))^2)))*$V71)/TZCalibrationValue,0)</f>
        <v>0</v>
      </c>
      <c r="CN204" s="224">
        <f t="shared" si="406"/>
        <v>0</v>
      </c>
      <c r="CO204" s="224">
        <f t="shared" si="406"/>
        <v>0</v>
      </c>
      <c r="CP204" s="224">
        <f t="shared" si="406"/>
        <v>0</v>
      </c>
      <c r="CQ204" s="224">
        <f t="shared" si="406"/>
        <v>0</v>
      </c>
      <c r="CR204" s="224">
        <f t="shared" si="406"/>
        <v>0</v>
      </c>
      <c r="CS204" s="224">
        <f t="shared" si="406"/>
        <v>0</v>
      </c>
      <c r="CT204" s="224">
        <f t="shared" si="406"/>
        <v>0</v>
      </c>
      <c r="CU204" s="224">
        <f t="shared" si="406"/>
        <v>0</v>
      </c>
      <c r="CV204" s="224">
        <f t="shared" si="406"/>
        <v>0</v>
      </c>
      <c r="CW204" s="224">
        <f t="shared" si="406"/>
        <v>0</v>
      </c>
      <c r="CX204" s="224">
        <f t="shared" si="406"/>
        <v>0</v>
      </c>
      <c r="CY204" s="218"/>
    </row>
    <row r="205" spans="2:103" hidden="1" outlineLevel="1">
      <c r="B205" t="str">
        <f t="shared" si="233"/>
        <v>Site 64</v>
      </c>
      <c r="C205" s="230">
        <f>VLOOKUP(D72,'Scaling Tables'!$B$123:$C$149,2,FALSE)-VLOOKUP($C$4,'Scaling Tables'!$B$123:$C$149,2,FALSE)</f>
        <v>0</v>
      </c>
      <c r="D205" s="224">
        <f t="shared" ref="D205:O205" si="407">IF($T72&gt;0,(((EXP(-(1/(Morning_Peak_Duration__hours*2))*(D$141-(Morning_Peak_Time__24hr_clock+$C205))^2))+(EXP(-(1/(Afternoon_Peak_Duration__hours*2))*(D$141-(Afternoon_Peak_Time__24hr_clock+$C205))^2)))*$U72)/TZCalibrationValue,0)</f>
        <v>0</v>
      </c>
      <c r="E205" s="224">
        <f t="shared" si="407"/>
        <v>0</v>
      </c>
      <c r="F205" s="224">
        <f t="shared" si="407"/>
        <v>0</v>
      </c>
      <c r="G205" s="224">
        <f t="shared" si="407"/>
        <v>0</v>
      </c>
      <c r="H205" s="224">
        <f t="shared" si="407"/>
        <v>0</v>
      </c>
      <c r="I205" s="224">
        <f t="shared" si="407"/>
        <v>0</v>
      </c>
      <c r="J205" s="224">
        <f t="shared" si="407"/>
        <v>0</v>
      </c>
      <c r="K205" s="224">
        <f t="shared" si="407"/>
        <v>0</v>
      </c>
      <c r="L205" s="224">
        <f t="shared" si="407"/>
        <v>0</v>
      </c>
      <c r="M205" s="224">
        <f t="shared" si="407"/>
        <v>0</v>
      </c>
      <c r="N205" s="224">
        <f t="shared" si="407"/>
        <v>0</v>
      </c>
      <c r="O205" s="224">
        <f t="shared" si="407"/>
        <v>0</v>
      </c>
      <c r="P205" s="229">
        <f t="shared" si="235"/>
        <v>0</v>
      </c>
      <c r="Q205" s="229">
        <f t="shared" si="236"/>
        <v>0</v>
      </c>
      <c r="R205" s="229">
        <f t="shared" si="237"/>
        <v>0</v>
      </c>
      <c r="S205" s="229">
        <f t="shared" si="238"/>
        <v>0</v>
      </c>
      <c r="T205" s="229">
        <f t="shared" si="239"/>
        <v>0</v>
      </c>
      <c r="U205" s="229">
        <f t="shared" si="240"/>
        <v>0</v>
      </c>
      <c r="V205" s="229">
        <f t="shared" si="241"/>
        <v>0</v>
      </c>
      <c r="W205" s="229">
        <f t="shared" si="242"/>
        <v>0</v>
      </c>
      <c r="X205" s="229">
        <f t="shared" si="243"/>
        <v>0</v>
      </c>
      <c r="Y205" s="229">
        <f t="shared" si="244"/>
        <v>0</v>
      </c>
      <c r="Z205" s="229">
        <f t="shared" si="245"/>
        <v>0</v>
      </c>
      <c r="AA205" s="229">
        <f t="shared" si="246"/>
        <v>0</v>
      </c>
      <c r="AB205" s="229">
        <f t="shared" si="247"/>
        <v>0</v>
      </c>
      <c r="AC205" s="229">
        <f t="shared" si="248"/>
        <v>0</v>
      </c>
      <c r="AD205" s="229">
        <f t="shared" si="249"/>
        <v>0</v>
      </c>
      <c r="AE205" s="229">
        <f t="shared" si="250"/>
        <v>0</v>
      </c>
      <c r="AF205" s="229">
        <f t="shared" si="251"/>
        <v>0</v>
      </c>
      <c r="AG205" s="229">
        <f t="shared" si="252"/>
        <v>0</v>
      </c>
      <c r="AH205" s="229">
        <f t="shared" si="253"/>
        <v>0</v>
      </c>
      <c r="AI205" s="229">
        <f t="shared" si="254"/>
        <v>0</v>
      </c>
      <c r="AJ205" s="229">
        <f t="shared" si="255"/>
        <v>0</v>
      </c>
      <c r="AK205" s="229">
        <f t="shared" si="256"/>
        <v>0</v>
      </c>
      <c r="AL205" s="229">
        <f t="shared" si="257"/>
        <v>0</v>
      </c>
      <c r="AM205" s="229">
        <f t="shared" si="258"/>
        <v>0</v>
      </c>
      <c r="AN205" s="224">
        <f t="shared" ref="AN205:AY205" si="408">IF($T72&gt;0,(((EXP(-(1/(Morning_Peak_Duration__hours*2))*(AN$141-(Morning_Peak_Time__24hr_clock+$C205))^2))+(EXP(-(1/(Afternoon_Peak_Duration__hours*2))*(AN$141-(Afternoon_Peak_Time__24hr_clock+$C205))^2)))*$U72)/TZCalibrationValue,0)</f>
        <v>0</v>
      </c>
      <c r="AO205" s="224">
        <f t="shared" si="408"/>
        <v>0</v>
      </c>
      <c r="AP205" s="224">
        <f t="shared" si="408"/>
        <v>0</v>
      </c>
      <c r="AQ205" s="224">
        <f t="shared" si="408"/>
        <v>0</v>
      </c>
      <c r="AR205" s="224">
        <f t="shared" si="408"/>
        <v>0</v>
      </c>
      <c r="AS205" s="224">
        <f t="shared" si="408"/>
        <v>0</v>
      </c>
      <c r="AT205" s="224">
        <f t="shared" si="408"/>
        <v>0</v>
      </c>
      <c r="AU205" s="224">
        <f t="shared" si="408"/>
        <v>0</v>
      </c>
      <c r="AV205" s="224">
        <f t="shared" si="408"/>
        <v>0</v>
      </c>
      <c r="AW205" s="224">
        <f t="shared" si="408"/>
        <v>0</v>
      </c>
      <c r="AX205" s="224">
        <f t="shared" si="408"/>
        <v>0</v>
      </c>
      <c r="AY205" s="224">
        <f t="shared" si="408"/>
        <v>0</v>
      </c>
      <c r="AZ205" s="218"/>
      <c r="BA205"/>
      <c r="BB205" s="176" t="str">
        <f t="shared" si="260"/>
        <v>Site 64</v>
      </c>
      <c r="BC205" s="224">
        <f t="shared" ref="BC205:BN205" si="409">IF($T72&gt;0,(((EXP(-(1/(Morning_Peak_Duration__hours*2))*(BC$141-(Morning_Peak_Time__24hr_clock+$C205))^2))+(EXP(-(1/(Afternoon_Peak_Duration__hours*2))*(BC$141-(Afternoon_Peak_Time__24hr_clock+$C205))^2)))*$V72)/TZCalibrationValue,0)</f>
        <v>0</v>
      </c>
      <c r="BD205" s="224">
        <f t="shared" si="409"/>
        <v>0</v>
      </c>
      <c r="BE205" s="224">
        <f t="shared" si="409"/>
        <v>0</v>
      </c>
      <c r="BF205" s="224">
        <f t="shared" si="409"/>
        <v>0</v>
      </c>
      <c r="BG205" s="224">
        <f t="shared" si="409"/>
        <v>0</v>
      </c>
      <c r="BH205" s="224">
        <f t="shared" si="409"/>
        <v>0</v>
      </c>
      <c r="BI205" s="224">
        <f t="shared" si="409"/>
        <v>0</v>
      </c>
      <c r="BJ205" s="224">
        <f t="shared" si="409"/>
        <v>0</v>
      </c>
      <c r="BK205" s="224">
        <f t="shared" si="409"/>
        <v>0</v>
      </c>
      <c r="BL205" s="224">
        <f t="shared" si="409"/>
        <v>0</v>
      </c>
      <c r="BM205" s="224">
        <f t="shared" si="409"/>
        <v>0</v>
      </c>
      <c r="BN205" s="224">
        <f t="shared" si="409"/>
        <v>0</v>
      </c>
      <c r="BO205" s="229">
        <f t="shared" si="262"/>
        <v>0</v>
      </c>
      <c r="BP205" s="229">
        <f t="shared" si="263"/>
        <v>0</v>
      </c>
      <c r="BQ205" s="229">
        <f t="shared" si="264"/>
        <v>0</v>
      </c>
      <c r="BR205" s="229">
        <f t="shared" si="265"/>
        <v>0</v>
      </c>
      <c r="BS205" s="229">
        <f t="shared" si="266"/>
        <v>0</v>
      </c>
      <c r="BT205" s="229">
        <f t="shared" si="267"/>
        <v>0</v>
      </c>
      <c r="BU205" s="229">
        <f t="shared" si="268"/>
        <v>0</v>
      </c>
      <c r="BV205" s="229">
        <f t="shared" si="269"/>
        <v>0</v>
      </c>
      <c r="BW205" s="229">
        <f t="shared" si="270"/>
        <v>0</v>
      </c>
      <c r="BX205" s="229">
        <f t="shared" si="271"/>
        <v>0</v>
      </c>
      <c r="BY205" s="229">
        <f t="shared" si="272"/>
        <v>0</v>
      </c>
      <c r="BZ205" s="229">
        <f t="shared" si="273"/>
        <v>0</v>
      </c>
      <c r="CA205" s="229">
        <f t="shared" si="274"/>
        <v>0</v>
      </c>
      <c r="CB205" s="229">
        <f t="shared" si="275"/>
        <v>0</v>
      </c>
      <c r="CC205" s="229">
        <f t="shared" si="276"/>
        <v>0</v>
      </c>
      <c r="CD205" s="229">
        <f t="shared" si="277"/>
        <v>0</v>
      </c>
      <c r="CE205" s="229">
        <f t="shared" si="278"/>
        <v>0</v>
      </c>
      <c r="CF205" s="229">
        <f t="shared" si="279"/>
        <v>0</v>
      </c>
      <c r="CG205" s="229">
        <f t="shared" si="280"/>
        <v>0</v>
      </c>
      <c r="CH205" s="229">
        <f t="shared" si="281"/>
        <v>0</v>
      </c>
      <c r="CI205" s="229">
        <f t="shared" si="282"/>
        <v>0</v>
      </c>
      <c r="CJ205" s="229">
        <f t="shared" si="283"/>
        <v>0</v>
      </c>
      <c r="CK205" s="229">
        <f t="shared" si="284"/>
        <v>0</v>
      </c>
      <c r="CL205" s="229">
        <f t="shared" si="285"/>
        <v>0</v>
      </c>
      <c r="CM205" s="224">
        <f t="shared" ref="CM205:CX205" si="410">IF($T72&gt;0,(((EXP(-(1/(Morning_Peak_Duration__hours*2))*(CM$141-(Morning_Peak_Time__24hr_clock+$C205))^2))+(EXP(-(1/(Afternoon_Peak_Duration__hours*2))*(CM$141-(Afternoon_Peak_Time__24hr_clock+$C205))^2)))*$V72)/TZCalibrationValue,0)</f>
        <v>0</v>
      </c>
      <c r="CN205" s="224">
        <f t="shared" si="410"/>
        <v>0</v>
      </c>
      <c r="CO205" s="224">
        <f t="shared" si="410"/>
        <v>0</v>
      </c>
      <c r="CP205" s="224">
        <f t="shared" si="410"/>
        <v>0</v>
      </c>
      <c r="CQ205" s="224">
        <f t="shared" si="410"/>
        <v>0</v>
      </c>
      <c r="CR205" s="224">
        <f t="shared" si="410"/>
        <v>0</v>
      </c>
      <c r="CS205" s="224">
        <f t="shared" si="410"/>
        <v>0</v>
      </c>
      <c r="CT205" s="224">
        <f t="shared" si="410"/>
        <v>0</v>
      </c>
      <c r="CU205" s="224">
        <f t="shared" si="410"/>
        <v>0</v>
      </c>
      <c r="CV205" s="224">
        <f t="shared" si="410"/>
        <v>0</v>
      </c>
      <c r="CW205" s="224">
        <f t="shared" si="410"/>
        <v>0</v>
      </c>
      <c r="CX205" s="224">
        <f t="shared" si="410"/>
        <v>0</v>
      </c>
      <c r="CY205" s="218"/>
    </row>
    <row r="206" spans="2:103" hidden="1" outlineLevel="1">
      <c r="B206" t="str">
        <f t="shared" ref="B206:B237" si="411">B73</f>
        <v>Site 65</v>
      </c>
      <c r="C206" s="230">
        <f>VLOOKUP(D73,'Scaling Tables'!$B$123:$C$149,2,FALSE)-VLOOKUP($C$4,'Scaling Tables'!$B$123:$C$149,2,FALSE)</f>
        <v>0</v>
      </c>
      <c r="D206" s="224">
        <f t="shared" ref="D206:O206" si="412">IF($T73&gt;0,(((EXP(-(1/(Morning_Peak_Duration__hours*2))*(D$141-(Morning_Peak_Time__24hr_clock+$C206))^2))+(EXP(-(1/(Afternoon_Peak_Duration__hours*2))*(D$141-(Afternoon_Peak_Time__24hr_clock+$C206))^2)))*$U73)/TZCalibrationValue,0)</f>
        <v>0</v>
      </c>
      <c r="E206" s="224">
        <f t="shared" si="412"/>
        <v>0</v>
      </c>
      <c r="F206" s="224">
        <f t="shared" si="412"/>
        <v>0</v>
      </c>
      <c r="G206" s="224">
        <f t="shared" si="412"/>
        <v>0</v>
      </c>
      <c r="H206" s="224">
        <f t="shared" si="412"/>
        <v>0</v>
      </c>
      <c r="I206" s="224">
        <f t="shared" si="412"/>
        <v>0</v>
      </c>
      <c r="J206" s="224">
        <f t="shared" si="412"/>
        <v>0</v>
      </c>
      <c r="K206" s="224">
        <f t="shared" si="412"/>
        <v>0</v>
      </c>
      <c r="L206" s="224">
        <f t="shared" si="412"/>
        <v>0</v>
      </c>
      <c r="M206" s="224">
        <f t="shared" si="412"/>
        <v>0</v>
      </c>
      <c r="N206" s="224">
        <f t="shared" si="412"/>
        <v>0</v>
      </c>
      <c r="O206" s="224">
        <f t="shared" si="412"/>
        <v>0</v>
      </c>
      <c r="P206" s="229">
        <f t="shared" ref="P206:P237" si="413">IF($T73&gt;0,(((EXP(-(1/(Morning_Peak_Duration__hours*2))*(P$141-(Morning_Peak_Time__24hr_clock+$C206))^2))+(EXP(-(1/(Afternoon_Peak_Duration__hours*2))*(P$141-(Afternoon_Peak_Time__24hr_clock+$C206))^2)))*$U73)/TZCalibrationValue,0)+AN206</f>
        <v>0</v>
      </c>
      <c r="Q206" s="229">
        <f t="shared" ref="Q206:Q237" si="414">IF($T73&gt;0,(((EXP(-(1/(Morning_Peak_Duration__hours*2))*(Q$141-(Morning_Peak_Time__24hr_clock+$C206))^2))+(EXP(-(1/(Afternoon_Peak_Duration__hours*2))*(Q$141-(Afternoon_Peak_Time__24hr_clock+$C206))^2)))*$U73)/TZCalibrationValue,0)+AO206</f>
        <v>0</v>
      </c>
      <c r="R206" s="229">
        <f t="shared" ref="R206:R237" si="415">IF($T73&gt;0,(((EXP(-(1/(Morning_Peak_Duration__hours*2))*(R$141-(Morning_Peak_Time__24hr_clock+$C206))^2))+(EXP(-(1/(Afternoon_Peak_Duration__hours*2))*(R$141-(Afternoon_Peak_Time__24hr_clock+$C206))^2)))*$U73)/TZCalibrationValue,0)+AP206</f>
        <v>0</v>
      </c>
      <c r="S206" s="229">
        <f t="shared" ref="S206:S237" si="416">IF($T73&gt;0,(((EXP(-(1/(Morning_Peak_Duration__hours*2))*(S$141-(Morning_Peak_Time__24hr_clock+$C206))^2))+(EXP(-(1/(Afternoon_Peak_Duration__hours*2))*(S$141-(Afternoon_Peak_Time__24hr_clock+$C206))^2)))*$U73)/TZCalibrationValue,0)+AQ206</f>
        <v>0</v>
      </c>
      <c r="T206" s="229">
        <f t="shared" ref="T206:T237" si="417">IF($T73&gt;0,(((EXP(-(1/(Morning_Peak_Duration__hours*2))*(T$141-(Morning_Peak_Time__24hr_clock+$C206))^2))+(EXP(-(1/(Afternoon_Peak_Duration__hours*2))*(T$141-(Afternoon_Peak_Time__24hr_clock+$C206))^2)))*$U73)/TZCalibrationValue,0)+AR206</f>
        <v>0</v>
      </c>
      <c r="U206" s="229">
        <f t="shared" ref="U206:U237" si="418">IF($T73&gt;0,(((EXP(-(1/(Morning_Peak_Duration__hours*2))*(U$141-(Morning_Peak_Time__24hr_clock+$C206))^2))+(EXP(-(1/(Afternoon_Peak_Duration__hours*2))*(U$141-(Afternoon_Peak_Time__24hr_clock+$C206))^2)))*$U73)/TZCalibrationValue,0)+AS206</f>
        <v>0</v>
      </c>
      <c r="V206" s="229">
        <f t="shared" ref="V206:V237" si="419">IF($T73&gt;0,(((EXP(-(1/(Morning_Peak_Duration__hours*2))*(V$141-(Morning_Peak_Time__24hr_clock+$C206))^2))+(EXP(-(1/(Afternoon_Peak_Duration__hours*2))*(V$141-(Afternoon_Peak_Time__24hr_clock+$C206))^2)))*$U73)/TZCalibrationValue,0)+AT206</f>
        <v>0</v>
      </c>
      <c r="W206" s="229">
        <f t="shared" ref="W206:W237" si="420">IF($T73&gt;0,(((EXP(-(1/(Morning_Peak_Duration__hours*2))*(W$141-(Morning_Peak_Time__24hr_clock+$C206))^2))+(EXP(-(1/(Afternoon_Peak_Duration__hours*2))*(W$141-(Afternoon_Peak_Time__24hr_clock+$C206))^2)))*$U73)/TZCalibrationValue,0)+AU206</f>
        <v>0</v>
      </c>
      <c r="X206" s="229">
        <f t="shared" ref="X206:X237" si="421">IF($T73&gt;0,(((EXP(-(1/(Morning_Peak_Duration__hours*2))*(X$141-(Morning_Peak_Time__24hr_clock+$C206))^2))+(EXP(-(1/(Afternoon_Peak_Duration__hours*2))*(X$141-(Afternoon_Peak_Time__24hr_clock+$C206))^2)))*$U73)/TZCalibrationValue,0)+AV206</f>
        <v>0</v>
      </c>
      <c r="Y206" s="229">
        <f t="shared" ref="Y206:Y237" si="422">IF($T73&gt;0,(((EXP(-(1/(Morning_Peak_Duration__hours*2))*(Y$141-(Morning_Peak_Time__24hr_clock+$C206))^2))+(EXP(-(1/(Afternoon_Peak_Duration__hours*2))*(Y$141-(Afternoon_Peak_Time__24hr_clock+$C206))^2)))*$U73)/TZCalibrationValue,0)+AW206</f>
        <v>0</v>
      </c>
      <c r="Z206" s="229">
        <f t="shared" ref="Z206:Z237" si="423">IF($T73&gt;0,(((EXP(-(1/(Morning_Peak_Duration__hours*2))*(Z$141-(Morning_Peak_Time__24hr_clock+$C206))^2))+(EXP(-(1/(Afternoon_Peak_Duration__hours*2))*(Z$141-(Afternoon_Peak_Time__24hr_clock+$C206))^2)))*$U73)/TZCalibrationValue,0)+AX206</f>
        <v>0</v>
      </c>
      <c r="AA206" s="229">
        <f t="shared" ref="AA206:AA237" si="424">IF($T73&gt;0,(((EXP(-(1/(Morning_Peak_Duration__hours*2))*(AA$141-(Morning_Peak_Time__24hr_clock+$C206))^2))+(EXP(-(1/(Afternoon_Peak_Duration__hours*2))*(AA$141-(Afternoon_Peak_Time__24hr_clock+$C206))^2)))*$U73)/TZCalibrationValue,0)+AY206</f>
        <v>0</v>
      </c>
      <c r="AB206" s="229">
        <f t="shared" ref="AB206:AB237" si="425">IF($T73&gt;0,(((EXP(-(1/(Morning_Peak_Duration__hours*2))*(AB$141-(Morning_Peak_Time__24hr_clock+$C206))^2))+(EXP(-(1/(Afternoon_Peak_Duration__hours*2))*(AB$141-(Afternoon_Peak_Time__24hr_clock+$C206))^2)))*$U73)/TZCalibrationValue,0)+AZ206</f>
        <v>0</v>
      </c>
      <c r="AC206" s="229">
        <f t="shared" ref="AC206:AC237" si="426">IF($T73&gt;0,(((EXP(-(1/(Morning_Peak_Duration__hours*2))*(AC$141-(Morning_Peak_Time__24hr_clock+$C206))^2))+(EXP(-(1/(Afternoon_Peak_Duration__hours*2))*(AC$141-(Afternoon_Peak_Time__24hr_clock+$C206))^2)))*$U73)/TZCalibrationValue,0)+E206</f>
        <v>0</v>
      </c>
      <c r="AD206" s="229">
        <f t="shared" ref="AD206:AD237" si="427">IF($T73&gt;0,(((EXP(-(1/(Morning_Peak_Duration__hours*2))*(AD$141-(Morning_Peak_Time__24hr_clock+$C206))^2))+(EXP(-(1/(Afternoon_Peak_Duration__hours*2))*(AD$141-(Afternoon_Peak_Time__24hr_clock+$C206))^2)))*$U73)/TZCalibrationValue,0)+F206</f>
        <v>0</v>
      </c>
      <c r="AE206" s="229">
        <f t="shared" ref="AE206:AE237" si="428">IF($T73&gt;0,(((EXP(-(1/(Morning_Peak_Duration__hours*2))*(AE$141-(Morning_Peak_Time__24hr_clock+$C206))^2))+(EXP(-(1/(Afternoon_Peak_Duration__hours*2))*(AE$141-(Afternoon_Peak_Time__24hr_clock+$C206))^2)))*$U73)/TZCalibrationValue,0)+G206</f>
        <v>0</v>
      </c>
      <c r="AF206" s="229">
        <f t="shared" ref="AF206:AF237" si="429">IF($T73&gt;0,(((EXP(-(1/(Morning_Peak_Duration__hours*2))*(AF$141-(Morning_Peak_Time__24hr_clock+$C206))^2))+(EXP(-(1/(Afternoon_Peak_Duration__hours*2))*(AF$141-(Afternoon_Peak_Time__24hr_clock+$C206))^2)))*$U73)/TZCalibrationValue,0)+H206</f>
        <v>0</v>
      </c>
      <c r="AG206" s="229">
        <f t="shared" ref="AG206:AG237" si="430">IF($T73&gt;0,(((EXP(-(1/(Morning_Peak_Duration__hours*2))*(AG$141-(Morning_Peak_Time__24hr_clock+$C206))^2))+(EXP(-(1/(Afternoon_Peak_Duration__hours*2))*(AG$141-(Afternoon_Peak_Time__24hr_clock+$C206))^2)))*$U73)/TZCalibrationValue,0)+I206</f>
        <v>0</v>
      </c>
      <c r="AH206" s="229">
        <f t="shared" ref="AH206:AH237" si="431">IF($T73&gt;0,(((EXP(-(1/(Morning_Peak_Duration__hours*2))*(AH$141-(Morning_Peak_Time__24hr_clock+$C206))^2))+(EXP(-(1/(Afternoon_Peak_Duration__hours*2))*(AH$141-(Afternoon_Peak_Time__24hr_clock+$C206))^2)))*$U73)/TZCalibrationValue,0)+J206</f>
        <v>0</v>
      </c>
      <c r="AI206" s="229">
        <f t="shared" ref="AI206:AI237" si="432">IF($T73&gt;0,(((EXP(-(1/(Morning_Peak_Duration__hours*2))*(AI$141-(Morning_Peak_Time__24hr_clock+$C206))^2))+(EXP(-(1/(Afternoon_Peak_Duration__hours*2))*(AI$141-(Afternoon_Peak_Time__24hr_clock+$C206))^2)))*$U73)/TZCalibrationValue,0)+K206</f>
        <v>0</v>
      </c>
      <c r="AJ206" s="229">
        <f t="shared" ref="AJ206:AJ237" si="433">IF($T73&gt;0,(((EXP(-(1/(Morning_Peak_Duration__hours*2))*(AJ$141-(Morning_Peak_Time__24hr_clock+$C206))^2))+(EXP(-(1/(Afternoon_Peak_Duration__hours*2))*(AJ$141-(Afternoon_Peak_Time__24hr_clock+$C206))^2)))*$U73)/TZCalibrationValue,0)+L206</f>
        <v>0</v>
      </c>
      <c r="AK206" s="229">
        <f t="shared" ref="AK206:AK237" si="434">IF($T73&gt;0,(((EXP(-(1/(Morning_Peak_Duration__hours*2))*(AK$141-(Morning_Peak_Time__24hr_clock+$C206))^2))+(EXP(-(1/(Afternoon_Peak_Duration__hours*2))*(AK$141-(Afternoon_Peak_Time__24hr_clock+$C206))^2)))*$U73)/TZCalibrationValue,0)+M206</f>
        <v>0</v>
      </c>
      <c r="AL206" s="229">
        <f t="shared" ref="AL206:AL237" si="435">IF($T73&gt;0,(((EXP(-(1/(Morning_Peak_Duration__hours*2))*(AL$141-(Morning_Peak_Time__24hr_clock+$C206))^2))+(EXP(-(1/(Afternoon_Peak_Duration__hours*2))*(AL$141-(Afternoon_Peak_Time__24hr_clock+$C206))^2)))*$U73)/TZCalibrationValue,0)+N206</f>
        <v>0</v>
      </c>
      <c r="AM206" s="229">
        <f t="shared" ref="AM206:AM237" si="436">IF($T73&gt;0,(((EXP(-(1/(Morning_Peak_Duration__hours*2))*(AM$141-(Morning_Peak_Time__24hr_clock+$C206))^2))+(EXP(-(1/(Afternoon_Peak_Duration__hours*2))*(AM$141-(Afternoon_Peak_Time__24hr_clock+$C206))^2)))*$U73)/TZCalibrationValue,0)+O206</f>
        <v>0</v>
      </c>
      <c r="AN206" s="224">
        <f t="shared" ref="AN206:AY206" si="437">IF($T73&gt;0,(((EXP(-(1/(Morning_Peak_Duration__hours*2))*(AN$141-(Morning_Peak_Time__24hr_clock+$C206))^2))+(EXP(-(1/(Afternoon_Peak_Duration__hours*2))*(AN$141-(Afternoon_Peak_Time__24hr_clock+$C206))^2)))*$U73)/TZCalibrationValue,0)</f>
        <v>0</v>
      </c>
      <c r="AO206" s="224">
        <f t="shared" si="437"/>
        <v>0</v>
      </c>
      <c r="AP206" s="224">
        <f t="shared" si="437"/>
        <v>0</v>
      </c>
      <c r="AQ206" s="224">
        <f t="shared" si="437"/>
        <v>0</v>
      </c>
      <c r="AR206" s="224">
        <f t="shared" si="437"/>
        <v>0</v>
      </c>
      <c r="AS206" s="224">
        <f t="shared" si="437"/>
        <v>0</v>
      </c>
      <c r="AT206" s="224">
        <f t="shared" si="437"/>
        <v>0</v>
      </c>
      <c r="AU206" s="224">
        <f t="shared" si="437"/>
        <v>0</v>
      </c>
      <c r="AV206" s="224">
        <f t="shared" si="437"/>
        <v>0</v>
      </c>
      <c r="AW206" s="224">
        <f t="shared" si="437"/>
        <v>0</v>
      </c>
      <c r="AX206" s="224">
        <f t="shared" si="437"/>
        <v>0</v>
      </c>
      <c r="AY206" s="224">
        <f t="shared" si="437"/>
        <v>0</v>
      </c>
      <c r="AZ206" s="218"/>
      <c r="BA206"/>
      <c r="BB206" s="176" t="str">
        <f t="shared" ref="BB206:BB240" si="438">B206</f>
        <v>Site 65</v>
      </c>
      <c r="BC206" s="224">
        <f t="shared" ref="BC206:BN206" si="439">IF($T73&gt;0,(((EXP(-(1/(Morning_Peak_Duration__hours*2))*(BC$141-(Morning_Peak_Time__24hr_clock+$C206))^2))+(EXP(-(1/(Afternoon_Peak_Duration__hours*2))*(BC$141-(Afternoon_Peak_Time__24hr_clock+$C206))^2)))*$V73)/TZCalibrationValue,0)</f>
        <v>0</v>
      </c>
      <c r="BD206" s="224">
        <f t="shared" si="439"/>
        <v>0</v>
      </c>
      <c r="BE206" s="224">
        <f t="shared" si="439"/>
        <v>0</v>
      </c>
      <c r="BF206" s="224">
        <f t="shared" si="439"/>
        <v>0</v>
      </c>
      <c r="BG206" s="224">
        <f t="shared" si="439"/>
        <v>0</v>
      </c>
      <c r="BH206" s="224">
        <f t="shared" si="439"/>
        <v>0</v>
      </c>
      <c r="BI206" s="224">
        <f t="shared" si="439"/>
        <v>0</v>
      </c>
      <c r="BJ206" s="224">
        <f t="shared" si="439"/>
        <v>0</v>
      </c>
      <c r="BK206" s="224">
        <f t="shared" si="439"/>
        <v>0</v>
      </c>
      <c r="BL206" s="224">
        <f t="shared" si="439"/>
        <v>0</v>
      </c>
      <c r="BM206" s="224">
        <f t="shared" si="439"/>
        <v>0</v>
      </c>
      <c r="BN206" s="224">
        <f t="shared" si="439"/>
        <v>0</v>
      </c>
      <c r="BO206" s="229">
        <f t="shared" ref="BO206:BO237" si="440">IF($T73&gt;0,(((EXP(-(1/(Morning_Peak_Duration__hours*2))*(BO$141-(Morning_Peak_Time__24hr_clock+$C206))^2))+(EXP(-(1/(Afternoon_Peak_Duration__hours*2))*(BO$141-(Afternoon_Peak_Time__24hr_clock+$C206))^2)))*$V73)/TZCalibrationValue,0)+CM206</f>
        <v>0</v>
      </c>
      <c r="BP206" s="229">
        <f t="shared" ref="BP206:BP237" si="441">IF($T73&gt;0,(((EXP(-(1/(Morning_Peak_Duration__hours*2))*(BP$141-(Morning_Peak_Time__24hr_clock+$C206))^2))+(EXP(-(1/(Afternoon_Peak_Duration__hours*2))*(BP$141-(Afternoon_Peak_Time__24hr_clock+$C206))^2)))*$V73)/TZCalibrationValue,0)+CN206</f>
        <v>0</v>
      </c>
      <c r="BQ206" s="229">
        <f t="shared" ref="BQ206:BQ237" si="442">IF($T73&gt;0,(((EXP(-(1/(Morning_Peak_Duration__hours*2))*(BQ$141-(Morning_Peak_Time__24hr_clock+$C206))^2))+(EXP(-(1/(Afternoon_Peak_Duration__hours*2))*(BQ$141-(Afternoon_Peak_Time__24hr_clock+$C206))^2)))*$V73)/TZCalibrationValue,0)+CO206</f>
        <v>0</v>
      </c>
      <c r="BR206" s="229">
        <f t="shared" ref="BR206:BR237" si="443">IF($T73&gt;0,(((EXP(-(1/(Morning_Peak_Duration__hours*2))*(BR$141-(Morning_Peak_Time__24hr_clock+$C206))^2))+(EXP(-(1/(Afternoon_Peak_Duration__hours*2))*(BR$141-(Afternoon_Peak_Time__24hr_clock+$C206))^2)))*$V73)/TZCalibrationValue,0)+CP206</f>
        <v>0</v>
      </c>
      <c r="BS206" s="229">
        <f t="shared" ref="BS206:BS237" si="444">IF($T73&gt;0,(((EXP(-(1/(Morning_Peak_Duration__hours*2))*(BS$141-(Morning_Peak_Time__24hr_clock+$C206))^2))+(EXP(-(1/(Afternoon_Peak_Duration__hours*2))*(BS$141-(Afternoon_Peak_Time__24hr_clock+$C206))^2)))*$V73)/TZCalibrationValue,0)+CQ206</f>
        <v>0</v>
      </c>
      <c r="BT206" s="229">
        <f t="shared" ref="BT206:BT237" si="445">IF($T73&gt;0,(((EXP(-(1/(Morning_Peak_Duration__hours*2))*(BT$141-(Morning_Peak_Time__24hr_clock+$C206))^2))+(EXP(-(1/(Afternoon_Peak_Duration__hours*2))*(BT$141-(Afternoon_Peak_Time__24hr_clock+$C206))^2)))*$V73)/TZCalibrationValue,0)+CR206</f>
        <v>0</v>
      </c>
      <c r="BU206" s="229">
        <f t="shared" ref="BU206:BU237" si="446">IF($T73&gt;0,(((EXP(-(1/(Morning_Peak_Duration__hours*2))*(BU$141-(Morning_Peak_Time__24hr_clock+$C206))^2))+(EXP(-(1/(Afternoon_Peak_Duration__hours*2))*(BU$141-(Afternoon_Peak_Time__24hr_clock+$C206))^2)))*$V73)/TZCalibrationValue,0)+CS206</f>
        <v>0</v>
      </c>
      <c r="BV206" s="229">
        <f t="shared" ref="BV206:BV237" si="447">IF($T73&gt;0,(((EXP(-(1/(Morning_Peak_Duration__hours*2))*(BV$141-(Morning_Peak_Time__24hr_clock+$C206))^2))+(EXP(-(1/(Afternoon_Peak_Duration__hours*2))*(BV$141-(Afternoon_Peak_Time__24hr_clock+$C206))^2)))*$V73)/TZCalibrationValue,0)+CT206</f>
        <v>0</v>
      </c>
      <c r="BW206" s="229">
        <f t="shared" ref="BW206:BW237" si="448">IF($T73&gt;0,(((EXP(-(1/(Morning_Peak_Duration__hours*2))*(BW$141-(Morning_Peak_Time__24hr_clock+$C206))^2))+(EXP(-(1/(Afternoon_Peak_Duration__hours*2))*(BW$141-(Afternoon_Peak_Time__24hr_clock+$C206))^2)))*$V73)/TZCalibrationValue,0)+CU206</f>
        <v>0</v>
      </c>
      <c r="BX206" s="229">
        <f t="shared" ref="BX206:BX237" si="449">IF($T73&gt;0,(((EXP(-(1/(Morning_Peak_Duration__hours*2))*(BX$141-(Morning_Peak_Time__24hr_clock+$C206))^2))+(EXP(-(1/(Afternoon_Peak_Duration__hours*2))*(BX$141-(Afternoon_Peak_Time__24hr_clock+$C206))^2)))*$V73)/TZCalibrationValue,0)+CV206</f>
        <v>0</v>
      </c>
      <c r="BY206" s="229">
        <f t="shared" ref="BY206:BY237" si="450">IF($T73&gt;0,(((EXP(-(1/(Morning_Peak_Duration__hours*2))*(BY$141-(Morning_Peak_Time__24hr_clock+$C206))^2))+(EXP(-(1/(Afternoon_Peak_Duration__hours*2))*(BY$141-(Afternoon_Peak_Time__24hr_clock+$C206))^2)))*$V73)/TZCalibrationValue,0)+CW206</f>
        <v>0</v>
      </c>
      <c r="BZ206" s="229">
        <f t="shared" ref="BZ206:BZ237" si="451">IF($T73&gt;0,(((EXP(-(1/(Morning_Peak_Duration__hours*2))*(BZ$141-(Morning_Peak_Time__24hr_clock+$C206))^2))+(EXP(-(1/(Afternoon_Peak_Duration__hours*2))*(BZ$141-(Afternoon_Peak_Time__24hr_clock+$C206))^2)))*$V73)/TZCalibrationValue,0)+CX206</f>
        <v>0</v>
      </c>
      <c r="CA206" s="229">
        <f t="shared" ref="CA206:CA237" si="452">IF($T73&gt;0,(((EXP(-(1/(Morning_Peak_Duration__hours*2))*(CA$141-(Morning_Peak_Time__24hr_clock+$C206))^2))+(EXP(-(1/(Afternoon_Peak_Duration__hours*2))*(CA$141-(Afternoon_Peak_Time__24hr_clock+$C206))^2)))*$V73)/TZCalibrationValue,0)+BC206</f>
        <v>0</v>
      </c>
      <c r="CB206" s="229">
        <f t="shared" ref="CB206:CB237" si="453">IF($T73&gt;0,(((EXP(-(1/(Morning_Peak_Duration__hours*2))*(CB$141-(Morning_Peak_Time__24hr_clock+$C206))^2))+(EXP(-(1/(Afternoon_Peak_Duration__hours*2))*(CB$141-(Afternoon_Peak_Time__24hr_clock+$C206))^2)))*$V73)/TZCalibrationValue,0)+BD206</f>
        <v>0</v>
      </c>
      <c r="CC206" s="229">
        <f t="shared" ref="CC206:CC237" si="454">IF($T73&gt;0,(((EXP(-(1/(Morning_Peak_Duration__hours*2))*(CC$141-(Morning_Peak_Time__24hr_clock+$C206))^2))+(EXP(-(1/(Afternoon_Peak_Duration__hours*2))*(CC$141-(Afternoon_Peak_Time__24hr_clock+$C206))^2)))*$V73)/TZCalibrationValue,0)+BE206</f>
        <v>0</v>
      </c>
      <c r="CD206" s="229">
        <f t="shared" ref="CD206:CD237" si="455">IF($T73&gt;0,(((EXP(-(1/(Morning_Peak_Duration__hours*2))*(CD$141-(Morning_Peak_Time__24hr_clock+$C206))^2))+(EXP(-(1/(Afternoon_Peak_Duration__hours*2))*(CD$141-(Afternoon_Peak_Time__24hr_clock+$C206))^2)))*$V73)/TZCalibrationValue,0)+BF206</f>
        <v>0</v>
      </c>
      <c r="CE206" s="229">
        <f t="shared" ref="CE206:CE237" si="456">IF($T73&gt;0,(((EXP(-(1/(Morning_Peak_Duration__hours*2))*(CE$141-(Morning_Peak_Time__24hr_clock+$C206))^2))+(EXP(-(1/(Afternoon_Peak_Duration__hours*2))*(CE$141-(Afternoon_Peak_Time__24hr_clock+$C206))^2)))*$V73)/TZCalibrationValue,0)+BG206</f>
        <v>0</v>
      </c>
      <c r="CF206" s="229">
        <f t="shared" ref="CF206:CF237" si="457">IF($T73&gt;0,(((EXP(-(1/(Morning_Peak_Duration__hours*2))*(CF$141-(Morning_Peak_Time__24hr_clock+$C206))^2))+(EXP(-(1/(Afternoon_Peak_Duration__hours*2))*(CF$141-(Afternoon_Peak_Time__24hr_clock+$C206))^2)))*$V73)/TZCalibrationValue,0)+BH206</f>
        <v>0</v>
      </c>
      <c r="CG206" s="229">
        <f t="shared" ref="CG206:CG237" si="458">IF($T73&gt;0,(((EXP(-(1/(Morning_Peak_Duration__hours*2))*(CG$141-(Morning_Peak_Time__24hr_clock+$C206))^2))+(EXP(-(1/(Afternoon_Peak_Duration__hours*2))*(CG$141-(Afternoon_Peak_Time__24hr_clock+$C206))^2)))*$V73)/TZCalibrationValue,0)+BI206</f>
        <v>0</v>
      </c>
      <c r="CH206" s="229">
        <f t="shared" ref="CH206:CH237" si="459">IF($T73&gt;0,(((EXP(-(1/(Morning_Peak_Duration__hours*2))*(CH$141-(Morning_Peak_Time__24hr_clock+$C206))^2))+(EXP(-(1/(Afternoon_Peak_Duration__hours*2))*(CH$141-(Afternoon_Peak_Time__24hr_clock+$C206))^2)))*$V73)/TZCalibrationValue,0)+BJ206</f>
        <v>0</v>
      </c>
      <c r="CI206" s="229">
        <f t="shared" ref="CI206:CI237" si="460">IF($T73&gt;0,(((EXP(-(1/(Morning_Peak_Duration__hours*2))*(CI$141-(Morning_Peak_Time__24hr_clock+$C206))^2))+(EXP(-(1/(Afternoon_Peak_Duration__hours*2))*(CI$141-(Afternoon_Peak_Time__24hr_clock+$C206))^2)))*$V73)/TZCalibrationValue,0)+BK206</f>
        <v>0</v>
      </c>
      <c r="CJ206" s="229">
        <f t="shared" ref="CJ206:CJ237" si="461">IF($T73&gt;0,(((EXP(-(1/(Morning_Peak_Duration__hours*2))*(CJ$141-(Morning_Peak_Time__24hr_clock+$C206))^2))+(EXP(-(1/(Afternoon_Peak_Duration__hours*2))*(CJ$141-(Afternoon_Peak_Time__24hr_clock+$C206))^2)))*$V73)/TZCalibrationValue,0)+BL206</f>
        <v>0</v>
      </c>
      <c r="CK206" s="229">
        <f t="shared" ref="CK206:CK237" si="462">IF($T73&gt;0,(((EXP(-(1/(Morning_Peak_Duration__hours*2))*(CK$141-(Morning_Peak_Time__24hr_clock+$C206))^2))+(EXP(-(1/(Afternoon_Peak_Duration__hours*2))*(CK$141-(Afternoon_Peak_Time__24hr_clock+$C206))^2)))*$V73)/TZCalibrationValue,0)+BM206</f>
        <v>0</v>
      </c>
      <c r="CL206" s="229">
        <f t="shared" ref="CL206:CL237" si="463">IF($T73&gt;0,(((EXP(-(1/(Morning_Peak_Duration__hours*2))*(CL$141-(Morning_Peak_Time__24hr_clock+$C206))^2))+(EXP(-(1/(Afternoon_Peak_Duration__hours*2))*(CL$141-(Afternoon_Peak_Time__24hr_clock+$C206))^2)))*$V73)/TZCalibrationValue,0)+BN206</f>
        <v>0</v>
      </c>
      <c r="CM206" s="224">
        <f t="shared" ref="CM206:CX206" si="464">IF($T73&gt;0,(((EXP(-(1/(Morning_Peak_Duration__hours*2))*(CM$141-(Morning_Peak_Time__24hr_clock+$C206))^2))+(EXP(-(1/(Afternoon_Peak_Duration__hours*2))*(CM$141-(Afternoon_Peak_Time__24hr_clock+$C206))^2)))*$V73)/TZCalibrationValue,0)</f>
        <v>0</v>
      </c>
      <c r="CN206" s="224">
        <f t="shared" si="464"/>
        <v>0</v>
      </c>
      <c r="CO206" s="224">
        <f t="shared" si="464"/>
        <v>0</v>
      </c>
      <c r="CP206" s="224">
        <f t="shared" si="464"/>
        <v>0</v>
      </c>
      <c r="CQ206" s="224">
        <f t="shared" si="464"/>
        <v>0</v>
      </c>
      <c r="CR206" s="224">
        <f t="shared" si="464"/>
        <v>0</v>
      </c>
      <c r="CS206" s="224">
        <f t="shared" si="464"/>
        <v>0</v>
      </c>
      <c r="CT206" s="224">
        <f t="shared" si="464"/>
        <v>0</v>
      </c>
      <c r="CU206" s="224">
        <f t="shared" si="464"/>
        <v>0</v>
      </c>
      <c r="CV206" s="224">
        <f t="shared" si="464"/>
        <v>0</v>
      </c>
      <c r="CW206" s="224">
        <f t="shared" si="464"/>
        <v>0</v>
      </c>
      <c r="CX206" s="224">
        <f t="shared" si="464"/>
        <v>0</v>
      </c>
      <c r="CY206" s="218"/>
    </row>
    <row r="207" spans="2:103" hidden="1" outlineLevel="1">
      <c r="B207" t="str">
        <f t="shared" si="411"/>
        <v>Site 66</v>
      </c>
      <c r="C207" s="230">
        <f>VLOOKUP(D74,'Scaling Tables'!$B$123:$C$149,2,FALSE)-VLOOKUP($C$4,'Scaling Tables'!$B$123:$C$149,2,FALSE)</f>
        <v>0</v>
      </c>
      <c r="D207" s="224">
        <f t="shared" ref="D207:O207" si="465">IF($T74&gt;0,(((EXP(-(1/(Morning_Peak_Duration__hours*2))*(D$141-(Morning_Peak_Time__24hr_clock+$C207))^2))+(EXP(-(1/(Afternoon_Peak_Duration__hours*2))*(D$141-(Afternoon_Peak_Time__24hr_clock+$C207))^2)))*$U74)/TZCalibrationValue,0)</f>
        <v>0</v>
      </c>
      <c r="E207" s="224">
        <f t="shared" si="465"/>
        <v>0</v>
      </c>
      <c r="F207" s="224">
        <f t="shared" si="465"/>
        <v>0</v>
      </c>
      <c r="G207" s="224">
        <f t="shared" si="465"/>
        <v>0</v>
      </c>
      <c r="H207" s="224">
        <f t="shared" si="465"/>
        <v>0</v>
      </c>
      <c r="I207" s="224">
        <f t="shared" si="465"/>
        <v>0</v>
      </c>
      <c r="J207" s="224">
        <f t="shared" si="465"/>
        <v>0</v>
      </c>
      <c r="K207" s="224">
        <f t="shared" si="465"/>
        <v>0</v>
      </c>
      <c r="L207" s="224">
        <f t="shared" si="465"/>
        <v>0</v>
      </c>
      <c r="M207" s="224">
        <f t="shared" si="465"/>
        <v>0</v>
      </c>
      <c r="N207" s="224">
        <f t="shared" si="465"/>
        <v>0</v>
      </c>
      <c r="O207" s="224">
        <f t="shared" si="465"/>
        <v>0</v>
      </c>
      <c r="P207" s="229">
        <f t="shared" si="413"/>
        <v>0</v>
      </c>
      <c r="Q207" s="229">
        <f t="shared" si="414"/>
        <v>0</v>
      </c>
      <c r="R207" s="229">
        <f t="shared" si="415"/>
        <v>0</v>
      </c>
      <c r="S207" s="229">
        <f t="shared" si="416"/>
        <v>0</v>
      </c>
      <c r="T207" s="229">
        <f t="shared" si="417"/>
        <v>0</v>
      </c>
      <c r="U207" s="229">
        <f t="shared" si="418"/>
        <v>0</v>
      </c>
      <c r="V207" s="229">
        <f t="shared" si="419"/>
        <v>0</v>
      </c>
      <c r="W207" s="229">
        <f t="shared" si="420"/>
        <v>0</v>
      </c>
      <c r="X207" s="229">
        <f t="shared" si="421"/>
        <v>0</v>
      </c>
      <c r="Y207" s="229">
        <f t="shared" si="422"/>
        <v>0</v>
      </c>
      <c r="Z207" s="229">
        <f t="shared" si="423"/>
        <v>0</v>
      </c>
      <c r="AA207" s="229">
        <f t="shared" si="424"/>
        <v>0</v>
      </c>
      <c r="AB207" s="229">
        <f t="shared" si="425"/>
        <v>0</v>
      </c>
      <c r="AC207" s="229">
        <f t="shared" si="426"/>
        <v>0</v>
      </c>
      <c r="AD207" s="229">
        <f t="shared" si="427"/>
        <v>0</v>
      </c>
      <c r="AE207" s="229">
        <f t="shared" si="428"/>
        <v>0</v>
      </c>
      <c r="AF207" s="229">
        <f t="shared" si="429"/>
        <v>0</v>
      </c>
      <c r="AG207" s="229">
        <f t="shared" si="430"/>
        <v>0</v>
      </c>
      <c r="AH207" s="229">
        <f t="shared" si="431"/>
        <v>0</v>
      </c>
      <c r="AI207" s="229">
        <f t="shared" si="432"/>
        <v>0</v>
      </c>
      <c r="AJ207" s="229">
        <f t="shared" si="433"/>
        <v>0</v>
      </c>
      <c r="AK207" s="229">
        <f t="shared" si="434"/>
        <v>0</v>
      </c>
      <c r="AL207" s="229">
        <f t="shared" si="435"/>
        <v>0</v>
      </c>
      <c r="AM207" s="229">
        <f t="shared" si="436"/>
        <v>0</v>
      </c>
      <c r="AN207" s="224">
        <f t="shared" ref="AN207:AY207" si="466">IF($T74&gt;0,(((EXP(-(1/(Morning_Peak_Duration__hours*2))*(AN$141-(Morning_Peak_Time__24hr_clock+$C207))^2))+(EXP(-(1/(Afternoon_Peak_Duration__hours*2))*(AN$141-(Afternoon_Peak_Time__24hr_clock+$C207))^2)))*$U74)/TZCalibrationValue,0)</f>
        <v>0</v>
      </c>
      <c r="AO207" s="224">
        <f t="shared" si="466"/>
        <v>0</v>
      </c>
      <c r="AP207" s="224">
        <f t="shared" si="466"/>
        <v>0</v>
      </c>
      <c r="AQ207" s="224">
        <f t="shared" si="466"/>
        <v>0</v>
      </c>
      <c r="AR207" s="224">
        <f t="shared" si="466"/>
        <v>0</v>
      </c>
      <c r="AS207" s="224">
        <f t="shared" si="466"/>
        <v>0</v>
      </c>
      <c r="AT207" s="224">
        <f t="shared" si="466"/>
        <v>0</v>
      </c>
      <c r="AU207" s="224">
        <f t="shared" si="466"/>
        <v>0</v>
      </c>
      <c r="AV207" s="224">
        <f t="shared" si="466"/>
        <v>0</v>
      </c>
      <c r="AW207" s="224">
        <f t="shared" si="466"/>
        <v>0</v>
      </c>
      <c r="AX207" s="224">
        <f t="shared" si="466"/>
        <v>0</v>
      </c>
      <c r="AY207" s="224">
        <f t="shared" si="466"/>
        <v>0</v>
      </c>
      <c r="AZ207" s="218"/>
      <c r="BA207"/>
      <c r="BB207" s="176" t="str">
        <f t="shared" si="438"/>
        <v>Site 66</v>
      </c>
      <c r="BC207" s="224">
        <f t="shared" ref="BC207:BN207" si="467">IF($T74&gt;0,(((EXP(-(1/(Morning_Peak_Duration__hours*2))*(BC$141-(Morning_Peak_Time__24hr_clock+$C207))^2))+(EXP(-(1/(Afternoon_Peak_Duration__hours*2))*(BC$141-(Afternoon_Peak_Time__24hr_clock+$C207))^2)))*$V74)/TZCalibrationValue,0)</f>
        <v>0</v>
      </c>
      <c r="BD207" s="224">
        <f t="shared" si="467"/>
        <v>0</v>
      </c>
      <c r="BE207" s="224">
        <f t="shared" si="467"/>
        <v>0</v>
      </c>
      <c r="BF207" s="224">
        <f t="shared" si="467"/>
        <v>0</v>
      </c>
      <c r="BG207" s="224">
        <f t="shared" si="467"/>
        <v>0</v>
      </c>
      <c r="BH207" s="224">
        <f t="shared" si="467"/>
        <v>0</v>
      </c>
      <c r="BI207" s="224">
        <f t="shared" si="467"/>
        <v>0</v>
      </c>
      <c r="BJ207" s="224">
        <f t="shared" si="467"/>
        <v>0</v>
      </c>
      <c r="BK207" s="224">
        <f t="shared" si="467"/>
        <v>0</v>
      </c>
      <c r="BL207" s="224">
        <f t="shared" si="467"/>
        <v>0</v>
      </c>
      <c r="BM207" s="224">
        <f t="shared" si="467"/>
        <v>0</v>
      </c>
      <c r="BN207" s="224">
        <f t="shared" si="467"/>
        <v>0</v>
      </c>
      <c r="BO207" s="229">
        <f t="shared" si="440"/>
        <v>0</v>
      </c>
      <c r="BP207" s="229">
        <f t="shared" si="441"/>
        <v>0</v>
      </c>
      <c r="BQ207" s="229">
        <f t="shared" si="442"/>
        <v>0</v>
      </c>
      <c r="BR207" s="229">
        <f t="shared" si="443"/>
        <v>0</v>
      </c>
      <c r="BS207" s="229">
        <f t="shared" si="444"/>
        <v>0</v>
      </c>
      <c r="BT207" s="229">
        <f t="shared" si="445"/>
        <v>0</v>
      </c>
      <c r="BU207" s="229">
        <f t="shared" si="446"/>
        <v>0</v>
      </c>
      <c r="BV207" s="229">
        <f t="shared" si="447"/>
        <v>0</v>
      </c>
      <c r="BW207" s="229">
        <f t="shared" si="448"/>
        <v>0</v>
      </c>
      <c r="BX207" s="229">
        <f t="shared" si="449"/>
        <v>0</v>
      </c>
      <c r="BY207" s="229">
        <f t="shared" si="450"/>
        <v>0</v>
      </c>
      <c r="BZ207" s="229">
        <f t="shared" si="451"/>
        <v>0</v>
      </c>
      <c r="CA207" s="229">
        <f t="shared" si="452"/>
        <v>0</v>
      </c>
      <c r="CB207" s="229">
        <f t="shared" si="453"/>
        <v>0</v>
      </c>
      <c r="CC207" s="229">
        <f t="shared" si="454"/>
        <v>0</v>
      </c>
      <c r="CD207" s="229">
        <f t="shared" si="455"/>
        <v>0</v>
      </c>
      <c r="CE207" s="229">
        <f t="shared" si="456"/>
        <v>0</v>
      </c>
      <c r="CF207" s="229">
        <f t="shared" si="457"/>
        <v>0</v>
      </c>
      <c r="CG207" s="229">
        <f t="shared" si="458"/>
        <v>0</v>
      </c>
      <c r="CH207" s="229">
        <f t="shared" si="459"/>
        <v>0</v>
      </c>
      <c r="CI207" s="229">
        <f t="shared" si="460"/>
        <v>0</v>
      </c>
      <c r="CJ207" s="229">
        <f t="shared" si="461"/>
        <v>0</v>
      </c>
      <c r="CK207" s="229">
        <f t="shared" si="462"/>
        <v>0</v>
      </c>
      <c r="CL207" s="229">
        <f t="shared" si="463"/>
        <v>0</v>
      </c>
      <c r="CM207" s="224">
        <f t="shared" ref="CM207:CX207" si="468">IF($T74&gt;0,(((EXP(-(1/(Morning_Peak_Duration__hours*2))*(CM$141-(Morning_Peak_Time__24hr_clock+$C207))^2))+(EXP(-(1/(Afternoon_Peak_Duration__hours*2))*(CM$141-(Afternoon_Peak_Time__24hr_clock+$C207))^2)))*$V74)/TZCalibrationValue,0)</f>
        <v>0</v>
      </c>
      <c r="CN207" s="224">
        <f t="shared" si="468"/>
        <v>0</v>
      </c>
      <c r="CO207" s="224">
        <f t="shared" si="468"/>
        <v>0</v>
      </c>
      <c r="CP207" s="224">
        <f t="shared" si="468"/>
        <v>0</v>
      </c>
      <c r="CQ207" s="224">
        <f t="shared" si="468"/>
        <v>0</v>
      </c>
      <c r="CR207" s="224">
        <f t="shared" si="468"/>
        <v>0</v>
      </c>
      <c r="CS207" s="224">
        <f t="shared" si="468"/>
        <v>0</v>
      </c>
      <c r="CT207" s="224">
        <f t="shared" si="468"/>
        <v>0</v>
      </c>
      <c r="CU207" s="224">
        <f t="shared" si="468"/>
        <v>0</v>
      </c>
      <c r="CV207" s="224">
        <f t="shared" si="468"/>
        <v>0</v>
      </c>
      <c r="CW207" s="224">
        <f t="shared" si="468"/>
        <v>0</v>
      </c>
      <c r="CX207" s="224">
        <f t="shared" si="468"/>
        <v>0</v>
      </c>
      <c r="CY207" s="218"/>
    </row>
    <row r="208" spans="2:103" hidden="1" outlineLevel="1">
      <c r="B208" t="str">
        <f t="shared" si="411"/>
        <v>Site 67</v>
      </c>
      <c r="C208" s="230">
        <f>VLOOKUP(D75,'Scaling Tables'!$B$123:$C$149,2,FALSE)-VLOOKUP($C$4,'Scaling Tables'!$B$123:$C$149,2,FALSE)</f>
        <v>0</v>
      </c>
      <c r="D208" s="224">
        <f t="shared" ref="D208:O208" si="469">IF($T75&gt;0,(((EXP(-(1/(Morning_Peak_Duration__hours*2))*(D$141-(Morning_Peak_Time__24hr_clock+$C208))^2))+(EXP(-(1/(Afternoon_Peak_Duration__hours*2))*(D$141-(Afternoon_Peak_Time__24hr_clock+$C208))^2)))*$U75)/TZCalibrationValue,0)</f>
        <v>0</v>
      </c>
      <c r="E208" s="224">
        <f t="shared" si="469"/>
        <v>0</v>
      </c>
      <c r="F208" s="224">
        <f t="shared" si="469"/>
        <v>0</v>
      </c>
      <c r="G208" s="224">
        <f t="shared" si="469"/>
        <v>0</v>
      </c>
      <c r="H208" s="224">
        <f t="shared" si="469"/>
        <v>0</v>
      </c>
      <c r="I208" s="224">
        <f t="shared" si="469"/>
        <v>0</v>
      </c>
      <c r="J208" s="224">
        <f t="shared" si="469"/>
        <v>0</v>
      </c>
      <c r="K208" s="224">
        <f t="shared" si="469"/>
        <v>0</v>
      </c>
      <c r="L208" s="224">
        <f t="shared" si="469"/>
        <v>0</v>
      </c>
      <c r="M208" s="224">
        <f t="shared" si="469"/>
        <v>0</v>
      </c>
      <c r="N208" s="224">
        <f t="shared" si="469"/>
        <v>0</v>
      </c>
      <c r="O208" s="224">
        <f t="shared" si="469"/>
        <v>0</v>
      </c>
      <c r="P208" s="229">
        <f t="shared" si="413"/>
        <v>0</v>
      </c>
      <c r="Q208" s="229">
        <f t="shared" si="414"/>
        <v>0</v>
      </c>
      <c r="R208" s="229">
        <f t="shared" si="415"/>
        <v>0</v>
      </c>
      <c r="S208" s="229">
        <f t="shared" si="416"/>
        <v>0</v>
      </c>
      <c r="T208" s="229">
        <f t="shared" si="417"/>
        <v>0</v>
      </c>
      <c r="U208" s="229">
        <f t="shared" si="418"/>
        <v>0</v>
      </c>
      <c r="V208" s="229">
        <f t="shared" si="419"/>
        <v>0</v>
      </c>
      <c r="W208" s="229">
        <f t="shared" si="420"/>
        <v>0</v>
      </c>
      <c r="X208" s="229">
        <f t="shared" si="421"/>
        <v>0</v>
      </c>
      <c r="Y208" s="229">
        <f t="shared" si="422"/>
        <v>0</v>
      </c>
      <c r="Z208" s="229">
        <f t="shared" si="423"/>
        <v>0</v>
      </c>
      <c r="AA208" s="229">
        <f t="shared" si="424"/>
        <v>0</v>
      </c>
      <c r="AB208" s="229">
        <f t="shared" si="425"/>
        <v>0</v>
      </c>
      <c r="AC208" s="229">
        <f t="shared" si="426"/>
        <v>0</v>
      </c>
      <c r="AD208" s="229">
        <f t="shared" si="427"/>
        <v>0</v>
      </c>
      <c r="AE208" s="229">
        <f t="shared" si="428"/>
        <v>0</v>
      </c>
      <c r="AF208" s="229">
        <f t="shared" si="429"/>
        <v>0</v>
      </c>
      <c r="AG208" s="229">
        <f t="shared" si="430"/>
        <v>0</v>
      </c>
      <c r="AH208" s="229">
        <f t="shared" si="431"/>
        <v>0</v>
      </c>
      <c r="AI208" s="229">
        <f t="shared" si="432"/>
        <v>0</v>
      </c>
      <c r="AJ208" s="229">
        <f t="shared" si="433"/>
        <v>0</v>
      </c>
      <c r="AK208" s="229">
        <f t="shared" si="434"/>
        <v>0</v>
      </c>
      <c r="AL208" s="229">
        <f t="shared" si="435"/>
        <v>0</v>
      </c>
      <c r="AM208" s="229">
        <f t="shared" si="436"/>
        <v>0</v>
      </c>
      <c r="AN208" s="224">
        <f t="shared" ref="AN208:AY208" si="470">IF($T75&gt;0,(((EXP(-(1/(Morning_Peak_Duration__hours*2))*(AN$141-(Morning_Peak_Time__24hr_clock+$C208))^2))+(EXP(-(1/(Afternoon_Peak_Duration__hours*2))*(AN$141-(Afternoon_Peak_Time__24hr_clock+$C208))^2)))*$U75)/TZCalibrationValue,0)</f>
        <v>0</v>
      </c>
      <c r="AO208" s="224">
        <f t="shared" si="470"/>
        <v>0</v>
      </c>
      <c r="AP208" s="224">
        <f t="shared" si="470"/>
        <v>0</v>
      </c>
      <c r="AQ208" s="224">
        <f t="shared" si="470"/>
        <v>0</v>
      </c>
      <c r="AR208" s="224">
        <f t="shared" si="470"/>
        <v>0</v>
      </c>
      <c r="AS208" s="224">
        <f t="shared" si="470"/>
        <v>0</v>
      </c>
      <c r="AT208" s="224">
        <f t="shared" si="470"/>
        <v>0</v>
      </c>
      <c r="AU208" s="224">
        <f t="shared" si="470"/>
        <v>0</v>
      </c>
      <c r="AV208" s="224">
        <f t="shared" si="470"/>
        <v>0</v>
      </c>
      <c r="AW208" s="224">
        <f t="shared" si="470"/>
        <v>0</v>
      </c>
      <c r="AX208" s="224">
        <f t="shared" si="470"/>
        <v>0</v>
      </c>
      <c r="AY208" s="224">
        <f t="shared" si="470"/>
        <v>0</v>
      </c>
      <c r="AZ208" s="218"/>
      <c r="BA208"/>
      <c r="BB208" s="176" t="str">
        <f t="shared" si="438"/>
        <v>Site 67</v>
      </c>
      <c r="BC208" s="224">
        <f t="shared" ref="BC208:BN208" si="471">IF($T75&gt;0,(((EXP(-(1/(Morning_Peak_Duration__hours*2))*(BC$141-(Morning_Peak_Time__24hr_clock+$C208))^2))+(EXP(-(1/(Afternoon_Peak_Duration__hours*2))*(BC$141-(Afternoon_Peak_Time__24hr_clock+$C208))^2)))*$V75)/TZCalibrationValue,0)</f>
        <v>0</v>
      </c>
      <c r="BD208" s="224">
        <f t="shared" si="471"/>
        <v>0</v>
      </c>
      <c r="BE208" s="224">
        <f t="shared" si="471"/>
        <v>0</v>
      </c>
      <c r="BF208" s="224">
        <f t="shared" si="471"/>
        <v>0</v>
      </c>
      <c r="BG208" s="224">
        <f t="shared" si="471"/>
        <v>0</v>
      </c>
      <c r="BH208" s="224">
        <f t="shared" si="471"/>
        <v>0</v>
      </c>
      <c r="BI208" s="224">
        <f t="shared" si="471"/>
        <v>0</v>
      </c>
      <c r="BJ208" s="224">
        <f t="shared" si="471"/>
        <v>0</v>
      </c>
      <c r="BK208" s="224">
        <f t="shared" si="471"/>
        <v>0</v>
      </c>
      <c r="BL208" s="224">
        <f t="shared" si="471"/>
        <v>0</v>
      </c>
      <c r="BM208" s="224">
        <f t="shared" si="471"/>
        <v>0</v>
      </c>
      <c r="BN208" s="224">
        <f t="shared" si="471"/>
        <v>0</v>
      </c>
      <c r="BO208" s="229">
        <f t="shared" si="440"/>
        <v>0</v>
      </c>
      <c r="BP208" s="229">
        <f t="shared" si="441"/>
        <v>0</v>
      </c>
      <c r="BQ208" s="229">
        <f t="shared" si="442"/>
        <v>0</v>
      </c>
      <c r="BR208" s="229">
        <f t="shared" si="443"/>
        <v>0</v>
      </c>
      <c r="BS208" s="229">
        <f t="shared" si="444"/>
        <v>0</v>
      </c>
      <c r="BT208" s="229">
        <f t="shared" si="445"/>
        <v>0</v>
      </c>
      <c r="BU208" s="229">
        <f t="shared" si="446"/>
        <v>0</v>
      </c>
      <c r="BV208" s="229">
        <f t="shared" si="447"/>
        <v>0</v>
      </c>
      <c r="BW208" s="229">
        <f t="shared" si="448"/>
        <v>0</v>
      </c>
      <c r="BX208" s="229">
        <f t="shared" si="449"/>
        <v>0</v>
      </c>
      <c r="BY208" s="229">
        <f t="shared" si="450"/>
        <v>0</v>
      </c>
      <c r="BZ208" s="229">
        <f t="shared" si="451"/>
        <v>0</v>
      </c>
      <c r="CA208" s="229">
        <f t="shared" si="452"/>
        <v>0</v>
      </c>
      <c r="CB208" s="229">
        <f t="shared" si="453"/>
        <v>0</v>
      </c>
      <c r="CC208" s="229">
        <f t="shared" si="454"/>
        <v>0</v>
      </c>
      <c r="CD208" s="229">
        <f t="shared" si="455"/>
        <v>0</v>
      </c>
      <c r="CE208" s="229">
        <f t="shared" si="456"/>
        <v>0</v>
      </c>
      <c r="CF208" s="229">
        <f t="shared" si="457"/>
        <v>0</v>
      </c>
      <c r="CG208" s="229">
        <f t="shared" si="458"/>
        <v>0</v>
      </c>
      <c r="CH208" s="229">
        <f t="shared" si="459"/>
        <v>0</v>
      </c>
      <c r="CI208" s="229">
        <f t="shared" si="460"/>
        <v>0</v>
      </c>
      <c r="CJ208" s="229">
        <f t="shared" si="461"/>
        <v>0</v>
      </c>
      <c r="CK208" s="229">
        <f t="shared" si="462"/>
        <v>0</v>
      </c>
      <c r="CL208" s="229">
        <f t="shared" si="463"/>
        <v>0</v>
      </c>
      <c r="CM208" s="224">
        <f t="shared" ref="CM208:CX208" si="472">IF($T75&gt;0,(((EXP(-(1/(Morning_Peak_Duration__hours*2))*(CM$141-(Morning_Peak_Time__24hr_clock+$C208))^2))+(EXP(-(1/(Afternoon_Peak_Duration__hours*2))*(CM$141-(Afternoon_Peak_Time__24hr_clock+$C208))^2)))*$V75)/TZCalibrationValue,0)</f>
        <v>0</v>
      </c>
      <c r="CN208" s="224">
        <f t="shared" si="472"/>
        <v>0</v>
      </c>
      <c r="CO208" s="224">
        <f t="shared" si="472"/>
        <v>0</v>
      </c>
      <c r="CP208" s="224">
        <f t="shared" si="472"/>
        <v>0</v>
      </c>
      <c r="CQ208" s="224">
        <f t="shared" si="472"/>
        <v>0</v>
      </c>
      <c r="CR208" s="224">
        <f t="shared" si="472"/>
        <v>0</v>
      </c>
      <c r="CS208" s="224">
        <f t="shared" si="472"/>
        <v>0</v>
      </c>
      <c r="CT208" s="224">
        <f t="shared" si="472"/>
        <v>0</v>
      </c>
      <c r="CU208" s="224">
        <f t="shared" si="472"/>
        <v>0</v>
      </c>
      <c r="CV208" s="224">
        <f t="shared" si="472"/>
        <v>0</v>
      </c>
      <c r="CW208" s="224">
        <f t="shared" si="472"/>
        <v>0</v>
      </c>
      <c r="CX208" s="224">
        <f t="shared" si="472"/>
        <v>0</v>
      </c>
      <c r="CY208" s="218"/>
    </row>
    <row r="209" spans="2:103" hidden="1" outlineLevel="1">
      <c r="B209" t="str">
        <f t="shared" si="411"/>
        <v>Site 68</v>
      </c>
      <c r="C209" s="230">
        <f>VLOOKUP(D76,'Scaling Tables'!$B$123:$C$149,2,FALSE)-VLOOKUP($C$4,'Scaling Tables'!$B$123:$C$149,2,FALSE)</f>
        <v>0</v>
      </c>
      <c r="D209" s="224">
        <f t="shared" ref="D209:O209" si="473">IF($T76&gt;0,(((EXP(-(1/(Morning_Peak_Duration__hours*2))*(D$141-(Morning_Peak_Time__24hr_clock+$C209))^2))+(EXP(-(1/(Afternoon_Peak_Duration__hours*2))*(D$141-(Afternoon_Peak_Time__24hr_clock+$C209))^2)))*$U76)/TZCalibrationValue,0)</f>
        <v>0</v>
      </c>
      <c r="E209" s="224">
        <f t="shared" si="473"/>
        <v>0</v>
      </c>
      <c r="F209" s="224">
        <f t="shared" si="473"/>
        <v>0</v>
      </c>
      <c r="G209" s="224">
        <f t="shared" si="473"/>
        <v>0</v>
      </c>
      <c r="H209" s="224">
        <f t="shared" si="473"/>
        <v>0</v>
      </c>
      <c r="I209" s="224">
        <f t="shared" si="473"/>
        <v>0</v>
      </c>
      <c r="J209" s="224">
        <f t="shared" si="473"/>
        <v>0</v>
      </c>
      <c r="K209" s="224">
        <f t="shared" si="473"/>
        <v>0</v>
      </c>
      <c r="L209" s="224">
        <f t="shared" si="473"/>
        <v>0</v>
      </c>
      <c r="M209" s="224">
        <f t="shared" si="473"/>
        <v>0</v>
      </c>
      <c r="N209" s="224">
        <f t="shared" si="473"/>
        <v>0</v>
      </c>
      <c r="O209" s="224">
        <f t="shared" si="473"/>
        <v>0</v>
      </c>
      <c r="P209" s="229">
        <f t="shared" si="413"/>
        <v>0</v>
      </c>
      <c r="Q209" s="229">
        <f t="shared" si="414"/>
        <v>0</v>
      </c>
      <c r="R209" s="229">
        <f t="shared" si="415"/>
        <v>0</v>
      </c>
      <c r="S209" s="229">
        <f t="shared" si="416"/>
        <v>0</v>
      </c>
      <c r="T209" s="229">
        <f t="shared" si="417"/>
        <v>0</v>
      </c>
      <c r="U209" s="229">
        <f t="shared" si="418"/>
        <v>0</v>
      </c>
      <c r="V209" s="229">
        <f t="shared" si="419"/>
        <v>0</v>
      </c>
      <c r="W209" s="229">
        <f t="shared" si="420"/>
        <v>0</v>
      </c>
      <c r="X209" s="229">
        <f t="shared" si="421"/>
        <v>0</v>
      </c>
      <c r="Y209" s="229">
        <f t="shared" si="422"/>
        <v>0</v>
      </c>
      <c r="Z209" s="229">
        <f t="shared" si="423"/>
        <v>0</v>
      </c>
      <c r="AA209" s="229">
        <f t="shared" si="424"/>
        <v>0</v>
      </c>
      <c r="AB209" s="229">
        <f t="shared" si="425"/>
        <v>0</v>
      </c>
      <c r="AC209" s="229">
        <f t="shared" si="426"/>
        <v>0</v>
      </c>
      <c r="AD209" s="229">
        <f t="shared" si="427"/>
        <v>0</v>
      </c>
      <c r="AE209" s="229">
        <f t="shared" si="428"/>
        <v>0</v>
      </c>
      <c r="AF209" s="229">
        <f t="shared" si="429"/>
        <v>0</v>
      </c>
      <c r="AG209" s="229">
        <f t="shared" si="430"/>
        <v>0</v>
      </c>
      <c r="AH209" s="229">
        <f t="shared" si="431"/>
        <v>0</v>
      </c>
      <c r="AI209" s="229">
        <f t="shared" si="432"/>
        <v>0</v>
      </c>
      <c r="AJ209" s="229">
        <f t="shared" si="433"/>
        <v>0</v>
      </c>
      <c r="AK209" s="229">
        <f t="shared" si="434"/>
        <v>0</v>
      </c>
      <c r="AL209" s="229">
        <f t="shared" si="435"/>
        <v>0</v>
      </c>
      <c r="AM209" s="229">
        <f t="shared" si="436"/>
        <v>0</v>
      </c>
      <c r="AN209" s="224">
        <f t="shared" ref="AN209:AY209" si="474">IF($T76&gt;0,(((EXP(-(1/(Morning_Peak_Duration__hours*2))*(AN$141-(Morning_Peak_Time__24hr_clock+$C209))^2))+(EXP(-(1/(Afternoon_Peak_Duration__hours*2))*(AN$141-(Afternoon_Peak_Time__24hr_clock+$C209))^2)))*$U76)/TZCalibrationValue,0)</f>
        <v>0</v>
      </c>
      <c r="AO209" s="224">
        <f t="shared" si="474"/>
        <v>0</v>
      </c>
      <c r="AP209" s="224">
        <f t="shared" si="474"/>
        <v>0</v>
      </c>
      <c r="AQ209" s="224">
        <f t="shared" si="474"/>
        <v>0</v>
      </c>
      <c r="AR209" s="224">
        <f t="shared" si="474"/>
        <v>0</v>
      </c>
      <c r="AS209" s="224">
        <f t="shared" si="474"/>
        <v>0</v>
      </c>
      <c r="AT209" s="224">
        <f t="shared" si="474"/>
        <v>0</v>
      </c>
      <c r="AU209" s="224">
        <f t="shared" si="474"/>
        <v>0</v>
      </c>
      <c r="AV209" s="224">
        <f t="shared" si="474"/>
        <v>0</v>
      </c>
      <c r="AW209" s="224">
        <f t="shared" si="474"/>
        <v>0</v>
      </c>
      <c r="AX209" s="224">
        <f t="shared" si="474"/>
        <v>0</v>
      </c>
      <c r="AY209" s="224">
        <f t="shared" si="474"/>
        <v>0</v>
      </c>
      <c r="AZ209" s="218"/>
      <c r="BA209"/>
      <c r="BB209" s="176" t="str">
        <f t="shared" si="438"/>
        <v>Site 68</v>
      </c>
      <c r="BC209" s="224">
        <f t="shared" ref="BC209:BN209" si="475">IF($T76&gt;0,(((EXP(-(1/(Morning_Peak_Duration__hours*2))*(BC$141-(Morning_Peak_Time__24hr_clock+$C209))^2))+(EXP(-(1/(Afternoon_Peak_Duration__hours*2))*(BC$141-(Afternoon_Peak_Time__24hr_clock+$C209))^2)))*$V76)/TZCalibrationValue,0)</f>
        <v>0</v>
      </c>
      <c r="BD209" s="224">
        <f t="shared" si="475"/>
        <v>0</v>
      </c>
      <c r="BE209" s="224">
        <f t="shared" si="475"/>
        <v>0</v>
      </c>
      <c r="BF209" s="224">
        <f t="shared" si="475"/>
        <v>0</v>
      </c>
      <c r="BG209" s="224">
        <f t="shared" si="475"/>
        <v>0</v>
      </c>
      <c r="BH209" s="224">
        <f t="shared" si="475"/>
        <v>0</v>
      </c>
      <c r="BI209" s="224">
        <f t="shared" si="475"/>
        <v>0</v>
      </c>
      <c r="BJ209" s="224">
        <f t="shared" si="475"/>
        <v>0</v>
      </c>
      <c r="BK209" s="224">
        <f t="shared" si="475"/>
        <v>0</v>
      </c>
      <c r="BL209" s="224">
        <f t="shared" si="475"/>
        <v>0</v>
      </c>
      <c r="BM209" s="224">
        <f t="shared" si="475"/>
        <v>0</v>
      </c>
      <c r="BN209" s="224">
        <f t="shared" si="475"/>
        <v>0</v>
      </c>
      <c r="BO209" s="229">
        <f t="shared" si="440"/>
        <v>0</v>
      </c>
      <c r="BP209" s="229">
        <f t="shared" si="441"/>
        <v>0</v>
      </c>
      <c r="BQ209" s="229">
        <f t="shared" si="442"/>
        <v>0</v>
      </c>
      <c r="BR209" s="229">
        <f t="shared" si="443"/>
        <v>0</v>
      </c>
      <c r="BS209" s="229">
        <f t="shared" si="444"/>
        <v>0</v>
      </c>
      <c r="BT209" s="229">
        <f t="shared" si="445"/>
        <v>0</v>
      </c>
      <c r="BU209" s="229">
        <f t="shared" si="446"/>
        <v>0</v>
      </c>
      <c r="BV209" s="229">
        <f t="shared" si="447"/>
        <v>0</v>
      </c>
      <c r="BW209" s="229">
        <f t="shared" si="448"/>
        <v>0</v>
      </c>
      <c r="BX209" s="229">
        <f t="shared" si="449"/>
        <v>0</v>
      </c>
      <c r="BY209" s="229">
        <f t="shared" si="450"/>
        <v>0</v>
      </c>
      <c r="BZ209" s="229">
        <f t="shared" si="451"/>
        <v>0</v>
      </c>
      <c r="CA209" s="229">
        <f t="shared" si="452"/>
        <v>0</v>
      </c>
      <c r="CB209" s="229">
        <f t="shared" si="453"/>
        <v>0</v>
      </c>
      <c r="CC209" s="229">
        <f t="shared" si="454"/>
        <v>0</v>
      </c>
      <c r="CD209" s="229">
        <f t="shared" si="455"/>
        <v>0</v>
      </c>
      <c r="CE209" s="229">
        <f t="shared" si="456"/>
        <v>0</v>
      </c>
      <c r="CF209" s="229">
        <f t="shared" si="457"/>
        <v>0</v>
      </c>
      <c r="CG209" s="229">
        <f t="shared" si="458"/>
        <v>0</v>
      </c>
      <c r="CH209" s="229">
        <f t="shared" si="459"/>
        <v>0</v>
      </c>
      <c r="CI209" s="229">
        <f t="shared" si="460"/>
        <v>0</v>
      </c>
      <c r="CJ209" s="229">
        <f t="shared" si="461"/>
        <v>0</v>
      </c>
      <c r="CK209" s="229">
        <f t="shared" si="462"/>
        <v>0</v>
      </c>
      <c r="CL209" s="229">
        <f t="shared" si="463"/>
        <v>0</v>
      </c>
      <c r="CM209" s="224">
        <f t="shared" ref="CM209:CX209" si="476">IF($T76&gt;0,(((EXP(-(1/(Morning_Peak_Duration__hours*2))*(CM$141-(Morning_Peak_Time__24hr_clock+$C209))^2))+(EXP(-(1/(Afternoon_Peak_Duration__hours*2))*(CM$141-(Afternoon_Peak_Time__24hr_clock+$C209))^2)))*$V76)/TZCalibrationValue,0)</f>
        <v>0</v>
      </c>
      <c r="CN209" s="224">
        <f t="shared" si="476"/>
        <v>0</v>
      </c>
      <c r="CO209" s="224">
        <f t="shared" si="476"/>
        <v>0</v>
      </c>
      <c r="CP209" s="224">
        <f t="shared" si="476"/>
        <v>0</v>
      </c>
      <c r="CQ209" s="224">
        <f t="shared" si="476"/>
        <v>0</v>
      </c>
      <c r="CR209" s="224">
        <f t="shared" si="476"/>
        <v>0</v>
      </c>
      <c r="CS209" s="224">
        <f t="shared" si="476"/>
        <v>0</v>
      </c>
      <c r="CT209" s="224">
        <f t="shared" si="476"/>
        <v>0</v>
      </c>
      <c r="CU209" s="224">
        <f t="shared" si="476"/>
        <v>0</v>
      </c>
      <c r="CV209" s="224">
        <f t="shared" si="476"/>
        <v>0</v>
      </c>
      <c r="CW209" s="224">
        <f t="shared" si="476"/>
        <v>0</v>
      </c>
      <c r="CX209" s="224">
        <f t="shared" si="476"/>
        <v>0</v>
      </c>
      <c r="CY209" s="218"/>
    </row>
    <row r="210" spans="2:103" hidden="1" outlineLevel="1">
      <c r="B210" t="str">
        <f t="shared" si="411"/>
        <v>Site 69</v>
      </c>
      <c r="C210" s="230">
        <f>VLOOKUP(D77,'Scaling Tables'!$B$123:$C$149,2,FALSE)-VLOOKUP($C$4,'Scaling Tables'!$B$123:$C$149,2,FALSE)</f>
        <v>0</v>
      </c>
      <c r="D210" s="224">
        <f t="shared" ref="D210:O210" si="477">IF($T77&gt;0,(((EXP(-(1/(Morning_Peak_Duration__hours*2))*(D$141-(Morning_Peak_Time__24hr_clock+$C210))^2))+(EXP(-(1/(Afternoon_Peak_Duration__hours*2))*(D$141-(Afternoon_Peak_Time__24hr_clock+$C210))^2)))*$U77)/TZCalibrationValue,0)</f>
        <v>0</v>
      </c>
      <c r="E210" s="224">
        <f t="shared" si="477"/>
        <v>0</v>
      </c>
      <c r="F210" s="224">
        <f t="shared" si="477"/>
        <v>0</v>
      </c>
      <c r="G210" s="224">
        <f t="shared" si="477"/>
        <v>0</v>
      </c>
      <c r="H210" s="224">
        <f t="shared" si="477"/>
        <v>0</v>
      </c>
      <c r="I210" s="224">
        <f t="shared" si="477"/>
        <v>0</v>
      </c>
      <c r="J210" s="224">
        <f t="shared" si="477"/>
        <v>0</v>
      </c>
      <c r="K210" s="224">
        <f t="shared" si="477"/>
        <v>0</v>
      </c>
      <c r="L210" s="224">
        <f t="shared" si="477"/>
        <v>0</v>
      </c>
      <c r="M210" s="224">
        <f t="shared" si="477"/>
        <v>0</v>
      </c>
      <c r="N210" s="224">
        <f t="shared" si="477"/>
        <v>0</v>
      </c>
      <c r="O210" s="224">
        <f t="shared" si="477"/>
        <v>0</v>
      </c>
      <c r="P210" s="229">
        <f t="shared" si="413"/>
        <v>0</v>
      </c>
      <c r="Q210" s="229">
        <f t="shared" si="414"/>
        <v>0</v>
      </c>
      <c r="R210" s="229">
        <f t="shared" si="415"/>
        <v>0</v>
      </c>
      <c r="S210" s="229">
        <f t="shared" si="416"/>
        <v>0</v>
      </c>
      <c r="T210" s="229">
        <f t="shared" si="417"/>
        <v>0</v>
      </c>
      <c r="U210" s="229">
        <f t="shared" si="418"/>
        <v>0</v>
      </c>
      <c r="V210" s="229">
        <f t="shared" si="419"/>
        <v>0</v>
      </c>
      <c r="W210" s="229">
        <f t="shared" si="420"/>
        <v>0</v>
      </c>
      <c r="X210" s="229">
        <f t="shared" si="421"/>
        <v>0</v>
      </c>
      <c r="Y210" s="229">
        <f t="shared" si="422"/>
        <v>0</v>
      </c>
      <c r="Z210" s="229">
        <f t="shared" si="423"/>
        <v>0</v>
      </c>
      <c r="AA210" s="229">
        <f t="shared" si="424"/>
        <v>0</v>
      </c>
      <c r="AB210" s="229">
        <f t="shared" si="425"/>
        <v>0</v>
      </c>
      <c r="AC210" s="229">
        <f t="shared" si="426"/>
        <v>0</v>
      </c>
      <c r="AD210" s="229">
        <f t="shared" si="427"/>
        <v>0</v>
      </c>
      <c r="AE210" s="229">
        <f t="shared" si="428"/>
        <v>0</v>
      </c>
      <c r="AF210" s="229">
        <f t="shared" si="429"/>
        <v>0</v>
      </c>
      <c r="AG210" s="229">
        <f t="shared" si="430"/>
        <v>0</v>
      </c>
      <c r="AH210" s="229">
        <f t="shared" si="431"/>
        <v>0</v>
      </c>
      <c r="AI210" s="229">
        <f t="shared" si="432"/>
        <v>0</v>
      </c>
      <c r="AJ210" s="229">
        <f t="shared" si="433"/>
        <v>0</v>
      </c>
      <c r="AK210" s="229">
        <f t="shared" si="434"/>
        <v>0</v>
      </c>
      <c r="AL210" s="229">
        <f t="shared" si="435"/>
        <v>0</v>
      </c>
      <c r="AM210" s="229">
        <f t="shared" si="436"/>
        <v>0</v>
      </c>
      <c r="AN210" s="224">
        <f t="shared" ref="AN210:AY210" si="478">IF($T77&gt;0,(((EXP(-(1/(Morning_Peak_Duration__hours*2))*(AN$141-(Morning_Peak_Time__24hr_clock+$C210))^2))+(EXP(-(1/(Afternoon_Peak_Duration__hours*2))*(AN$141-(Afternoon_Peak_Time__24hr_clock+$C210))^2)))*$U77)/TZCalibrationValue,0)</f>
        <v>0</v>
      </c>
      <c r="AO210" s="224">
        <f t="shared" si="478"/>
        <v>0</v>
      </c>
      <c r="AP210" s="224">
        <f t="shared" si="478"/>
        <v>0</v>
      </c>
      <c r="AQ210" s="224">
        <f t="shared" si="478"/>
        <v>0</v>
      </c>
      <c r="AR210" s="224">
        <f t="shared" si="478"/>
        <v>0</v>
      </c>
      <c r="AS210" s="224">
        <f t="shared" si="478"/>
        <v>0</v>
      </c>
      <c r="AT210" s="224">
        <f t="shared" si="478"/>
        <v>0</v>
      </c>
      <c r="AU210" s="224">
        <f t="shared" si="478"/>
        <v>0</v>
      </c>
      <c r="AV210" s="224">
        <f t="shared" si="478"/>
        <v>0</v>
      </c>
      <c r="AW210" s="224">
        <f t="shared" si="478"/>
        <v>0</v>
      </c>
      <c r="AX210" s="224">
        <f t="shared" si="478"/>
        <v>0</v>
      </c>
      <c r="AY210" s="224">
        <f t="shared" si="478"/>
        <v>0</v>
      </c>
      <c r="AZ210" s="218"/>
      <c r="BA210"/>
      <c r="BB210" s="176" t="str">
        <f t="shared" si="438"/>
        <v>Site 69</v>
      </c>
      <c r="BC210" s="224">
        <f t="shared" ref="BC210:BN210" si="479">IF($T77&gt;0,(((EXP(-(1/(Morning_Peak_Duration__hours*2))*(BC$141-(Morning_Peak_Time__24hr_clock+$C210))^2))+(EXP(-(1/(Afternoon_Peak_Duration__hours*2))*(BC$141-(Afternoon_Peak_Time__24hr_clock+$C210))^2)))*$V77)/TZCalibrationValue,0)</f>
        <v>0</v>
      </c>
      <c r="BD210" s="224">
        <f t="shared" si="479"/>
        <v>0</v>
      </c>
      <c r="BE210" s="224">
        <f t="shared" si="479"/>
        <v>0</v>
      </c>
      <c r="BF210" s="224">
        <f t="shared" si="479"/>
        <v>0</v>
      </c>
      <c r="BG210" s="224">
        <f t="shared" si="479"/>
        <v>0</v>
      </c>
      <c r="BH210" s="224">
        <f t="shared" si="479"/>
        <v>0</v>
      </c>
      <c r="BI210" s="224">
        <f t="shared" si="479"/>
        <v>0</v>
      </c>
      <c r="BJ210" s="224">
        <f t="shared" si="479"/>
        <v>0</v>
      </c>
      <c r="BK210" s="224">
        <f t="shared" si="479"/>
        <v>0</v>
      </c>
      <c r="BL210" s="224">
        <f t="shared" si="479"/>
        <v>0</v>
      </c>
      <c r="BM210" s="224">
        <f t="shared" si="479"/>
        <v>0</v>
      </c>
      <c r="BN210" s="224">
        <f t="shared" si="479"/>
        <v>0</v>
      </c>
      <c r="BO210" s="229">
        <f t="shared" si="440"/>
        <v>0</v>
      </c>
      <c r="BP210" s="229">
        <f t="shared" si="441"/>
        <v>0</v>
      </c>
      <c r="BQ210" s="229">
        <f t="shared" si="442"/>
        <v>0</v>
      </c>
      <c r="BR210" s="229">
        <f t="shared" si="443"/>
        <v>0</v>
      </c>
      <c r="BS210" s="229">
        <f t="shared" si="444"/>
        <v>0</v>
      </c>
      <c r="BT210" s="229">
        <f t="shared" si="445"/>
        <v>0</v>
      </c>
      <c r="BU210" s="229">
        <f t="shared" si="446"/>
        <v>0</v>
      </c>
      <c r="BV210" s="229">
        <f t="shared" si="447"/>
        <v>0</v>
      </c>
      <c r="BW210" s="229">
        <f t="shared" si="448"/>
        <v>0</v>
      </c>
      <c r="BX210" s="229">
        <f t="shared" si="449"/>
        <v>0</v>
      </c>
      <c r="BY210" s="229">
        <f t="shared" si="450"/>
        <v>0</v>
      </c>
      <c r="BZ210" s="229">
        <f t="shared" si="451"/>
        <v>0</v>
      </c>
      <c r="CA210" s="229">
        <f t="shared" si="452"/>
        <v>0</v>
      </c>
      <c r="CB210" s="229">
        <f t="shared" si="453"/>
        <v>0</v>
      </c>
      <c r="CC210" s="229">
        <f t="shared" si="454"/>
        <v>0</v>
      </c>
      <c r="CD210" s="229">
        <f t="shared" si="455"/>
        <v>0</v>
      </c>
      <c r="CE210" s="229">
        <f t="shared" si="456"/>
        <v>0</v>
      </c>
      <c r="CF210" s="229">
        <f t="shared" si="457"/>
        <v>0</v>
      </c>
      <c r="CG210" s="229">
        <f t="shared" si="458"/>
        <v>0</v>
      </c>
      <c r="CH210" s="229">
        <f t="shared" si="459"/>
        <v>0</v>
      </c>
      <c r="CI210" s="229">
        <f t="shared" si="460"/>
        <v>0</v>
      </c>
      <c r="CJ210" s="229">
        <f t="shared" si="461"/>
        <v>0</v>
      </c>
      <c r="CK210" s="229">
        <f t="shared" si="462"/>
        <v>0</v>
      </c>
      <c r="CL210" s="229">
        <f t="shared" si="463"/>
        <v>0</v>
      </c>
      <c r="CM210" s="224">
        <f t="shared" ref="CM210:CX210" si="480">IF($T77&gt;0,(((EXP(-(1/(Morning_Peak_Duration__hours*2))*(CM$141-(Morning_Peak_Time__24hr_clock+$C210))^2))+(EXP(-(1/(Afternoon_Peak_Duration__hours*2))*(CM$141-(Afternoon_Peak_Time__24hr_clock+$C210))^2)))*$V77)/TZCalibrationValue,0)</f>
        <v>0</v>
      </c>
      <c r="CN210" s="224">
        <f t="shared" si="480"/>
        <v>0</v>
      </c>
      <c r="CO210" s="224">
        <f t="shared" si="480"/>
        <v>0</v>
      </c>
      <c r="CP210" s="224">
        <f t="shared" si="480"/>
        <v>0</v>
      </c>
      <c r="CQ210" s="224">
        <f t="shared" si="480"/>
        <v>0</v>
      </c>
      <c r="CR210" s="224">
        <f t="shared" si="480"/>
        <v>0</v>
      </c>
      <c r="CS210" s="224">
        <f t="shared" si="480"/>
        <v>0</v>
      </c>
      <c r="CT210" s="224">
        <f t="shared" si="480"/>
        <v>0</v>
      </c>
      <c r="CU210" s="224">
        <f t="shared" si="480"/>
        <v>0</v>
      </c>
      <c r="CV210" s="224">
        <f t="shared" si="480"/>
        <v>0</v>
      </c>
      <c r="CW210" s="224">
        <f t="shared" si="480"/>
        <v>0</v>
      </c>
      <c r="CX210" s="224">
        <f t="shared" si="480"/>
        <v>0</v>
      </c>
      <c r="CY210" s="218"/>
    </row>
    <row r="211" spans="2:103" hidden="1" outlineLevel="1">
      <c r="B211" t="str">
        <f t="shared" si="411"/>
        <v>Site 70</v>
      </c>
      <c r="C211" s="230">
        <f>VLOOKUP(D78,'Scaling Tables'!$B$123:$C$149,2,FALSE)-VLOOKUP($C$4,'Scaling Tables'!$B$123:$C$149,2,FALSE)</f>
        <v>0</v>
      </c>
      <c r="D211" s="224">
        <f t="shared" ref="D211:O211" si="481">IF($T78&gt;0,(((EXP(-(1/(Morning_Peak_Duration__hours*2))*(D$141-(Morning_Peak_Time__24hr_clock+$C211))^2))+(EXP(-(1/(Afternoon_Peak_Duration__hours*2))*(D$141-(Afternoon_Peak_Time__24hr_clock+$C211))^2)))*$U78)/TZCalibrationValue,0)</f>
        <v>0</v>
      </c>
      <c r="E211" s="224">
        <f t="shared" si="481"/>
        <v>0</v>
      </c>
      <c r="F211" s="224">
        <f t="shared" si="481"/>
        <v>0</v>
      </c>
      <c r="G211" s="224">
        <f t="shared" si="481"/>
        <v>0</v>
      </c>
      <c r="H211" s="224">
        <f t="shared" si="481"/>
        <v>0</v>
      </c>
      <c r="I211" s="224">
        <f t="shared" si="481"/>
        <v>0</v>
      </c>
      <c r="J211" s="224">
        <f t="shared" si="481"/>
        <v>0</v>
      </c>
      <c r="K211" s="224">
        <f t="shared" si="481"/>
        <v>0</v>
      </c>
      <c r="L211" s="224">
        <f t="shared" si="481"/>
        <v>0</v>
      </c>
      <c r="M211" s="224">
        <f t="shared" si="481"/>
        <v>0</v>
      </c>
      <c r="N211" s="224">
        <f t="shared" si="481"/>
        <v>0</v>
      </c>
      <c r="O211" s="224">
        <f t="shared" si="481"/>
        <v>0</v>
      </c>
      <c r="P211" s="229">
        <f t="shared" si="413"/>
        <v>0</v>
      </c>
      <c r="Q211" s="229">
        <f t="shared" si="414"/>
        <v>0</v>
      </c>
      <c r="R211" s="229">
        <f t="shared" si="415"/>
        <v>0</v>
      </c>
      <c r="S211" s="229">
        <f t="shared" si="416"/>
        <v>0</v>
      </c>
      <c r="T211" s="229">
        <f t="shared" si="417"/>
        <v>0</v>
      </c>
      <c r="U211" s="229">
        <f t="shared" si="418"/>
        <v>0</v>
      </c>
      <c r="V211" s="229">
        <f t="shared" si="419"/>
        <v>0</v>
      </c>
      <c r="W211" s="229">
        <f t="shared" si="420"/>
        <v>0</v>
      </c>
      <c r="X211" s="229">
        <f t="shared" si="421"/>
        <v>0</v>
      </c>
      <c r="Y211" s="229">
        <f t="shared" si="422"/>
        <v>0</v>
      </c>
      <c r="Z211" s="229">
        <f t="shared" si="423"/>
        <v>0</v>
      </c>
      <c r="AA211" s="229">
        <f t="shared" si="424"/>
        <v>0</v>
      </c>
      <c r="AB211" s="229">
        <f t="shared" si="425"/>
        <v>0</v>
      </c>
      <c r="AC211" s="229">
        <f t="shared" si="426"/>
        <v>0</v>
      </c>
      <c r="AD211" s="229">
        <f t="shared" si="427"/>
        <v>0</v>
      </c>
      <c r="AE211" s="229">
        <f t="shared" si="428"/>
        <v>0</v>
      </c>
      <c r="AF211" s="229">
        <f t="shared" si="429"/>
        <v>0</v>
      </c>
      <c r="AG211" s="229">
        <f t="shared" si="430"/>
        <v>0</v>
      </c>
      <c r="AH211" s="229">
        <f t="shared" si="431"/>
        <v>0</v>
      </c>
      <c r="AI211" s="229">
        <f t="shared" si="432"/>
        <v>0</v>
      </c>
      <c r="AJ211" s="229">
        <f t="shared" si="433"/>
        <v>0</v>
      </c>
      <c r="AK211" s="229">
        <f t="shared" si="434"/>
        <v>0</v>
      </c>
      <c r="AL211" s="229">
        <f t="shared" si="435"/>
        <v>0</v>
      </c>
      <c r="AM211" s="229">
        <f t="shared" si="436"/>
        <v>0</v>
      </c>
      <c r="AN211" s="224">
        <f t="shared" ref="AN211:AY211" si="482">IF($T78&gt;0,(((EXP(-(1/(Morning_Peak_Duration__hours*2))*(AN$141-(Morning_Peak_Time__24hr_clock+$C211))^2))+(EXP(-(1/(Afternoon_Peak_Duration__hours*2))*(AN$141-(Afternoon_Peak_Time__24hr_clock+$C211))^2)))*$U78)/TZCalibrationValue,0)</f>
        <v>0</v>
      </c>
      <c r="AO211" s="224">
        <f t="shared" si="482"/>
        <v>0</v>
      </c>
      <c r="AP211" s="224">
        <f t="shared" si="482"/>
        <v>0</v>
      </c>
      <c r="AQ211" s="224">
        <f t="shared" si="482"/>
        <v>0</v>
      </c>
      <c r="AR211" s="224">
        <f t="shared" si="482"/>
        <v>0</v>
      </c>
      <c r="AS211" s="224">
        <f t="shared" si="482"/>
        <v>0</v>
      </c>
      <c r="AT211" s="224">
        <f t="shared" si="482"/>
        <v>0</v>
      </c>
      <c r="AU211" s="224">
        <f t="shared" si="482"/>
        <v>0</v>
      </c>
      <c r="AV211" s="224">
        <f t="shared" si="482"/>
        <v>0</v>
      </c>
      <c r="AW211" s="224">
        <f t="shared" si="482"/>
        <v>0</v>
      </c>
      <c r="AX211" s="224">
        <f t="shared" si="482"/>
        <v>0</v>
      </c>
      <c r="AY211" s="224">
        <f t="shared" si="482"/>
        <v>0</v>
      </c>
      <c r="AZ211" s="218"/>
      <c r="BA211"/>
      <c r="BB211" s="176" t="str">
        <f t="shared" si="438"/>
        <v>Site 70</v>
      </c>
      <c r="BC211" s="224">
        <f t="shared" ref="BC211:BN211" si="483">IF($T78&gt;0,(((EXP(-(1/(Morning_Peak_Duration__hours*2))*(BC$141-(Morning_Peak_Time__24hr_clock+$C211))^2))+(EXP(-(1/(Afternoon_Peak_Duration__hours*2))*(BC$141-(Afternoon_Peak_Time__24hr_clock+$C211))^2)))*$V78)/TZCalibrationValue,0)</f>
        <v>0</v>
      </c>
      <c r="BD211" s="224">
        <f t="shared" si="483"/>
        <v>0</v>
      </c>
      <c r="BE211" s="224">
        <f t="shared" si="483"/>
        <v>0</v>
      </c>
      <c r="BF211" s="224">
        <f t="shared" si="483"/>
        <v>0</v>
      </c>
      <c r="BG211" s="224">
        <f t="shared" si="483"/>
        <v>0</v>
      </c>
      <c r="BH211" s="224">
        <f t="shared" si="483"/>
        <v>0</v>
      </c>
      <c r="BI211" s="224">
        <f t="shared" si="483"/>
        <v>0</v>
      </c>
      <c r="BJ211" s="224">
        <f t="shared" si="483"/>
        <v>0</v>
      </c>
      <c r="BK211" s="224">
        <f t="shared" si="483"/>
        <v>0</v>
      </c>
      <c r="BL211" s="224">
        <f t="shared" si="483"/>
        <v>0</v>
      </c>
      <c r="BM211" s="224">
        <f t="shared" si="483"/>
        <v>0</v>
      </c>
      <c r="BN211" s="224">
        <f t="shared" si="483"/>
        <v>0</v>
      </c>
      <c r="BO211" s="229">
        <f t="shared" si="440"/>
        <v>0</v>
      </c>
      <c r="BP211" s="229">
        <f t="shared" si="441"/>
        <v>0</v>
      </c>
      <c r="BQ211" s="229">
        <f t="shared" si="442"/>
        <v>0</v>
      </c>
      <c r="BR211" s="229">
        <f t="shared" si="443"/>
        <v>0</v>
      </c>
      <c r="BS211" s="229">
        <f t="shared" si="444"/>
        <v>0</v>
      </c>
      <c r="BT211" s="229">
        <f t="shared" si="445"/>
        <v>0</v>
      </c>
      <c r="BU211" s="229">
        <f t="shared" si="446"/>
        <v>0</v>
      </c>
      <c r="BV211" s="229">
        <f t="shared" si="447"/>
        <v>0</v>
      </c>
      <c r="BW211" s="229">
        <f t="shared" si="448"/>
        <v>0</v>
      </c>
      <c r="BX211" s="229">
        <f t="shared" si="449"/>
        <v>0</v>
      </c>
      <c r="BY211" s="229">
        <f t="shared" si="450"/>
        <v>0</v>
      </c>
      <c r="BZ211" s="229">
        <f t="shared" si="451"/>
        <v>0</v>
      </c>
      <c r="CA211" s="229">
        <f t="shared" si="452"/>
        <v>0</v>
      </c>
      <c r="CB211" s="229">
        <f t="shared" si="453"/>
        <v>0</v>
      </c>
      <c r="CC211" s="229">
        <f t="shared" si="454"/>
        <v>0</v>
      </c>
      <c r="CD211" s="229">
        <f t="shared" si="455"/>
        <v>0</v>
      </c>
      <c r="CE211" s="229">
        <f t="shared" si="456"/>
        <v>0</v>
      </c>
      <c r="CF211" s="229">
        <f t="shared" si="457"/>
        <v>0</v>
      </c>
      <c r="CG211" s="229">
        <f t="shared" si="458"/>
        <v>0</v>
      </c>
      <c r="CH211" s="229">
        <f t="shared" si="459"/>
        <v>0</v>
      </c>
      <c r="CI211" s="229">
        <f t="shared" si="460"/>
        <v>0</v>
      </c>
      <c r="CJ211" s="229">
        <f t="shared" si="461"/>
        <v>0</v>
      </c>
      <c r="CK211" s="229">
        <f t="shared" si="462"/>
        <v>0</v>
      </c>
      <c r="CL211" s="229">
        <f t="shared" si="463"/>
        <v>0</v>
      </c>
      <c r="CM211" s="224">
        <f t="shared" ref="CM211:CX211" si="484">IF($T78&gt;0,(((EXP(-(1/(Morning_Peak_Duration__hours*2))*(CM$141-(Morning_Peak_Time__24hr_clock+$C211))^2))+(EXP(-(1/(Afternoon_Peak_Duration__hours*2))*(CM$141-(Afternoon_Peak_Time__24hr_clock+$C211))^2)))*$V78)/TZCalibrationValue,0)</f>
        <v>0</v>
      </c>
      <c r="CN211" s="224">
        <f t="shared" si="484"/>
        <v>0</v>
      </c>
      <c r="CO211" s="224">
        <f t="shared" si="484"/>
        <v>0</v>
      </c>
      <c r="CP211" s="224">
        <f t="shared" si="484"/>
        <v>0</v>
      </c>
      <c r="CQ211" s="224">
        <f t="shared" si="484"/>
        <v>0</v>
      </c>
      <c r="CR211" s="224">
        <f t="shared" si="484"/>
        <v>0</v>
      </c>
      <c r="CS211" s="224">
        <f t="shared" si="484"/>
        <v>0</v>
      </c>
      <c r="CT211" s="224">
        <f t="shared" si="484"/>
        <v>0</v>
      </c>
      <c r="CU211" s="224">
        <f t="shared" si="484"/>
        <v>0</v>
      </c>
      <c r="CV211" s="224">
        <f t="shared" si="484"/>
        <v>0</v>
      </c>
      <c r="CW211" s="224">
        <f t="shared" si="484"/>
        <v>0</v>
      </c>
      <c r="CX211" s="224">
        <f t="shared" si="484"/>
        <v>0</v>
      </c>
      <c r="CY211" s="218"/>
    </row>
    <row r="212" spans="2:103" hidden="1" outlineLevel="1">
      <c r="B212" t="str">
        <f t="shared" si="411"/>
        <v>Site 71</v>
      </c>
      <c r="C212" s="230">
        <f>VLOOKUP(D79,'Scaling Tables'!$B$123:$C$149,2,FALSE)-VLOOKUP($C$4,'Scaling Tables'!$B$123:$C$149,2,FALSE)</f>
        <v>0</v>
      </c>
      <c r="D212" s="224">
        <f t="shared" ref="D212:O212" si="485">IF($T79&gt;0,(((EXP(-(1/(Morning_Peak_Duration__hours*2))*(D$141-(Morning_Peak_Time__24hr_clock+$C212))^2))+(EXP(-(1/(Afternoon_Peak_Duration__hours*2))*(D$141-(Afternoon_Peak_Time__24hr_clock+$C212))^2)))*$U79)/TZCalibrationValue,0)</f>
        <v>0</v>
      </c>
      <c r="E212" s="224">
        <f t="shared" si="485"/>
        <v>0</v>
      </c>
      <c r="F212" s="224">
        <f t="shared" si="485"/>
        <v>0</v>
      </c>
      <c r="G212" s="224">
        <f t="shared" si="485"/>
        <v>0</v>
      </c>
      <c r="H212" s="224">
        <f t="shared" si="485"/>
        <v>0</v>
      </c>
      <c r="I212" s="224">
        <f t="shared" si="485"/>
        <v>0</v>
      </c>
      <c r="J212" s="224">
        <f t="shared" si="485"/>
        <v>0</v>
      </c>
      <c r="K212" s="224">
        <f t="shared" si="485"/>
        <v>0</v>
      </c>
      <c r="L212" s="224">
        <f t="shared" si="485"/>
        <v>0</v>
      </c>
      <c r="M212" s="224">
        <f t="shared" si="485"/>
        <v>0</v>
      </c>
      <c r="N212" s="224">
        <f t="shared" si="485"/>
        <v>0</v>
      </c>
      <c r="O212" s="224">
        <f t="shared" si="485"/>
        <v>0</v>
      </c>
      <c r="P212" s="229">
        <f t="shared" si="413"/>
        <v>0</v>
      </c>
      <c r="Q212" s="229">
        <f t="shared" si="414"/>
        <v>0</v>
      </c>
      <c r="R212" s="229">
        <f t="shared" si="415"/>
        <v>0</v>
      </c>
      <c r="S212" s="229">
        <f t="shared" si="416"/>
        <v>0</v>
      </c>
      <c r="T212" s="229">
        <f t="shared" si="417"/>
        <v>0</v>
      </c>
      <c r="U212" s="229">
        <f t="shared" si="418"/>
        <v>0</v>
      </c>
      <c r="V212" s="229">
        <f t="shared" si="419"/>
        <v>0</v>
      </c>
      <c r="W212" s="229">
        <f t="shared" si="420"/>
        <v>0</v>
      </c>
      <c r="X212" s="229">
        <f t="shared" si="421"/>
        <v>0</v>
      </c>
      <c r="Y212" s="229">
        <f t="shared" si="422"/>
        <v>0</v>
      </c>
      <c r="Z212" s="229">
        <f t="shared" si="423"/>
        <v>0</v>
      </c>
      <c r="AA212" s="229">
        <f t="shared" si="424"/>
        <v>0</v>
      </c>
      <c r="AB212" s="229">
        <f t="shared" si="425"/>
        <v>0</v>
      </c>
      <c r="AC212" s="229">
        <f t="shared" si="426"/>
        <v>0</v>
      </c>
      <c r="AD212" s="229">
        <f t="shared" si="427"/>
        <v>0</v>
      </c>
      <c r="AE212" s="229">
        <f t="shared" si="428"/>
        <v>0</v>
      </c>
      <c r="AF212" s="229">
        <f t="shared" si="429"/>
        <v>0</v>
      </c>
      <c r="AG212" s="229">
        <f t="shared" si="430"/>
        <v>0</v>
      </c>
      <c r="AH212" s="229">
        <f t="shared" si="431"/>
        <v>0</v>
      </c>
      <c r="AI212" s="229">
        <f t="shared" si="432"/>
        <v>0</v>
      </c>
      <c r="AJ212" s="229">
        <f t="shared" si="433"/>
        <v>0</v>
      </c>
      <c r="AK212" s="229">
        <f t="shared" si="434"/>
        <v>0</v>
      </c>
      <c r="AL212" s="229">
        <f t="shared" si="435"/>
        <v>0</v>
      </c>
      <c r="AM212" s="229">
        <f t="shared" si="436"/>
        <v>0</v>
      </c>
      <c r="AN212" s="224">
        <f t="shared" ref="AN212:AY212" si="486">IF($T79&gt;0,(((EXP(-(1/(Morning_Peak_Duration__hours*2))*(AN$141-(Morning_Peak_Time__24hr_clock+$C212))^2))+(EXP(-(1/(Afternoon_Peak_Duration__hours*2))*(AN$141-(Afternoon_Peak_Time__24hr_clock+$C212))^2)))*$U79)/TZCalibrationValue,0)</f>
        <v>0</v>
      </c>
      <c r="AO212" s="224">
        <f t="shared" si="486"/>
        <v>0</v>
      </c>
      <c r="AP212" s="224">
        <f t="shared" si="486"/>
        <v>0</v>
      </c>
      <c r="AQ212" s="224">
        <f t="shared" si="486"/>
        <v>0</v>
      </c>
      <c r="AR212" s="224">
        <f t="shared" si="486"/>
        <v>0</v>
      </c>
      <c r="AS212" s="224">
        <f t="shared" si="486"/>
        <v>0</v>
      </c>
      <c r="AT212" s="224">
        <f t="shared" si="486"/>
        <v>0</v>
      </c>
      <c r="AU212" s="224">
        <f t="shared" si="486"/>
        <v>0</v>
      </c>
      <c r="AV212" s="224">
        <f t="shared" si="486"/>
        <v>0</v>
      </c>
      <c r="AW212" s="224">
        <f t="shared" si="486"/>
        <v>0</v>
      </c>
      <c r="AX212" s="224">
        <f t="shared" si="486"/>
        <v>0</v>
      </c>
      <c r="AY212" s="224">
        <f t="shared" si="486"/>
        <v>0</v>
      </c>
      <c r="AZ212" s="218"/>
      <c r="BA212"/>
      <c r="BB212" s="176" t="str">
        <f t="shared" si="438"/>
        <v>Site 71</v>
      </c>
      <c r="BC212" s="224">
        <f t="shared" ref="BC212:BN212" si="487">IF($T79&gt;0,(((EXP(-(1/(Morning_Peak_Duration__hours*2))*(BC$141-(Morning_Peak_Time__24hr_clock+$C212))^2))+(EXP(-(1/(Afternoon_Peak_Duration__hours*2))*(BC$141-(Afternoon_Peak_Time__24hr_clock+$C212))^2)))*$V79)/TZCalibrationValue,0)</f>
        <v>0</v>
      </c>
      <c r="BD212" s="224">
        <f t="shared" si="487"/>
        <v>0</v>
      </c>
      <c r="BE212" s="224">
        <f t="shared" si="487"/>
        <v>0</v>
      </c>
      <c r="BF212" s="224">
        <f t="shared" si="487"/>
        <v>0</v>
      </c>
      <c r="BG212" s="224">
        <f t="shared" si="487"/>
        <v>0</v>
      </c>
      <c r="BH212" s="224">
        <f t="shared" si="487"/>
        <v>0</v>
      </c>
      <c r="BI212" s="224">
        <f t="shared" si="487"/>
        <v>0</v>
      </c>
      <c r="BJ212" s="224">
        <f t="shared" si="487"/>
        <v>0</v>
      </c>
      <c r="BK212" s="224">
        <f t="shared" si="487"/>
        <v>0</v>
      </c>
      <c r="BL212" s="224">
        <f t="shared" si="487"/>
        <v>0</v>
      </c>
      <c r="BM212" s="224">
        <f t="shared" si="487"/>
        <v>0</v>
      </c>
      <c r="BN212" s="224">
        <f t="shared" si="487"/>
        <v>0</v>
      </c>
      <c r="BO212" s="229">
        <f t="shared" si="440"/>
        <v>0</v>
      </c>
      <c r="BP212" s="229">
        <f t="shared" si="441"/>
        <v>0</v>
      </c>
      <c r="BQ212" s="229">
        <f t="shared" si="442"/>
        <v>0</v>
      </c>
      <c r="BR212" s="229">
        <f t="shared" si="443"/>
        <v>0</v>
      </c>
      <c r="BS212" s="229">
        <f t="shared" si="444"/>
        <v>0</v>
      </c>
      <c r="BT212" s="229">
        <f t="shared" si="445"/>
        <v>0</v>
      </c>
      <c r="BU212" s="229">
        <f t="shared" si="446"/>
        <v>0</v>
      </c>
      <c r="BV212" s="229">
        <f t="shared" si="447"/>
        <v>0</v>
      </c>
      <c r="BW212" s="229">
        <f t="shared" si="448"/>
        <v>0</v>
      </c>
      <c r="BX212" s="229">
        <f t="shared" si="449"/>
        <v>0</v>
      </c>
      <c r="BY212" s="229">
        <f t="shared" si="450"/>
        <v>0</v>
      </c>
      <c r="BZ212" s="229">
        <f t="shared" si="451"/>
        <v>0</v>
      </c>
      <c r="CA212" s="229">
        <f t="shared" si="452"/>
        <v>0</v>
      </c>
      <c r="CB212" s="229">
        <f t="shared" si="453"/>
        <v>0</v>
      </c>
      <c r="CC212" s="229">
        <f t="shared" si="454"/>
        <v>0</v>
      </c>
      <c r="CD212" s="229">
        <f t="shared" si="455"/>
        <v>0</v>
      </c>
      <c r="CE212" s="229">
        <f t="shared" si="456"/>
        <v>0</v>
      </c>
      <c r="CF212" s="229">
        <f t="shared" si="457"/>
        <v>0</v>
      </c>
      <c r="CG212" s="229">
        <f t="shared" si="458"/>
        <v>0</v>
      </c>
      <c r="CH212" s="229">
        <f t="shared" si="459"/>
        <v>0</v>
      </c>
      <c r="CI212" s="229">
        <f t="shared" si="460"/>
        <v>0</v>
      </c>
      <c r="CJ212" s="229">
        <f t="shared" si="461"/>
        <v>0</v>
      </c>
      <c r="CK212" s="229">
        <f t="shared" si="462"/>
        <v>0</v>
      </c>
      <c r="CL212" s="229">
        <f t="shared" si="463"/>
        <v>0</v>
      </c>
      <c r="CM212" s="224">
        <f t="shared" ref="CM212:CX212" si="488">IF($T79&gt;0,(((EXP(-(1/(Morning_Peak_Duration__hours*2))*(CM$141-(Morning_Peak_Time__24hr_clock+$C212))^2))+(EXP(-(1/(Afternoon_Peak_Duration__hours*2))*(CM$141-(Afternoon_Peak_Time__24hr_clock+$C212))^2)))*$V79)/TZCalibrationValue,0)</f>
        <v>0</v>
      </c>
      <c r="CN212" s="224">
        <f t="shared" si="488"/>
        <v>0</v>
      </c>
      <c r="CO212" s="224">
        <f t="shared" si="488"/>
        <v>0</v>
      </c>
      <c r="CP212" s="224">
        <f t="shared" si="488"/>
        <v>0</v>
      </c>
      <c r="CQ212" s="224">
        <f t="shared" si="488"/>
        <v>0</v>
      </c>
      <c r="CR212" s="224">
        <f t="shared" si="488"/>
        <v>0</v>
      </c>
      <c r="CS212" s="224">
        <f t="shared" si="488"/>
        <v>0</v>
      </c>
      <c r="CT212" s="224">
        <f t="shared" si="488"/>
        <v>0</v>
      </c>
      <c r="CU212" s="224">
        <f t="shared" si="488"/>
        <v>0</v>
      </c>
      <c r="CV212" s="224">
        <f t="shared" si="488"/>
        <v>0</v>
      </c>
      <c r="CW212" s="224">
        <f t="shared" si="488"/>
        <v>0</v>
      </c>
      <c r="CX212" s="224">
        <f t="shared" si="488"/>
        <v>0</v>
      </c>
      <c r="CY212" s="218"/>
    </row>
    <row r="213" spans="2:103" hidden="1" outlineLevel="1">
      <c r="B213" t="str">
        <f t="shared" si="411"/>
        <v>Site 72</v>
      </c>
      <c r="C213" s="230">
        <f>VLOOKUP(D80,'Scaling Tables'!$B$123:$C$149,2,FALSE)-VLOOKUP($C$4,'Scaling Tables'!$B$123:$C$149,2,FALSE)</f>
        <v>0</v>
      </c>
      <c r="D213" s="224">
        <f t="shared" ref="D213:O213" si="489">IF($T80&gt;0,(((EXP(-(1/(Morning_Peak_Duration__hours*2))*(D$141-(Morning_Peak_Time__24hr_clock+$C213))^2))+(EXP(-(1/(Afternoon_Peak_Duration__hours*2))*(D$141-(Afternoon_Peak_Time__24hr_clock+$C213))^2)))*$U80)/TZCalibrationValue,0)</f>
        <v>0</v>
      </c>
      <c r="E213" s="224">
        <f t="shared" si="489"/>
        <v>0</v>
      </c>
      <c r="F213" s="224">
        <f t="shared" si="489"/>
        <v>0</v>
      </c>
      <c r="G213" s="224">
        <f t="shared" si="489"/>
        <v>0</v>
      </c>
      <c r="H213" s="224">
        <f t="shared" si="489"/>
        <v>0</v>
      </c>
      <c r="I213" s="224">
        <f t="shared" si="489"/>
        <v>0</v>
      </c>
      <c r="J213" s="224">
        <f t="shared" si="489"/>
        <v>0</v>
      </c>
      <c r="K213" s="224">
        <f t="shared" si="489"/>
        <v>0</v>
      </c>
      <c r="L213" s="224">
        <f t="shared" si="489"/>
        <v>0</v>
      </c>
      <c r="M213" s="224">
        <f t="shared" si="489"/>
        <v>0</v>
      </c>
      <c r="N213" s="224">
        <f t="shared" si="489"/>
        <v>0</v>
      </c>
      <c r="O213" s="224">
        <f t="shared" si="489"/>
        <v>0</v>
      </c>
      <c r="P213" s="229">
        <f t="shared" si="413"/>
        <v>0</v>
      </c>
      <c r="Q213" s="229">
        <f t="shared" si="414"/>
        <v>0</v>
      </c>
      <c r="R213" s="229">
        <f t="shared" si="415"/>
        <v>0</v>
      </c>
      <c r="S213" s="229">
        <f t="shared" si="416"/>
        <v>0</v>
      </c>
      <c r="T213" s="229">
        <f t="shared" si="417"/>
        <v>0</v>
      </c>
      <c r="U213" s="229">
        <f t="shared" si="418"/>
        <v>0</v>
      </c>
      <c r="V213" s="229">
        <f t="shared" si="419"/>
        <v>0</v>
      </c>
      <c r="W213" s="229">
        <f t="shared" si="420"/>
        <v>0</v>
      </c>
      <c r="X213" s="229">
        <f t="shared" si="421"/>
        <v>0</v>
      </c>
      <c r="Y213" s="229">
        <f t="shared" si="422"/>
        <v>0</v>
      </c>
      <c r="Z213" s="229">
        <f t="shared" si="423"/>
        <v>0</v>
      </c>
      <c r="AA213" s="229">
        <f t="shared" si="424"/>
        <v>0</v>
      </c>
      <c r="AB213" s="229">
        <f t="shared" si="425"/>
        <v>0</v>
      </c>
      <c r="AC213" s="229">
        <f t="shared" si="426"/>
        <v>0</v>
      </c>
      <c r="AD213" s="229">
        <f t="shared" si="427"/>
        <v>0</v>
      </c>
      <c r="AE213" s="229">
        <f t="shared" si="428"/>
        <v>0</v>
      </c>
      <c r="AF213" s="229">
        <f t="shared" si="429"/>
        <v>0</v>
      </c>
      <c r="AG213" s="229">
        <f t="shared" si="430"/>
        <v>0</v>
      </c>
      <c r="AH213" s="229">
        <f t="shared" si="431"/>
        <v>0</v>
      </c>
      <c r="AI213" s="229">
        <f t="shared" si="432"/>
        <v>0</v>
      </c>
      <c r="AJ213" s="229">
        <f t="shared" si="433"/>
        <v>0</v>
      </c>
      <c r="AK213" s="229">
        <f t="shared" si="434"/>
        <v>0</v>
      </c>
      <c r="AL213" s="229">
        <f t="shared" si="435"/>
        <v>0</v>
      </c>
      <c r="AM213" s="229">
        <f t="shared" si="436"/>
        <v>0</v>
      </c>
      <c r="AN213" s="224">
        <f t="shared" ref="AN213:AY213" si="490">IF($T80&gt;0,(((EXP(-(1/(Morning_Peak_Duration__hours*2))*(AN$141-(Morning_Peak_Time__24hr_clock+$C213))^2))+(EXP(-(1/(Afternoon_Peak_Duration__hours*2))*(AN$141-(Afternoon_Peak_Time__24hr_clock+$C213))^2)))*$U80)/TZCalibrationValue,0)</f>
        <v>0</v>
      </c>
      <c r="AO213" s="224">
        <f t="shared" si="490"/>
        <v>0</v>
      </c>
      <c r="AP213" s="224">
        <f t="shared" si="490"/>
        <v>0</v>
      </c>
      <c r="AQ213" s="224">
        <f t="shared" si="490"/>
        <v>0</v>
      </c>
      <c r="AR213" s="224">
        <f t="shared" si="490"/>
        <v>0</v>
      </c>
      <c r="AS213" s="224">
        <f t="shared" si="490"/>
        <v>0</v>
      </c>
      <c r="AT213" s="224">
        <f t="shared" si="490"/>
        <v>0</v>
      </c>
      <c r="AU213" s="224">
        <f t="shared" si="490"/>
        <v>0</v>
      </c>
      <c r="AV213" s="224">
        <f t="shared" si="490"/>
        <v>0</v>
      </c>
      <c r="AW213" s="224">
        <f t="shared" si="490"/>
        <v>0</v>
      </c>
      <c r="AX213" s="224">
        <f t="shared" si="490"/>
        <v>0</v>
      </c>
      <c r="AY213" s="224">
        <f t="shared" si="490"/>
        <v>0</v>
      </c>
      <c r="AZ213" s="218"/>
      <c r="BA213"/>
      <c r="BB213" s="176" t="str">
        <f t="shared" si="438"/>
        <v>Site 72</v>
      </c>
      <c r="BC213" s="224">
        <f t="shared" ref="BC213:BN213" si="491">IF($T80&gt;0,(((EXP(-(1/(Morning_Peak_Duration__hours*2))*(BC$141-(Morning_Peak_Time__24hr_clock+$C213))^2))+(EXP(-(1/(Afternoon_Peak_Duration__hours*2))*(BC$141-(Afternoon_Peak_Time__24hr_clock+$C213))^2)))*$V80)/TZCalibrationValue,0)</f>
        <v>0</v>
      </c>
      <c r="BD213" s="224">
        <f t="shared" si="491"/>
        <v>0</v>
      </c>
      <c r="BE213" s="224">
        <f t="shared" si="491"/>
        <v>0</v>
      </c>
      <c r="BF213" s="224">
        <f t="shared" si="491"/>
        <v>0</v>
      </c>
      <c r="BG213" s="224">
        <f t="shared" si="491"/>
        <v>0</v>
      </c>
      <c r="BH213" s="224">
        <f t="shared" si="491"/>
        <v>0</v>
      </c>
      <c r="BI213" s="224">
        <f t="shared" si="491"/>
        <v>0</v>
      </c>
      <c r="BJ213" s="224">
        <f t="shared" si="491"/>
        <v>0</v>
      </c>
      <c r="BK213" s="224">
        <f t="shared" si="491"/>
        <v>0</v>
      </c>
      <c r="BL213" s="224">
        <f t="shared" si="491"/>
        <v>0</v>
      </c>
      <c r="BM213" s="224">
        <f t="shared" si="491"/>
        <v>0</v>
      </c>
      <c r="BN213" s="224">
        <f t="shared" si="491"/>
        <v>0</v>
      </c>
      <c r="BO213" s="229">
        <f t="shared" si="440"/>
        <v>0</v>
      </c>
      <c r="BP213" s="229">
        <f t="shared" si="441"/>
        <v>0</v>
      </c>
      <c r="BQ213" s="229">
        <f t="shared" si="442"/>
        <v>0</v>
      </c>
      <c r="BR213" s="229">
        <f t="shared" si="443"/>
        <v>0</v>
      </c>
      <c r="BS213" s="229">
        <f t="shared" si="444"/>
        <v>0</v>
      </c>
      <c r="BT213" s="229">
        <f t="shared" si="445"/>
        <v>0</v>
      </c>
      <c r="BU213" s="229">
        <f t="shared" si="446"/>
        <v>0</v>
      </c>
      <c r="BV213" s="229">
        <f t="shared" si="447"/>
        <v>0</v>
      </c>
      <c r="BW213" s="229">
        <f t="shared" si="448"/>
        <v>0</v>
      </c>
      <c r="BX213" s="229">
        <f t="shared" si="449"/>
        <v>0</v>
      </c>
      <c r="BY213" s="229">
        <f t="shared" si="450"/>
        <v>0</v>
      </c>
      <c r="BZ213" s="229">
        <f t="shared" si="451"/>
        <v>0</v>
      </c>
      <c r="CA213" s="229">
        <f t="shared" si="452"/>
        <v>0</v>
      </c>
      <c r="CB213" s="229">
        <f t="shared" si="453"/>
        <v>0</v>
      </c>
      <c r="CC213" s="229">
        <f t="shared" si="454"/>
        <v>0</v>
      </c>
      <c r="CD213" s="229">
        <f t="shared" si="455"/>
        <v>0</v>
      </c>
      <c r="CE213" s="229">
        <f t="shared" si="456"/>
        <v>0</v>
      </c>
      <c r="CF213" s="229">
        <f t="shared" si="457"/>
        <v>0</v>
      </c>
      <c r="CG213" s="229">
        <f t="shared" si="458"/>
        <v>0</v>
      </c>
      <c r="CH213" s="229">
        <f t="shared" si="459"/>
        <v>0</v>
      </c>
      <c r="CI213" s="229">
        <f t="shared" si="460"/>
        <v>0</v>
      </c>
      <c r="CJ213" s="229">
        <f t="shared" si="461"/>
        <v>0</v>
      </c>
      <c r="CK213" s="229">
        <f t="shared" si="462"/>
        <v>0</v>
      </c>
      <c r="CL213" s="229">
        <f t="shared" si="463"/>
        <v>0</v>
      </c>
      <c r="CM213" s="224">
        <f t="shared" ref="CM213:CX213" si="492">IF($T80&gt;0,(((EXP(-(1/(Morning_Peak_Duration__hours*2))*(CM$141-(Morning_Peak_Time__24hr_clock+$C213))^2))+(EXP(-(1/(Afternoon_Peak_Duration__hours*2))*(CM$141-(Afternoon_Peak_Time__24hr_clock+$C213))^2)))*$V80)/TZCalibrationValue,0)</f>
        <v>0</v>
      </c>
      <c r="CN213" s="224">
        <f t="shared" si="492"/>
        <v>0</v>
      </c>
      <c r="CO213" s="224">
        <f t="shared" si="492"/>
        <v>0</v>
      </c>
      <c r="CP213" s="224">
        <f t="shared" si="492"/>
        <v>0</v>
      </c>
      <c r="CQ213" s="224">
        <f t="shared" si="492"/>
        <v>0</v>
      </c>
      <c r="CR213" s="224">
        <f t="shared" si="492"/>
        <v>0</v>
      </c>
      <c r="CS213" s="224">
        <f t="shared" si="492"/>
        <v>0</v>
      </c>
      <c r="CT213" s="224">
        <f t="shared" si="492"/>
        <v>0</v>
      </c>
      <c r="CU213" s="224">
        <f t="shared" si="492"/>
        <v>0</v>
      </c>
      <c r="CV213" s="224">
        <f t="shared" si="492"/>
        <v>0</v>
      </c>
      <c r="CW213" s="224">
        <f t="shared" si="492"/>
        <v>0</v>
      </c>
      <c r="CX213" s="224">
        <f t="shared" si="492"/>
        <v>0</v>
      </c>
      <c r="CY213" s="218"/>
    </row>
    <row r="214" spans="2:103" hidden="1" outlineLevel="1">
      <c r="B214" t="str">
        <f t="shared" si="411"/>
        <v>Site 73</v>
      </c>
      <c r="C214" s="230">
        <f>VLOOKUP(D81,'Scaling Tables'!$B$123:$C$149,2,FALSE)-VLOOKUP($C$4,'Scaling Tables'!$B$123:$C$149,2,FALSE)</f>
        <v>0</v>
      </c>
      <c r="D214" s="224">
        <f t="shared" ref="D214:O214" si="493">IF($T81&gt;0,(((EXP(-(1/(Morning_Peak_Duration__hours*2))*(D$141-(Morning_Peak_Time__24hr_clock+$C214))^2))+(EXP(-(1/(Afternoon_Peak_Duration__hours*2))*(D$141-(Afternoon_Peak_Time__24hr_clock+$C214))^2)))*$U81)/TZCalibrationValue,0)</f>
        <v>0</v>
      </c>
      <c r="E214" s="224">
        <f t="shared" si="493"/>
        <v>0</v>
      </c>
      <c r="F214" s="224">
        <f t="shared" si="493"/>
        <v>0</v>
      </c>
      <c r="G214" s="224">
        <f t="shared" si="493"/>
        <v>0</v>
      </c>
      <c r="H214" s="224">
        <f t="shared" si="493"/>
        <v>0</v>
      </c>
      <c r="I214" s="224">
        <f t="shared" si="493"/>
        <v>0</v>
      </c>
      <c r="J214" s="224">
        <f t="shared" si="493"/>
        <v>0</v>
      </c>
      <c r="K214" s="224">
        <f t="shared" si="493"/>
        <v>0</v>
      </c>
      <c r="L214" s="224">
        <f t="shared" si="493"/>
        <v>0</v>
      </c>
      <c r="M214" s="224">
        <f t="shared" si="493"/>
        <v>0</v>
      </c>
      <c r="N214" s="224">
        <f t="shared" si="493"/>
        <v>0</v>
      </c>
      <c r="O214" s="224">
        <f t="shared" si="493"/>
        <v>0</v>
      </c>
      <c r="P214" s="229">
        <f t="shared" si="413"/>
        <v>0</v>
      </c>
      <c r="Q214" s="229">
        <f t="shared" si="414"/>
        <v>0</v>
      </c>
      <c r="R214" s="229">
        <f t="shared" si="415"/>
        <v>0</v>
      </c>
      <c r="S214" s="229">
        <f t="shared" si="416"/>
        <v>0</v>
      </c>
      <c r="T214" s="229">
        <f t="shared" si="417"/>
        <v>0</v>
      </c>
      <c r="U214" s="229">
        <f t="shared" si="418"/>
        <v>0</v>
      </c>
      <c r="V214" s="229">
        <f t="shared" si="419"/>
        <v>0</v>
      </c>
      <c r="W214" s="229">
        <f t="shared" si="420"/>
        <v>0</v>
      </c>
      <c r="X214" s="229">
        <f t="shared" si="421"/>
        <v>0</v>
      </c>
      <c r="Y214" s="229">
        <f t="shared" si="422"/>
        <v>0</v>
      </c>
      <c r="Z214" s="229">
        <f t="shared" si="423"/>
        <v>0</v>
      </c>
      <c r="AA214" s="229">
        <f t="shared" si="424"/>
        <v>0</v>
      </c>
      <c r="AB214" s="229">
        <f t="shared" si="425"/>
        <v>0</v>
      </c>
      <c r="AC214" s="229">
        <f t="shared" si="426"/>
        <v>0</v>
      </c>
      <c r="AD214" s="229">
        <f t="shared" si="427"/>
        <v>0</v>
      </c>
      <c r="AE214" s="229">
        <f t="shared" si="428"/>
        <v>0</v>
      </c>
      <c r="AF214" s="229">
        <f t="shared" si="429"/>
        <v>0</v>
      </c>
      <c r="AG214" s="229">
        <f t="shared" si="430"/>
        <v>0</v>
      </c>
      <c r="AH214" s="229">
        <f t="shared" si="431"/>
        <v>0</v>
      </c>
      <c r="AI214" s="229">
        <f t="shared" si="432"/>
        <v>0</v>
      </c>
      <c r="AJ214" s="229">
        <f t="shared" si="433"/>
        <v>0</v>
      </c>
      <c r="AK214" s="229">
        <f t="shared" si="434"/>
        <v>0</v>
      </c>
      <c r="AL214" s="229">
        <f t="shared" si="435"/>
        <v>0</v>
      </c>
      <c r="AM214" s="229">
        <f t="shared" si="436"/>
        <v>0</v>
      </c>
      <c r="AN214" s="224">
        <f t="shared" ref="AN214:AY214" si="494">IF($T81&gt;0,(((EXP(-(1/(Morning_Peak_Duration__hours*2))*(AN$141-(Morning_Peak_Time__24hr_clock+$C214))^2))+(EXP(-(1/(Afternoon_Peak_Duration__hours*2))*(AN$141-(Afternoon_Peak_Time__24hr_clock+$C214))^2)))*$U81)/TZCalibrationValue,0)</f>
        <v>0</v>
      </c>
      <c r="AO214" s="224">
        <f t="shared" si="494"/>
        <v>0</v>
      </c>
      <c r="AP214" s="224">
        <f t="shared" si="494"/>
        <v>0</v>
      </c>
      <c r="AQ214" s="224">
        <f t="shared" si="494"/>
        <v>0</v>
      </c>
      <c r="AR214" s="224">
        <f t="shared" si="494"/>
        <v>0</v>
      </c>
      <c r="AS214" s="224">
        <f t="shared" si="494"/>
        <v>0</v>
      </c>
      <c r="AT214" s="224">
        <f t="shared" si="494"/>
        <v>0</v>
      </c>
      <c r="AU214" s="224">
        <f t="shared" si="494"/>
        <v>0</v>
      </c>
      <c r="AV214" s="224">
        <f t="shared" si="494"/>
        <v>0</v>
      </c>
      <c r="AW214" s="224">
        <f t="shared" si="494"/>
        <v>0</v>
      </c>
      <c r="AX214" s="224">
        <f t="shared" si="494"/>
        <v>0</v>
      </c>
      <c r="AY214" s="224">
        <f t="shared" si="494"/>
        <v>0</v>
      </c>
      <c r="AZ214" s="218"/>
      <c r="BA214"/>
      <c r="BB214" s="176" t="str">
        <f t="shared" si="438"/>
        <v>Site 73</v>
      </c>
      <c r="BC214" s="224">
        <f t="shared" ref="BC214:BN214" si="495">IF($T81&gt;0,(((EXP(-(1/(Morning_Peak_Duration__hours*2))*(BC$141-(Morning_Peak_Time__24hr_clock+$C214))^2))+(EXP(-(1/(Afternoon_Peak_Duration__hours*2))*(BC$141-(Afternoon_Peak_Time__24hr_clock+$C214))^2)))*$V81)/TZCalibrationValue,0)</f>
        <v>0</v>
      </c>
      <c r="BD214" s="224">
        <f t="shared" si="495"/>
        <v>0</v>
      </c>
      <c r="BE214" s="224">
        <f t="shared" si="495"/>
        <v>0</v>
      </c>
      <c r="BF214" s="224">
        <f t="shared" si="495"/>
        <v>0</v>
      </c>
      <c r="BG214" s="224">
        <f t="shared" si="495"/>
        <v>0</v>
      </c>
      <c r="BH214" s="224">
        <f t="shared" si="495"/>
        <v>0</v>
      </c>
      <c r="BI214" s="224">
        <f t="shared" si="495"/>
        <v>0</v>
      </c>
      <c r="BJ214" s="224">
        <f t="shared" si="495"/>
        <v>0</v>
      </c>
      <c r="BK214" s="224">
        <f t="shared" si="495"/>
        <v>0</v>
      </c>
      <c r="BL214" s="224">
        <f t="shared" si="495"/>
        <v>0</v>
      </c>
      <c r="BM214" s="224">
        <f t="shared" si="495"/>
        <v>0</v>
      </c>
      <c r="BN214" s="224">
        <f t="shared" si="495"/>
        <v>0</v>
      </c>
      <c r="BO214" s="229">
        <f t="shared" si="440"/>
        <v>0</v>
      </c>
      <c r="BP214" s="229">
        <f t="shared" si="441"/>
        <v>0</v>
      </c>
      <c r="BQ214" s="229">
        <f t="shared" si="442"/>
        <v>0</v>
      </c>
      <c r="BR214" s="229">
        <f t="shared" si="443"/>
        <v>0</v>
      </c>
      <c r="BS214" s="229">
        <f t="shared" si="444"/>
        <v>0</v>
      </c>
      <c r="BT214" s="229">
        <f t="shared" si="445"/>
        <v>0</v>
      </c>
      <c r="BU214" s="229">
        <f t="shared" si="446"/>
        <v>0</v>
      </c>
      <c r="BV214" s="229">
        <f t="shared" si="447"/>
        <v>0</v>
      </c>
      <c r="BW214" s="229">
        <f t="shared" si="448"/>
        <v>0</v>
      </c>
      <c r="BX214" s="229">
        <f t="shared" si="449"/>
        <v>0</v>
      </c>
      <c r="BY214" s="229">
        <f t="shared" si="450"/>
        <v>0</v>
      </c>
      <c r="BZ214" s="229">
        <f t="shared" si="451"/>
        <v>0</v>
      </c>
      <c r="CA214" s="229">
        <f t="shared" si="452"/>
        <v>0</v>
      </c>
      <c r="CB214" s="229">
        <f t="shared" si="453"/>
        <v>0</v>
      </c>
      <c r="CC214" s="229">
        <f t="shared" si="454"/>
        <v>0</v>
      </c>
      <c r="CD214" s="229">
        <f t="shared" si="455"/>
        <v>0</v>
      </c>
      <c r="CE214" s="229">
        <f t="shared" si="456"/>
        <v>0</v>
      </c>
      <c r="CF214" s="229">
        <f t="shared" si="457"/>
        <v>0</v>
      </c>
      <c r="CG214" s="229">
        <f t="shared" si="458"/>
        <v>0</v>
      </c>
      <c r="CH214" s="229">
        <f t="shared" si="459"/>
        <v>0</v>
      </c>
      <c r="CI214" s="229">
        <f t="shared" si="460"/>
        <v>0</v>
      </c>
      <c r="CJ214" s="229">
        <f t="shared" si="461"/>
        <v>0</v>
      </c>
      <c r="CK214" s="229">
        <f t="shared" si="462"/>
        <v>0</v>
      </c>
      <c r="CL214" s="229">
        <f t="shared" si="463"/>
        <v>0</v>
      </c>
      <c r="CM214" s="224">
        <f t="shared" ref="CM214:CX214" si="496">IF($T81&gt;0,(((EXP(-(1/(Morning_Peak_Duration__hours*2))*(CM$141-(Morning_Peak_Time__24hr_clock+$C214))^2))+(EXP(-(1/(Afternoon_Peak_Duration__hours*2))*(CM$141-(Afternoon_Peak_Time__24hr_clock+$C214))^2)))*$V81)/TZCalibrationValue,0)</f>
        <v>0</v>
      </c>
      <c r="CN214" s="224">
        <f t="shared" si="496"/>
        <v>0</v>
      </c>
      <c r="CO214" s="224">
        <f t="shared" si="496"/>
        <v>0</v>
      </c>
      <c r="CP214" s="224">
        <f t="shared" si="496"/>
        <v>0</v>
      </c>
      <c r="CQ214" s="224">
        <f t="shared" si="496"/>
        <v>0</v>
      </c>
      <c r="CR214" s="224">
        <f t="shared" si="496"/>
        <v>0</v>
      </c>
      <c r="CS214" s="224">
        <f t="shared" si="496"/>
        <v>0</v>
      </c>
      <c r="CT214" s="224">
        <f t="shared" si="496"/>
        <v>0</v>
      </c>
      <c r="CU214" s="224">
        <f t="shared" si="496"/>
        <v>0</v>
      </c>
      <c r="CV214" s="224">
        <f t="shared" si="496"/>
        <v>0</v>
      </c>
      <c r="CW214" s="224">
        <f t="shared" si="496"/>
        <v>0</v>
      </c>
      <c r="CX214" s="224">
        <f t="shared" si="496"/>
        <v>0</v>
      </c>
      <c r="CY214" s="218"/>
    </row>
    <row r="215" spans="2:103" hidden="1" outlineLevel="1">
      <c r="B215" t="str">
        <f t="shared" si="411"/>
        <v>Site 74</v>
      </c>
      <c r="C215" s="230">
        <f>VLOOKUP(D82,'Scaling Tables'!$B$123:$C$149,2,FALSE)-VLOOKUP($C$4,'Scaling Tables'!$B$123:$C$149,2,FALSE)</f>
        <v>0</v>
      </c>
      <c r="D215" s="224">
        <f t="shared" ref="D215:O215" si="497">IF($T82&gt;0,(((EXP(-(1/(Morning_Peak_Duration__hours*2))*(D$141-(Morning_Peak_Time__24hr_clock+$C215))^2))+(EXP(-(1/(Afternoon_Peak_Duration__hours*2))*(D$141-(Afternoon_Peak_Time__24hr_clock+$C215))^2)))*$U82)/TZCalibrationValue,0)</f>
        <v>0</v>
      </c>
      <c r="E215" s="224">
        <f t="shared" si="497"/>
        <v>0</v>
      </c>
      <c r="F215" s="224">
        <f t="shared" si="497"/>
        <v>0</v>
      </c>
      <c r="G215" s="224">
        <f t="shared" si="497"/>
        <v>0</v>
      </c>
      <c r="H215" s="224">
        <f t="shared" si="497"/>
        <v>0</v>
      </c>
      <c r="I215" s="224">
        <f t="shared" si="497"/>
        <v>0</v>
      </c>
      <c r="J215" s="224">
        <f t="shared" si="497"/>
        <v>0</v>
      </c>
      <c r="K215" s="224">
        <f t="shared" si="497"/>
        <v>0</v>
      </c>
      <c r="L215" s="224">
        <f t="shared" si="497"/>
        <v>0</v>
      </c>
      <c r="M215" s="224">
        <f t="shared" si="497"/>
        <v>0</v>
      </c>
      <c r="N215" s="224">
        <f t="shared" si="497"/>
        <v>0</v>
      </c>
      <c r="O215" s="224">
        <f t="shared" si="497"/>
        <v>0</v>
      </c>
      <c r="P215" s="229">
        <f t="shared" si="413"/>
        <v>0</v>
      </c>
      <c r="Q215" s="229">
        <f t="shared" si="414"/>
        <v>0</v>
      </c>
      <c r="R215" s="229">
        <f t="shared" si="415"/>
        <v>0</v>
      </c>
      <c r="S215" s="229">
        <f t="shared" si="416"/>
        <v>0</v>
      </c>
      <c r="T215" s="229">
        <f t="shared" si="417"/>
        <v>0</v>
      </c>
      <c r="U215" s="229">
        <f t="shared" si="418"/>
        <v>0</v>
      </c>
      <c r="V215" s="229">
        <f t="shared" si="419"/>
        <v>0</v>
      </c>
      <c r="W215" s="229">
        <f t="shared" si="420"/>
        <v>0</v>
      </c>
      <c r="X215" s="229">
        <f t="shared" si="421"/>
        <v>0</v>
      </c>
      <c r="Y215" s="229">
        <f t="shared" si="422"/>
        <v>0</v>
      </c>
      <c r="Z215" s="229">
        <f t="shared" si="423"/>
        <v>0</v>
      </c>
      <c r="AA215" s="229">
        <f t="shared" si="424"/>
        <v>0</v>
      </c>
      <c r="AB215" s="229">
        <f t="shared" si="425"/>
        <v>0</v>
      </c>
      <c r="AC215" s="229">
        <f t="shared" si="426"/>
        <v>0</v>
      </c>
      <c r="AD215" s="229">
        <f t="shared" si="427"/>
        <v>0</v>
      </c>
      <c r="AE215" s="229">
        <f t="shared" si="428"/>
        <v>0</v>
      </c>
      <c r="AF215" s="229">
        <f t="shared" si="429"/>
        <v>0</v>
      </c>
      <c r="AG215" s="229">
        <f t="shared" si="430"/>
        <v>0</v>
      </c>
      <c r="AH215" s="229">
        <f t="shared" si="431"/>
        <v>0</v>
      </c>
      <c r="AI215" s="229">
        <f t="shared" si="432"/>
        <v>0</v>
      </c>
      <c r="AJ215" s="229">
        <f t="shared" si="433"/>
        <v>0</v>
      </c>
      <c r="AK215" s="229">
        <f t="shared" si="434"/>
        <v>0</v>
      </c>
      <c r="AL215" s="229">
        <f t="shared" si="435"/>
        <v>0</v>
      </c>
      <c r="AM215" s="229">
        <f t="shared" si="436"/>
        <v>0</v>
      </c>
      <c r="AN215" s="224">
        <f t="shared" ref="AN215:AY215" si="498">IF($T82&gt;0,(((EXP(-(1/(Morning_Peak_Duration__hours*2))*(AN$141-(Morning_Peak_Time__24hr_clock+$C215))^2))+(EXP(-(1/(Afternoon_Peak_Duration__hours*2))*(AN$141-(Afternoon_Peak_Time__24hr_clock+$C215))^2)))*$U82)/TZCalibrationValue,0)</f>
        <v>0</v>
      </c>
      <c r="AO215" s="224">
        <f t="shared" si="498"/>
        <v>0</v>
      </c>
      <c r="AP215" s="224">
        <f t="shared" si="498"/>
        <v>0</v>
      </c>
      <c r="AQ215" s="224">
        <f t="shared" si="498"/>
        <v>0</v>
      </c>
      <c r="AR215" s="224">
        <f t="shared" si="498"/>
        <v>0</v>
      </c>
      <c r="AS215" s="224">
        <f t="shared" si="498"/>
        <v>0</v>
      </c>
      <c r="AT215" s="224">
        <f t="shared" si="498"/>
        <v>0</v>
      </c>
      <c r="AU215" s="224">
        <f t="shared" si="498"/>
        <v>0</v>
      </c>
      <c r="AV215" s="224">
        <f t="shared" si="498"/>
        <v>0</v>
      </c>
      <c r="AW215" s="224">
        <f t="shared" si="498"/>
        <v>0</v>
      </c>
      <c r="AX215" s="224">
        <f t="shared" si="498"/>
        <v>0</v>
      </c>
      <c r="AY215" s="224">
        <f t="shared" si="498"/>
        <v>0</v>
      </c>
      <c r="AZ215" s="218"/>
      <c r="BA215"/>
      <c r="BB215" s="176" t="str">
        <f t="shared" si="438"/>
        <v>Site 74</v>
      </c>
      <c r="BC215" s="224">
        <f t="shared" ref="BC215:BN215" si="499">IF($T82&gt;0,(((EXP(-(1/(Morning_Peak_Duration__hours*2))*(BC$141-(Morning_Peak_Time__24hr_clock+$C215))^2))+(EXP(-(1/(Afternoon_Peak_Duration__hours*2))*(BC$141-(Afternoon_Peak_Time__24hr_clock+$C215))^2)))*$V82)/TZCalibrationValue,0)</f>
        <v>0</v>
      </c>
      <c r="BD215" s="224">
        <f t="shared" si="499"/>
        <v>0</v>
      </c>
      <c r="BE215" s="224">
        <f t="shared" si="499"/>
        <v>0</v>
      </c>
      <c r="BF215" s="224">
        <f t="shared" si="499"/>
        <v>0</v>
      </c>
      <c r="BG215" s="224">
        <f t="shared" si="499"/>
        <v>0</v>
      </c>
      <c r="BH215" s="224">
        <f t="shared" si="499"/>
        <v>0</v>
      </c>
      <c r="BI215" s="224">
        <f t="shared" si="499"/>
        <v>0</v>
      </c>
      <c r="BJ215" s="224">
        <f t="shared" si="499"/>
        <v>0</v>
      </c>
      <c r="BK215" s="224">
        <f t="shared" si="499"/>
        <v>0</v>
      </c>
      <c r="BL215" s="224">
        <f t="shared" si="499"/>
        <v>0</v>
      </c>
      <c r="BM215" s="224">
        <f t="shared" si="499"/>
        <v>0</v>
      </c>
      <c r="BN215" s="224">
        <f t="shared" si="499"/>
        <v>0</v>
      </c>
      <c r="BO215" s="229">
        <f t="shared" si="440"/>
        <v>0</v>
      </c>
      <c r="BP215" s="229">
        <f t="shared" si="441"/>
        <v>0</v>
      </c>
      <c r="BQ215" s="229">
        <f t="shared" si="442"/>
        <v>0</v>
      </c>
      <c r="BR215" s="229">
        <f t="shared" si="443"/>
        <v>0</v>
      </c>
      <c r="BS215" s="229">
        <f t="shared" si="444"/>
        <v>0</v>
      </c>
      <c r="BT215" s="229">
        <f t="shared" si="445"/>
        <v>0</v>
      </c>
      <c r="BU215" s="229">
        <f t="shared" si="446"/>
        <v>0</v>
      </c>
      <c r="BV215" s="229">
        <f t="shared" si="447"/>
        <v>0</v>
      </c>
      <c r="BW215" s="229">
        <f t="shared" si="448"/>
        <v>0</v>
      </c>
      <c r="BX215" s="229">
        <f t="shared" si="449"/>
        <v>0</v>
      </c>
      <c r="BY215" s="229">
        <f t="shared" si="450"/>
        <v>0</v>
      </c>
      <c r="BZ215" s="229">
        <f t="shared" si="451"/>
        <v>0</v>
      </c>
      <c r="CA215" s="229">
        <f t="shared" si="452"/>
        <v>0</v>
      </c>
      <c r="CB215" s="229">
        <f t="shared" si="453"/>
        <v>0</v>
      </c>
      <c r="CC215" s="229">
        <f t="shared" si="454"/>
        <v>0</v>
      </c>
      <c r="CD215" s="229">
        <f t="shared" si="455"/>
        <v>0</v>
      </c>
      <c r="CE215" s="229">
        <f t="shared" si="456"/>
        <v>0</v>
      </c>
      <c r="CF215" s="229">
        <f t="shared" si="457"/>
        <v>0</v>
      </c>
      <c r="CG215" s="229">
        <f t="shared" si="458"/>
        <v>0</v>
      </c>
      <c r="CH215" s="229">
        <f t="shared" si="459"/>
        <v>0</v>
      </c>
      <c r="CI215" s="229">
        <f t="shared" si="460"/>
        <v>0</v>
      </c>
      <c r="CJ215" s="229">
        <f t="shared" si="461"/>
        <v>0</v>
      </c>
      <c r="CK215" s="229">
        <f t="shared" si="462"/>
        <v>0</v>
      </c>
      <c r="CL215" s="229">
        <f t="shared" si="463"/>
        <v>0</v>
      </c>
      <c r="CM215" s="224">
        <f t="shared" ref="CM215:CX215" si="500">IF($T82&gt;0,(((EXP(-(1/(Morning_Peak_Duration__hours*2))*(CM$141-(Morning_Peak_Time__24hr_clock+$C215))^2))+(EXP(-(1/(Afternoon_Peak_Duration__hours*2))*(CM$141-(Afternoon_Peak_Time__24hr_clock+$C215))^2)))*$V82)/TZCalibrationValue,0)</f>
        <v>0</v>
      </c>
      <c r="CN215" s="224">
        <f t="shared" si="500"/>
        <v>0</v>
      </c>
      <c r="CO215" s="224">
        <f t="shared" si="500"/>
        <v>0</v>
      </c>
      <c r="CP215" s="224">
        <f t="shared" si="500"/>
        <v>0</v>
      </c>
      <c r="CQ215" s="224">
        <f t="shared" si="500"/>
        <v>0</v>
      </c>
      <c r="CR215" s="224">
        <f t="shared" si="500"/>
        <v>0</v>
      </c>
      <c r="CS215" s="224">
        <f t="shared" si="500"/>
        <v>0</v>
      </c>
      <c r="CT215" s="224">
        <f t="shared" si="500"/>
        <v>0</v>
      </c>
      <c r="CU215" s="224">
        <f t="shared" si="500"/>
        <v>0</v>
      </c>
      <c r="CV215" s="224">
        <f t="shared" si="500"/>
        <v>0</v>
      </c>
      <c r="CW215" s="224">
        <f t="shared" si="500"/>
        <v>0</v>
      </c>
      <c r="CX215" s="224">
        <f t="shared" si="500"/>
        <v>0</v>
      </c>
      <c r="CY215" s="218"/>
    </row>
    <row r="216" spans="2:103" hidden="1" outlineLevel="1">
      <c r="B216" t="str">
        <f t="shared" si="411"/>
        <v>Site 75</v>
      </c>
      <c r="C216" s="230">
        <f>VLOOKUP(D83,'Scaling Tables'!$B$123:$C$149,2,FALSE)-VLOOKUP($C$4,'Scaling Tables'!$B$123:$C$149,2,FALSE)</f>
        <v>0</v>
      </c>
      <c r="D216" s="224">
        <f t="shared" ref="D216:O216" si="501">IF($T83&gt;0,(((EXP(-(1/(Morning_Peak_Duration__hours*2))*(D$141-(Morning_Peak_Time__24hr_clock+$C216))^2))+(EXP(-(1/(Afternoon_Peak_Duration__hours*2))*(D$141-(Afternoon_Peak_Time__24hr_clock+$C216))^2)))*$U83)/TZCalibrationValue,0)</f>
        <v>0</v>
      </c>
      <c r="E216" s="224">
        <f t="shared" si="501"/>
        <v>0</v>
      </c>
      <c r="F216" s="224">
        <f t="shared" si="501"/>
        <v>0</v>
      </c>
      <c r="G216" s="224">
        <f t="shared" si="501"/>
        <v>0</v>
      </c>
      <c r="H216" s="224">
        <f t="shared" si="501"/>
        <v>0</v>
      </c>
      <c r="I216" s="224">
        <f t="shared" si="501"/>
        <v>0</v>
      </c>
      <c r="J216" s="224">
        <f t="shared" si="501"/>
        <v>0</v>
      </c>
      <c r="K216" s="224">
        <f t="shared" si="501"/>
        <v>0</v>
      </c>
      <c r="L216" s="224">
        <f t="shared" si="501"/>
        <v>0</v>
      </c>
      <c r="M216" s="224">
        <f t="shared" si="501"/>
        <v>0</v>
      </c>
      <c r="N216" s="224">
        <f t="shared" si="501"/>
        <v>0</v>
      </c>
      <c r="O216" s="224">
        <f t="shared" si="501"/>
        <v>0</v>
      </c>
      <c r="P216" s="229">
        <f t="shared" si="413"/>
        <v>0</v>
      </c>
      <c r="Q216" s="229">
        <f t="shared" si="414"/>
        <v>0</v>
      </c>
      <c r="R216" s="229">
        <f t="shared" si="415"/>
        <v>0</v>
      </c>
      <c r="S216" s="229">
        <f t="shared" si="416"/>
        <v>0</v>
      </c>
      <c r="T216" s="229">
        <f t="shared" si="417"/>
        <v>0</v>
      </c>
      <c r="U216" s="229">
        <f t="shared" si="418"/>
        <v>0</v>
      </c>
      <c r="V216" s="229">
        <f t="shared" si="419"/>
        <v>0</v>
      </c>
      <c r="W216" s="229">
        <f t="shared" si="420"/>
        <v>0</v>
      </c>
      <c r="X216" s="229">
        <f t="shared" si="421"/>
        <v>0</v>
      </c>
      <c r="Y216" s="229">
        <f t="shared" si="422"/>
        <v>0</v>
      </c>
      <c r="Z216" s="229">
        <f t="shared" si="423"/>
        <v>0</v>
      </c>
      <c r="AA216" s="229">
        <f t="shared" si="424"/>
        <v>0</v>
      </c>
      <c r="AB216" s="229">
        <f t="shared" si="425"/>
        <v>0</v>
      </c>
      <c r="AC216" s="229">
        <f t="shared" si="426"/>
        <v>0</v>
      </c>
      <c r="AD216" s="229">
        <f t="shared" si="427"/>
        <v>0</v>
      </c>
      <c r="AE216" s="229">
        <f t="shared" si="428"/>
        <v>0</v>
      </c>
      <c r="AF216" s="229">
        <f t="shared" si="429"/>
        <v>0</v>
      </c>
      <c r="AG216" s="229">
        <f t="shared" si="430"/>
        <v>0</v>
      </c>
      <c r="AH216" s="229">
        <f t="shared" si="431"/>
        <v>0</v>
      </c>
      <c r="AI216" s="229">
        <f t="shared" si="432"/>
        <v>0</v>
      </c>
      <c r="AJ216" s="229">
        <f t="shared" si="433"/>
        <v>0</v>
      </c>
      <c r="AK216" s="229">
        <f t="shared" si="434"/>
        <v>0</v>
      </c>
      <c r="AL216" s="229">
        <f t="shared" si="435"/>
        <v>0</v>
      </c>
      <c r="AM216" s="229">
        <f t="shared" si="436"/>
        <v>0</v>
      </c>
      <c r="AN216" s="224">
        <f t="shared" ref="AN216:AY216" si="502">IF($T83&gt;0,(((EXP(-(1/(Morning_Peak_Duration__hours*2))*(AN$141-(Morning_Peak_Time__24hr_clock+$C216))^2))+(EXP(-(1/(Afternoon_Peak_Duration__hours*2))*(AN$141-(Afternoon_Peak_Time__24hr_clock+$C216))^2)))*$U83)/TZCalibrationValue,0)</f>
        <v>0</v>
      </c>
      <c r="AO216" s="224">
        <f t="shared" si="502"/>
        <v>0</v>
      </c>
      <c r="AP216" s="224">
        <f t="shared" si="502"/>
        <v>0</v>
      </c>
      <c r="AQ216" s="224">
        <f t="shared" si="502"/>
        <v>0</v>
      </c>
      <c r="AR216" s="224">
        <f t="shared" si="502"/>
        <v>0</v>
      </c>
      <c r="AS216" s="224">
        <f t="shared" si="502"/>
        <v>0</v>
      </c>
      <c r="AT216" s="224">
        <f t="shared" si="502"/>
        <v>0</v>
      </c>
      <c r="AU216" s="224">
        <f t="shared" si="502"/>
        <v>0</v>
      </c>
      <c r="AV216" s="224">
        <f t="shared" si="502"/>
        <v>0</v>
      </c>
      <c r="AW216" s="224">
        <f t="shared" si="502"/>
        <v>0</v>
      </c>
      <c r="AX216" s="224">
        <f t="shared" si="502"/>
        <v>0</v>
      </c>
      <c r="AY216" s="224">
        <f t="shared" si="502"/>
        <v>0</v>
      </c>
      <c r="AZ216" s="218"/>
      <c r="BA216"/>
      <c r="BB216" s="176" t="str">
        <f t="shared" si="438"/>
        <v>Site 75</v>
      </c>
      <c r="BC216" s="224">
        <f t="shared" ref="BC216:BN216" si="503">IF($T83&gt;0,(((EXP(-(1/(Morning_Peak_Duration__hours*2))*(BC$141-(Morning_Peak_Time__24hr_clock+$C216))^2))+(EXP(-(1/(Afternoon_Peak_Duration__hours*2))*(BC$141-(Afternoon_Peak_Time__24hr_clock+$C216))^2)))*$V83)/TZCalibrationValue,0)</f>
        <v>0</v>
      </c>
      <c r="BD216" s="224">
        <f t="shared" si="503"/>
        <v>0</v>
      </c>
      <c r="BE216" s="224">
        <f t="shared" si="503"/>
        <v>0</v>
      </c>
      <c r="BF216" s="224">
        <f t="shared" si="503"/>
        <v>0</v>
      </c>
      <c r="BG216" s="224">
        <f t="shared" si="503"/>
        <v>0</v>
      </c>
      <c r="BH216" s="224">
        <f t="shared" si="503"/>
        <v>0</v>
      </c>
      <c r="BI216" s="224">
        <f t="shared" si="503"/>
        <v>0</v>
      </c>
      <c r="BJ216" s="224">
        <f t="shared" si="503"/>
        <v>0</v>
      </c>
      <c r="BK216" s="224">
        <f t="shared" si="503"/>
        <v>0</v>
      </c>
      <c r="BL216" s="224">
        <f t="shared" si="503"/>
        <v>0</v>
      </c>
      <c r="BM216" s="224">
        <f t="shared" si="503"/>
        <v>0</v>
      </c>
      <c r="BN216" s="224">
        <f t="shared" si="503"/>
        <v>0</v>
      </c>
      <c r="BO216" s="229">
        <f t="shared" si="440"/>
        <v>0</v>
      </c>
      <c r="BP216" s="229">
        <f t="shared" si="441"/>
        <v>0</v>
      </c>
      <c r="BQ216" s="229">
        <f t="shared" si="442"/>
        <v>0</v>
      </c>
      <c r="BR216" s="229">
        <f t="shared" si="443"/>
        <v>0</v>
      </c>
      <c r="BS216" s="229">
        <f t="shared" si="444"/>
        <v>0</v>
      </c>
      <c r="BT216" s="229">
        <f t="shared" si="445"/>
        <v>0</v>
      </c>
      <c r="BU216" s="229">
        <f t="shared" si="446"/>
        <v>0</v>
      </c>
      <c r="BV216" s="229">
        <f t="shared" si="447"/>
        <v>0</v>
      </c>
      <c r="BW216" s="229">
        <f t="shared" si="448"/>
        <v>0</v>
      </c>
      <c r="BX216" s="229">
        <f t="shared" si="449"/>
        <v>0</v>
      </c>
      <c r="BY216" s="229">
        <f t="shared" si="450"/>
        <v>0</v>
      </c>
      <c r="BZ216" s="229">
        <f t="shared" si="451"/>
        <v>0</v>
      </c>
      <c r="CA216" s="229">
        <f t="shared" si="452"/>
        <v>0</v>
      </c>
      <c r="CB216" s="229">
        <f t="shared" si="453"/>
        <v>0</v>
      </c>
      <c r="CC216" s="229">
        <f t="shared" si="454"/>
        <v>0</v>
      </c>
      <c r="CD216" s="229">
        <f t="shared" si="455"/>
        <v>0</v>
      </c>
      <c r="CE216" s="229">
        <f t="shared" si="456"/>
        <v>0</v>
      </c>
      <c r="CF216" s="229">
        <f t="shared" si="457"/>
        <v>0</v>
      </c>
      <c r="CG216" s="229">
        <f t="shared" si="458"/>
        <v>0</v>
      </c>
      <c r="CH216" s="229">
        <f t="shared" si="459"/>
        <v>0</v>
      </c>
      <c r="CI216" s="229">
        <f t="shared" si="460"/>
        <v>0</v>
      </c>
      <c r="CJ216" s="229">
        <f t="shared" si="461"/>
        <v>0</v>
      </c>
      <c r="CK216" s="229">
        <f t="shared" si="462"/>
        <v>0</v>
      </c>
      <c r="CL216" s="229">
        <f t="shared" si="463"/>
        <v>0</v>
      </c>
      <c r="CM216" s="224">
        <f t="shared" ref="CM216:CX216" si="504">IF($T83&gt;0,(((EXP(-(1/(Morning_Peak_Duration__hours*2))*(CM$141-(Morning_Peak_Time__24hr_clock+$C216))^2))+(EXP(-(1/(Afternoon_Peak_Duration__hours*2))*(CM$141-(Afternoon_Peak_Time__24hr_clock+$C216))^2)))*$V83)/TZCalibrationValue,0)</f>
        <v>0</v>
      </c>
      <c r="CN216" s="224">
        <f t="shared" si="504"/>
        <v>0</v>
      </c>
      <c r="CO216" s="224">
        <f t="shared" si="504"/>
        <v>0</v>
      </c>
      <c r="CP216" s="224">
        <f t="shared" si="504"/>
        <v>0</v>
      </c>
      <c r="CQ216" s="224">
        <f t="shared" si="504"/>
        <v>0</v>
      </c>
      <c r="CR216" s="224">
        <f t="shared" si="504"/>
        <v>0</v>
      </c>
      <c r="CS216" s="224">
        <f t="shared" si="504"/>
        <v>0</v>
      </c>
      <c r="CT216" s="224">
        <f t="shared" si="504"/>
        <v>0</v>
      </c>
      <c r="CU216" s="224">
        <f t="shared" si="504"/>
        <v>0</v>
      </c>
      <c r="CV216" s="224">
        <f t="shared" si="504"/>
        <v>0</v>
      </c>
      <c r="CW216" s="224">
        <f t="shared" si="504"/>
        <v>0</v>
      </c>
      <c r="CX216" s="224">
        <f t="shared" si="504"/>
        <v>0</v>
      </c>
      <c r="CY216" s="218"/>
    </row>
    <row r="217" spans="2:103" hidden="1" outlineLevel="1">
      <c r="B217" t="str">
        <f t="shared" si="411"/>
        <v>Site 76</v>
      </c>
      <c r="C217" s="230">
        <f>VLOOKUP(D84,'Scaling Tables'!$B$123:$C$149,2,FALSE)-VLOOKUP($C$4,'Scaling Tables'!$B$123:$C$149,2,FALSE)</f>
        <v>0</v>
      </c>
      <c r="D217" s="224">
        <f t="shared" ref="D217:O217" si="505">IF($T84&gt;0,(((EXP(-(1/(Morning_Peak_Duration__hours*2))*(D$141-(Morning_Peak_Time__24hr_clock+$C217))^2))+(EXP(-(1/(Afternoon_Peak_Duration__hours*2))*(D$141-(Afternoon_Peak_Time__24hr_clock+$C217))^2)))*$U84)/TZCalibrationValue,0)</f>
        <v>0</v>
      </c>
      <c r="E217" s="224">
        <f t="shared" si="505"/>
        <v>0</v>
      </c>
      <c r="F217" s="224">
        <f t="shared" si="505"/>
        <v>0</v>
      </c>
      <c r="G217" s="224">
        <f t="shared" si="505"/>
        <v>0</v>
      </c>
      <c r="H217" s="224">
        <f t="shared" si="505"/>
        <v>0</v>
      </c>
      <c r="I217" s="224">
        <f t="shared" si="505"/>
        <v>0</v>
      </c>
      <c r="J217" s="224">
        <f t="shared" si="505"/>
        <v>0</v>
      </c>
      <c r="K217" s="224">
        <f t="shared" si="505"/>
        <v>0</v>
      </c>
      <c r="L217" s="224">
        <f t="shared" si="505"/>
        <v>0</v>
      </c>
      <c r="M217" s="224">
        <f t="shared" si="505"/>
        <v>0</v>
      </c>
      <c r="N217" s="224">
        <f t="shared" si="505"/>
        <v>0</v>
      </c>
      <c r="O217" s="224">
        <f t="shared" si="505"/>
        <v>0</v>
      </c>
      <c r="P217" s="229">
        <f t="shared" si="413"/>
        <v>0</v>
      </c>
      <c r="Q217" s="229">
        <f t="shared" si="414"/>
        <v>0</v>
      </c>
      <c r="R217" s="229">
        <f t="shared" si="415"/>
        <v>0</v>
      </c>
      <c r="S217" s="229">
        <f t="shared" si="416"/>
        <v>0</v>
      </c>
      <c r="T217" s="229">
        <f t="shared" si="417"/>
        <v>0</v>
      </c>
      <c r="U217" s="229">
        <f t="shared" si="418"/>
        <v>0</v>
      </c>
      <c r="V217" s="229">
        <f t="shared" si="419"/>
        <v>0</v>
      </c>
      <c r="W217" s="229">
        <f t="shared" si="420"/>
        <v>0</v>
      </c>
      <c r="X217" s="229">
        <f t="shared" si="421"/>
        <v>0</v>
      </c>
      <c r="Y217" s="229">
        <f t="shared" si="422"/>
        <v>0</v>
      </c>
      <c r="Z217" s="229">
        <f t="shared" si="423"/>
        <v>0</v>
      </c>
      <c r="AA217" s="229">
        <f t="shared" si="424"/>
        <v>0</v>
      </c>
      <c r="AB217" s="229">
        <f t="shared" si="425"/>
        <v>0</v>
      </c>
      <c r="AC217" s="229">
        <f t="shared" si="426"/>
        <v>0</v>
      </c>
      <c r="AD217" s="229">
        <f t="shared" si="427"/>
        <v>0</v>
      </c>
      <c r="AE217" s="229">
        <f t="shared" si="428"/>
        <v>0</v>
      </c>
      <c r="AF217" s="229">
        <f t="shared" si="429"/>
        <v>0</v>
      </c>
      <c r="AG217" s="229">
        <f t="shared" si="430"/>
        <v>0</v>
      </c>
      <c r="AH217" s="229">
        <f t="shared" si="431"/>
        <v>0</v>
      </c>
      <c r="AI217" s="229">
        <f t="shared" si="432"/>
        <v>0</v>
      </c>
      <c r="AJ217" s="229">
        <f t="shared" si="433"/>
        <v>0</v>
      </c>
      <c r="AK217" s="229">
        <f t="shared" si="434"/>
        <v>0</v>
      </c>
      <c r="AL217" s="229">
        <f t="shared" si="435"/>
        <v>0</v>
      </c>
      <c r="AM217" s="229">
        <f t="shared" si="436"/>
        <v>0</v>
      </c>
      <c r="AN217" s="224">
        <f t="shared" ref="AN217:AY217" si="506">IF($T84&gt;0,(((EXP(-(1/(Morning_Peak_Duration__hours*2))*(AN$141-(Morning_Peak_Time__24hr_clock+$C217))^2))+(EXP(-(1/(Afternoon_Peak_Duration__hours*2))*(AN$141-(Afternoon_Peak_Time__24hr_clock+$C217))^2)))*$U84)/TZCalibrationValue,0)</f>
        <v>0</v>
      </c>
      <c r="AO217" s="224">
        <f t="shared" si="506"/>
        <v>0</v>
      </c>
      <c r="AP217" s="224">
        <f t="shared" si="506"/>
        <v>0</v>
      </c>
      <c r="AQ217" s="224">
        <f t="shared" si="506"/>
        <v>0</v>
      </c>
      <c r="AR217" s="224">
        <f t="shared" si="506"/>
        <v>0</v>
      </c>
      <c r="AS217" s="224">
        <f t="shared" si="506"/>
        <v>0</v>
      </c>
      <c r="AT217" s="224">
        <f t="shared" si="506"/>
        <v>0</v>
      </c>
      <c r="AU217" s="224">
        <f t="shared" si="506"/>
        <v>0</v>
      </c>
      <c r="AV217" s="224">
        <f t="shared" si="506"/>
        <v>0</v>
      </c>
      <c r="AW217" s="224">
        <f t="shared" si="506"/>
        <v>0</v>
      </c>
      <c r="AX217" s="224">
        <f t="shared" si="506"/>
        <v>0</v>
      </c>
      <c r="AY217" s="224">
        <f t="shared" si="506"/>
        <v>0</v>
      </c>
      <c r="AZ217" s="218"/>
      <c r="BA217"/>
      <c r="BB217" s="176" t="str">
        <f t="shared" si="438"/>
        <v>Site 76</v>
      </c>
      <c r="BC217" s="224">
        <f t="shared" ref="BC217:BN217" si="507">IF($T84&gt;0,(((EXP(-(1/(Morning_Peak_Duration__hours*2))*(BC$141-(Morning_Peak_Time__24hr_clock+$C217))^2))+(EXP(-(1/(Afternoon_Peak_Duration__hours*2))*(BC$141-(Afternoon_Peak_Time__24hr_clock+$C217))^2)))*$V84)/TZCalibrationValue,0)</f>
        <v>0</v>
      </c>
      <c r="BD217" s="224">
        <f t="shared" si="507"/>
        <v>0</v>
      </c>
      <c r="BE217" s="224">
        <f t="shared" si="507"/>
        <v>0</v>
      </c>
      <c r="BF217" s="224">
        <f t="shared" si="507"/>
        <v>0</v>
      </c>
      <c r="BG217" s="224">
        <f t="shared" si="507"/>
        <v>0</v>
      </c>
      <c r="BH217" s="224">
        <f t="shared" si="507"/>
        <v>0</v>
      </c>
      <c r="BI217" s="224">
        <f t="shared" si="507"/>
        <v>0</v>
      </c>
      <c r="BJ217" s="224">
        <f t="shared" si="507"/>
        <v>0</v>
      </c>
      <c r="BK217" s="224">
        <f t="shared" si="507"/>
        <v>0</v>
      </c>
      <c r="BL217" s="224">
        <f t="shared" si="507"/>
        <v>0</v>
      </c>
      <c r="BM217" s="224">
        <f t="shared" si="507"/>
        <v>0</v>
      </c>
      <c r="BN217" s="224">
        <f t="shared" si="507"/>
        <v>0</v>
      </c>
      <c r="BO217" s="229">
        <f t="shared" si="440"/>
        <v>0</v>
      </c>
      <c r="BP217" s="229">
        <f t="shared" si="441"/>
        <v>0</v>
      </c>
      <c r="BQ217" s="229">
        <f t="shared" si="442"/>
        <v>0</v>
      </c>
      <c r="BR217" s="229">
        <f t="shared" si="443"/>
        <v>0</v>
      </c>
      <c r="BS217" s="229">
        <f t="shared" si="444"/>
        <v>0</v>
      </c>
      <c r="BT217" s="229">
        <f t="shared" si="445"/>
        <v>0</v>
      </c>
      <c r="BU217" s="229">
        <f t="shared" si="446"/>
        <v>0</v>
      </c>
      <c r="BV217" s="229">
        <f t="shared" si="447"/>
        <v>0</v>
      </c>
      <c r="BW217" s="229">
        <f t="shared" si="448"/>
        <v>0</v>
      </c>
      <c r="BX217" s="229">
        <f t="shared" si="449"/>
        <v>0</v>
      </c>
      <c r="BY217" s="229">
        <f t="shared" si="450"/>
        <v>0</v>
      </c>
      <c r="BZ217" s="229">
        <f t="shared" si="451"/>
        <v>0</v>
      </c>
      <c r="CA217" s="229">
        <f t="shared" si="452"/>
        <v>0</v>
      </c>
      <c r="CB217" s="229">
        <f t="shared" si="453"/>
        <v>0</v>
      </c>
      <c r="CC217" s="229">
        <f t="shared" si="454"/>
        <v>0</v>
      </c>
      <c r="CD217" s="229">
        <f t="shared" si="455"/>
        <v>0</v>
      </c>
      <c r="CE217" s="229">
        <f t="shared" si="456"/>
        <v>0</v>
      </c>
      <c r="CF217" s="229">
        <f t="shared" si="457"/>
        <v>0</v>
      </c>
      <c r="CG217" s="229">
        <f t="shared" si="458"/>
        <v>0</v>
      </c>
      <c r="CH217" s="229">
        <f t="shared" si="459"/>
        <v>0</v>
      </c>
      <c r="CI217" s="229">
        <f t="shared" si="460"/>
        <v>0</v>
      </c>
      <c r="CJ217" s="229">
        <f t="shared" si="461"/>
        <v>0</v>
      </c>
      <c r="CK217" s="229">
        <f t="shared" si="462"/>
        <v>0</v>
      </c>
      <c r="CL217" s="229">
        <f t="shared" si="463"/>
        <v>0</v>
      </c>
      <c r="CM217" s="224">
        <f t="shared" ref="CM217:CX217" si="508">IF($T84&gt;0,(((EXP(-(1/(Morning_Peak_Duration__hours*2))*(CM$141-(Morning_Peak_Time__24hr_clock+$C217))^2))+(EXP(-(1/(Afternoon_Peak_Duration__hours*2))*(CM$141-(Afternoon_Peak_Time__24hr_clock+$C217))^2)))*$V84)/TZCalibrationValue,0)</f>
        <v>0</v>
      </c>
      <c r="CN217" s="224">
        <f t="shared" si="508"/>
        <v>0</v>
      </c>
      <c r="CO217" s="224">
        <f t="shared" si="508"/>
        <v>0</v>
      </c>
      <c r="CP217" s="224">
        <f t="shared" si="508"/>
        <v>0</v>
      </c>
      <c r="CQ217" s="224">
        <f t="shared" si="508"/>
        <v>0</v>
      </c>
      <c r="CR217" s="224">
        <f t="shared" si="508"/>
        <v>0</v>
      </c>
      <c r="CS217" s="224">
        <f t="shared" si="508"/>
        <v>0</v>
      </c>
      <c r="CT217" s="224">
        <f t="shared" si="508"/>
        <v>0</v>
      </c>
      <c r="CU217" s="224">
        <f t="shared" si="508"/>
        <v>0</v>
      </c>
      <c r="CV217" s="224">
        <f t="shared" si="508"/>
        <v>0</v>
      </c>
      <c r="CW217" s="224">
        <f t="shared" si="508"/>
        <v>0</v>
      </c>
      <c r="CX217" s="224">
        <f t="shared" si="508"/>
        <v>0</v>
      </c>
      <c r="CY217" s="218"/>
    </row>
    <row r="218" spans="2:103" hidden="1" outlineLevel="1">
      <c r="B218" t="str">
        <f t="shared" si="411"/>
        <v>Site 77</v>
      </c>
      <c r="C218" s="230">
        <f>VLOOKUP(D85,'Scaling Tables'!$B$123:$C$149,2,FALSE)-VLOOKUP($C$4,'Scaling Tables'!$B$123:$C$149,2,FALSE)</f>
        <v>0</v>
      </c>
      <c r="D218" s="224">
        <f t="shared" ref="D218:O218" si="509">IF($T85&gt;0,(((EXP(-(1/(Morning_Peak_Duration__hours*2))*(D$141-(Morning_Peak_Time__24hr_clock+$C218))^2))+(EXP(-(1/(Afternoon_Peak_Duration__hours*2))*(D$141-(Afternoon_Peak_Time__24hr_clock+$C218))^2)))*$U85)/TZCalibrationValue,0)</f>
        <v>0</v>
      </c>
      <c r="E218" s="224">
        <f t="shared" si="509"/>
        <v>0</v>
      </c>
      <c r="F218" s="224">
        <f t="shared" si="509"/>
        <v>0</v>
      </c>
      <c r="G218" s="224">
        <f t="shared" si="509"/>
        <v>0</v>
      </c>
      <c r="H218" s="224">
        <f t="shared" si="509"/>
        <v>0</v>
      </c>
      <c r="I218" s="224">
        <f t="shared" si="509"/>
        <v>0</v>
      </c>
      <c r="J218" s="224">
        <f t="shared" si="509"/>
        <v>0</v>
      </c>
      <c r="K218" s="224">
        <f t="shared" si="509"/>
        <v>0</v>
      </c>
      <c r="L218" s="224">
        <f t="shared" si="509"/>
        <v>0</v>
      </c>
      <c r="M218" s="224">
        <f t="shared" si="509"/>
        <v>0</v>
      </c>
      <c r="N218" s="224">
        <f t="shared" si="509"/>
        <v>0</v>
      </c>
      <c r="O218" s="224">
        <f t="shared" si="509"/>
        <v>0</v>
      </c>
      <c r="P218" s="229">
        <f t="shared" si="413"/>
        <v>0</v>
      </c>
      <c r="Q218" s="229">
        <f t="shared" si="414"/>
        <v>0</v>
      </c>
      <c r="R218" s="229">
        <f t="shared" si="415"/>
        <v>0</v>
      </c>
      <c r="S218" s="229">
        <f t="shared" si="416"/>
        <v>0</v>
      </c>
      <c r="T218" s="229">
        <f t="shared" si="417"/>
        <v>0</v>
      </c>
      <c r="U218" s="229">
        <f t="shared" si="418"/>
        <v>0</v>
      </c>
      <c r="V218" s="229">
        <f t="shared" si="419"/>
        <v>0</v>
      </c>
      <c r="W218" s="229">
        <f t="shared" si="420"/>
        <v>0</v>
      </c>
      <c r="X218" s="229">
        <f t="shared" si="421"/>
        <v>0</v>
      </c>
      <c r="Y218" s="229">
        <f t="shared" si="422"/>
        <v>0</v>
      </c>
      <c r="Z218" s="229">
        <f t="shared" si="423"/>
        <v>0</v>
      </c>
      <c r="AA218" s="229">
        <f t="shared" si="424"/>
        <v>0</v>
      </c>
      <c r="AB218" s="229">
        <f t="shared" si="425"/>
        <v>0</v>
      </c>
      <c r="AC218" s="229">
        <f t="shared" si="426"/>
        <v>0</v>
      </c>
      <c r="AD218" s="229">
        <f t="shared" si="427"/>
        <v>0</v>
      </c>
      <c r="AE218" s="229">
        <f t="shared" si="428"/>
        <v>0</v>
      </c>
      <c r="AF218" s="229">
        <f t="shared" si="429"/>
        <v>0</v>
      </c>
      <c r="AG218" s="229">
        <f t="shared" si="430"/>
        <v>0</v>
      </c>
      <c r="AH218" s="229">
        <f t="shared" si="431"/>
        <v>0</v>
      </c>
      <c r="AI218" s="229">
        <f t="shared" si="432"/>
        <v>0</v>
      </c>
      <c r="AJ218" s="229">
        <f t="shared" si="433"/>
        <v>0</v>
      </c>
      <c r="AK218" s="229">
        <f t="shared" si="434"/>
        <v>0</v>
      </c>
      <c r="AL218" s="229">
        <f t="shared" si="435"/>
        <v>0</v>
      </c>
      <c r="AM218" s="229">
        <f t="shared" si="436"/>
        <v>0</v>
      </c>
      <c r="AN218" s="224">
        <f t="shared" ref="AN218:AY218" si="510">IF($T85&gt;0,(((EXP(-(1/(Morning_Peak_Duration__hours*2))*(AN$141-(Morning_Peak_Time__24hr_clock+$C218))^2))+(EXP(-(1/(Afternoon_Peak_Duration__hours*2))*(AN$141-(Afternoon_Peak_Time__24hr_clock+$C218))^2)))*$U85)/TZCalibrationValue,0)</f>
        <v>0</v>
      </c>
      <c r="AO218" s="224">
        <f t="shared" si="510"/>
        <v>0</v>
      </c>
      <c r="AP218" s="224">
        <f t="shared" si="510"/>
        <v>0</v>
      </c>
      <c r="AQ218" s="224">
        <f t="shared" si="510"/>
        <v>0</v>
      </c>
      <c r="AR218" s="224">
        <f t="shared" si="510"/>
        <v>0</v>
      </c>
      <c r="AS218" s="224">
        <f t="shared" si="510"/>
        <v>0</v>
      </c>
      <c r="AT218" s="224">
        <f t="shared" si="510"/>
        <v>0</v>
      </c>
      <c r="AU218" s="224">
        <f t="shared" si="510"/>
        <v>0</v>
      </c>
      <c r="AV218" s="224">
        <f t="shared" si="510"/>
        <v>0</v>
      </c>
      <c r="AW218" s="224">
        <f t="shared" si="510"/>
        <v>0</v>
      </c>
      <c r="AX218" s="224">
        <f t="shared" si="510"/>
        <v>0</v>
      </c>
      <c r="AY218" s="224">
        <f t="shared" si="510"/>
        <v>0</v>
      </c>
      <c r="AZ218" s="218"/>
      <c r="BA218"/>
      <c r="BB218" s="176" t="str">
        <f t="shared" si="438"/>
        <v>Site 77</v>
      </c>
      <c r="BC218" s="224">
        <f t="shared" ref="BC218:BN218" si="511">IF($T85&gt;0,(((EXP(-(1/(Morning_Peak_Duration__hours*2))*(BC$141-(Morning_Peak_Time__24hr_clock+$C218))^2))+(EXP(-(1/(Afternoon_Peak_Duration__hours*2))*(BC$141-(Afternoon_Peak_Time__24hr_clock+$C218))^2)))*$V85)/TZCalibrationValue,0)</f>
        <v>0</v>
      </c>
      <c r="BD218" s="224">
        <f t="shared" si="511"/>
        <v>0</v>
      </c>
      <c r="BE218" s="224">
        <f t="shared" si="511"/>
        <v>0</v>
      </c>
      <c r="BF218" s="224">
        <f t="shared" si="511"/>
        <v>0</v>
      </c>
      <c r="BG218" s="224">
        <f t="shared" si="511"/>
        <v>0</v>
      </c>
      <c r="BH218" s="224">
        <f t="shared" si="511"/>
        <v>0</v>
      </c>
      <c r="BI218" s="224">
        <f t="shared" si="511"/>
        <v>0</v>
      </c>
      <c r="BJ218" s="224">
        <f t="shared" si="511"/>
        <v>0</v>
      </c>
      <c r="BK218" s="224">
        <f t="shared" si="511"/>
        <v>0</v>
      </c>
      <c r="BL218" s="224">
        <f t="shared" si="511"/>
        <v>0</v>
      </c>
      <c r="BM218" s="224">
        <f t="shared" si="511"/>
        <v>0</v>
      </c>
      <c r="BN218" s="224">
        <f t="shared" si="511"/>
        <v>0</v>
      </c>
      <c r="BO218" s="229">
        <f t="shared" si="440"/>
        <v>0</v>
      </c>
      <c r="BP218" s="229">
        <f t="shared" si="441"/>
        <v>0</v>
      </c>
      <c r="BQ218" s="229">
        <f t="shared" si="442"/>
        <v>0</v>
      </c>
      <c r="BR218" s="229">
        <f t="shared" si="443"/>
        <v>0</v>
      </c>
      <c r="BS218" s="229">
        <f t="shared" si="444"/>
        <v>0</v>
      </c>
      <c r="BT218" s="229">
        <f t="shared" si="445"/>
        <v>0</v>
      </c>
      <c r="BU218" s="229">
        <f t="shared" si="446"/>
        <v>0</v>
      </c>
      <c r="BV218" s="229">
        <f t="shared" si="447"/>
        <v>0</v>
      </c>
      <c r="BW218" s="229">
        <f t="shared" si="448"/>
        <v>0</v>
      </c>
      <c r="BX218" s="229">
        <f t="shared" si="449"/>
        <v>0</v>
      </c>
      <c r="BY218" s="229">
        <f t="shared" si="450"/>
        <v>0</v>
      </c>
      <c r="BZ218" s="229">
        <f t="shared" si="451"/>
        <v>0</v>
      </c>
      <c r="CA218" s="229">
        <f t="shared" si="452"/>
        <v>0</v>
      </c>
      <c r="CB218" s="229">
        <f t="shared" si="453"/>
        <v>0</v>
      </c>
      <c r="CC218" s="229">
        <f t="shared" si="454"/>
        <v>0</v>
      </c>
      <c r="CD218" s="229">
        <f t="shared" si="455"/>
        <v>0</v>
      </c>
      <c r="CE218" s="229">
        <f t="shared" si="456"/>
        <v>0</v>
      </c>
      <c r="CF218" s="229">
        <f t="shared" si="457"/>
        <v>0</v>
      </c>
      <c r="CG218" s="229">
        <f t="shared" si="458"/>
        <v>0</v>
      </c>
      <c r="CH218" s="229">
        <f t="shared" si="459"/>
        <v>0</v>
      </c>
      <c r="CI218" s="229">
        <f t="shared" si="460"/>
        <v>0</v>
      </c>
      <c r="CJ218" s="229">
        <f t="shared" si="461"/>
        <v>0</v>
      </c>
      <c r="CK218" s="229">
        <f t="shared" si="462"/>
        <v>0</v>
      </c>
      <c r="CL218" s="229">
        <f t="shared" si="463"/>
        <v>0</v>
      </c>
      <c r="CM218" s="224">
        <f t="shared" ref="CM218:CX218" si="512">IF($T85&gt;0,(((EXP(-(1/(Morning_Peak_Duration__hours*2))*(CM$141-(Morning_Peak_Time__24hr_clock+$C218))^2))+(EXP(-(1/(Afternoon_Peak_Duration__hours*2))*(CM$141-(Afternoon_Peak_Time__24hr_clock+$C218))^2)))*$V85)/TZCalibrationValue,0)</f>
        <v>0</v>
      </c>
      <c r="CN218" s="224">
        <f t="shared" si="512"/>
        <v>0</v>
      </c>
      <c r="CO218" s="224">
        <f t="shared" si="512"/>
        <v>0</v>
      </c>
      <c r="CP218" s="224">
        <f t="shared" si="512"/>
        <v>0</v>
      </c>
      <c r="CQ218" s="224">
        <f t="shared" si="512"/>
        <v>0</v>
      </c>
      <c r="CR218" s="224">
        <f t="shared" si="512"/>
        <v>0</v>
      </c>
      <c r="CS218" s="224">
        <f t="shared" si="512"/>
        <v>0</v>
      </c>
      <c r="CT218" s="224">
        <f t="shared" si="512"/>
        <v>0</v>
      </c>
      <c r="CU218" s="224">
        <f t="shared" si="512"/>
        <v>0</v>
      </c>
      <c r="CV218" s="224">
        <f t="shared" si="512"/>
        <v>0</v>
      </c>
      <c r="CW218" s="224">
        <f t="shared" si="512"/>
        <v>0</v>
      </c>
      <c r="CX218" s="224">
        <f t="shared" si="512"/>
        <v>0</v>
      </c>
      <c r="CY218" s="218"/>
    </row>
    <row r="219" spans="2:103" hidden="1" outlineLevel="1">
      <c r="B219" t="str">
        <f t="shared" si="411"/>
        <v>Site 78</v>
      </c>
      <c r="C219" s="230">
        <f>VLOOKUP(D86,'Scaling Tables'!$B$123:$C$149,2,FALSE)-VLOOKUP($C$4,'Scaling Tables'!$B$123:$C$149,2,FALSE)</f>
        <v>0</v>
      </c>
      <c r="D219" s="224">
        <f t="shared" ref="D219:O219" si="513">IF($T86&gt;0,(((EXP(-(1/(Morning_Peak_Duration__hours*2))*(D$141-(Morning_Peak_Time__24hr_clock+$C219))^2))+(EXP(-(1/(Afternoon_Peak_Duration__hours*2))*(D$141-(Afternoon_Peak_Time__24hr_clock+$C219))^2)))*$U86)/TZCalibrationValue,0)</f>
        <v>0</v>
      </c>
      <c r="E219" s="224">
        <f t="shared" si="513"/>
        <v>0</v>
      </c>
      <c r="F219" s="224">
        <f t="shared" si="513"/>
        <v>0</v>
      </c>
      <c r="G219" s="224">
        <f t="shared" si="513"/>
        <v>0</v>
      </c>
      <c r="H219" s="224">
        <f t="shared" si="513"/>
        <v>0</v>
      </c>
      <c r="I219" s="224">
        <f t="shared" si="513"/>
        <v>0</v>
      </c>
      <c r="J219" s="224">
        <f t="shared" si="513"/>
        <v>0</v>
      </c>
      <c r="K219" s="224">
        <f t="shared" si="513"/>
        <v>0</v>
      </c>
      <c r="L219" s="224">
        <f t="shared" si="513"/>
        <v>0</v>
      </c>
      <c r="M219" s="224">
        <f t="shared" si="513"/>
        <v>0</v>
      </c>
      <c r="N219" s="224">
        <f t="shared" si="513"/>
        <v>0</v>
      </c>
      <c r="O219" s="224">
        <f t="shared" si="513"/>
        <v>0</v>
      </c>
      <c r="P219" s="229">
        <f t="shared" si="413"/>
        <v>0</v>
      </c>
      <c r="Q219" s="229">
        <f t="shared" si="414"/>
        <v>0</v>
      </c>
      <c r="R219" s="229">
        <f t="shared" si="415"/>
        <v>0</v>
      </c>
      <c r="S219" s="229">
        <f t="shared" si="416"/>
        <v>0</v>
      </c>
      <c r="T219" s="229">
        <f t="shared" si="417"/>
        <v>0</v>
      </c>
      <c r="U219" s="229">
        <f t="shared" si="418"/>
        <v>0</v>
      </c>
      <c r="V219" s="229">
        <f t="shared" si="419"/>
        <v>0</v>
      </c>
      <c r="W219" s="229">
        <f t="shared" si="420"/>
        <v>0</v>
      </c>
      <c r="X219" s="229">
        <f t="shared" si="421"/>
        <v>0</v>
      </c>
      <c r="Y219" s="229">
        <f t="shared" si="422"/>
        <v>0</v>
      </c>
      <c r="Z219" s="229">
        <f t="shared" si="423"/>
        <v>0</v>
      </c>
      <c r="AA219" s="229">
        <f t="shared" si="424"/>
        <v>0</v>
      </c>
      <c r="AB219" s="229">
        <f t="shared" si="425"/>
        <v>0</v>
      </c>
      <c r="AC219" s="229">
        <f t="shared" si="426"/>
        <v>0</v>
      </c>
      <c r="AD219" s="229">
        <f t="shared" si="427"/>
        <v>0</v>
      </c>
      <c r="AE219" s="229">
        <f t="shared" si="428"/>
        <v>0</v>
      </c>
      <c r="AF219" s="229">
        <f t="shared" si="429"/>
        <v>0</v>
      </c>
      <c r="AG219" s="229">
        <f t="shared" si="430"/>
        <v>0</v>
      </c>
      <c r="AH219" s="229">
        <f t="shared" si="431"/>
        <v>0</v>
      </c>
      <c r="AI219" s="229">
        <f t="shared" si="432"/>
        <v>0</v>
      </c>
      <c r="AJ219" s="229">
        <f t="shared" si="433"/>
        <v>0</v>
      </c>
      <c r="AK219" s="229">
        <f t="shared" si="434"/>
        <v>0</v>
      </c>
      <c r="AL219" s="229">
        <f t="shared" si="435"/>
        <v>0</v>
      </c>
      <c r="AM219" s="229">
        <f t="shared" si="436"/>
        <v>0</v>
      </c>
      <c r="AN219" s="224">
        <f t="shared" ref="AN219:AY219" si="514">IF($T86&gt;0,(((EXP(-(1/(Morning_Peak_Duration__hours*2))*(AN$141-(Morning_Peak_Time__24hr_clock+$C219))^2))+(EXP(-(1/(Afternoon_Peak_Duration__hours*2))*(AN$141-(Afternoon_Peak_Time__24hr_clock+$C219))^2)))*$U86)/TZCalibrationValue,0)</f>
        <v>0</v>
      </c>
      <c r="AO219" s="224">
        <f t="shared" si="514"/>
        <v>0</v>
      </c>
      <c r="AP219" s="224">
        <f t="shared" si="514"/>
        <v>0</v>
      </c>
      <c r="AQ219" s="224">
        <f t="shared" si="514"/>
        <v>0</v>
      </c>
      <c r="AR219" s="224">
        <f t="shared" si="514"/>
        <v>0</v>
      </c>
      <c r="AS219" s="224">
        <f t="shared" si="514"/>
        <v>0</v>
      </c>
      <c r="AT219" s="224">
        <f t="shared" si="514"/>
        <v>0</v>
      </c>
      <c r="AU219" s="224">
        <f t="shared" si="514"/>
        <v>0</v>
      </c>
      <c r="AV219" s="224">
        <f t="shared" si="514"/>
        <v>0</v>
      </c>
      <c r="AW219" s="224">
        <f t="shared" si="514"/>
        <v>0</v>
      </c>
      <c r="AX219" s="224">
        <f t="shared" si="514"/>
        <v>0</v>
      </c>
      <c r="AY219" s="224">
        <f t="shared" si="514"/>
        <v>0</v>
      </c>
      <c r="AZ219" s="218"/>
      <c r="BA219"/>
      <c r="BB219" s="176" t="str">
        <f t="shared" si="438"/>
        <v>Site 78</v>
      </c>
      <c r="BC219" s="224">
        <f t="shared" ref="BC219:BN219" si="515">IF($T86&gt;0,(((EXP(-(1/(Morning_Peak_Duration__hours*2))*(BC$141-(Morning_Peak_Time__24hr_clock+$C219))^2))+(EXP(-(1/(Afternoon_Peak_Duration__hours*2))*(BC$141-(Afternoon_Peak_Time__24hr_clock+$C219))^2)))*$V86)/TZCalibrationValue,0)</f>
        <v>0</v>
      </c>
      <c r="BD219" s="224">
        <f t="shared" si="515"/>
        <v>0</v>
      </c>
      <c r="BE219" s="224">
        <f t="shared" si="515"/>
        <v>0</v>
      </c>
      <c r="BF219" s="224">
        <f t="shared" si="515"/>
        <v>0</v>
      </c>
      <c r="BG219" s="224">
        <f t="shared" si="515"/>
        <v>0</v>
      </c>
      <c r="BH219" s="224">
        <f t="shared" si="515"/>
        <v>0</v>
      </c>
      <c r="BI219" s="224">
        <f t="shared" si="515"/>
        <v>0</v>
      </c>
      <c r="BJ219" s="224">
        <f t="shared" si="515"/>
        <v>0</v>
      </c>
      <c r="BK219" s="224">
        <f t="shared" si="515"/>
        <v>0</v>
      </c>
      <c r="BL219" s="224">
        <f t="shared" si="515"/>
        <v>0</v>
      </c>
      <c r="BM219" s="224">
        <f t="shared" si="515"/>
        <v>0</v>
      </c>
      <c r="BN219" s="224">
        <f t="shared" si="515"/>
        <v>0</v>
      </c>
      <c r="BO219" s="229">
        <f t="shared" si="440"/>
        <v>0</v>
      </c>
      <c r="BP219" s="229">
        <f t="shared" si="441"/>
        <v>0</v>
      </c>
      <c r="BQ219" s="229">
        <f t="shared" si="442"/>
        <v>0</v>
      </c>
      <c r="BR219" s="229">
        <f t="shared" si="443"/>
        <v>0</v>
      </c>
      <c r="BS219" s="229">
        <f t="shared" si="444"/>
        <v>0</v>
      </c>
      <c r="BT219" s="229">
        <f t="shared" si="445"/>
        <v>0</v>
      </c>
      <c r="BU219" s="229">
        <f t="shared" si="446"/>
        <v>0</v>
      </c>
      <c r="BV219" s="229">
        <f t="shared" si="447"/>
        <v>0</v>
      </c>
      <c r="BW219" s="229">
        <f t="shared" si="448"/>
        <v>0</v>
      </c>
      <c r="BX219" s="229">
        <f t="shared" si="449"/>
        <v>0</v>
      </c>
      <c r="BY219" s="229">
        <f t="shared" si="450"/>
        <v>0</v>
      </c>
      <c r="BZ219" s="229">
        <f t="shared" si="451"/>
        <v>0</v>
      </c>
      <c r="CA219" s="229">
        <f t="shared" si="452"/>
        <v>0</v>
      </c>
      <c r="CB219" s="229">
        <f t="shared" si="453"/>
        <v>0</v>
      </c>
      <c r="CC219" s="229">
        <f t="shared" si="454"/>
        <v>0</v>
      </c>
      <c r="CD219" s="229">
        <f t="shared" si="455"/>
        <v>0</v>
      </c>
      <c r="CE219" s="229">
        <f t="shared" si="456"/>
        <v>0</v>
      </c>
      <c r="CF219" s="229">
        <f t="shared" si="457"/>
        <v>0</v>
      </c>
      <c r="CG219" s="229">
        <f t="shared" si="458"/>
        <v>0</v>
      </c>
      <c r="CH219" s="229">
        <f t="shared" si="459"/>
        <v>0</v>
      </c>
      <c r="CI219" s="229">
        <f t="shared" si="460"/>
        <v>0</v>
      </c>
      <c r="CJ219" s="229">
        <f t="shared" si="461"/>
        <v>0</v>
      </c>
      <c r="CK219" s="229">
        <f t="shared" si="462"/>
        <v>0</v>
      </c>
      <c r="CL219" s="229">
        <f t="shared" si="463"/>
        <v>0</v>
      </c>
      <c r="CM219" s="224">
        <f t="shared" ref="CM219:CX219" si="516">IF($T86&gt;0,(((EXP(-(1/(Morning_Peak_Duration__hours*2))*(CM$141-(Morning_Peak_Time__24hr_clock+$C219))^2))+(EXP(-(1/(Afternoon_Peak_Duration__hours*2))*(CM$141-(Afternoon_Peak_Time__24hr_clock+$C219))^2)))*$V86)/TZCalibrationValue,0)</f>
        <v>0</v>
      </c>
      <c r="CN219" s="224">
        <f t="shared" si="516"/>
        <v>0</v>
      </c>
      <c r="CO219" s="224">
        <f t="shared" si="516"/>
        <v>0</v>
      </c>
      <c r="CP219" s="224">
        <f t="shared" si="516"/>
        <v>0</v>
      </c>
      <c r="CQ219" s="224">
        <f t="shared" si="516"/>
        <v>0</v>
      </c>
      <c r="CR219" s="224">
        <f t="shared" si="516"/>
        <v>0</v>
      </c>
      <c r="CS219" s="224">
        <f t="shared" si="516"/>
        <v>0</v>
      </c>
      <c r="CT219" s="224">
        <f t="shared" si="516"/>
        <v>0</v>
      </c>
      <c r="CU219" s="224">
        <f t="shared" si="516"/>
        <v>0</v>
      </c>
      <c r="CV219" s="224">
        <f t="shared" si="516"/>
        <v>0</v>
      </c>
      <c r="CW219" s="224">
        <f t="shared" si="516"/>
        <v>0</v>
      </c>
      <c r="CX219" s="224">
        <f t="shared" si="516"/>
        <v>0</v>
      </c>
      <c r="CY219" s="218"/>
    </row>
    <row r="220" spans="2:103" hidden="1" outlineLevel="1">
      <c r="B220" t="str">
        <f t="shared" si="411"/>
        <v>Site 79</v>
      </c>
      <c r="C220" s="230">
        <f>VLOOKUP(D87,'Scaling Tables'!$B$123:$C$149,2,FALSE)-VLOOKUP($C$4,'Scaling Tables'!$B$123:$C$149,2,FALSE)</f>
        <v>0</v>
      </c>
      <c r="D220" s="224">
        <f t="shared" ref="D220:O220" si="517">IF($T87&gt;0,(((EXP(-(1/(Morning_Peak_Duration__hours*2))*(D$141-(Morning_Peak_Time__24hr_clock+$C220))^2))+(EXP(-(1/(Afternoon_Peak_Duration__hours*2))*(D$141-(Afternoon_Peak_Time__24hr_clock+$C220))^2)))*$U87)/TZCalibrationValue,0)</f>
        <v>0</v>
      </c>
      <c r="E220" s="224">
        <f t="shared" si="517"/>
        <v>0</v>
      </c>
      <c r="F220" s="224">
        <f t="shared" si="517"/>
        <v>0</v>
      </c>
      <c r="G220" s="224">
        <f t="shared" si="517"/>
        <v>0</v>
      </c>
      <c r="H220" s="224">
        <f t="shared" si="517"/>
        <v>0</v>
      </c>
      <c r="I220" s="224">
        <f t="shared" si="517"/>
        <v>0</v>
      </c>
      <c r="J220" s="224">
        <f t="shared" si="517"/>
        <v>0</v>
      </c>
      <c r="K220" s="224">
        <f t="shared" si="517"/>
        <v>0</v>
      </c>
      <c r="L220" s="224">
        <f t="shared" si="517"/>
        <v>0</v>
      </c>
      <c r="M220" s="224">
        <f t="shared" si="517"/>
        <v>0</v>
      </c>
      <c r="N220" s="224">
        <f t="shared" si="517"/>
        <v>0</v>
      </c>
      <c r="O220" s="224">
        <f t="shared" si="517"/>
        <v>0</v>
      </c>
      <c r="P220" s="229">
        <f t="shared" si="413"/>
        <v>0</v>
      </c>
      <c r="Q220" s="229">
        <f t="shared" si="414"/>
        <v>0</v>
      </c>
      <c r="R220" s="229">
        <f t="shared" si="415"/>
        <v>0</v>
      </c>
      <c r="S220" s="229">
        <f t="shared" si="416"/>
        <v>0</v>
      </c>
      <c r="T220" s="229">
        <f t="shared" si="417"/>
        <v>0</v>
      </c>
      <c r="U220" s="229">
        <f t="shared" si="418"/>
        <v>0</v>
      </c>
      <c r="V220" s="229">
        <f t="shared" si="419"/>
        <v>0</v>
      </c>
      <c r="W220" s="229">
        <f t="shared" si="420"/>
        <v>0</v>
      </c>
      <c r="X220" s="229">
        <f t="shared" si="421"/>
        <v>0</v>
      </c>
      <c r="Y220" s="229">
        <f t="shared" si="422"/>
        <v>0</v>
      </c>
      <c r="Z220" s="229">
        <f t="shared" si="423"/>
        <v>0</v>
      </c>
      <c r="AA220" s="229">
        <f t="shared" si="424"/>
        <v>0</v>
      </c>
      <c r="AB220" s="229">
        <f t="shared" si="425"/>
        <v>0</v>
      </c>
      <c r="AC220" s="229">
        <f t="shared" si="426"/>
        <v>0</v>
      </c>
      <c r="AD220" s="229">
        <f t="shared" si="427"/>
        <v>0</v>
      </c>
      <c r="AE220" s="229">
        <f t="shared" si="428"/>
        <v>0</v>
      </c>
      <c r="AF220" s="229">
        <f t="shared" si="429"/>
        <v>0</v>
      </c>
      <c r="AG220" s="229">
        <f t="shared" si="430"/>
        <v>0</v>
      </c>
      <c r="AH220" s="229">
        <f t="shared" si="431"/>
        <v>0</v>
      </c>
      <c r="AI220" s="229">
        <f t="shared" si="432"/>
        <v>0</v>
      </c>
      <c r="AJ220" s="229">
        <f t="shared" si="433"/>
        <v>0</v>
      </c>
      <c r="AK220" s="229">
        <f t="shared" si="434"/>
        <v>0</v>
      </c>
      <c r="AL220" s="229">
        <f t="shared" si="435"/>
        <v>0</v>
      </c>
      <c r="AM220" s="229">
        <f t="shared" si="436"/>
        <v>0</v>
      </c>
      <c r="AN220" s="224">
        <f t="shared" ref="AN220:AY220" si="518">IF($T87&gt;0,(((EXP(-(1/(Morning_Peak_Duration__hours*2))*(AN$141-(Morning_Peak_Time__24hr_clock+$C220))^2))+(EXP(-(1/(Afternoon_Peak_Duration__hours*2))*(AN$141-(Afternoon_Peak_Time__24hr_clock+$C220))^2)))*$U87)/TZCalibrationValue,0)</f>
        <v>0</v>
      </c>
      <c r="AO220" s="224">
        <f t="shared" si="518"/>
        <v>0</v>
      </c>
      <c r="AP220" s="224">
        <f t="shared" si="518"/>
        <v>0</v>
      </c>
      <c r="AQ220" s="224">
        <f t="shared" si="518"/>
        <v>0</v>
      </c>
      <c r="AR220" s="224">
        <f t="shared" si="518"/>
        <v>0</v>
      </c>
      <c r="AS220" s="224">
        <f t="shared" si="518"/>
        <v>0</v>
      </c>
      <c r="AT220" s="224">
        <f t="shared" si="518"/>
        <v>0</v>
      </c>
      <c r="AU220" s="224">
        <f t="shared" si="518"/>
        <v>0</v>
      </c>
      <c r="AV220" s="224">
        <f t="shared" si="518"/>
        <v>0</v>
      </c>
      <c r="AW220" s="224">
        <f t="shared" si="518"/>
        <v>0</v>
      </c>
      <c r="AX220" s="224">
        <f t="shared" si="518"/>
        <v>0</v>
      </c>
      <c r="AY220" s="224">
        <f t="shared" si="518"/>
        <v>0</v>
      </c>
      <c r="AZ220" s="218"/>
      <c r="BA220"/>
      <c r="BB220" s="176" t="str">
        <f t="shared" si="438"/>
        <v>Site 79</v>
      </c>
      <c r="BC220" s="224">
        <f t="shared" ref="BC220:BN220" si="519">IF($T87&gt;0,(((EXP(-(1/(Morning_Peak_Duration__hours*2))*(BC$141-(Morning_Peak_Time__24hr_clock+$C220))^2))+(EXP(-(1/(Afternoon_Peak_Duration__hours*2))*(BC$141-(Afternoon_Peak_Time__24hr_clock+$C220))^2)))*$V87)/TZCalibrationValue,0)</f>
        <v>0</v>
      </c>
      <c r="BD220" s="224">
        <f t="shared" si="519"/>
        <v>0</v>
      </c>
      <c r="BE220" s="224">
        <f t="shared" si="519"/>
        <v>0</v>
      </c>
      <c r="BF220" s="224">
        <f t="shared" si="519"/>
        <v>0</v>
      </c>
      <c r="BG220" s="224">
        <f t="shared" si="519"/>
        <v>0</v>
      </c>
      <c r="BH220" s="224">
        <f t="shared" si="519"/>
        <v>0</v>
      </c>
      <c r="BI220" s="224">
        <f t="shared" si="519"/>
        <v>0</v>
      </c>
      <c r="BJ220" s="224">
        <f t="shared" si="519"/>
        <v>0</v>
      </c>
      <c r="BK220" s="224">
        <f t="shared" si="519"/>
        <v>0</v>
      </c>
      <c r="BL220" s="224">
        <f t="shared" si="519"/>
        <v>0</v>
      </c>
      <c r="BM220" s="224">
        <f t="shared" si="519"/>
        <v>0</v>
      </c>
      <c r="BN220" s="224">
        <f t="shared" si="519"/>
        <v>0</v>
      </c>
      <c r="BO220" s="229">
        <f t="shared" si="440"/>
        <v>0</v>
      </c>
      <c r="BP220" s="229">
        <f t="shared" si="441"/>
        <v>0</v>
      </c>
      <c r="BQ220" s="229">
        <f t="shared" si="442"/>
        <v>0</v>
      </c>
      <c r="BR220" s="229">
        <f t="shared" si="443"/>
        <v>0</v>
      </c>
      <c r="BS220" s="229">
        <f t="shared" si="444"/>
        <v>0</v>
      </c>
      <c r="BT220" s="229">
        <f t="shared" si="445"/>
        <v>0</v>
      </c>
      <c r="BU220" s="229">
        <f t="shared" si="446"/>
        <v>0</v>
      </c>
      <c r="BV220" s="229">
        <f t="shared" si="447"/>
        <v>0</v>
      </c>
      <c r="BW220" s="229">
        <f t="shared" si="448"/>
        <v>0</v>
      </c>
      <c r="BX220" s="229">
        <f t="shared" si="449"/>
        <v>0</v>
      </c>
      <c r="BY220" s="229">
        <f t="shared" si="450"/>
        <v>0</v>
      </c>
      <c r="BZ220" s="229">
        <f t="shared" si="451"/>
        <v>0</v>
      </c>
      <c r="CA220" s="229">
        <f t="shared" si="452"/>
        <v>0</v>
      </c>
      <c r="CB220" s="229">
        <f t="shared" si="453"/>
        <v>0</v>
      </c>
      <c r="CC220" s="229">
        <f t="shared" si="454"/>
        <v>0</v>
      </c>
      <c r="CD220" s="229">
        <f t="shared" si="455"/>
        <v>0</v>
      </c>
      <c r="CE220" s="229">
        <f t="shared" si="456"/>
        <v>0</v>
      </c>
      <c r="CF220" s="229">
        <f t="shared" si="457"/>
        <v>0</v>
      </c>
      <c r="CG220" s="229">
        <f t="shared" si="458"/>
        <v>0</v>
      </c>
      <c r="CH220" s="229">
        <f t="shared" si="459"/>
        <v>0</v>
      </c>
      <c r="CI220" s="229">
        <f t="shared" si="460"/>
        <v>0</v>
      </c>
      <c r="CJ220" s="229">
        <f t="shared" si="461"/>
        <v>0</v>
      </c>
      <c r="CK220" s="229">
        <f t="shared" si="462"/>
        <v>0</v>
      </c>
      <c r="CL220" s="229">
        <f t="shared" si="463"/>
        <v>0</v>
      </c>
      <c r="CM220" s="224">
        <f t="shared" ref="CM220:CX220" si="520">IF($T87&gt;0,(((EXP(-(1/(Morning_Peak_Duration__hours*2))*(CM$141-(Morning_Peak_Time__24hr_clock+$C220))^2))+(EXP(-(1/(Afternoon_Peak_Duration__hours*2))*(CM$141-(Afternoon_Peak_Time__24hr_clock+$C220))^2)))*$V87)/TZCalibrationValue,0)</f>
        <v>0</v>
      </c>
      <c r="CN220" s="224">
        <f t="shared" si="520"/>
        <v>0</v>
      </c>
      <c r="CO220" s="224">
        <f t="shared" si="520"/>
        <v>0</v>
      </c>
      <c r="CP220" s="224">
        <f t="shared" si="520"/>
        <v>0</v>
      </c>
      <c r="CQ220" s="224">
        <f t="shared" si="520"/>
        <v>0</v>
      </c>
      <c r="CR220" s="224">
        <f t="shared" si="520"/>
        <v>0</v>
      </c>
      <c r="CS220" s="224">
        <f t="shared" si="520"/>
        <v>0</v>
      </c>
      <c r="CT220" s="224">
        <f t="shared" si="520"/>
        <v>0</v>
      </c>
      <c r="CU220" s="224">
        <f t="shared" si="520"/>
        <v>0</v>
      </c>
      <c r="CV220" s="224">
        <f t="shared" si="520"/>
        <v>0</v>
      </c>
      <c r="CW220" s="224">
        <f t="shared" si="520"/>
        <v>0</v>
      </c>
      <c r="CX220" s="224">
        <f t="shared" si="520"/>
        <v>0</v>
      </c>
      <c r="CY220" s="218"/>
    </row>
    <row r="221" spans="2:103" hidden="1" outlineLevel="1">
      <c r="B221" t="str">
        <f t="shared" si="411"/>
        <v>Site 80</v>
      </c>
      <c r="C221" s="230">
        <f>VLOOKUP(D88,'Scaling Tables'!$B$123:$C$149,2,FALSE)-VLOOKUP($C$4,'Scaling Tables'!$B$123:$C$149,2,FALSE)</f>
        <v>0</v>
      </c>
      <c r="D221" s="224">
        <f t="shared" ref="D221:O221" si="521">IF($T88&gt;0,(((EXP(-(1/(Morning_Peak_Duration__hours*2))*(D$141-(Morning_Peak_Time__24hr_clock+$C221))^2))+(EXP(-(1/(Afternoon_Peak_Duration__hours*2))*(D$141-(Afternoon_Peak_Time__24hr_clock+$C221))^2)))*$U88)/TZCalibrationValue,0)</f>
        <v>0</v>
      </c>
      <c r="E221" s="224">
        <f t="shared" si="521"/>
        <v>0</v>
      </c>
      <c r="F221" s="224">
        <f t="shared" si="521"/>
        <v>0</v>
      </c>
      <c r="G221" s="224">
        <f t="shared" si="521"/>
        <v>0</v>
      </c>
      <c r="H221" s="224">
        <f t="shared" si="521"/>
        <v>0</v>
      </c>
      <c r="I221" s="224">
        <f t="shared" si="521"/>
        <v>0</v>
      </c>
      <c r="J221" s="224">
        <f t="shared" si="521"/>
        <v>0</v>
      </c>
      <c r="K221" s="224">
        <f t="shared" si="521"/>
        <v>0</v>
      </c>
      <c r="L221" s="224">
        <f t="shared" si="521"/>
        <v>0</v>
      </c>
      <c r="M221" s="224">
        <f t="shared" si="521"/>
        <v>0</v>
      </c>
      <c r="N221" s="224">
        <f t="shared" si="521"/>
        <v>0</v>
      </c>
      <c r="O221" s="224">
        <f t="shared" si="521"/>
        <v>0</v>
      </c>
      <c r="P221" s="229">
        <f t="shared" si="413"/>
        <v>0</v>
      </c>
      <c r="Q221" s="229">
        <f t="shared" si="414"/>
        <v>0</v>
      </c>
      <c r="R221" s="229">
        <f t="shared" si="415"/>
        <v>0</v>
      </c>
      <c r="S221" s="229">
        <f t="shared" si="416"/>
        <v>0</v>
      </c>
      <c r="T221" s="229">
        <f t="shared" si="417"/>
        <v>0</v>
      </c>
      <c r="U221" s="229">
        <f t="shared" si="418"/>
        <v>0</v>
      </c>
      <c r="V221" s="229">
        <f t="shared" si="419"/>
        <v>0</v>
      </c>
      <c r="W221" s="229">
        <f t="shared" si="420"/>
        <v>0</v>
      </c>
      <c r="X221" s="229">
        <f t="shared" si="421"/>
        <v>0</v>
      </c>
      <c r="Y221" s="229">
        <f t="shared" si="422"/>
        <v>0</v>
      </c>
      <c r="Z221" s="229">
        <f t="shared" si="423"/>
        <v>0</v>
      </c>
      <c r="AA221" s="229">
        <f t="shared" si="424"/>
        <v>0</v>
      </c>
      <c r="AB221" s="229">
        <f t="shared" si="425"/>
        <v>0</v>
      </c>
      <c r="AC221" s="229">
        <f t="shared" si="426"/>
        <v>0</v>
      </c>
      <c r="AD221" s="229">
        <f t="shared" si="427"/>
        <v>0</v>
      </c>
      <c r="AE221" s="229">
        <f t="shared" si="428"/>
        <v>0</v>
      </c>
      <c r="AF221" s="229">
        <f t="shared" si="429"/>
        <v>0</v>
      </c>
      <c r="AG221" s="229">
        <f t="shared" si="430"/>
        <v>0</v>
      </c>
      <c r="AH221" s="229">
        <f t="shared" si="431"/>
        <v>0</v>
      </c>
      <c r="AI221" s="229">
        <f t="shared" si="432"/>
        <v>0</v>
      </c>
      <c r="AJ221" s="229">
        <f t="shared" si="433"/>
        <v>0</v>
      </c>
      <c r="AK221" s="229">
        <f t="shared" si="434"/>
        <v>0</v>
      </c>
      <c r="AL221" s="229">
        <f t="shared" si="435"/>
        <v>0</v>
      </c>
      <c r="AM221" s="229">
        <f t="shared" si="436"/>
        <v>0</v>
      </c>
      <c r="AN221" s="224">
        <f t="shared" ref="AN221:AY221" si="522">IF($T88&gt;0,(((EXP(-(1/(Morning_Peak_Duration__hours*2))*(AN$141-(Morning_Peak_Time__24hr_clock+$C221))^2))+(EXP(-(1/(Afternoon_Peak_Duration__hours*2))*(AN$141-(Afternoon_Peak_Time__24hr_clock+$C221))^2)))*$U88)/TZCalibrationValue,0)</f>
        <v>0</v>
      </c>
      <c r="AO221" s="224">
        <f t="shared" si="522"/>
        <v>0</v>
      </c>
      <c r="AP221" s="224">
        <f t="shared" si="522"/>
        <v>0</v>
      </c>
      <c r="AQ221" s="224">
        <f t="shared" si="522"/>
        <v>0</v>
      </c>
      <c r="AR221" s="224">
        <f t="shared" si="522"/>
        <v>0</v>
      </c>
      <c r="AS221" s="224">
        <f t="shared" si="522"/>
        <v>0</v>
      </c>
      <c r="AT221" s="224">
        <f t="shared" si="522"/>
        <v>0</v>
      </c>
      <c r="AU221" s="224">
        <f t="shared" si="522"/>
        <v>0</v>
      </c>
      <c r="AV221" s="224">
        <f t="shared" si="522"/>
        <v>0</v>
      </c>
      <c r="AW221" s="224">
        <f t="shared" si="522"/>
        <v>0</v>
      </c>
      <c r="AX221" s="224">
        <f t="shared" si="522"/>
        <v>0</v>
      </c>
      <c r="AY221" s="224">
        <f t="shared" si="522"/>
        <v>0</v>
      </c>
      <c r="AZ221" s="218"/>
      <c r="BA221"/>
      <c r="BB221" s="176" t="str">
        <f t="shared" si="438"/>
        <v>Site 80</v>
      </c>
      <c r="BC221" s="224">
        <f t="shared" ref="BC221:BN221" si="523">IF($T88&gt;0,(((EXP(-(1/(Morning_Peak_Duration__hours*2))*(BC$141-(Morning_Peak_Time__24hr_clock+$C221))^2))+(EXP(-(1/(Afternoon_Peak_Duration__hours*2))*(BC$141-(Afternoon_Peak_Time__24hr_clock+$C221))^2)))*$V88)/TZCalibrationValue,0)</f>
        <v>0</v>
      </c>
      <c r="BD221" s="224">
        <f t="shared" si="523"/>
        <v>0</v>
      </c>
      <c r="BE221" s="224">
        <f t="shared" si="523"/>
        <v>0</v>
      </c>
      <c r="BF221" s="224">
        <f t="shared" si="523"/>
        <v>0</v>
      </c>
      <c r="BG221" s="224">
        <f t="shared" si="523"/>
        <v>0</v>
      </c>
      <c r="BH221" s="224">
        <f t="shared" si="523"/>
        <v>0</v>
      </c>
      <c r="BI221" s="224">
        <f t="shared" si="523"/>
        <v>0</v>
      </c>
      <c r="BJ221" s="224">
        <f t="shared" si="523"/>
        <v>0</v>
      </c>
      <c r="BK221" s="224">
        <f t="shared" si="523"/>
        <v>0</v>
      </c>
      <c r="BL221" s="224">
        <f t="shared" si="523"/>
        <v>0</v>
      </c>
      <c r="BM221" s="224">
        <f t="shared" si="523"/>
        <v>0</v>
      </c>
      <c r="BN221" s="224">
        <f t="shared" si="523"/>
        <v>0</v>
      </c>
      <c r="BO221" s="229">
        <f t="shared" si="440"/>
        <v>0</v>
      </c>
      <c r="BP221" s="229">
        <f t="shared" si="441"/>
        <v>0</v>
      </c>
      <c r="BQ221" s="229">
        <f t="shared" si="442"/>
        <v>0</v>
      </c>
      <c r="BR221" s="229">
        <f t="shared" si="443"/>
        <v>0</v>
      </c>
      <c r="BS221" s="229">
        <f t="shared" si="444"/>
        <v>0</v>
      </c>
      <c r="BT221" s="229">
        <f t="shared" si="445"/>
        <v>0</v>
      </c>
      <c r="BU221" s="229">
        <f t="shared" si="446"/>
        <v>0</v>
      </c>
      <c r="BV221" s="229">
        <f t="shared" si="447"/>
        <v>0</v>
      </c>
      <c r="BW221" s="229">
        <f t="shared" si="448"/>
        <v>0</v>
      </c>
      <c r="BX221" s="229">
        <f t="shared" si="449"/>
        <v>0</v>
      </c>
      <c r="BY221" s="229">
        <f t="shared" si="450"/>
        <v>0</v>
      </c>
      <c r="BZ221" s="229">
        <f t="shared" si="451"/>
        <v>0</v>
      </c>
      <c r="CA221" s="229">
        <f t="shared" si="452"/>
        <v>0</v>
      </c>
      <c r="CB221" s="229">
        <f t="shared" si="453"/>
        <v>0</v>
      </c>
      <c r="CC221" s="229">
        <f t="shared" si="454"/>
        <v>0</v>
      </c>
      <c r="CD221" s="229">
        <f t="shared" si="455"/>
        <v>0</v>
      </c>
      <c r="CE221" s="229">
        <f t="shared" si="456"/>
        <v>0</v>
      </c>
      <c r="CF221" s="229">
        <f t="shared" si="457"/>
        <v>0</v>
      </c>
      <c r="CG221" s="229">
        <f t="shared" si="458"/>
        <v>0</v>
      </c>
      <c r="CH221" s="229">
        <f t="shared" si="459"/>
        <v>0</v>
      </c>
      <c r="CI221" s="229">
        <f t="shared" si="460"/>
        <v>0</v>
      </c>
      <c r="CJ221" s="229">
        <f t="shared" si="461"/>
        <v>0</v>
      </c>
      <c r="CK221" s="229">
        <f t="shared" si="462"/>
        <v>0</v>
      </c>
      <c r="CL221" s="229">
        <f t="shared" si="463"/>
        <v>0</v>
      </c>
      <c r="CM221" s="224">
        <f t="shared" ref="CM221:CX221" si="524">IF($T88&gt;0,(((EXP(-(1/(Morning_Peak_Duration__hours*2))*(CM$141-(Morning_Peak_Time__24hr_clock+$C221))^2))+(EXP(-(1/(Afternoon_Peak_Duration__hours*2))*(CM$141-(Afternoon_Peak_Time__24hr_clock+$C221))^2)))*$V88)/TZCalibrationValue,0)</f>
        <v>0</v>
      </c>
      <c r="CN221" s="224">
        <f t="shared" si="524"/>
        <v>0</v>
      </c>
      <c r="CO221" s="224">
        <f t="shared" si="524"/>
        <v>0</v>
      </c>
      <c r="CP221" s="224">
        <f t="shared" si="524"/>
        <v>0</v>
      </c>
      <c r="CQ221" s="224">
        <f t="shared" si="524"/>
        <v>0</v>
      </c>
      <c r="CR221" s="224">
        <f t="shared" si="524"/>
        <v>0</v>
      </c>
      <c r="CS221" s="224">
        <f t="shared" si="524"/>
        <v>0</v>
      </c>
      <c r="CT221" s="224">
        <f t="shared" si="524"/>
        <v>0</v>
      </c>
      <c r="CU221" s="224">
        <f t="shared" si="524"/>
        <v>0</v>
      </c>
      <c r="CV221" s="224">
        <f t="shared" si="524"/>
        <v>0</v>
      </c>
      <c r="CW221" s="224">
        <f t="shared" si="524"/>
        <v>0</v>
      </c>
      <c r="CX221" s="224">
        <f t="shared" si="524"/>
        <v>0</v>
      </c>
      <c r="CY221" s="218"/>
    </row>
    <row r="222" spans="2:103" hidden="1" outlineLevel="1">
      <c r="B222" t="str">
        <f t="shared" si="411"/>
        <v>Site 81</v>
      </c>
      <c r="C222" s="230">
        <f>VLOOKUP(D89,'Scaling Tables'!$B$123:$C$149,2,FALSE)-VLOOKUP($C$4,'Scaling Tables'!$B$123:$C$149,2,FALSE)</f>
        <v>5</v>
      </c>
      <c r="D222" s="224">
        <f t="shared" ref="D222:O222" si="525">IF($T89&gt;0,(((EXP(-(1/(Morning_Peak_Duration__hours*2))*(D$141-(Morning_Peak_Time__24hr_clock+$C222))^2))+(EXP(-(1/(Afternoon_Peak_Duration__hours*2))*(D$141-(Afternoon_Peak_Time__24hr_clock+$C222))^2)))*$U89)/TZCalibrationValue,0)</f>
        <v>0</v>
      </c>
      <c r="E222" s="224">
        <f t="shared" si="525"/>
        <v>0</v>
      </c>
      <c r="F222" s="224">
        <f t="shared" si="525"/>
        <v>0</v>
      </c>
      <c r="G222" s="224">
        <f t="shared" si="525"/>
        <v>0</v>
      </c>
      <c r="H222" s="224">
        <f t="shared" si="525"/>
        <v>0</v>
      </c>
      <c r="I222" s="224">
        <f t="shared" si="525"/>
        <v>0</v>
      </c>
      <c r="J222" s="224">
        <f t="shared" si="525"/>
        <v>0</v>
      </c>
      <c r="K222" s="224">
        <f t="shared" si="525"/>
        <v>0</v>
      </c>
      <c r="L222" s="224">
        <f t="shared" si="525"/>
        <v>0</v>
      </c>
      <c r="M222" s="224">
        <f t="shared" si="525"/>
        <v>0</v>
      </c>
      <c r="N222" s="224">
        <f t="shared" si="525"/>
        <v>0</v>
      </c>
      <c r="O222" s="224">
        <f t="shared" si="525"/>
        <v>0</v>
      </c>
      <c r="P222" s="229">
        <f t="shared" si="413"/>
        <v>0</v>
      </c>
      <c r="Q222" s="229">
        <f t="shared" si="414"/>
        <v>0</v>
      </c>
      <c r="R222" s="229">
        <f t="shared" si="415"/>
        <v>0</v>
      </c>
      <c r="S222" s="229">
        <f t="shared" si="416"/>
        <v>0</v>
      </c>
      <c r="T222" s="229">
        <f t="shared" si="417"/>
        <v>0</v>
      </c>
      <c r="U222" s="229">
        <f t="shared" si="418"/>
        <v>0</v>
      </c>
      <c r="V222" s="229">
        <f t="shared" si="419"/>
        <v>0</v>
      </c>
      <c r="W222" s="229">
        <f t="shared" si="420"/>
        <v>0</v>
      </c>
      <c r="X222" s="229">
        <f t="shared" si="421"/>
        <v>0</v>
      </c>
      <c r="Y222" s="229">
        <f t="shared" si="422"/>
        <v>0</v>
      </c>
      <c r="Z222" s="229">
        <f t="shared" si="423"/>
        <v>0</v>
      </c>
      <c r="AA222" s="229">
        <f t="shared" si="424"/>
        <v>0</v>
      </c>
      <c r="AB222" s="229">
        <f t="shared" si="425"/>
        <v>0</v>
      </c>
      <c r="AC222" s="229">
        <f t="shared" si="426"/>
        <v>0</v>
      </c>
      <c r="AD222" s="229">
        <f t="shared" si="427"/>
        <v>0</v>
      </c>
      <c r="AE222" s="229">
        <f t="shared" si="428"/>
        <v>0</v>
      </c>
      <c r="AF222" s="229">
        <f t="shared" si="429"/>
        <v>0</v>
      </c>
      <c r="AG222" s="229">
        <f t="shared" si="430"/>
        <v>0</v>
      </c>
      <c r="AH222" s="229">
        <f t="shared" si="431"/>
        <v>0</v>
      </c>
      <c r="AI222" s="229">
        <f t="shared" si="432"/>
        <v>0</v>
      </c>
      <c r="AJ222" s="229">
        <f t="shared" si="433"/>
        <v>0</v>
      </c>
      <c r="AK222" s="229">
        <f t="shared" si="434"/>
        <v>0</v>
      </c>
      <c r="AL222" s="229">
        <f t="shared" si="435"/>
        <v>0</v>
      </c>
      <c r="AM222" s="229">
        <f t="shared" si="436"/>
        <v>0</v>
      </c>
      <c r="AN222" s="224">
        <f t="shared" ref="AN222:AY222" si="526">IF($T89&gt;0,(((EXP(-(1/(Morning_Peak_Duration__hours*2))*(AN$141-(Morning_Peak_Time__24hr_clock+$C222))^2))+(EXP(-(1/(Afternoon_Peak_Duration__hours*2))*(AN$141-(Afternoon_Peak_Time__24hr_clock+$C222))^2)))*$U89)/TZCalibrationValue,0)</f>
        <v>0</v>
      </c>
      <c r="AO222" s="224">
        <f t="shared" si="526"/>
        <v>0</v>
      </c>
      <c r="AP222" s="224">
        <f t="shared" si="526"/>
        <v>0</v>
      </c>
      <c r="AQ222" s="224">
        <f t="shared" si="526"/>
        <v>0</v>
      </c>
      <c r="AR222" s="224">
        <f t="shared" si="526"/>
        <v>0</v>
      </c>
      <c r="AS222" s="224">
        <f t="shared" si="526"/>
        <v>0</v>
      </c>
      <c r="AT222" s="224">
        <f t="shared" si="526"/>
        <v>0</v>
      </c>
      <c r="AU222" s="224">
        <f t="shared" si="526"/>
        <v>0</v>
      </c>
      <c r="AV222" s="224">
        <f t="shared" si="526"/>
        <v>0</v>
      </c>
      <c r="AW222" s="224">
        <f t="shared" si="526"/>
        <v>0</v>
      </c>
      <c r="AX222" s="224">
        <f t="shared" si="526"/>
        <v>0</v>
      </c>
      <c r="AY222" s="224">
        <f t="shared" si="526"/>
        <v>0</v>
      </c>
      <c r="AZ222" s="218"/>
      <c r="BA222"/>
      <c r="BB222" s="176" t="str">
        <f t="shared" si="438"/>
        <v>Site 81</v>
      </c>
      <c r="BC222" s="224">
        <f t="shared" ref="BC222:BN222" si="527">IF($T89&gt;0,(((EXP(-(1/(Morning_Peak_Duration__hours*2))*(BC$141-(Morning_Peak_Time__24hr_clock+$C222))^2))+(EXP(-(1/(Afternoon_Peak_Duration__hours*2))*(BC$141-(Afternoon_Peak_Time__24hr_clock+$C222))^2)))*$V89)/TZCalibrationValue,0)</f>
        <v>0</v>
      </c>
      <c r="BD222" s="224">
        <f t="shared" si="527"/>
        <v>0</v>
      </c>
      <c r="BE222" s="224">
        <f t="shared" si="527"/>
        <v>0</v>
      </c>
      <c r="BF222" s="224">
        <f t="shared" si="527"/>
        <v>0</v>
      </c>
      <c r="BG222" s="224">
        <f t="shared" si="527"/>
        <v>0</v>
      </c>
      <c r="BH222" s="224">
        <f t="shared" si="527"/>
        <v>0</v>
      </c>
      <c r="BI222" s="224">
        <f t="shared" si="527"/>
        <v>0</v>
      </c>
      <c r="BJ222" s="224">
        <f t="shared" si="527"/>
        <v>0</v>
      </c>
      <c r="BK222" s="224">
        <f t="shared" si="527"/>
        <v>0</v>
      </c>
      <c r="BL222" s="224">
        <f t="shared" si="527"/>
        <v>0</v>
      </c>
      <c r="BM222" s="224">
        <f t="shared" si="527"/>
        <v>0</v>
      </c>
      <c r="BN222" s="224">
        <f t="shared" si="527"/>
        <v>0</v>
      </c>
      <c r="BO222" s="229">
        <f t="shared" si="440"/>
        <v>0</v>
      </c>
      <c r="BP222" s="229">
        <f t="shared" si="441"/>
        <v>0</v>
      </c>
      <c r="BQ222" s="229">
        <f t="shared" si="442"/>
        <v>0</v>
      </c>
      <c r="BR222" s="229">
        <f t="shared" si="443"/>
        <v>0</v>
      </c>
      <c r="BS222" s="229">
        <f t="shared" si="444"/>
        <v>0</v>
      </c>
      <c r="BT222" s="229">
        <f t="shared" si="445"/>
        <v>0</v>
      </c>
      <c r="BU222" s="229">
        <f t="shared" si="446"/>
        <v>0</v>
      </c>
      <c r="BV222" s="229">
        <f t="shared" si="447"/>
        <v>0</v>
      </c>
      <c r="BW222" s="229">
        <f t="shared" si="448"/>
        <v>0</v>
      </c>
      <c r="BX222" s="229">
        <f t="shared" si="449"/>
        <v>0</v>
      </c>
      <c r="BY222" s="229">
        <f t="shared" si="450"/>
        <v>0</v>
      </c>
      <c r="BZ222" s="229">
        <f t="shared" si="451"/>
        <v>0</v>
      </c>
      <c r="CA222" s="229">
        <f t="shared" si="452"/>
        <v>0</v>
      </c>
      <c r="CB222" s="229">
        <f t="shared" si="453"/>
        <v>0</v>
      </c>
      <c r="CC222" s="229">
        <f t="shared" si="454"/>
        <v>0</v>
      </c>
      <c r="CD222" s="229">
        <f t="shared" si="455"/>
        <v>0</v>
      </c>
      <c r="CE222" s="229">
        <f t="shared" si="456"/>
        <v>0</v>
      </c>
      <c r="CF222" s="229">
        <f t="shared" si="457"/>
        <v>0</v>
      </c>
      <c r="CG222" s="229">
        <f t="shared" si="458"/>
        <v>0</v>
      </c>
      <c r="CH222" s="229">
        <f t="shared" si="459"/>
        <v>0</v>
      </c>
      <c r="CI222" s="229">
        <f t="shared" si="460"/>
        <v>0</v>
      </c>
      <c r="CJ222" s="229">
        <f t="shared" si="461"/>
        <v>0</v>
      </c>
      <c r="CK222" s="229">
        <f t="shared" si="462"/>
        <v>0</v>
      </c>
      <c r="CL222" s="229">
        <f t="shared" si="463"/>
        <v>0</v>
      </c>
      <c r="CM222" s="224">
        <f t="shared" ref="CM222:CX222" si="528">IF($T89&gt;0,(((EXP(-(1/(Morning_Peak_Duration__hours*2))*(CM$141-(Morning_Peak_Time__24hr_clock+$C222))^2))+(EXP(-(1/(Afternoon_Peak_Duration__hours*2))*(CM$141-(Afternoon_Peak_Time__24hr_clock+$C222))^2)))*$V89)/TZCalibrationValue,0)</f>
        <v>0</v>
      </c>
      <c r="CN222" s="224">
        <f t="shared" si="528"/>
        <v>0</v>
      </c>
      <c r="CO222" s="224">
        <f t="shared" si="528"/>
        <v>0</v>
      </c>
      <c r="CP222" s="224">
        <f t="shared" si="528"/>
        <v>0</v>
      </c>
      <c r="CQ222" s="224">
        <f t="shared" si="528"/>
        <v>0</v>
      </c>
      <c r="CR222" s="224">
        <f t="shared" si="528"/>
        <v>0</v>
      </c>
      <c r="CS222" s="224">
        <f t="shared" si="528"/>
        <v>0</v>
      </c>
      <c r="CT222" s="224">
        <f t="shared" si="528"/>
        <v>0</v>
      </c>
      <c r="CU222" s="224">
        <f t="shared" si="528"/>
        <v>0</v>
      </c>
      <c r="CV222" s="224">
        <f t="shared" si="528"/>
        <v>0</v>
      </c>
      <c r="CW222" s="224">
        <f t="shared" si="528"/>
        <v>0</v>
      </c>
      <c r="CX222" s="224">
        <f t="shared" si="528"/>
        <v>0</v>
      </c>
      <c r="CY222" s="218"/>
    </row>
    <row r="223" spans="2:103" hidden="1" outlineLevel="1">
      <c r="B223" t="str">
        <f t="shared" si="411"/>
        <v>Site 82</v>
      </c>
      <c r="C223" s="230">
        <f>VLOOKUP(D90,'Scaling Tables'!$B$123:$C$149,2,FALSE)-VLOOKUP($C$4,'Scaling Tables'!$B$123:$C$149,2,FALSE)</f>
        <v>-3</v>
      </c>
      <c r="D223" s="224">
        <f t="shared" ref="D223:O223" si="529">IF($T90&gt;0,(((EXP(-(1/(Morning_Peak_Duration__hours*2))*(D$141-(Morning_Peak_Time__24hr_clock+$C223))^2))+(EXP(-(1/(Afternoon_Peak_Duration__hours*2))*(D$141-(Afternoon_Peak_Time__24hr_clock+$C223))^2)))*$U90)/TZCalibrationValue,0)</f>
        <v>0</v>
      </c>
      <c r="E223" s="224">
        <f t="shared" si="529"/>
        <v>0</v>
      </c>
      <c r="F223" s="224">
        <f t="shared" si="529"/>
        <v>0</v>
      </c>
      <c r="G223" s="224">
        <f t="shared" si="529"/>
        <v>0</v>
      </c>
      <c r="H223" s="224">
        <f t="shared" si="529"/>
        <v>0</v>
      </c>
      <c r="I223" s="224">
        <f t="shared" si="529"/>
        <v>0</v>
      </c>
      <c r="J223" s="224">
        <f t="shared" si="529"/>
        <v>0</v>
      </c>
      <c r="K223" s="224">
        <f t="shared" si="529"/>
        <v>0</v>
      </c>
      <c r="L223" s="224">
        <f t="shared" si="529"/>
        <v>0</v>
      </c>
      <c r="M223" s="224">
        <f t="shared" si="529"/>
        <v>0</v>
      </c>
      <c r="N223" s="224">
        <f t="shared" si="529"/>
        <v>0</v>
      </c>
      <c r="O223" s="224">
        <f t="shared" si="529"/>
        <v>0</v>
      </c>
      <c r="P223" s="229">
        <f t="shared" si="413"/>
        <v>0</v>
      </c>
      <c r="Q223" s="229">
        <f t="shared" si="414"/>
        <v>0</v>
      </c>
      <c r="R223" s="229">
        <f t="shared" si="415"/>
        <v>0</v>
      </c>
      <c r="S223" s="229">
        <f t="shared" si="416"/>
        <v>0</v>
      </c>
      <c r="T223" s="229">
        <f t="shared" si="417"/>
        <v>0</v>
      </c>
      <c r="U223" s="229">
        <f t="shared" si="418"/>
        <v>0</v>
      </c>
      <c r="V223" s="229">
        <f t="shared" si="419"/>
        <v>0</v>
      </c>
      <c r="W223" s="229">
        <f t="shared" si="420"/>
        <v>0</v>
      </c>
      <c r="X223" s="229">
        <f t="shared" si="421"/>
        <v>0</v>
      </c>
      <c r="Y223" s="229">
        <f t="shared" si="422"/>
        <v>0</v>
      </c>
      <c r="Z223" s="229">
        <f t="shared" si="423"/>
        <v>0</v>
      </c>
      <c r="AA223" s="229">
        <f t="shared" si="424"/>
        <v>0</v>
      </c>
      <c r="AB223" s="229">
        <f t="shared" si="425"/>
        <v>0</v>
      </c>
      <c r="AC223" s="229">
        <f t="shared" si="426"/>
        <v>0</v>
      </c>
      <c r="AD223" s="229">
        <f t="shared" si="427"/>
        <v>0</v>
      </c>
      <c r="AE223" s="229">
        <f t="shared" si="428"/>
        <v>0</v>
      </c>
      <c r="AF223" s="229">
        <f t="shared" si="429"/>
        <v>0</v>
      </c>
      <c r="AG223" s="229">
        <f t="shared" si="430"/>
        <v>0</v>
      </c>
      <c r="AH223" s="229">
        <f t="shared" si="431"/>
        <v>0</v>
      </c>
      <c r="AI223" s="229">
        <f t="shared" si="432"/>
        <v>0</v>
      </c>
      <c r="AJ223" s="229">
        <f t="shared" si="433"/>
        <v>0</v>
      </c>
      <c r="AK223" s="229">
        <f t="shared" si="434"/>
        <v>0</v>
      </c>
      <c r="AL223" s="229">
        <f t="shared" si="435"/>
        <v>0</v>
      </c>
      <c r="AM223" s="229">
        <f t="shared" si="436"/>
        <v>0</v>
      </c>
      <c r="AN223" s="224">
        <f t="shared" ref="AN223:AY223" si="530">IF($T90&gt;0,(((EXP(-(1/(Morning_Peak_Duration__hours*2))*(AN$141-(Morning_Peak_Time__24hr_clock+$C223))^2))+(EXP(-(1/(Afternoon_Peak_Duration__hours*2))*(AN$141-(Afternoon_Peak_Time__24hr_clock+$C223))^2)))*$U90)/TZCalibrationValue,0)</f>
        <v>0</v>
      </c>
      <c r="AO223" s="224">
        <f t="shared" si="530"/>
        <v>0</v>
      </c>
      <c r="AP223" s="224">
        <f t="shared" si="530"/>
        <v>0</v>
      </c>
      <c r="AQ223" s="224">
        <f t="shared" si="530"/>
        <v>0</v>
      </c>
      <c r="AR223" s="224">
        <f t="shared" si="530"/>
        <v>0</v>
      </c>
      <c r="AS223" s="224">
        <f t="shared" si="530"/>
        <v>0</v>
      </c>
      <c r="AT223" s="224">
        <f t="shared" si="530"/>
        <v>0</v>
      </c>
      <c r="AU223" s="224">
        <f t="shared" si="530"/>
        <v>0</v>
      </c>
      <c r="AV223" s="224">
        <f t="shared" si="530"/>
        <v>0</v>
      </c>
      <c r="AW223" s="224">
        <f t="shared" si="530"/>
        <v>0</v>
      </c>
      <c r="AX223" s="224">
        <f t="shared" si="530"/>
        <v>0</v>
      </c>
      <c r="AY223" s="224">
        <f t="shared" si="530"/>
        <v>0</v>
      </c>
      <c r="AZ223" s="218"/>
      <c r="BA223"/>
      <c r="BB223" s="176" t="str">
        <f t="shared" si="438"/>
        <v>Site 82</v>
      </c>
      <c r="BC223" s="224">
        <f t="shared" ref="BC223:BN223" si="531">IF($T90&gt;0,(((EXP(-(1/(Morning_Peak_Duration__hours*2))*(BC$141-(Morning_Peak_Time__24hr_clock+$C223))^2))+(EXP(-(1/(Afternoon_Peak_Duration__hours*2))*(BC$141-(Afternoon_Peak_Time__24hr_clock+$C223))^2)))*$V90)/TZCalibrationValue,0)</f>
        <v>0</v>
      </c>
      <c r="BD223" s="224">
        <f t="shared" si="531"/>
        <v>0</v>
      </c>
      <c r="BE223" s="224">
        <f t="shared" si="531"/>
        <v>0</v>
      </c>
      <c r="BF223" s="224">
        <f t="shared" si="531"/>
        <v>0</v>
      </c>
      <c r="BG223" s="224">
        <f t="shared" si="531"/>
        <v>0</v>
      </c>
      <c r="BH223" s="224">
        <f t="shared" si="531"/>
        <v>0</v>
      </c>
      <c r="BI223" s="224">
        <f t="shared" si="531"/>
        <v>0</v>
      </c>
      <c r="BJ223" s="224">
        <f t="shared" si="531"/>
        <v>0</v>
      </c>
      <c r="BK223" s="224">
        <f t="shared" si="531"/>
        <v>0</v>
      </c>
      <c r="BL223" s="224">
        <f t="shared" si="531"/>
        <v>0</v>
      </c>
      <c r="BM223" s="224">
        <f t="shared" si="531"/>
        <v>0</v>
      </c>
      <c r="BN223" s="224">
        <f t="shared" si="531"/>
        <v>0</v>
      </c>
      <c r="BO223" s="229">
        <f t="shared" si="440"/>
        <v>0</v>
      </c>
      <c r="BP223" s="229">
        <f t="shared" si="441"/>
        <v>0</v>
      </c>
      <c r="BQ223" s="229">
        <f t="shared" si="442"/>
        <v>0</v>
      </c>
      <c r="BR223" s="229">
        <f t="shared" si="443"/>
        <v>0</v>
      </c>
      <c r="BS223" s="229">
        <f t="shared" si="444"/>
        <v>0</v>
      </c>
      <c r="BT223" s="229">
        <f t="shared" si="445"/>
        <v>0</v>
      </c>
      <c r="BU223" s="229">
        <f t="shared" si="446"/>
        <v>0</v>
      </c>
      <c r="BV223" s="229">
        <f t="shared" si="447"/>
        <v>0</v>
      </c>
      <c r="BW223" s="229">
        <f t="shared" si="448"/>
        <v>0</v>
      </c>
      <c r="BX223" s="229">
        <f t="shared" si="449"/>
        <v>0</v>
      </c>
      <c r="BY223" s="229">
        <f t="shared" si="450"/>
        <v>0</v>
      </c>
      <c r="BZ223" s="229">
        <f t="shared" si="451"/>
        <v>0</v>
      </c>
      <c r="CA223" s="229">
        <f t="shared" si="452"/>
        <v>0</v>
      </c>
      <c r="CB223" s="229">
        <f t="shared" si="453"/>
        <v>0</v>
      </c>
      <c r="CC223" s="229">
        <f t="shared" si="454"/>
        <v>0</v>
      </c>
      <c r="CD223" s="229">
        <f t="shared" si="455"/>
        <v>0</v>
      </c>
      <c r="CE223" s="229">
        <f t="shared" si="456"/>
        <v>0</v>
      </c>
      <c r="CF223" s="229">
        <f t="shared" si="457"/>
        <v>0</v>
      </c>
      <c r="CG223" s="229">
        <f t="shared" si="458"/>
        <v>0</v>
      </c>
      <c r="CH223" s="229">
        <f t="shared" si="459"/>
        <v>0</v>
      </c>
      <c r="CI223" s="229">
        <f t="shared" si="460"/>
        <v>0</v>
      </c>
      <c r="CJ223" s="229">
        <f t="shared" si="461"/>
        <v>0</v>
      </c>
      <c r="CK223" s="229">
        <f t="shared" si="462"/>
        <v>0</v>
      </c>
      <c r="CL223" s="229">
        <f t="shared" si="463"/>
        <v>0</v>
      </c>
      <c r="CM223" s="224">
        <f t="shared" ref="CM223:CX223" si="532">IF($T90&gt;0,(((EXP(-(1/(Morning_Peak_Duration__hours*2))*(CM$141-(Morning_Peak_Time__24hr_clock+$C223))^2))+(EXP(-(1/(Afternoon_Peak_Duration__hours*2))*(CM$141-(Afternoon_Peak_Time__24hr_clock+$C223))^2)))*$V90)/TZCalibrationValue,0)</f>
        <v>0</v>
      </c>
      <c r="CN223" s="224">
        <f t="shared" si="532"/>
        <v>0</v>
      </c>
      <c r="CO223" s="224">
        <f t="shared" si="532"/>
        <v>0</v>
      </c>
      <c r="CP223" s="224">
        <f t="shared" si="532"/>
        <v>0</v>
      </c>
      <c r="CQ223" s="224">
        <f t="shared" si="532"/>
        <v>0</v>
      </c>
      <c r="CR223" s="224">
        <f t="shared" si="532"/>
        <v>0</v>
      </c>
      <c r="CS223" s="224">
        <f t="shared" si="532"/>
        <v>0</v>
      </c>
      <c r="CT223" s="224">
        <f t="shared" si="532"/>
        <v>0</v>
      </c>
      <c r="CU223" s="224">
        <f t="shared" si="532"/>
        <v>0</v>
      </c>
      <c r="CV223" s="224">
        <f t="shared" si="532"/>
        <v>0</v>
      </c>
      <c r="CW223" s="224">
        <f t="shared" si="532"/>
        <v>0</v>
      </c>
      <c r="CX223" s="224">
        <f t="shared" si="532"/>
        <v>0</v>
      </c>
      <c r="CY223" s="218"/>
    </row>
    <row r="224" spans="2:103" hidden="1" outlineLevel="1">
      <c r="B224" t="str">
        <f t="shared" si="411"/>
        <v>Site 83</v>
      </c>
      <c r="C224" s="230">
        <f>VLOOKUP(D91,'Scaling Tables'!$B$123:$C$149,2,FALSE)-VLOOKUP($C$4,'Scaling Tables'!$B$123:$C$149,2,FALSE)</f>
        <v>3</v>
      </c>
      <c r="D224" s="224">
        <f t="shared" ref="D224:O224" si="533">IF($T91&gt;0,(((EXP(-(1/(Morning_Peak_Duration__hours*2))*(D$141-(Morning_Peak_Time__24hr_clock+$C224))^2))+(EXP(-(1/(Afternoon_Peak_Duration__hours*2))*(D$141-(Afternoon_Peak_Time__24hr_clock+$C224))^2)))*$U91)/TZCalibrationValue,0)</f>
        <v>0</v>
      </c>
      <c r="E224" s="224">
        <f t="shared" si="533"/>
        <v>0</v>
      </c>
      <c r="F224" s="224">
        <f t="shared" si="533"/>
        <v>0</v>
      </c>
      <c r="G224" s="224">
        <f t="shared" si="533"/>
        <v>0</v>
      </c>
      <c r="H224" s="224">
        <f t="shared" si="533"/>
        <v>0</v>
      </c>
      <c r="I224" s="224">
        <f t="shared" si="533"/>
        <v>0</v>
      </c>
      <c r="J224" s="224">
        <f t="shared" si="533"/>
        <v>0</v>
      </c>
      <c r="K224" s="224">
        <f t="shared" si="533"/>
        <v>0</v>
      </c>
      <c r="L224" s="224">
        <f t="shared" si="533"/>
        <v>0</v>
      </c>
      <c r="M224" s="224">
        <f t="shared" si="533"/>
        <v>0</v>
      </c>
      <c r="N224" s="224">
        <f t="shared" si="533"/>
        <v>0</v>
      </c>
      <c r="O224" s="224">
        <f t="shared" si="533"/>
        <v>0</v>
      </c>
      <c r="P224" s="229">
        <f t="shared" si="413"/>
        <v>0</v>
      </c>
      <c r="Q224" s="229">
        <f t="shared" si="414"/>
        <v>0</v>
      </c>
      <c r="R224" s="229">
        <f t="shared" si="415"/>
        <v>0</v>
      </c>
      <c r="S224" s="229">
        <f t="shared" si="416"/>
        <v>0</v>
      </c>
      <c r="T224" s="229">
        <f t="shared" si="417"/>
        <v>0</v>
      </c>
      <c r="U224" s="229">
        <f t="shared" si="418"/>
        <v>0</v>
      </c>
      <c r="V224" s="229">
        <f t="shared" si="419"/>
        <v>0</v>
      </c>
      <c r="W224" s="229">
        <f t="shared" si="420"/>
        <v>0</v>
      </c>
      <c r="X224" s="229">
        <f t="shared" si="421"/>
        <v>0</v>
      </c>
      <c r="Y224" s="229">
        <f t="shared" si="422"/>
        <v>0</v>
      </c>
      <c r="Z224" s="229">
        <f t="shared" si="423"/>
        <v>0</v>
      </c>
      <c r="AA224" s="229">
        <f t="shared" si="424"/>
        <v>0</v>
      </c>
      <c r="AB224" s="229">
        <f t="shared" si="425"/>
        <v>0</v>
      </c>
      <c r="AC224" s="229">
        <f t="shared" si="426"/>
        <v>0</v>
      </c>
      <c r="AD224" s="229">
        <f t="shared" si="427"/>
        <v>0</v>
      </c>
      <c r="AE224" s="229">
        <f t="shared" si="428"/>
        <v>0</v>
      </c>
      <c r="AF224" s="229">
        <f t="shared" si="429"/>
        <v>0</v>
      </c>
      <c r="AG224" s="229">
        <f t="shared" si="430"/>
        <v>0</v>
      </c>
      <c r="AH224" s="229">
        <f t="shared" si="431"/>
        <v>0</v>
      </c>
      <c r="AI224" s="229">
        <f t="shared" si="432"/>
        <v>0</v>
      </c>
      <c r="AJ224" s="229">
        <f t="shared" si="433"/>
        <v>0</v>
      </c>
      <c r="AK224" s="229">
        <f t="shared" si="434"/>
        <v>0</v>
      </c>
      <c r="AL224" s="229">
        <f t="shared" si="435"/>
        <v>0</v>
      </c>
      <c r="AM224" s="229">
        <f t="shared" si="436"/>
        <v>0</v>
      </c>
      <c r="AN224" s="224">
        <f t="shared" ref="AN224:AY224" si="534">IF($T91&gt;0,(((EXP(-(1/(Morning_Peak_Duration__hours*2))*(AN$141-(Morning_Peak_Time__24hr_clock+$C224))^2))+(EXP(-(1/(Afternoon_Peak_Duration__hours*2))*(AN$141-(Afternoon_Peak_Time__24hr_clock+$C224))^2)))*$U91)/TZCalibrationValue,0)</f>
        <v>0</v>
      </c>
      <c r="AO224" s="224">
        <f t="shared" si="534"/>
        <v>0</v>
      </c>
      <c r="AP224" s="224">
        <f t="shared" si="534"/>
        <v>0</v>
      </c>
      <c r="AQ224" s="224">
        <f t="shared" si="534"/>
        <v>0</v>
      </c>
      <c r="AR224" s="224">
        <f t="shared" si="534"/>
        <v>0</v>
      </c>
      <c r="AS224" s="224">
        <f t="shared" si="534"/>
        <v>0</v>
      </c>
      <c r="AT224" s="224">
        <f t="shared" si="534"/>
        <v>0</v>
      </c>
      <c r="AU224" s="224">
        <f t="shared" si="534"/>
        <v>0</v>
      </c>
      <c r="AV224" s="224">
        <f t="shared" si="534"/>
        <v>0</v>
      </c>
      <c r="AW224" s="224">
        <f t="shared" si="534"/>
        <v>0</v>
      </c>
      <c r="AX224" s="224">
        <f t="shared" si="534"/>
        <v>0</v>
      </c>
      <c r="AY224" s="224">
        <f t="shared" si="534"/>
        <v>0</v>
      </c>
      <c r="AZ224" s="218"/>
      <c r="BA224"/>
      <c r="BB224" s="176" t="str">
        <f t="shared" si="438"/>
        <v>Site 83</v>
      </c>
      <c r="BC224" s="224">
        <f t="shared" ref="BC224:BN224" si="535">IF($T91&gt;0,(((EXP(-(1/(Morning_Peak_Duration__hours*2))*(BC$141-(Morning_Peak_Time__24hr_clock+$C224))^2))+(EXP(-(1/(Afternoon_Peak_Duration__hours*2))*(BC$141-(Afternoon_Peak_Time__24hr_clock+$C224))^2)))*$V91)/TZCalibrationValue,0)</f>
        <v>0</v>
      </c>
      <c r="BD224" s="224">
        <f t="shared" si="535"/>
        <v>0</v>
      </c>
      <c r="BE224" s="224">
        <f t="shared" si="535"/>
        <v>0</v>
      </c>
      <c r="BF224" s="224">
        <f t="shared" si="535"/>
        <v>0</v>
      </c>
      <c r="BG224" s="224">
        <f t="shared" si="535"/>
        <v>0</v>
      </c>
      <c r="BH224" s="224">
        <f t="shared" si="535"/>
        <v>0</v>
      </c>
      <c r="BI224" s="224">
        <f t="shared" si="535"/>
        <v>0</v>
      </c>
      <c r="BJ224" s="224">
        <f t="shared" si="535"/>
        <v>0</v>
      </c>
      <c r="BK224" s="224">
        <f t="shared" si="535"/>
        <v>0</v>
      </c>
      <c r="BL224" s="224">
        <f t="shared" si="535"/>
        <v>0</v>
      </c>
      <c r="BM224" s="224">
        <f t="shared" si="535"/>
        <v>0</v>
      </c>
      <c r="BN224" s="224">
        <f t="shared" si="535"/>
        <v>0</v>
      </c>
      <c r="BO224" s="229">
        <f t="shared" si="440"/>
        <v>0</v>
      </c>
      <c r="BP224" s="229">
        <f t="shared" si="441"/>
        <v>0</v>
      </c>
      <c r="BQ224" s="229">
        <f t="shared" si="442"/>
        <v>0</v>
      </c>
      <c r="BR224" s="229">
        <f t="shared" si="443"/>
        <v>0</v>
      </c>
      <c r="BS224" s="229">
        <f t="shared" si="444"/>
        <v>0</v>
      </c>
      <c r="BT224" s="229">
        <f t="shared" si="445"/>
        <v>0</v>
      </c>
      <c r="BU224" s="229">
        <f t="shared" si="446"/>
        <v>0</v>
      </c>
      <c r="BV224" s="229">
        <f t="shared" si="447"/>
        <v>0</v>
      </c>
      <c r="BW224" s="229">
        <f t="shared" si="448"/>
        <v>0</v>
      </c>
      <c r="BX224" s="229">
        <f t="shared" si="449"/>
        <v>0</v>
      </c>
      <c r="BY224" s="229">
        <f t="shared" si="450"/>
        <v>0</v>
      </c>
      <c r="BZ224" s="229">
        <f t="shared" si="451"/>
        <v>0</v>
      </c>
      <c r="CA224" s="229">
        <f t="shared" si="452"/>
        <v>0</v>
      </c>
      <c r="CB224" s="229">
        <f t="shared" si="453"/>
        <v>0</v>
      </c>
      <c r="CC224" s="229">
        <f t="shared" si="454"/>
        <v>0</v>
      </c>
      <c r="CD224" s="229">
        <f t="shared" si="455"/>
        <v>0</v>
      </c>
      <c r="CE224" s="229">
        <f t="shared" si="456"/>
        <v>0</v>
      </c>
      <c r="CF224" s="229">
        <f t="shared" si="457"/>
        <v>0</v>
      </c>
      <c r="CG224" s="229">
        <f t="shared" si="458"/>
        <v>0</v>
      </c>
      <c r="CH224" s="229">
        <f t="shared" si="459"/>
        <v>0</v>
      </c>
      <c r="CI224" s="229">
        <f t="shared" si="460"/>
        <v>0</v>
      </c>
      <c r="CJ224" s="229">
        <f t="shared" si="461"/>
        <v>0</v>
      </c>
      <c r="CK224" s="229">
        <f t="shared" si="462"/>
        <v>0</v>
      </c>
      <c r="CL224" s="229">
        <f t="shared" si="463"/>
        <v>0</v>
      </c>
      <c r="CM224" s="224">
        <f t="shared" ref="CM224:CX224" si="536">IF($T91&gt;0,(((EXP(-(1/(Morning_Peak_Duration__hours*2))*(CM$141-(Morning_Peak_Time__24hr_clock+$C224))^2))+(EXP(-(1/(Afternoon_Peak_Duration__hours*2))*(CM$141-(Afternoon_Peak_Time__24hr_clock+$C224))^2)))*$V91)/TZCalibrationValue,0)</f>
        <v>0</v>
      </c>
      <c r="CN224" s="224">
        <f t="shared" si="536"/>
        <v>0</v>
      </c>
      <c r="CO224" s="224">
        <f t="shared" si="536"/>
        <v>0</v>
      </c>
      <c r="CP224" s="224">
        <f t="shared" si="536"/>
        <v>0</v>
      </c>
      <c r="CQ224" s="224">
        <f t="shared" si="536"/>
        <v>0</v>
      </c>
      <c r="CR224" s="224">
        <f t="shared" si="536"/>
        <v>0</v>
      </c>
      <c r="CS224" s="224">
        <f t="shared" si="536"/>
        <v>0</v>
      </c>
      <c r="CT224" s="224">
        <f t="shared" si="536"/>
        <v>0</v>
      </c>
      <c r="CU224" s="224">
        <f t="shared" si="536"/>
        <v>0</v>
      </c>
      <c r="CV224" s="224">
        <f t="shared" si="536"/>
        <v>0</v>
      </c>
      <c r="CW224" s="224">
        <f t="shared" si="536"/>
        <v>0</v>
      </c>
      <c r="CX224" s="224">
        <f t="shared" si="536"/>
        <v>0</v>
      </c>
      <c r="CY224" s="218"/>
    </row>
    <row r="225" spans="2:103" hidden="1" outlineLevel="1">
      <c r="B225" t="str">
        <f t="shared" si="411"/>
        <v>Site 84</v>
      </c>
      <c r="C225" s="230">
        <f>VLOOKUP(D92,'Scaling Tables'!$B$123:$C$149,2,FALSE)-VLOOKUP($C$4,'Scaling Tables'!$B$123:$C$149,2,FALSE)</f>
        <v>0</v>
      </c>
      <c r="D225" s="224">
        <f t="shared" ref="D225:O225" si="537">IF($T92&gt;0,(((EXP(-(1/(Morning_Peak_Duration__hours*2))*(D$141-(Morning_Peak_Time__24hr_clock+$C225))^2))+(EXP(-(1/(Afternoon_Peak_Duration__hours*2))*(D$141-(Afternoon_Peak_Time__24hr_clock+$C225))^2)))*$U92)/TZCalibrationValue,0)</f>
        <v>0</v>
      </c>
      <c r="E225" s="224">
        <f t="shared" si="537"/>
        <v>0</v>
      </c>
      <c r="F225" s="224">
        <f t="shared" si="537"/>
        <v>0</v>
      </c>
      <c r="G225" s="224">
        <f t="shared" si="537"/>
        <v>0</v>
      </c>
      <c r="H225" s="224">
        <f t="shared" si="537"/>
        <v>0</v>
      </c>
      <c r="I225" s="224">
        <f t="shared" si="537"/>
        <v>0</v>
      </c>
      <c r="J225" s="224">
        <f t="shared" si="537"/>
        <v>0</v>
      </c>
      <c r="K225" s="224">
        <f t="shared" si="537"/>
        <v>0</v>
      </c>
      <c r="L225" s="224">
        <f t="shared" si="537"/>
        <v>0</v>
      </c>
      <c r="M225" s="224">
        <f t="shared" si="537"/>
        <v>0</v>
      </c>
      <c r="N225" s="224">
        <f t="shared" si="537"/>
        <v>0</v>
      </c>
      <c r="O225" s="224">
        <f t="shared" si="537"/>
        <v>0</v>
      </c>
      <c r="P225" s="229">
        <f t="shared" si="413"/>
        <v>0</v>
      </c>
      <c r="Q225" s="229">
        <f t="shared" si="414"/>
        <v>0</v>
      </c>
      <c r="R225" s="229">
        <f t="shared" si="415"/>
        <v>0</v>
      </c>
      <c r="S225" s="229">
        <f t="shared" si="416"/>
        <v>0</v>
      </c>
      <c r="T225" s="229">
        <f t="shared" si="417"/>
        <v>0</v>
      </c>
      <c r="U225" s="229">
        <f t="shared" si="418"/>
        <v>0</v>
      </c>
      <c r="V225" s="229">
        <f t="shared" si="419"/>
        <v>0</v>
      </c>
      <c r="W225" s="229">
        <f t="shared" si="420"/>
        <v>0</v>
      </c>
      <c r="X225" s="229">
        <f t="shared" si="421"/>
        <v>0</v>
      </c>
      <c r="Y225" s="229">
        <f t="shared" si="422"/>
        <v>0</v>
      </c>
      <c r="Z225" s="229">
        <f t="shared" si="423"/>
        <v>0</v>
      </c>
      <c r="AA225" s="229">
        <f t="shared" si="424"/>
        <v>0</v>
      </c>
      <c r="AB225" s="229">
        <f t="shared" si="425"/>
        <v>0</v>
      </c>
      <c r="AC225" s="229">
        <f t="shared" si="426"/>
        <v>0</v>
      </c>
      <c r="AD225" s="229">
        <f t="shared" si="427"/>
        <v>0</v>
      </c>
      <c r="AE225" s="229">
        <f t="shared" si="428"/>
        <v>0</v>
      </c>
      <c r="AF225" s="229">
        <f t="shared" si="429"/>
        <v>0</v>
      </c>
      <c r="AG225" s="229">
        <f t="shared" si="430"/>
        <v>0</v>
      </c>
      <c r="AH225" s="229">
        <f t="shared" si="431"/>
        <v>0</v>
      </c>
      <c r="AI225" s="229">
        <f t="shared" si="432"/>
        <v>0</v>
      </c>
      <c r="AJ225" s="229">
        <f t="shared" si="433"/>
        <v>0</v>
      </c>
      <c r="AK225" s="229">
        <f t="shared" si="434"/>
        <v>0</v>
      </c>
      <c r="AL225" s="229">
        <f t="shared" si="435"/>
        <v>0</v>
      </c>
      <c r="AM225" s="229">
        <f t="shared" si="436"/>
        <v>0</v>
      </c>
      <c r="AN225" s="224">
        <f t="shared" ref="AN225:AY225" si="538">IF($T92&gt;0,(((EXP(-(1/(Morning_Peak_Duration__hours*2))*(AN$141-(Morning_Peak_Time__24hr_clock+$C225))^2))+(EXP(-(1/(Afternoon_Peak_Duration__hours*2))*(AN$141-(Afternoon_Peak_Time__24hr_clock+$C225))^2)))*$U92)/TZCalibrationValue,0)</f>
        <v>0</v>
      </c>
      <c r="AO225" s="224">
        <f t="shared" si="538"/>
        <v>0</v>
      </c>
      <c r="AP225" s="224">
        <f t="shared" si="538"/>
        <v>0</v>
      </c>
      <c r="AQ225" s="224">
        <f t="shared" si="538"/>
        <v>0</v>
      </c>
      <c r="AR225" s="224">
        <f t="shared" si="538"/>
        <v>0</v>
      </c>
      <c r="AS225" s="224">
        <f t="shared" si="538"/>
        <v>0</v>
      </c>
      <c r="AT225" s="224">
        <f t="shared" si="538"/>
        <v>0</v>
      </c>
      <c r="AU225" s="224">
        <f t="shared" si="538"/>
        <v>0</v>
      </c>
      <c r="AV225" s="224">
        <f t="shared" si="538"/>
        <v>0</v>
      </c>
      <c r="AW225" s="224">
        <f t="shared" si="538"/>
        <v>0</v>
      </c>
      <c r="AX225" s="224">
        <f t="shared" si="538"/>
        <v>0</v>
      </c>
      <c r="AY225" s="224">
        <f t="shared" si="538"/>
        <v>0</v>
      </c>
      <c r="AZ225" s="218"/>
      <c r="BA225"/>
      <c r="BB225" s="176" t="str">
        <f t="shared" si="438"/>
        <v>Site 84</v>
      </c>
      <c r="BC225" s="224">
        <f t="shared" ref="BC225:BN225" si="539">IF($T92&gt;0,(((EXP(-(1/(Morning_Peak_Duration__hours*2))*(BC$141-(Morning_Peak_Time__24hr_clock+$C225))^2))+(EXP(-(1/(Afternoon_Peak_Duration__hours*2))*(BC$141-(Afternoon_Peak_Time__24hr_clock+$C225))^2)))*$V92)/TZCalibrationValue,0)</f>
        <v>0</v>
      </c>
      <c r="BD225" s="224">
        <f t="shared" si="539"/>
        <v>0</v>
      </c>
      <c r="BE225" s="224">
        <f t="shared" si="539"/>
        <v>0</v>
      </c>
      <c r="BF225" s="224">
        <f t="shared" si="539"/>
        <v>0</v>
      </c>
      <c r="BG225" s="224">
        <f t="shared" si="539"/>
        <v>0</v>
      </c>
      <c r="BH225" s="224">
        <f t="shared" si="539"/>
        <v>0</v>
      </c>
      <c r="BI225" s="224">
        <f t="shared" si="539"/>
        <v>0</v>
      </c>
      <c r="BJ225" s="224">
        <f t="shared" si="539"/>
        <v>0</v>
      </c>
      <c r="BK225" s="224">
        <f t="shared" si="539"/>
        <v>0</v>
      </c>
      <c r="BL225" s="224">
        <f t="shared" si="539"/>
        <v>0</v>
      </c>
      <c r="BM225" s="224">
        <f t="shared" si="539"/>
        <v>0</v>
      </c>
      <c r="BN225" s="224">
        <f t="shared" si="539"/>
        <v>0</v>
      </c>
      <c r="BO225" s="229">
        <f t="shared" si="440"/>
        <v>0</v>
      </c>
      <c r="BP225" s="229">
        <f t="shared" si="441"/>
        <v>0</v>
      </c>
      <c r="BQ225" s="229">
        <f t="shared" si="442"/>
        <v>0</v>
      </c>
      <c r="BR225" s="229">
        <f t="shared" si="443"/>
        <v>0</v>
      </c>
      <c r="BS225" s="229">
        <f t="shared" si="444"/>
        <v>0</v>
      </c>
      <c r="BT225" s="229">
        <f t="shared" si="445"/>
        <v>0</v>
      </c>
      <c r="BU225" s="229">
        <f t="shared" si="446"/>
        <v>0</v>
      </c>
      <c r="BV225" s="229">
        <f t="shared" si="447"/>
        <v>0</v>
      </c>
      <c r="BW225" s="229">
        <f t="shared" si="448"/>
        <v>0</v>
      </c>
      <c r="BX225" s="229">
        <f t="shared" si="449"/>
        <v>0</v>
      </c>
      <c r="BY225" s="229">
        <f t="shared" si="450"/>
        <v>0</v>
      </c>
      <c r="BZ225" s="229">
        <f t="shared" si="451"/>
        <v>0</v>
      </c>
      <c r="CA225" s="229">
        <f t="shared" si="452"/>
        <v>0</v>
      </c>
      <c r="CB225" s="229">
        <f t="shared" si="453"/>
        <v>0</v>
      </c>
      <c r="CC225" s="229">
        <f t="shared" si="454"/>
        <v>0</v>
      </c>
      <c r="CD225" s="229">
        <f t="shared" si="455"/>
        <v>0</v>
      </c>
      <c r="CE225" s="229">
        <f t="shared" si="456"/>
        <v>0</v>
      </c>
      <c r="CF225" s="229">
        <f t="shared" si="457"/>
        <v>0</v>
      </c>
      <c r="CG225" s="229">
        <f t="shared" si="458"/>
        <v>0</v>
      </c>
      <c r="CH225" s="229">
        <f t="shared" si="459"/>
        <v>0</v>
      </c>
      <c r="CI225" s="229">
        <f t="shared" si="460"/>
        <v>0</v>
      </c>
      <c r="CJ225" s="229">
        <f t="shared" si="461"/>
        <v>0</v>
      </c>
      <c r="CK225" s="229">
        <f t="shared" si="462"/>
        <v>0</v>
      </c>
      <c r="CL225" s="229">
        <f t="shared" si="463"/>
        <v>0</v>
      </c>
      <c r="CM225" s="224">
        <f t="shared" ref="CM225:CX225" si="540">IF($T92&gt;0,(((EXP(-(1/(Morning_Peak_Duration__hours*2))*(CM$141-(Morning_Peak_Time__24hr_clock+$C225))^2))+(EXP(-(1/(Afternoon_Peak_Duration__hours*2))*(CM$141-(Afternoon_Peak_Time__24hr_clock+$C225))^2)))*$V92)/TZCalibrationValue,0)</f>
        <v>0</v>
      </c>
      <c r="CN225" s="224">
        <f t="shared" si="540"/>
        <v>0</v>
      </c>
      <c r="CO225" s="224">
        <f t="shared" si="540"/>
        <v>0</v>
      </c>
      <c r="CP225" s="224">
        <f t="shared" si="540"/>
        <v>0</v>
      </c>
      <c r="CQ225" s="224">
        <f t="shared" si="540"/>
        <v>0</v>
      </c>
      <c r="CR225" s="224">
        <f t="shared" si="540"/>
        <v>0</v>
      </c>
      <c r="CS225" s="224">
        <f t="shared" si="540"/>
        <v>0</v>
      </c>
      <c r="CT225" s="224">
        <f t="shared" si="540"/>
        <v>0</v>
      </c>
      <c r="CU225" s="224">
        <f t="shared" si="540"/>
        <v>0</v>
      </c>
      <c r="CV225" s="224">
        <f t="shared" si="540"/>
        <v>0</v>
      </c>
      <c r="CW225" s="224">
        <f t="shared" si="540"/>
        <v>0</v>
      </c>
      <c r="CX225" s="224">
        <f t="shared" si="540"/>
        <v>0</v>
      </c>
      <c r="CY225" s="218"/>
    </row>
    <row r="226" spans="2:103" hidden="1" outlineLevel="1">
      <c r="B226" t="str">
        <f t="shared" si="411"/>
        <v>Site 85</v>
      </c>
      <c r="C226" s="230">
        <f>VLOOKUP(D93,'Scaling Tables'!$B$123:$C$149,2,FALSE)-VLOOKUP($C$4,'Scaling Tables'!$B$123:$C$149,2,FALSE)</f>
        <v>0</v>
      </c>
      <c r="D226" s="224">
        <f t="shared" ref="D226:O226" si="541">IF($T93&gt;0,(((EXP(-(1/(Morning_Peak_Duration__hours*2))*(D$141-(Morning_Peak_Time__24hr_clock+$C226))^2))+(EXP(-(1/(Afternoon_Peak_Duration__hours*2))*(D$141-(Afternoon_Peak_Time__24hr_clock+$C226))^2)))*$U93)/TZCalibrationValue,0)</f>
        <v>0</v>
      </c>
      <c r="E226" s="224">
        <f t="shared" si="541"/>
        <v>0</v>
      </c>
      <c r="F226" s="224">
        <f t="shared" si="541"/>
        <v>0</v>
      </c>
      <c r="G226" s="224">
        <f t="shared" si="541"/>
        <v>0</v>
      </c>
      <c r="H226" s="224">
        <f t="shared" si="541"/>
        <v>0</v>
      </c>
      <c r="I226" s="224">
        <f t="shared" si="541"/>
        <v>0</v>
      </c>
      <c r="J226" s="224">
        <f t="shared" si="541"/>
        <v>0</v>
      </c>
      <c r="K226" s="224">
        <f t="shared" si="541"/>
        <v>0</v>
      </c>
      <c r="L226" s="224">
        <f t="shared" si="541"/>
        <v>0</v>
      </c>
      <c r="M226" s="224">
        <f t="shared" si="541"/>
        <v>0</v>
      </c>
      <c r="N226" s="224">
        <f t="shared" si="541"/>
        <v>0</v>
      </c>
      <c r="O226" s="224">
        <f t="shared" si="541"/>
        <v>0</v>
      </c>
      <c r="P226" s="229">
        <f t="shared" si="413"/>
        <v>0</v>
      </c>
      <c r="Q226" s="229">
        <f t="shared" si="414"/>
        <v>0</v>
      </c>
      <c r="R226" s="229">
        <f t="shared" si="415"/>
        <v>0</v>
      </c>
      <c r="S226" s="229">
        <f t="shared" si="416"/>
        <v>0</v>
      </c>
      <c r="T226" s="229">
        <f t="shared" si="417"/>
        <v>0</v>
      </c>
      <c r="U226" s="229">
        <f t="shared" si="418"/>
        <v>0</v>
      </c>
      <c r="V226" s="229">
        <f t="shared" si="419"/>
        <v>0</v>
      </c>
      <c r="W226" s="229">
        <f t="shared" si="420"/>
        <v>0</v>
      </c>
      <c r="X226" s="229">
        <f t="shared" si="421"/>
        <v>0</v>
      </c>
      <c r="Y226" s="229">
        <f t="shared" si="422"/>
        <v>0</v>
      </c>
      <c r="Z226" s="229">
        <f t="shared" si="423"/>
        <v>0</v>
      </c>
      <c r="AA226" s="229">
        <f t="shared" si="424"/>
        <v>0</v>
      </c>
      <c r="AB226" s="229">
        <f t="shared" si="425"/>
        <v>0</v>
      </c>
      <c r="AC226" s="229">
        <f t="shared" si="426"/>
        <v>0</v>
      </c>
      <c r="AD226" s="229">
        <f t="shared" si="427"/>
        <v>0</v>
      </c>
      <c r="AE226" s="229">
        <f t="shared" si="428"/>
        <v>0</v>
      </c>
      <c r="AF226" s="229">
        <f t="shared" si="429"/>
        <v>0</v>
      </c>
      <c r="AG226" s="229">
        <f t="shared" si="430"/>
        <v>0</v>
      </c>
      <c r="AH226" s="229">
        <f t="shared" si="431"/>
        <v>0</v>
      </c>
      <c r="AI226" s="229">
        <f t="shared" si="432"/>
        <v>0</v>
      </c>
      <c r="AJ226" s="229">
        <f t="shared" si="433"/>
        <v>0</v>
      </c>
      <c r="AK226" s="229">
        <f t="shared" si="434"/>
        <v>0</v>
      </c>
      <c r="AL226" s="229">
        <f t="shared" si="435"/>
        <v>0</v>
      </c>
      <c r="AM226" s="229">
        <f t="shared" si="436"/>
        <v>0</v>
      </c>
      <c r="AN226" s="224">
        <f t="shared" ref="AN226:AY226" si="542">IF($T93&gt;0,(((EXP(-(1/(Morning_Peak_Duration__hours*2))*(AN$141-(Morning_Peak_Time__24hr_clock+$C226))^2))+(EXP(-(1/(Afternoon_Peak_Duration__hours*2))*(AN$141-(Afternoon_Peak_Time__24hr_clock+$C226))^2)))*$U93)/TZCalibrationValue,0)</f>
        <v>0</v>
      </c>
      <c r="AO226" s="224">
        <f t="shared" si="542"/>
        <v>0</v>
      </c>
      <c r="AP226" s="224">
        <f t="shared" si="542"/>
        <v>0</v>
      </c>
      <c r="AQ226" s="224">
        <f t="shared" si="542"/>
        <v>0</v>
      </c>
      <c r="AR226" s="224">
        <f t="shared" si="542"/>
        <v>0</v>
      </c>
      <c r="AS226" s="224">
        <f t="shared" si="542"/>
        <v>0</v>
      </c>
      <c r="AT226" s="224">
        <f t="shared" si="542"/>
        <v>0</v>
      </c>
      <c r="AU226" s="224">
        <f t="shared" si="542"/>
        <v>0</v>
      </c>
      <c r="AV226" s="224">
        <f t="shared" si="542"/>
        <v>0</v>
      </c>
      <c r="AW226" s="224">
        <f t="shared" si="542"/>
        <v>0</v>
      </c>
      <c r="AX226" s="224">
        <f t="shared" si="542"/>
        <v>0</v>
      </c>
      <c r="AY226" s="224">
        <f t="shared" si="542"/>
        <v>0</v>
      </c>
      <c r="AZ226" s="218"/>
      <c r="BA226"/>
      <c r="BB226" s="176" t="str">
        <f t="shared" si="438"/>
        <v>Site 85</v>
      </c>
      <c r="BC226" s="224">
        <f t="shared" ref="BC226:BN226" si="543">IF($T93&gt;0,(((EXP(-(1/(Morning_Peak_Duration__hours*2))*(BC$141-(Morning_Peak_Time__24hr_clock+$C226))^2))+(EXP(-(1/(Afternoon_Peak_Duration__hours*2))*(BC$141-(Afternoon_Peak_Time__24hr_clock+$C226))^2)))*$V93)/TZCalibrationValue,0)</f>
        <v>0</v>
      </c>
      <c r="BD226" s="224">
        <f t="shared" si="543"/>
        <v>0</v>
      </c>
      <c r="BE226" s="224">
        <f t="shared" si="543"/>
        <v>0</v>
      </c>
      <c r="BF226" s="224">
        <f t="shared" si="543"/>
        <v>0</v>
      </c>
      <c r="BG226" s="224">
        <f t="shared" si="543"/>
        <v>0</v>
      </c>
      <c r="BH226" s="224">
        <f t="shared" si="543"/>
        <v>0</v>
      </c>
      <c r="BI226" s="224">
        <f t="shared" si="543"/>
        <v>0</v>
      </c>
      <c r="BJ226" s="224">
        <f t="shared" si="543"/>
        <v>0</v>
      </c>
      <c r="BK226" s="224">
        <f t="shared" si="543"/>
        <v>0</v>
      </c>
      <c r="BL226" s="224">
        <f t="shared" si="543"/>
        <v>0</v>
      </c>
      <c r="BM226" s="224">
        <f t="shared" si="543"/>
        <v>0</v>
      </c>
      <c r="BN226" s="224">
        <f t="shared" si="543"/>
        <v>0</v>
      </c>
      <c r="BO226" s="229">
        <f t="shared" si="440"/>
        <v>0</v>
      </c>
      <c r="BP226" s="229">
        <f t="shared" si="441"/>
        <v>0</v>
      </c>
      <c r="BQ226" s="229">
        <f t="shared" si="442"/>
        <v>0</v>
      </c>
      <c r="BR226" s="229">
        <f t="shared" si="443"/>
        <v>0</v>
      </c>
      <c r="BS226" s="229">
        <f t="shared" si="444"/>
        <v>0</v>
      </c>
      <c r="BT226" s="229">
        <f t="shared" si="445"/>
        <v>0</v>
      </c>
      <c r="BU226" s="229">
        <f t="shared" si="446"/>
        <v>0</v>
      </c>
      <c r="BV226" s="229">
        <f t="shared" si="447"/>
        <v>0</v>
      </c>
      <c r="BW226" s="229">
        <f t="shared" si="448"/>
        <v>0</v>
      </c>
      <c r="BX226" s="229">
        <f t="shared" si="449"/>
        <v>0</v>
      </c>
      <c r="BY226" s="229">
        <f t="shared" si="450"/>
        <v>0</v>
      </c>
      <c r="BZ226" s="229">
        <f t="shared" si="451"/>
        <v>0</v>
      </c>
      <c r="CA226" s="229">
        <f t="shared" si="452"/>
        <v>0</v>
      </c>
      <c r="CB226" s="229">
        <f t="shared" si="453"/>
        <v>0</v>
      </c>
      <c r="CC226" s="229">
        <f t="shared" si="454"/>
        <v>0</v>
      </c>
      <c r="CD226" s="229">
        <f t="shared" si="455"/>
        <v>0</v>
      </c>
      <c r="CE226" s="229">
        <f t="shared" si="456"/>
        <v>0</v>
      </c>
      <c r="CF226" s="229">
        <f t="shared" si="457"/>
        <v>0</v>
      </c>
      <c r="CG226" s="229">
        <f t="shared" si="458"/>
        <v>0</v>
      </c>
      <c r="CH226" s="229">
        <f t="shared" si="459"/>
        <v>0</v>
      </c>
      <c r="CI226" s="229">
        <f t="shared" si="460"/>
        <v>0</v>
      </c>
      <c r="CJ226" s="229">
        <f t="shared" si="461"/>
        <v>0</v>
      </c>
      <c r="CK226" s="229">
        <f t="shared" si="462"/>
        <v>0</v>
      </c>
      <c r="CL226" s="229">
        <f t="shared" si="463"/>
        <v>0</v>
      </c>
      <c r="CM226" s="224">
        <f t="shared" ref="CM226:CX226" si="544">IF($T93&gt;0,(((EXP(-(1/(Morning_Peak_Duration__hours*2))*(CM$141-(Morning_Peak_Time__24hr_clock+$C226))^2))+(EXP(-(1/(Afternoon_Peak_Duration__hours*2))*(CM$141-(Afternoon_Peak_Time__24hr_clock+$C226))^2)))*$V93)/TZCalibrationValue,0)</f>
        <v>0</v>
      </c>
      <c r="CN226" s="224">
        <f t="shared" si="544"/>
        <v>0</v>
      </c>
      <c r="CO226" s="224">
        <f t="shared" si="544"/>
        <v>0</v>
      </c>
      <c r="CP226" s="224">
        <f t="shared" si="544"/>
        <v>0</v>
      </c>
      <c r="CQ226" s="224">
        <f t="shared" si="544"/>
        <v>0</v>
      </c>
      <c r="CR226" s="224">
        <f t="shared" si="544"/>
        <v>0</v>
      </c>
      <c r="CS226" s="224">
        <f t="shared" si="544"/>
        <v>0</v>
      </c>
      <c r="CT226" s="224">
        <f t="shared" si="544"/>
        <v>0</v>
      </c>
      <c r="CU226" s="224">
        <f t="shared" si="544"/>
        <v>0</v>
      </c>
      <c r="CV226" s="224">
        <f t="shared" si="544"/>
        <v>0</v>
      </c>
      <c r="CW226" s="224">
        <f t="shared" si="544"/>
        <v>0</v>
      </c>
      <c r="CX226" s="224">
        <f t="shared" si="544"/>
        <v>0</v>
      </c>
      <c r="CY226" s="218"/>
    </row>
    <row r="227" spans="2:103" hidden="1" outlineLevel="1">
      <c r="B227" t="str">
        <f t="shared" si="411"/>
        <v>Site 86</v>
      </c>
      <c r="C227" s="230">
        <f>VLOOKUP(D94,'Scaling Tables'!$B$123:$C$149,2,FALSE)-VLOOKUP($C$4,'Scaling Tables'!$B$123:$C$149,2,FALSE)</f>
        <v>0</v>
      </c>
      <c r="D227" s="224">
        <f t="shared" ref="D227:O227" si="545">IF($T94&gt;0,(((EXP(-(1/(Morning_Peak_Duration__hours*2))*(D$141-(Morning_Peak_Time__24hr_clock+$C227))^2))+(EXP(-(1/(Afternoon_Peak_Duration__hours*2))*(D$141-(Afternoon_Peak_Time__24hr_clock+$C227))^2)))*$U94)/TZCalibrationValue,0)</f>
        <v>0</v>
      </c>
      <c r="E227" s="224">
        <f t="shared" si="545"/>
        <v>0</v>
      </c>
      <c r="F227" s="224">
        <f t="shared" si="545"/>
        <v>0</v>
      </c>
      <c r="G227" s="224">
        <f t="shared" si="545"/>
        <v>0</v>
      </c>
      <c r="H227" s="224">
        <f t="shared" si="545"/>
        <v>0</v>
      </c>
      <c r="I227" s="224">
        <f t="shared" si="545"/>
        <v>0</v>
      </c>
      <c r="J227" s="224">
        <f t="shared" si="545"/>
        <v>0</v>
      </c>
      <c r="K227" s="224">
        <f t="shared" si="545"/>
        <v>0</v>
      </c>
      <c r="L227" s="224">
        <f t="shared" si="545"/>
        <v>0</v>
      </c>
      <c r="M227" s="224">
        <f t="shared" si="545"/>
        <v>0</v>
      </c>
      <c r="N227" s="224">
        <f t="shared" si="545"/>
        <v>0</v>
      </c>
      <c r="O227" s="224">
        <f t="shared" si="545"/>
        <v>0</v>
      </c>
      <c r="P227" s="229">
        <f t="shared" si="413"/>
        <v>0</v>
      </c>
      <c r="Q227" s="229">
        <f t="shared" si="414"/>
        <v>0</v>
      </c>
      <c r="R227" s="229">
        <f t="shared" si="415"/>
        <v>0</v>
      </c>
      <c r="S227" s="229">
        <f t="shared" si="416"/>
        <v>0</v>
      </c>
      <c r="T227" s="229">
        <f t="shared" si="417"/>
        <v>0</v>
      </c>
      <c r="U227" s="229">
        <f t="shared" si="418"/>
        <v>0</v>
      </c>
      <c r="V227" s="229">
        <f t="shared" si="419"/>
        <v>0</v>
      </c>
      <c r="W227" s="229">
        <f t="shared" si="420"/>
        <v>0</v>
      </c>
      <c r="X227" s="229">
        <f t="shared" si="421"/>
        <v>0</v>
      </c>
      <c r="Y227" s="229">
        <f t="shared" si="422"/>
        <v>0</v>
      </c>
      <c r="Z227" s="229">
        <f t="shared" si="423"/>
        <v>0</v>
      </c>
      <c r="AA227" s="229">
        <f t="shared" si="424"/>
        <v>0</v>
      </c>
      <c r="AB227" s="229">
        <f t="shared" si="425"/>
        <v>0</v>
      </c>
      <c r="AC227" s="229">
        <f t="shared" si="426"/>
        <v>0</v>
      </c>
      <c r="AD227" s="229">
        <f t="shared" si="427"/>
        <v>0</v>
      </c>
      <c r="AE227" s="229">
        <f t="shared" si="428"/>
        <v>0</v>
      </c>
      <c r="AF227" s="229">
        <f t="shared" si="429"/>
        <v>0</v>
      </c>
      <c r="AG227" s="229">
        <f t="shared" si="430"/>
        <v>0</v>
      </c>
      <c r="AH227" s="229">
        <f t="shared" si="431"/>
        <v>0</v>
      </c>
      <c r="AI227" s="229">
        <f t="shared" si="432"/>
        <v>0</v>
      </c>
      <c r="AJ227" s="229">
        <f t="shared" si="433"/>
        <v>0</v>
      </c>
      <c r="AK227" s="229">
        <f t="shared" si="434"/>
        <v>0</v>
      </c>
      <c r="AL227" s="229">
        <f t="shared" si="435"/>
        <v>0</v>
      </c>
      <c r="AM227" s="229">
        <f t="shared" si="436"/>
        <v>0</v>
      </c>
      <c r="AN227" s="224">
        <f t="shared" ref="AN227:AY227" si="546">IF($T94&gt;0,(((EXP(-(1/(Morning_Peak_Duration__hours*2))*(AN$141-(Morning_Peak_Time__24hr_clock+$C227))^2))+(EXP(-(1/(Afternoon_Peak_Duration__hours*2))*(AN$141-(Afternoon_Peak_Time__24hr_clock+$C227))^2)))*$U94)/TZCalibrationValue,0)</f>
        <v>0</v>
      </c>
      <c r="AO227" s="224">
        <f t="shared" si="546"/>
        <v>0</v>
      </c>
      <c r="AP227" s="224">
        <f t="shared" si="546"/>
        <v>0</v>
      </c>
      <c r="AQ227" s="224">
        <f t="shared" si="546"/>
        <v>0</v>
      </c>
      <c r="AR227" s="224">
        <f t="shared" si="546"/>
        <v>0</v>
      </c>
      <c r="AS227" s="224">
        <f t="shared" si="546"/>
        <v>0</v>
      </c>
      <c r="AT227" s="224">
        <f t="shared" si="546"/>
        <v>0</v>
      </c>
      <c r="AU227" s="224">
        <f t="shared" si="546"/>
        <v>0</v>
      </c>
      <c r="AV227" s="224">
        <f t="shared" si="546"/>
        <v>0</v>
      </c>
      <c r="AW227" s="224">
        <f t="shared" si="546"/>
        <v>0</v>
      </c>
      <c r="AX227" s="224">
        <f t="shared" si="546"/>
        <v>0</v>
      </c>
      <c r="AY227" s="224">
        <f t="shared" si="546"/>
        <v>0</v>
      </c>
      <c r="AZ227" s="218"/>
      <c r="BA227"/>
      <c r="BB227" s="176" t="str">
        <f t="shared" si="438"/>
        <v>Site 86</v>
      </c>
      <c r="BC227" s="224">
        <f t="shared" ref="BC227:BN227" si="547">IF($T94&gt;0,(((EXP(-(1/(Morning_Peak_Duration__hours*2))*(BC$141-(Morning_Peak_Time__24hr_clock+$C227))^2))+(EXP(-(1/(Afternoon_Peak_Duration__hours*2))*(BC$141-(Afternoon_Peak_Time__24hr_clock+$C227))^2)))*$V94)/TZCalibrationValue,0)</f>
        <v>0</v>
      </c>
      <c r="BD227" s="224">
        <f t="shared" si="547"/>
        <v>0</v>
      </c>
      <c r="BE227" s="224">
        <f t="shared" si="547"/>
        <v>0</v>
      </c>
      <c r="BF227" s="224">
        <f t="shared" si="547"/>
        <v>0</v>
      </c>
      <c r="BG227" s="224">
        <f t="shared" si="547"/>
        <v>0</v>
      </c>
      <c r="BH227" s="224">
        <f t="shared" si="547"/>
        <v>0</v>
      </c>
      <c r="BI227" s="224">
        <f t="shared" si="547"/>
        <v>0</v>
      </c>
      <c r="BJ227" s="224">
        <f t="shared" si="547"/>
        <v>0</v>
      </c>
      <c r="BK227" s="224">
        <f t="shared" si="547"/>
        <v>0</v>
      </c>
      <c r="BL227" s="224">
        <f t="shared" si="547"/>
        <v>0</v>
      </c>
      <c r="BM227" s="224">
        <f t="shared" si="547"/>
        <v>0</v>
      </c>
      <c r="BN227" s="224">
        <f t="shared" si="547"/>
        <v>0</v>
      </c>
      <c r="BO227" s="229">
        <f t="shared" si="440"/>
        <v>0</v>
      </c>
      <c r="BP227" s="229">
        <f t="shared" si="441"/>
        <v>0</v>
      </c>
      <c r="BQ227" s="229">
        <f t="shared" si="442"/>
        <v>0</v>
      </c>
      <c r="BR227" s="229">
        <f t="shared" si="443"/>
        <v>0</v>
      </c>
      <c r="BS227" s="229">
        <f t="shared" si="444"/>
        <v>0</v>
      </c>
      <c r="BT227" s="229">
        <f t="shared" si="445"/>
        <v>0</v>
      </c>
      <c r="BU227" s="229">
        <f t="shared" si="446"/>
        <v>0</v>
      </c>
      <c r="BV227" s="229">
        <f t="shared" si="447"/>
        <v>0</v>
      </c>
      <c r="BW227" s="229">
        <f t="shared" si="448"/>
        <v>0</v>
      </c>
      <c r="BX227" s="229">
        <f t="shared" si="449"/>
        <v>0</v>
      </c>
      <c r="BY227" s="229">
        <f t="shared" si="450"/>
        <v>0</v>
      </c>
      <c r="BZ227" s="229">
        <f t="shared" si="451"/>
        <v>0</v>
      </c>
      <c r="CA227" s="229">
        <f t="shared" si="452"/>
        <v>0</v>
      </c>
      <c r="CB227" s="229">
        <f t="shared" si="453"/>
        <v>0</v>
      </c>
      <c r="CC227" s="229">
        <f t="shared" si="454"/>
        <v>0</v>
      </c>
      <c r="CD227" s="229">
        <f t="shared" si="455"/>
        <v>0</v>
      </c>
      <c r="CE227" s="229">
        <f t="shared" si="456"/>
        <v>0</v>
      </c>
      <c r="CF227" s="229">
        <f t="shared" si="457"/>
        <v>0</v>
      </c>
      <c r="CG227" s="229">
        <f t="shared" si="458"/>
        <v>0</v>
      </c>
      <c r="CH227" s="229">
        <f t="shared" si="459"/>
        <v>0</v>
      </c>
      <c r="CI227" s="229">
        <f t="shared" si="460"/>
        <v>0</v>
      </c>
      <c r="CJ227" s="229">
        <f t="shared" si="461"/>
        <v>0</v>
      </c>
      <c r="CK227" s="229">
        <f t="shared" si="462"/>
        <v>0</v>
      </c>
      <c r="CL227" s="229">
        <f t="shared" si="463"/>
        <v>0</v>
      </c>
      <c r="CM227" s="224">
        <f t="shared" ref="CM227:CX227" si="548">IF($T94&gt;0,(((EXP(-(1/(Morning_Peak_Duration__hours*2))*(CM$141-(Morning_Peak_Time__24hr_clock+$C227))^2))+(EXP(-(1/(Afternoon_Peak_Duration__hours*2))*(CM$141-(Afternoon_Peak_Time__24hr_clock+$C227))^2)))*$V94)/TZCalibrationValue,0)</f>
        <v>0</v>
      </c>
      <c r="CN227" s="224">
        <f t="shared" si="548"/>
        <v>0</v>
      </c>
      <c r="CO227" s="224">
        <f t="shared" si="548"/>
        <v>0</v>
      </c>
      <c r="CP227" s="224">
        <f t="shared" si="548"/>
        <v>0</v>
      </c>
      <c r="CQ227" s="224">
        <f t="shared" si="548"/>
        <v>0</v>
      </c>
      <c r="CR227" s="224">
        <f t="shared" si="548"/>
        <v>0</v>
      </c>
      <c r="CS227" s="224">
        <f t="shared" si="548"/>
        <v>0</v>
      </c>
      <c r="CT227" s="224">
        <f t="shared" si="548"/>
        <v>0</v>
      </c>
      <c r="CU227" s="224">
        <f t="shared" si="548"/>
        <v>0</v>
      </c>
      <c r="CV227" s="224">
        <f t="shared" si="548"/>
        <v>0</v>
      </c>
      <c r="CW227" s="224">
        <f t="shared" si="548"/>
        <v>0</v>
      </c>
      <c r="CX227" s="224">
        <f t="shared" si="548"/>
        <v>0</v>
      </c>
      <c r="CY227" s="218"/>
    </row>
    <row r="228" spans="2:103" hidden="1" outlineLevel="1">
      <c r="B228" t="str">
        <f t="shared" si="411"/>
        <v>Site 87</v>
      </c>
      <c r="C228" s="230">
        <f>VLOOKUP(D95,'Scaling Tables'!$B$123:$C$149,2,FALSE)-VLOOKUP($C$4,'Scaling Tables'!$B$123:$C$149,2,FALSE)</f>
        <v>0</v>
      </c>
      <c r="D228" s="224">
        <f t="shared" ref="D228:O228" si="549">IF($T95&gt;0,(((EXP(-(1/(Morning_Peak_Duration__hours*2))*(D$141-(Morning_Peak_Time__24hr_clock+$C228))^2))+(EXP(-(1/(Afternoon_Peak_Duration__hours*2))*(D$141-(Afternoon_Peak_Time__24hr_clock+$C228))^2)))*$U95)/TZCalibrationValue,0)</f>
        <v>0</v>
      </c>
      <c r="E228" s="224">
        <f t="shared" si="549"/>
        <v>0</v>
      </c>
      <c r="F228" s="224">
        <f t="shared" si="549"/>
        <v>0</v>
      </c>
      <c r="G228" s="224">
        <f t="shared" si="549"/>
        <v>0</v>
      </c>
      <c r="H228" s="224">
        <f t="shared" si="549"/>
        <v>0</v>
      </c>
      <c r="I228" s="224">
        <f t="shared" si="549"/>
        <v>0</v>
      </c>
      <c r="J228" s="224">
        <f t="shared" si="549"/>
        <v>0</v>
      </c>
      <c r="K228" s="224">
        <f t="shared" si="549"/>
        <v>0</v>
      </c>
      <c r="L228" s="224">
        <f t="shared" si="549"/>
        <v>0</v>
      </c>
      <c r="M228" s="224">
        <f t="shared" si="549"/>
        <v>0</v>
      </c>
      <c r="N228" s="224">
        <f t="shared" si="549"/>
        <v>0</v>
      </c>
      <c r="O228" s="224">
        <f t="shared" si="549"/>
        <v>0</v>
      </c>
      <c r="P228" s="229">
        <f t="shared" si="413"/>
        <v>0</v>
      </c>
      <c r="Q228" s="229">
        <f t="shared" si="414"/>
        <v>0</v>
      </c>
      <c r="R228" s="229">
        <f t="shared" si="415"/>
        <v>0</v>
      </c>
      <c r="S228" s="229">
        <f t="shared" si="416"/>
        <v>0</v>
      </c>
      <c r="T228" s="229">
        <f t="shared" si="417"/>
        <v>0</v>
      </c>
      <c r="U228" s="229">
        <f t="shared" si="418"/>
        <v>0</v>
      </c>
      <c r="V228" s="229">
        <f t="shared" si="419"/>
        <v>0</v>
      </c>
      <c r="W228" s="229">
        <f t="shared" si="420"/>
        <v>0</v>
      </c>
      <c r="X228" s="229">
        <f t="shared" si="421"/>
        <v>0</v>
      </c>
      <c r="Y228" s="229">
        <f t="shared" si="422"/>
        <v>0</v>
      </c>
      <c r="Z228" s="229">
        <f t="shared" si="423"/>
        <v>0</v>
      </c>
      <c r="AA228" s="229">
        <f t="shared" si="424"/>
        <v>0</v>
      </c>
      <c r="AB228" s="229">
        <f t="shared" si="425"/>
        <v>0</v>
      </c>
      <c r="AC228" s="229">
        <f t="shared" si="426"/>
        <v>0</v>
      </c>
      <c r="AD228" s="229">
        <f t="shared" si="427"/>
        <v>0</v>
      </c>
      <c r="AE228" s="229">
        <f t="shared" si="428"/>
        <v>0</v>
      </c>
      <c r="AF228" s="229">
        <f t="shared" si="429"/>
        <v>0</v>
      </c>
      <c r="AG228" s="229">
        <f t="shared" si="430"/>
        <v>0</v>
      </c>
      <c r="AH228" s="229">
        <f t="shared" si="431"/>
        <v>0</v>
      </c>
      <c r="AI228" s="229">
        <f t="shared" si="432"/>
        <v>0</v>
      </c>
      <c r="AJ228" s="229">
        <f t="shared" si="433"/>
        <v>0</v>
      </c>
      <c r="AK228" s="229">
        <f t="shared" si="434"/>
        <v>0</v>
      </c>
      <c r="AL228" s="229">
        <f t="shared" si="435"/>
        <v>0</v>
      </c>
      <c r="AM228" s="229">
        <f t="shared" si="436"/>
        <v>0</v>
      </c>
      <c r="AN228" s="224">
        <f t="shared" ref="AN228:AY228" si="550">IF($T95&gt;0,(((EXP(-(1/(Morning_Peak_Duration__hours*2))*(AN$141-(Morning_Peak_Time__24hr_clock+$C228))^2))+(EXP(-(1/(Afternoon_Peak_Duration__hours*2))*(AN$141-(Afternoon_Peak_Time__24hr_clock+$C228))^2)))*$U95)/TZCalibrationValue,0)</f>
        <v>0</v>
      </c>
      <c r="AO228" s="224">
        <f t="shared" si="550"/>
        <v>0</v>
      </c>
      <c r="AP228" s="224">
        <f t="shared" si="550"/>
        <v>0</v>
      </c>
      <c r="AQ228" s="224">
        <f t="shared" si="550"/>
        <v>0</v>
      </c>
      <c r="AR228" s="224">
        <f t="shared" si="550"/>
        <v>0</v>
      </c>
      <c r="AS228" s="224">
        <f t="shared" si="550"/>
        <v>0</v>
      </c>
      <c r="AT228" s="224">
        <f t="shared" si="550"/>
        <v>0</v>
      </c>
      <c r="AU228" s="224">
        <f t="shared" si="550"/>
        <v>0</v>
      </c>
      <c r="AV228" s="224">
        <f t="shared" si="550"/>
        <v>0</v>
      </c>
      <c r="AW228" s="224">
        <f t="shared" si="550"/>
        <v>0</v>
      </c>
      <c r="AX228" s="224">
        <f t="shared" si="550"/>
        <v>0</v>
      </c>
      <c r="AY228" s="224">
        <f t="shared" si="550"/>
        <v>0</v>
      </c>
      <c r="AZ228" s="218"/>
      <c r="BA228"/>
      <c r="BB228" s="176" t="str">
        <f t="shared" si="438"/>
        <v>Site 87</v>
      </c>
      <c r="BC228" s="224">
        <f t="shared" ref="BC228:BN228" si="551">IF($T95&gt;0,(((EXP(-(1/(Morning_Peak_Duration__hours*2))*(BC$141-(Morning_Peak_Time__24hr_clock+$C228))^2))+(EXP(-(1/(Afternoon_Peak_Duration__hours*2))*(BC$141-(Afternoon_Peak_Time__24hr_clock+$C228))^2)))*$V95)/TZCalibrationValue,0)</f>
        <v>0</v>
      </c>
      <c r="BD228" s="224">
        <f t="shared" si="551"/>
        <v>0</v>
      </c>
      <c r="BE228" s="224">
        <f t="shared" si="551"/>
        <v>0</v>
      </c>
      <c r="BF228" s="224">
        <f t="shared" si="551"/>
        <v>0</v>
      </c>
      <c r="BG228" s="224">
        <f t="shared" si="551"/>
        <v>0</v>
      </c>
      <c r="BH228" s="224">
        <f t="shared" si="551"/>
        <v>0</v>
      </c>
      <c r="BI228" s="224">
        <f t="shared" si="551"/>
        <v>0</v>
      </c>
      <c r="BJ228" s="224">
        <f t="shared" si="551"/>
        <v>0</v>
      </c>
      <c r="BK228" s="224">
        <f t="shared" si="551"/>
        <v>0</v>
      </c>
      <c r="BL228" s="224">
        <f t="shared" si="551"/>
        <v>0</v>
      </c>
      <c r="BM228" s="224">
        <f t="shared" si="551"/>
        <v>0</v>
      </c>
      <c r="BN228" s="224">
        <f t="shared" si="551"/>
        <v>0</v>
      </c>
      <c r="BO228" s="229">
        <f t="shared" si="440"/>
        <v>0</v>
      </c>
      <c r="BP228" s="229">
        <f t="shared" si="441"/>
        <v>0</v>
      </c>
      <c r="BQ228" s="229">
        <f t="shared" si="442"/>
        <v>0</v>
      </c>
      <c r="BR228" s="229">
        <f t="shared" si="443"/>
        <v>0</v>
      </c>
      <c r="BS228" s="229">
        <f t="shared" si="444"/>
        <v>0</v>
      </c>
      <c r="BT228" s="229">
        <f t="shared" si="445"/>
        <v>0</v>
      </c>
      <c r="BU228" s="229">
        <f t="shared" si="446"/>
        <v>0</v>
      </c>
      <c r="BV228" s="229">
        <f t="shared" si="447"/>
        <v>0</v>
      </c>
      <c r="BW228" s="229">
        <f t="shared" si="448"/>
        <v>0</v>
      </c>
      <c r="BX228" s="229">
        <f t="shared" si="449"/>
        <v>0</v>
      </c>
      <c r="BY228" s="229">
        <f t="shared" si="450"/>
        <v>0</v>
      </c>
      <c r="BZ228" s="229">
        <f t="shared" si="451"/>
        <v>0</v>
      </c>
      <c r="CA228" s="229">
        <f t="shared" si="452"/>
        <v>0</v>
      </c>
      <c r="CB228" s="229">
        <f t="shared" si="453"/>
        <v>0</v>
      </c>
      <c r="CC228" s="229">
        <f t="shared" si="454"/>
        <v>0</v>
      </c>
      <c r="CD228" s="229">
        <f t="shared" si="455"/>
        <v>0</v>
      </c>
      <c r="CE228" s="229">
        <f t="shared" si="456"/>
        <v>0</v>
      </c>
      <c r="CF228" s="229">
        <f t="shared" si="457"/>
        <v>0</v>
      </c>
      <c r="CG228" s="229">
        <f t="shared" si="458"/>
        <v>0</v>
      </c>
      <c r="CH228" s="229">
        <f t="shared" si="459"/>
        <v>0</v>
      </c>
      <c r="CI228" s="229">
        <f t="shared" si="460"/>
        <v>0</v>
      </c>
      <c r="CJ228" s="229">
        <f t="shared" si="461"/>
        <v>0</v>
      </c>
      <c r="CK228" s="229">
        <f t="shared" si="462"/>
        <v>0</v>
      </c>
      <c r="CL228" s="229">
        <f t="shared" si="463"/>
        <v>0</v>
      </c>
      <c r="CM228" s="224">
        <f t="shared" ref="CM228:CX228" si="552">IF($T95&gt;0,(((EXP(-(1/(Morning_Peak_Duration__hours*2))*(CM$141-(Morning_Peak_Time__24hr_clock+$C228))^2))+(EXP(-(1/(Afternoon_Peak_Duration__hours*2))*(CM$141-(Afternoon_Peak_Time__24hr_clock+$C228))^2)))*$V95)/TZCalibrationValue,0)</f>
        <v>0</v>
      </c>
      <c r="CN228" s="224">
        <f t="shared" si="552"/>
        <v>0</v>
      </c>
      <c r="CO228" s="224">
        <f t="shared" si="552"/>
        <v>0</v>
      </c>
      <c r="CP228" s="224">
        <f t="shared" si="552"/>
        <v>0</v>
      </c>
      <c r="CQ228" s="224">
        <f t="shared" si="552"/>
        <v>0</v>
      </c>
      <c r="CR228" s="224">
        <f t="shared" si="552"/>
        <v>0</v>
      </c>
      <c r="CS228" s="224">
        <f t="shared" si="552"/>
        <v>0</v>
      </c>
      <c r="CT228" s="224">
        <f t="shared" si="552"/>
        <v>0</v>
      </c>
      <c r="CU228" s="224">
        <f t="shared" si="552"/>
        <v>0</v>
      </c>
      <c r="CV228" s="224">
        <f t="shared" si="552"/>
        <v>0</v>
      </c>
      <c r="CW228" s="224">
        <f t="shared" si="552"/>
        <v>0</v>
      </c>
      <c r="CX228" s="224">
        <f t="shared" si="552"/>
        <v>0</v>
      </c>
      <c r="CY228" s="218"/>
    </row>
    <row r="229" spans="2:103" hidden="1" outlineLevel="1">
      <c r="B229" t="str">
        <f t="shared" si="411"/>
        <v>Site 88</v>
      </c>
      <c r="C229" s="230">
        <f>VLOOKUP(D96,'Scaling Tables'!$B$123:$C$149,2,FALSE)-VLOOKUP($C$4,'Scaling Tables'!$B$123:$C$149,2,FALSE)</f>
        <v>0</v>
      </c>
      <c r="D229" s="224">
        <f t="shared" ref="D229:O229" si="553">IF($T96&gt;0,(((EXP(-(1/(Morning_Peak_Duration__hours*2))*(D$141-(Morning_Peak_Time__24hr_clock+$C229))^2))+(EXP(-(1/(Afternoon_Peak_Duration__hours*2))*(D$141-(Afternoon_Peak_Time__24hr_clock+$C229))^2)))*$U96)/TZCalibrationValue,0)</f>
        <v>0</v>
      </c>
      <c r="E229" s="224">
        <f t="shared" si="553"/>
        <v>0</v>
      </c>
      <c r="F229" s="224">
        <f t="shared" si="553"/>
        <v>0</v>
      </c>
      <c r="G229" s="224">
        <f t="shared" si="553"/>
        <v>0</v>
      </c>
      <c r="H229" s="224">
        <f t="shared" si="553"/>
        <v>0</v>
      </c>
      <c r="I229" s="224">
        <f t="shared" si="553"/>
        <v>0</v>
      </c>
      <c r="J229" s="224">
        <f t="shared" si="553"/>
        <v>0</v>
      </c>
      <c r="K229" s="224">
        <f t="shared" si="553"/>
        <v>0</v>
      </c>
      <c r="L229" s="224">
        <f t="shared" si="553"/>
        <v>0</v>
      </c>
      <c r="M229" s="224">
        <f t="shared" si="553"/>
        <v>0</v>
      </c>
      <c r="N229" s="224">
        <f t="shared" si="553"/>
        <v>0</v>
      </c>
      <c r="O229" s="224">
        <f t="shared" si="553"/>
        <v>0</v>
      </c>
      <c r="P229" s="229">
        <f t="shared" si="413"/>
        <v>0</v>
      </c>
      <c r="Q229" s="229">
        <f t="shared" si="414"/>
        <v>0</v>
      </c>
      <c r="R229" s="229">
        <f t="shared" si="415"/>
        <v>0</v>
      </c>
      <c r="S229" s="229">
        <f t="shared" si="416"/>
        <v>0</v>
      </c>
      <c r="T229" s="229">
        <f t="shared" si="417"/>
        <v>0</v>
      </c>
      <c r="U229" s="229">
        <f t="shared" si="418"/>
        <v>0</v>
      </c>
      <c r="V229" s="229">
        <f t="shared" si="419"/>
        <v>0</v>
      </c>
      <c r="W229" s="229">
        <f t="shared" si="420"/>
        <v>0</v>
      </c>
      <c r="X229" s="229">
        <f t="shared" si="421"/>
        <v>0</v>
      </c>
      <c r="Y229" s="229">
        <f t="shared" si="422"/>
        <v>0</v>
      </c>
      <c r="Z229" s="229">
        <f t="shared" si="423"/>
        <v>0</v>
      </c>
      <c r="AA229" s="229">
        <f t="shared" si="424"/>
        <v>0</v>
      </c>
      <c r="AB229" s="229">
        <f t="shared" si="425"/>
        <v>0</v>
      </c>
      <c r="AC229" s="229">
        <f t="shared" si="426"/>
        <v>0</v>
      </c>
      <c r="AD229" s="229">
        <f t="shared" si="427"/>
        <v>0</v>
      </c>
      <c r="AE229" s="229">
        <f t="shared" si="428"/>
        <v>0</v>
      </c>
      <c r="AF229" s="229">
        <f t="shared" si="429"/>
        <v>0</v>
      </c>
      <c r="AG229" s="229">
        <f t="shared" si="430"/>
        <v>0</v>
      </c>
      <c r="AH229" s="229">
        <f t="shared" si="431"/>
        <v>0</v>
      </c>
      <c r="AI229" s="229">
        <f t="shared" si="432"/>
        <v>0</v>
      </c>
      <c r="AJ229" s="229">
        <f t="shared" si="433"/>
        <v>0</v>
      </c>
      <c r="AK229" s="229">
        <f t="shared" si="434"/>
        <v>0</v>
      </c>
      <c r="AL229" s="229">
        <f t="shared" si="435"/>
        <v>0</v>
      </c>
      <c r="AM229" s="229">
        <f t="shared" si="436"/>
        <v>0</v>
      </c>
      <c r="AN229" s="224">
        <f t="shared" ref="AN229:AY229" si="554">IF($T96&gt;0,(((EXP(-(1/(Morning_Peak_Duration__hours*2))*(AN$141-(Morning_Peak_Time__24hr_clock+$C229))^2))+(EXP(-(1/(Afternoon_Peak_Duration__hours*2))*(AN$141-(Afternoon_Peak_Time__24hr_clock+$C229))^2)))*$U96)/TZCalibrationValue,0)</f>
        <v>0</v>
      </c>
      <c r="AO229" s="224">
        <f t="shared" si="554"/>
        <v>0</v>
      </c>
      <c r="AP229" s="224">
        <f t="shared" si="554"/>
        <v>0</v>
      </c>
      <c r="AQ229" s="224">
        <f t="shared" si="554"/>
        <v>0</v>
      </c>
      <c r="AR229" s="224">
        <f t="shared" si="554"/>
        <v>0</v>
      </c>
      <c r="AS229" s="224">
        <f t="shared" si="554"/>
        <v>0</v>
      </c>
      <c r="AT229" s="224">
        <f t="shared" si="554"/>
        <v>0</v>
      </c>
      <c r="AU229" s="224">
        <f t="shared" si="554"/>
        <v>0</v>
      </c>
      <c r="AV229" s="224">
        <f t="shared" si="554"/>
        <v>0</v>
      </c>
      <c r="AW229" s="224">
        <f t="shared" si="554"/>
        <v>0</v>
      </c>
      <c r="AX229" s="224">
        <f t="shared" si="554"/>
        <v>0</v>
      </c>
      <c r="AY229" s="224">
        <f t="shared" si="554"/>
        <v>0</v>
      </c>
      <c r="AZ229" s="218"/>
      <c r="BA229"/>
      <c r="BB229" s="176" t="str">
        <f t="shared" si="438"/>
        <v>Site 88</v>
      </c>
      <c r="BC229" s="224">
        <f t="shared" ref="BC229:BN229" si="555">IF($T96&gt;0,(((EXP(-(1/(Morning_Peak_Duration__hours*2))*(BC$141-(Morning_Peak_Time__24hr_clock+$C229))^2))+(EXP(-(1/(Afternoon_Peak_Duration__hours*2))*(BC$141-(Afternoon_Peak_Time__24hr_clock+$C229))^2)))*$V96)/TZCalibrationValue,0)</f>
        <v>0</v>
      </c>
      <c r="BD229" s="224">
        <f t="shared" si="555"/>
        <v>0</v>
      </c>
      <c r="BE229" s="224">
        <f t="shared" si="555"/>
        <v>0</v>
      </c>
      <c r="BF229" s="224">
        <f t="shared" si="555"/>
        <v>0</v>
      </c>
      <c r="BG229" s="224">
        <f t="shared" si="555"/>
        <v>0</v>
      </c>
      <c r="BH229" s="224">
        <f t="shared" si="555"/>
        <v>0</v>
      </c>
      <c r="BI229" s="224">
        <f t="shared" si="555"/>
        <v>0</v>
      </c>
      <c r="BJ229" s="224">
        <f t="shared" si="555"/>
        <v>0</v>
      </c>
      <c r="BK229" s="224">
        <f t="shared" si="555"/>
        <v>0</v>
      </c>
      <c r="BL229" s="224">
        <f t="shared" si="555"/>
        <v>0</v>
      </c>
      <c r="BM229" s="224">
        <f t="shared" si="555"/>
        <v>0</v>
      </c>
      <c r="BN229" s="224">
        <f t="shared" si="555"/>
        <v>0</v>
      </c>
      <c r="BO229" s="229">
        <f t="shared" si="440"/>
        <v>0</v>
      </c>
      <c r="BP229" s="229">
        <f t="shared" si="441"/>
        <v>0</v>
      </c>
      <c r="BQ229" s="229">
        <f t="shared" si="442"/>
        <v>0</v>
      </c>
      <c r="BR229" s="229">
        <f t="shared" si="443"/>
        <v>0</v>
      </c>
      <c r="BS229" s="229">
        <f t="shared" si="444"/>
        <v>0</v>
      </c>
      <c r="BT229" s="229">
        <f t="shared" si="445"/>
        <v>0</v>
      </c>
      <c r="BU229" s="229">
        <f t="shared" si="446"/>
        <v>0</v>
      </c>
      <c r="BV229" s="229">
        <f t="shared" si="447"/>
        <v>0</v>
      </c>
      <c r="BW229" s="229">
        <f t="shared" si="448"/>
        <v>0</v>
      </c>
      <c r="BX229" s="229">
        <f t="shared" si="449"/>
        <v>0</v>
      </c>
      <c r="BY229" s="229">
        <f t="shared" si="450"/>
        <v>0</v>
      </c>
      <c r="BZ229" s="229">
        <f t="shared" si="451"/>
        <v>0</v>
      </c>
      <c r="CA229" s="229">
        <f t="shared" si="452"/>
        <v>0</v>
      </c>
      <c r="CB229" s="229">
        <f t="shared" si="453"/>
        <v>0</v>
      </c>
      <c r="CC229" s="229">
        <f t="shared" si="454"/>
        <v>0</v>
      </c>
      <c r="CD229" s="229">
        <f t="shared" si="455"/>
        <v>0</v>
      </c>
      <c r="CE229" s="229">
        <f t="shared" si="456"/>
        <v>0</v>
      </c>
      <c r="CF229" s="229">
        <f t="shared" si="457"/>
        <v>0</v>
      </c>
      <c r="CG229" s="229">
        <f t="shared" si="458"/>
        <v>0</v>
      </c>
      <c r="CH229" s="229">
        <f t="shared" si="459"/>
        <v>0</v>
      </c>
      <c r="CI229" s="229">
        <f t="shared" si="460"/>
        <v>0</v>
      </c>
      <c r="CJ229" s="229">
        <f t="shared" si="461"/>
        <v>0</v>
      </c>
      <c r="CK229" s="229">
        <f t="shared" si="462"/>
        <v>0</v>
      </c>
      <c r="CL229" s="229">
        <f t="shared" si="463"/>
        <v>0</v>
      </c>
      <c r="CM229" s="224">
        <f t="shared" ref="CM229:CX229" si="556">IF($T96&gt;0,(((EXP(-(1/(Morning_Peak_Duration__hours*2))*(CM$141-(Morning_Peak_Time__24hr_clock+$C229))^2))+(EXP(-(1/(Afternoon_Peak_Duration__hours*2))*(CM$141-(Afternoon_Peak_Time__24hr_clock+$C229))^2)))*$V96)/TZCalibrationValue,0)</f>
        <v>0</v>
      </c>
      <c r="CN229" s="224">
        <f t="shared" si="556"/>
        <v>0</v>
      </c>
      <c r="CO229" s="224">
        <f t="shared" si="556"/>
        <v>0</v>
      </c>
      <c r="CP229" s="224">
        <f t="shared" si="556"/>
        <v>0</v>
      </c>
      <c r="CQ229" s="224">
        <f t="shared" si="556"/>
        <v>0</v>
      </c>
      <c r="CR229" s="224">
        <f t="shared" si="556"/>
        <v>0</v>
      </c>
      <c r="CS229" s="224">
        <f t="shared" si="556"/>
        <v>0</v>
      </c>
      <c r="CT229" s="224">
        <f t="shared" si="556"/>
        <v>0</v>
      </c>
      <c r="CU229" s="224">
        <f t="shared" si="556"/>
        <v>0</v>
      </c>
      <c r="CV229" s="224">
        <f t="shared" si="556"/>
        <v>0</v>
      </c>
      <c r="CW229" s="224">
        <f t="shared" si="556"/>
        <v>0</v>
      </c>
      <c r="CX229" s="224">
        <f t="shared" si="556"/>
        <v>0</v>
      </c>
      <c r="CY229" s="218"/>
    </row>
    <row r="230" spans="2:103" hidden="1" outlineLevel="1">
      <c r="B230" t="str">
        <f t="shared" si="411"/>
        <v>Site 89</v>
      </c>
      <c r="C230" s="230">
        <f>VLOOKUP(D97,'Scaling Tables'!$B$123:$C$149,2,FALSE)-VLOOKUP($C$4,'Scaling Tables'!$B$123:$C$149,2,FALSE)</f>
        <v>0</v>
      </c>
      <c r="D230" s="224">
        <f t="shared" ref="D230:O230" si="557">IF($T97&gt;0,(((EXP(-(1/(Morning_Peak_Duration__hours*2))*(D$141-(Morning_Peak_Time__24hr_clock+$C230))^2))+(EXP(-(1/(Afternoon_Peak_Duration__hours*2))*(D$141-(Afternoon_Peak_Time__24hr_clock+$C230))^2)))*$U97)/TZCalibrationValue,0)</f>
        <v>0</v>
      </c>
      <c r="E230" s="224">
        <f t="shared" si="557"/>
        <v>0</v>
      </c>
      <c r="F230" s="224">
        <f t="shared" si="557"/>
        <v>0</v>
      </c>
      <c r="G230" s="224">
        <f t="shared" si="557"/>
        <v>0</v>
      </c>
      <c r="H230" s="224">
        <f t="shared" si="557"/>
        <v>0</v>
      </c>
      <c r="I230" s="224">
        <f t="shared" si="557"/>
        <v>0</v>
      </c>
      <c r="J230" s="224">
        <f t="shared" si="557"/>
        <v>0</v>
      </c>
      <c r="K230" s="224">
        <f t="shared" si="557"/>
        <v>0</v>
      </c>
      <c r="L230" s="224">
        <f t="shared" si="557"/>
        <v>0</v>
      </c>
      <c r="M230" s="224">
        <f t="shared" si="557"/>
        <v>0</v>
      </c>
      <c r="N230" s="224">
        <f t="shared" si="557"/>
        <v>0</v>
      </c>
      <c r="O230" s="224">
        <f t="shared" si="557"/>
        <v>0</v>
      </c>
      <c r="P230" s="229">
        <f t="shared" si="413"/>
        <v>0</v>
      </c>
      <c r="Q230" s="229">
        <f t="shared" si="414"/>
        <v>0</v>
      </c>
      <c r="R230" s="229">
        <f t="shared" si="415"/>
        <v>0</v>
      </c>
      <c r="S230" s="229">
        <f t="shared" si="416"/>
        <v>0</v>
      </c>
      <c r="T230" s="229">
        <f t="shared" si="417"/>
        <v>0</v>
      </c>
      <c r="U230" s="229">
        <f t="shared" si="418"/>
        <v>0</v>
      </c>
      <c r="V230" s="229">
        <f t="shared" si="419"/>
        <v>0</v>
      </c>
      <c r="W230" s="229">
        <f t="shared" si="420"/>
        <v>0</v>
      </c>
      <c r="X230" s="229">
        <f t="shared" si="421"/>
        <v>0</v>
      </c>
      <c r="Y230" s="229">
        <f t="shared" si="422"/>
        <v>0</v>
      </c>
      <c r="Z230" s="229">
        <f t="shared" si="423"/>
        <v>0</v>
      </c>
      <c r="AA230" s="229">
        <f t="shared" si="424"/>
        <v>0</v>
      </c>
      <c r="AB230" s="229">
        <f t="shared" si="425"/>
        <v>0</v>
      </c>
      <c r="AC230" s="229">
        <f t="shared" si="426"/>
        <v>0</v>
      </c>
      <c r="AD230" s="229">
        <f t="shared" si="427"/>
        <v>0</v>
      </c>
      <c r="AE230" s="229">
        <f t="shared" si="428"/>
        <v>0</v>
      </c>
      <c r="AF230" s="229">
        <f t="shared" si="429"/>
        <v>0</v>
      </c>
      <c r="AG230" s="229">
        <f t="shared" si="430"/>
        <v>0</v>
      </c>
      <c r="AH230" s="229">
        <f t="shared" si="431"/>
        <v>0</v>
      </c>
      <c r="AI230" s="229">
        <f t="shared" si="432"/>
        <v>0</v>
      </c>
      <c r="AJ230" s="229">
        <f t="shared" si="433"/>
        <v>0</v>
      </c>
      <c r="AK230" s="229">
        <f t="shared" si="434"/>
        <v>0</v>
      </c>
      <c r="AL230" s="229">
        <f t="shared" si="435"/>
        <v>0</v>
      </c>
      <c r="AM230" s="229">
        <f t="shared" si="436"/>
        <v>0</v>
      </c>
      <c r="AN230" s="224">
        <f t="shared" ref="AN230:AY230" si="558">IF($T97&gt;0,(((EXP(-(1/(Morning_Peak_Duration__hours*2))*(AN$141-(Morning_Peak_Time__24hr_clock+$C230))^2))+(EXP(-(1/(Afternoon_Peak_Duration__hours*2))*(AN$141-(Afternoon_Peak_Time__24hr_clock+$C230))^2)))*$U97)/TZCalibrationValue,0)</f>
        <v>0</v>
      </c>
      <c r="AO230" s="224">
        <f t="shared" si="558"/>
        <v>0</v>
      </c>
      <c r="AP230" s="224">
        <f t="shared" si="558"/>
        <v>0</v>
      </c>
      <c r="AQ230" s="224">
        <f t="shared" si="558"/>
        <v>0</v>
      </c>
      <c r="AR230" s="224">
        <f t="shared" si="558"/>
        <v>0</v>
      </c>
      <c r="AS230" s="224">
        <f t="shared" si="558"/>
        <v>0</v>
      </c>
      <c r="AT230" s="224">
        <f t="shared" si="558"/>
        <v>0</v>
      </c>
      <c r="AU230" s="224">
        <f t="shared" si="558"/>
        <v>0</v>
      </c>
      <c r="AV230" s="224">
        <f t="shared" si="558"/>
        <v>0</v>
      </c>
      <c r="AW230" s="224">
        <f t="shared" si="558"/>
        <v>0</v>
      </c>
      <c r="AX230" s="224">
        <f t="shared" si="558"/>
        <v>0</v>
      </c>
      <c r="AY230" s="224">
        <f t="shared" si="558"/>
        <v>0</v>
      </c>
      <c r="AZ230" s="218"/>
      <c r="BA230"/>
      <c r="BB230" s="176" t="str">
        <f t="shared" si="438"/>
        <v>Site 89</v>
      </c>
      <c r="BC230" s="224">
        <f t="shared" ref="BC230:BN230" si="559">IF($T97&gt;0,(((EXP(-(1/(Morning_Peak_Duration__hours*2))*(BC$141-(Morning_Peak_Time__24hr_clock+$C230))^2))+(EXP(-(1/(Afternoon_Peak_Duration__hours*2))*(BC$141-(Afternoon_Peak_Time__24hr_clock+$C230))^2)))*$V97)/TZCalibrationValue,0)</f>
        <v>0</v>
      </c>
      <c r="BD230" s="224">
        <f t="shared" si="559"/>
        <v>0</v>
      </c>
      <c r="BE230" s="224">
        <f t="shared" si="559"/>
        <v>0</v>
      </c>
      <c r="BF230" s="224">
        <f t="shared" si="559"/>
        <v>0</v>
      </c>
      <c r="BG230" s="224">
        <f t="shared" si="559"/>
        <v>0</v>
      </c>
      <c r="BH230" s="224">
        <f t="shared" si="559"/>
        <v>0</v>
      </c>
      <c r="BI230" s="224">
        <f t="shared" si="559"/>
        <v>0</v>
      </c>
      <c r="BJ230" s="224">
        <f t="shared" si="559"/>
        <v>0</v>
      </c>
      <c r="BK230" s="224">
        <f t="shared" si="559"/>
        <v>0</v>
      </c>
      <c r="BL230" s="224">
        <f t="shared" si="559"/>
        <v>0</v>
      </c>
      <c r="BM230" s="224">
        <f t="shared" si="559"/>
        <v>0</v>
      </c>
      <c r="BN230" s="224">
        <f t="shared" si="559"/>
        <v>0</v>
      </c>
      <c r="BO230" s="229">
        <f t="shared" si="440"/>
        <v>0</v>
      </c>
      <c r="BP230" s="229">
        <f t="shared" si="441"/>
        <v>0</v>
      </c>
      <c r="BQ230" s="229">
        <f t="shared" si="442"/>
        <v>0</v>
      </c>
      <c r="BR230" s="229">
        <f t="shared" si="443"/>
        <v>0</v>
      </c>
      <c r="BS230" s="229">
        <f t="shared" si="444"/>
        <v>0</v>
      </c>
      <c r="BT230" s="229">
        <f t="shared" si="445"/>
        <v>0</v>
      </c>
      <c r="BU230" s="229">
        <f t="shared" si="446"/>
        <v>0</v>
      </c>
      <c r="BV230" s="229">
        <f t="shared" si="447"/>
        <v>0</v>
      </c>
      <c r="BW230" s="229">
        <f t="shared" si="448"/>
        <v>0</v>
      </c>
      <c r="BX230" s="229">
        <f t="shared" si="449"/>
        <v>0</v>
      </c>
      <c r="BY230" s="229">
        <f t="shared" si="450"/>
        <v>0</v>
      </c>
      <c r="BZ230" s="229">
        <f t="shared" si="451"/>
        <v>0</v>
      </c>
      <c r="CA230" s="229">
        <f t="shared" si="452"/>
        <v>0</v>
      </c>
      <c r="CB230" s="229">
        <f t="shared" si="453"/>
        <v>0</v>
      </c>
      <c r="CC230" s="229">
        <f t="shared" si="454"/>
        <v>0</v>
      </c>
      <c r="CD230" s="229">
        <f t="shared" si="455"/>
        <v>0</v>
      </c>
      <c r="CE230" s="229">
        <f t="shared" si="456"/>
        <v>0</v>
      </c>
      <c r="CF230" s="229">
        <f t="shared" si="457"/>
        <v>0</v>
      </c>
      <c r="CG230" s="229">
        <f t="shared" si="458"/>
        <v>0</v>
      </c>
      <c r="CH230" s="229">
        <f t="shared" si="459"/>
        <v>0</v>
      </c>
      <c r="CI230" s="229">
        <f t="shared" si="460"/>
        <v>0</v>
      </c>
      <c r="CJ230" s="229">
        <f t="shared" si="461"/>
        <v>0</v>
      </c>
      <c r="CK230" s="229">
        <f t="shared" si="462"/>
        <v>0</v>
      </c>
      <c r="CL230" s="229">
        <f t="shared" si="463"/>
        <v>0</v>
      </c>
      <c r="CM230" s="224">
        <f t="shared" ref="CM230:CX230" si="560">IF($T97&gt;0,(((EXP(-(1/(Morning_Peak_Duration__hours*2))*(CM$141-(Morning_Peak_Time__24hr_clock+$C230))^2))+(EXP(-(1/(Afternoon_Peak_Duration__hours*2))*(CM$141-(Afternoon_Peak_Time__24hr_clock+$C230))^2)))*$V97)/TZCalibrationValue,0)</f>
        <v>0</v>
      </c>
      <c r="CN230" s="224">
        <f t="shared" si="560"/>
        <v>0</v>
      </c>
      <c r="CO230" s="224">
        <f t="shared" si="560"/>
        <v>0</v>
      </c>
      <c r="CP230" s="224">
        <f t="shared" si="560"/>
        <v>0</v>
      </c>
      <c r="CQ230" s="224">
        <f t="shared" si="560"/>
        <v>0</v>
      </c>
      <c r="CR230" s="224">
        <f t="shared" si="560"/>
        <v>0</v>
      </c>
      <c r="CS230" s="224">
        <f t="shared" si="560"/>
        <v>0</v>
      </c>
      <c r="CT230" s="224">
        <f t="shared" si="560"/>
        <v>0</v>
      </c>
      <c r="CU230" s="224">
        <f t="shared" si="560"/>
        <v>0</v>
      </c>
      <c r="CV230" s="224">
        <f t="shared" si="560"/>
        <v>0</v>
      </c>
      <c r="CW230" s="224">
        <f t="shared" si="560"/>
        <v>0</v>
      </c>
      <c r="CX230" s="224">
        <f t="shared" si="560"/>
        <v>0</v>
      </c>
      <c r="CY230" s="218"/>
    </row>
    <row r="231" spans="2:103" hidden="1" outlineLevel="1">
      <c r="B231" t="str">
        <f t="shared" si="411"/>
        <v>Site 90</v>
      </c>
      <c r="C231" s="230">
        <f>VLOOKUP(D98,'Scaling Tables'!$B$123:$C$149,2,FALSE)-VLOOKUP($C$4,'Scaling Tables'!$B$123:$C$149,2,FALSE)</f>
        <v>0</v>
      </c>
      <c r="D231" s="224">
        <f t="shared" ref="D231:O231" si="561">IF($T98&gt;0,(((EXP(-(1/(Morning_Peak_Duration__hours*2))*(D$141-(Morning_Peak_Time__24hr_clock+$C231))^2))+(EXP(-(1/(Afternoon_Peak_Duration__hours*2))*(D$141-(Afternoon_Peak_Time__24hr_clock+$C231))^2)))*$U98)/TZCalibrationValue,0)</f>
        <v>0</v>
      </c>
      <c r="E231" s="224">
        <f t="shared" si="561"/>
        <v>0</v>
      </c>
      <c r="F231" s="224">
        <f t="shared" si="561"/>
        <v>0</v>
      </c>
      <c r="G231" s="224">
        <f t="shared" si="561"/>
        <v>0</v>
      </c>
      <c r="H231" s="224">
        <f t="shared" si="561"/>
        <v>0</v>
      </c>
      <c r="I231" s="224">
        <f t="shared" si="561"/>
        <v>0</v>
      </c>
      <c r="J231" s="224">
        <f t="shared" si="561"/>
        <v>0</v>
      </c>
      <c r="K231" s="224">
        <f t="shared" si="561"/>
        <v>0</v>
      </c>
      <c r="L231" s="224">
        <f t="shared" si="561"/>
        <v>0</v>
      </c>
      <c r="M231" s="224">
        <f t="shared" si="561"/>
        <v>0</v>
      </c>
      <c r="N231" s="224">
        <f t="shared" si="561"/>
        <v>0</v>
      </c>
      <c r="O231" s="224">
        <f t="shared" si="561"/>
        <v>0</v>
      </c>
      <c r="P231" s="229">
        <f t="shared" si="413"/>
        <v>0</v>
      </c>
      <c r="Q231" s="229">
        <f t="shared" si="414"/>
        <v>0</v>
      </c>
      <c r="R231" s="229">
        <f t="shared" si="415"/>
        <v>0</v>
      </c>
      <c r="S231" s="229">
        <f t="shared" si="416"/>
        <v>0</v>
      </c>
      <c r="T231" s="229">
        <f t="shared" si="417"/>
        <v>0</v>
      </c>
      <c r="U231" s="229">
        <f t="shared" si="418"/>
        <v>0</v>
      </c>
      <c r="V231" s="229">
        <f t="shared" si="419"/>
        <v>0</v>
      </c>
      <c r="W231" s="229">
        <f t="shared" si="420"/>
        <v>0</v>
      </c>
      <c r="X231" s="229">
        <f t="shared" si="421"/>
        <v>0</v>
      </c>
      <c r="Y231" s="229">
        <f t="shared" si="422"/>
        <v>0</v>
      </c>
      <c r="Z231" s="229">
        <f t="shared" si="423"/>
        <v>0</v>
      </c>
      <c r="AA231" s="229">
        <f t="shared" si="424"/>
        <v>0</v>
      </c>
      <c r="AB231" s="229">
        <f t="shared" si="425"/>
        <v>0</v>
      </c>
      <c r="AC231" s="229">
        <f t="shared" si="426"/>
        <v>0</v>
      </c>
      <c r="AD231" s="229">
        <f t="shared" si="427"/>
        <v>0</v>
      </c>
      <c r="AE231" s="229">
        <f t="shared" si="428"/>
        <v>0</v>
      </c>
      <c r="AF231" s="229">
        <f t="shared" si="429"/>
        <v>0</v>
      </c>
      <c r="AG231" s="229">
        <f t="shared" si="430"/>
        <v>0</v>
      </c>
      <c r="AH231" s="229">
        <f t="shared" si="431"/>
        <v>0</v>
      </c>
      <c r="AI231" s="229">
        <f t="shared" si="432"/>
        <v>0</v>
      </c>
      <c r="AJ231" s="229">
        <f t="shared" si="433"/>
        <v>0</v>
      </c>
      <c r="AK231" s="229">
        <f t="shared" si="434"/>
        <v>0</v>
      </c>
      <c r="AL231" s="229">
        <f t="shared" si="435"/>
        <v>0</v>
      </c>
      <c r="AM231" s="229">
        <f t="shared" si="436"/>
        <v>0</v>
      </c>
      <c r="AN231" s="224">
        <f t="shared" ref="AN231:AY231" si="562">IF($T98&gt;0,(((EXP(-(1/(Morning_Peak_Duration__hours*2))*(AN$141-(Morning_Peak_Time__24hr_clock+$C231))^2))+(EXP(-(1/(Afternoon_Peak_Duration__hours*2))*(AN$141-(Afternoon_Peak_Time__24hr_clock+$C231))^2)))*$U98)/TZCalibrationValue,0)</f>
        <v>0</v>
      </c>
      <c r="AO231" s="224">
        <f t="shared" si="562"/>
        <v>0</v>
      </c>
      <c r="AP231" s="224">
        <f t="shared" si="562"/>
        <v>0</v>
      </c>
      <c r="AQ231" s="224">
        <f t="shared" si="562"/>
        <v>0</v>
      </c>
      <c r="AR231" s="224">
        <f t="shared" si="562"/>
        <v>0</v>
      </c>
      <c r="AS231" s="224">
        <f t="shared" si="562"/>
        <v>0</v>
      </c>
      <c r="AT231" s="224">
        <f t="shared" si="562"/>
        <v>0</v>
      </c>
      <c r="AU231" s="224">
        <f t="shared" si="562"/>
        <v>0</v>
      </c>
      <c r="AV231" s="224">
        <f t="shared" si="562"/>
        <v>0</v>
      </c>
      <c r="AW231" s="224">
        <f t="shared" si="562"/>
        <v>0</v>
      </c>
      <c r="AX231" s="224">
        <f t="shared" si="562"/>
        <v>0</v>
      </c>
      <c r="AY231" s="224">
        <f t="shared" si="562"/>
        <v>0</v>
      </c>
      <c r="AZ231" s="218"/>
      <c r="BA231"/>
      <c r="BB231" s="176" t="str">
        <f t="shared" si="438"/>
        <v>Site 90</v>
      </c>
      <c r="BC231" s="224">
        <f t="shared" ref="BC231:BN231" si="563">IF($T98&gt;0,(((EXP(-(1/(Morning_Peak_Duration__hours*2))*(BC$141-(Morning_Peak_Time__24hr_clock+$C231))^2))+(EXP(-(1/(Afternoon_Peak_Duration__hours*2))*(BC$141-(Afternoon_Peak_Time__24hr_clock+$C231))^2)))*$V98)/TZCalibrationValue,0)</f>
        <v>0</v>
      </c>
      <c r="BD231" s="224">
        <f t="shared" si="563"/>
        <v>0</v>
      </c>
      <c r="BE231" s="224">
        <f t="shared" si="563"/>
        <v>0</v>
      </c>
      <c r="BF231" s="224">
        <f t="shared" si="563"/>
        <v>0</v>
      </c>
      <c r="BG231" s="224">
        <f t="shared" si="563"/>
        <v>0</v>
      </c>
      <c r="BH231" s="224">
        <f t="shared" si="563"/>
        <v>0</v>
      </c>
      <c r="BI231" s="224">
        <f t="shared" si="563"/>
        <v>0</v>
      </c>
      <c r="BJ231" s="224">
        <f t="shared" si="563"/>
        <v>0</v>
      </c>
      <c r="BK231" s="224">
        <f t="shared" si="563"/>
        <v>0</v>
      </c>
      <c r="BL231" s="224">
        <f t="shared" si="563"/>
        <v>0</v>
      </c>
      <c r="BM231" s="224">
        <f t="shared" si="563"/>
        <v>0</v>
      </c>
      <c r="BN231" s="224">
        <f t="shared" si="563"/>
        <v>0</v>
      </c>
      <c r="BO231" s="229">
        <f t="shared" si="440"/>
        <v>0</v>
      </c>
      <c r="BP231" s="229">
        <f t="shared" si="441"/>
        <v>0</v>
      </c>
      <c r="BQ231" s="229">
        <f t="shared" si="442"/>
        <v>0</v>
      </c>
      <c r="BR231" s="229">
        <f t="shared" si="443"/>
        <v>0</v>
      </c>
      <c r="BS231" s="229">
        <f t="shared" si="444"/>
        <v>0</v>
      </c>
      <c r="BT231" s="229">
        <f t="shared" si="445"/>
        <v>0</v>
      </c>
      <c r="BU231" s="229">
        <f t="shared" si="446"/>
        <v>0</v>
      </c>
      <c r="BV231" s="229">
        <f t="shared" si="447"/>
        <v>0</v>
      </c>
      <c r="BW231" s="229">
        <f t="shared" si="448"/>
        <v>0</v>
      </c>
      <c r="BX231" s="229">
        <f t="shared" si="449"/>
        <v>0</v>
      </c>
      <c r="BY231" s="229">
        <f t="shared" si="450"/>
        <v>0</v>
      </c>
      <c r="BZ231" s="229">
        <f t="shared" si="451"/>
        <v>0</v>
      </c>
      <c r="CA231" s="229">
        <f t="shared" si="452"/>
        <v>0</v>
      </c>
      <c r="CB231" s="229">
        <f t="shared" si="453"/>
        <v>0</v>
      </c>
      <c r="CC231" s="229">
        <f t="shared" si="454"/>
        <v>0</v>
      </c>
      <c r="CD231" s="229">
        <f t="shared" si="455"/>
        <v>0</v>
      </c>
      <c r="CE231" s="229">
        <f t="shared" si="456"/>
        <v>0</v>
      </c>
      <c r="CF231" s="229">
        <f t="shared" si="457"/>
        <v>0</v>
      </c>
      <c r="CG231" s="229">
        <f t="shared" si="458"/>
        <v>0</v>
      </c>
      <c r="CH231" s="229">
        <f t="shared" si="459"/>
        <v>0</v>
      </c>
      <c r="CI231" s="229">
        <f t="shared" si="460"/>
        <v>0</v>
      </c>
      <c r="CJ231" s="229">
        <f t="shared" si="461"/>
        <v>0</v>
      </c>
      <c r="CK231" s="229">
        <f t="shared" si="462"/>
        <v>0</v>
      </c>
      <c r="CL231" s="229">
        <f t="shared" si="463"/>
        <v>0</v>
      </c>
      <c r="CM231" s="224">
        <f t="shared" ref="CM231:CX231" si="564">IF($T98&gt;0,(((EXP(-(1/(Morning_Peak_Duration__hours*2))*(CM$141-(Morning_Peak_Time__24hr_clock+$C231))^2))+(EXP(-(1/(Afternoon_Peak_Duration__hours*2))*(CM$141-(Afternoon_Peak_Time__24hr_clock+$C231))^2)))*$V98)/TZCalibrationValue,0)</f>
        <v>0</v>
      </c>
      <c r="CN231" s="224">
        <f t="shared" si="564"/>
        <v>0</v>
      </c>
      <c r="CO231" s="224">
        <f t="shared" si="564"/>
        <v>0</v>
      </c>
      <c r="CP231" s="224">
        <f t="shared" si="564"/>
        <v>0</v>
      </c>
      <c r="CQ231" s="224">
        <f t="shared" si="564"/>
        <v>0</v>
      </c>
      <c r="CR231" s="224">
        <f t="shared" si="564"/>
        <v>0</v>
      </c>
      <c r="CS231" s="224">
        <f t="shared" si="564"/>
        <v>0</v>
      </c>
      <c r="CT231" s="224">
        <f t="shared" si="564"/>
        <v>0</v>
      </c>
      <c r="CU231" s="224">
        <f t="shared" si="564"/>
        <v>0</v>
      </c>
      <c r="CV231" s="224">
        <f t="shared" si="564"/>
        <v>0</v>
      </c>
      <c r="CW231" s="224">
        <f t="shared" si="564"/>
        <v>0</v>
      </c>
      <c r="CX231" s="224">
        <f t="shared" si="564"/>
        <v>0</v>
      </c>
      <c r="CY231" s="218"/>
    </row>
    <row r="232" spans="2:103" hidden="1" outlineLevel="1">
      <c r="B232" t="str">
        <f t="shared" si="411"/>
        <v>Site 91</v>
      </c>
      <c r="C232" s="230">
        <f>VLOOKUP(D99,'Scaling Tables'!$B$123:$C$149,2,FALSE)-VLOOKUP($C$4,'Scaling Tables'!$B$123:$C$149,2,FALSE)</f>
        <v>0</v>
      </c>
      <c r="D232" s="224">
        <f t="shared" ref="D232:O232" si="565">IF($T99&gt;0,(((EXP(-(1/(Morning_Peak_Duration__hours*2))*(D$141-(Morning_Peak_Time__24hr_clock+$C232))^2))+(EXP(-(1/(Afternoon_Peak_Duration__hours*2))*(D$141-(Afternoon_Peak_Time__24hr_clock+$C232))^2)))*$U99)/TZCalibrationValue,0)</f>
        <v>0</v>
      </c>
      <c r="E232" s="224">
        <f t="shared" si="565"/>
        <v>0</v>
      </c>
      <c r="F232" s="224">
        <f t="shared" si="565"/>
        <v>0</v>
      </c>
      <c r="G232" s="224">
        <f t="shared" si="565"/>
        <v>0</v>
      </c>
      <c r="H232" s="224">
        <f t="shared" si="565"/>
        <v>0</v>
      </c>
      <c r="I232" s="224">
        <f t="shared" si="565"/>
        <v>0</v>
      </c>
      <c r="J232" s="224">
        <f t="shared" si="565"/>
        <v>0</v>
      </c>
      <c r="K232" s="224">
        <f t="shared" si="565"/>
        <v>0</v>
      </c>
      <c r="L232" s="224">
        <f t="shared" si="565"/>
        <v>0</v>
      </c>
      <c r="M232" s="224">
        <f t="shared" si="565"/>
        <v>0</v>
      </c>
      <c r="N232" s="224">
        <f t="shared" si="565"/>
        <v>0</v>
      </c>
      <c r="O232" s="224">
        <f t="shared" si="565"/>
        <v>0</v>
      </c>
      <c r="P232" s="229">
        <f t="shared" si="413"/>
        <v>0</v>
      </c>
      <c r="Q232" s="229">
        <f t="shared" si="414"/>
        <v>0</v>
      </c>
      <c r="R232" s="229">
        <f t="shared" si="415"/>
        <v>0</v>
      </c>
      <c r="S232" s="229">
        <f t="shared" si="416"/>
        <v>0</v>
      </c>
      <c r="T232" s="229">
        <f t="shared" si="417"/>
        <v>0</v>
      </c>
      <c r="U232" s="229">
        <f t="shared" si="418"/>
        <v>0</v>
      </c>
      <c r="V232" s="229">
        <f t="shared" si="419"/>
        <v>0</v>
      </c>
      <c r="W232" s="229">
        <f t="shared" si="420"/>
        <v>0</v>
      </c>
      <c r="X232" s="229">
        <f t="shared" si="421"/>
        <v>0</v>
      </c>
      <c r="Y232" s="229">
        <f t="shared" si="422"/>
        <v>0</v>
      </c>
      <c r="Z232" s="229">
        <f t="shared" si="423"/>
        <v>0</v>
      </c>
      <c r="AA232" s="229">
        <f t="shared" si="424"/>
        <v>0</v>
      </c>
      <c r="AB232" s="229">
        <f t="shared" si="425"/>
        <v>0</v>
      </c>
      <c r="AC232" s="229">
        <f t="shared" si="426"/>
        <v>0</v>
      </c>
      <c r="AD232" s="229">
        <f t="shared" si="427"/>
        <v>0</v>
      </c>
      <c r="AE232" s="229">
        <f t="shared" si="428"/>
        <v>0</v>
      </c>
      <c r="AF232" s="229">
        <f t="shared" si="429"/>
        <v>0</v>
      </c>
      <c r="AG232" s="229">
        <f t="shared" si="430"/>
        <v>0</v>
      </c>
      <c r="AH232" s="229">
        <f t="shared" si="431"/>
        <v>0</v>
      </c>
      <c r="AI232" s="229">
        <f t="shared" si="432"/>
        <v>0</v>
      </c>
      <c r="AJ232" s="229">
        <f t="shared" si="433"/>
        <v>0</v>
      </c>
      <c r="AK232" s="229">
        <f t="shared" si="434"/>
        <v>0</v>
      </c>
      <c r="AL232" s="229">
        <f t="shared" si="435"/>
        <v>0</v>
      </c>
      <c r="AM232" s="229">
        <f t="shared" si="436"/>
        <v>0</v>
      </c>
      <c r="AN232" s="224">
        <f t="shared" ref="AN232:AY232" si="566">IF($T99&gt;0,(((EXP(-(1/(Morning_Peak_Duration__hours*2))*(AN$141-(Morning_Peak_Time__24hr_clock+$C232))^2))+(EXP(-(1/(Afternoon_Peak_Duration__hours*2))*(AN$141-(Afternoon_Peak_Time__24hr_clock+$C232))^2)))*$U99)/TZCalibrationValue,0)</f>
        <v>0</v>
      </c>
      <c r="AO232" s="224">
        <f t="shared" si="566"/>
        <v>0</v>
      </c>
      <c r="AP232" s="224">
        <f t="shared" si="566"/>
        <v>0</v>
      </c>
      <c r="AQ232" s="224">
        <f t="shared" si="566"/>
        <v>0</v>
      </c>
      <c r="AR232" s="224">
        <f t="shared" si="566"/>
        <v>0</v>
      </c>
      <c r="AS232" s="224">
        <f t="shared" si="566"/>
        <v>0</v>
      </c>
      <c r="AT232" s="224">
        <f t="shared" si="566"/>
        <v>0</v>
      </c>
      <c r="AU232" s="224">
        <f t="shared" si="566"/>
        <v>0</v>
      </c>
      <c r="AV232" s="224">
        <f t="shared" si="566"/>
        <v>0</v>
      </c>
      <c r="AW232" s="224">
        <f t="shared" si="566"/>
        <v>0</v>
      </c>
      <c r="AX232" s="224">
        <f t="shared" si="566"/>
        <v>0</v>
      </c>
      <c r="AY232" s="224">
        <f t="shared" si="566"/>
        <v>0</v>
      </c>
      <c r="AZ232" s="218"/>
      <c r="BA232"/>
      <c r="BB232" s="176" t="str">
        <f t="shared" si="438"/>
        <v>Site 91</v>
      </c>
      <c r="BC232" s="224">
        <f t="shared" ref="BC232:BN232" si="567">IF($T99&gt;0,(((EXP(-(1/(Morning_Peak_Duration__hours*2))*(BC$141-(Morning_Peak_Time__24hr_clock+$C232))^2))+(EXP(-(1/(Afternoon_Peak_Duration__hours*2))*(BC$141-(Afternoon_Peak_Time__24hr_clock+$C232))^2)))*$V99)/TZCalibrationValue,0)</f>
        <v>0</v>
      </c>
      <c r="BD232" s="224">
        <f t="shared" si="567"/>
        <v>0</v>
      </c>
      <c r="BE232" s="224">
        <f t="shared" si="567"/>
        <v>0</v>
      </c>
      <c r="BF232" s="224">
        <f t="shared" si="567"/>
        <v>0</v>
      </c>
      <c r="BG232" s="224">
        <f t="shared" si="567"/>
        <v>0</v>
      </c>
      <c r="BH232" s="224">
        <f t="shared" si="567"/>
        <v>0</v>
      </c>
      <c r="BI232" s="224">
        <f t="shared" si="567"/>
        <v>0</v>
      </c>
      <c r="BJ232" s="224">
        <f t="shared" si="567"/>
        <v>0</v>
      </c>
      <c r="BK232" s="224">
        <f t="shared" si="567"/>
        <v>0</v>
      </c>
      <c r="BL232" s="224">
        <f t="shared" si="567"/>
        <v>0</v>
      </c>
      <c r="BM232" s="224">
        <f t="shared" si="567"/>
        <v>0</v>
      </c>
      <c r="BN232" s="224">
        <f t="shared" si="567"/>
        <v>0</v>
      </c>
      <c r="BO232" s="229">
        <f t="shared" si="440"/>
        <v>0</v>
      </c>
      <c r="BP232" s="229">
        <f t="shared" si="441"/>
        <v>0</v>
      </c>
      <c r="BQ232" s="229">
        <f t="shared" si="442"/>
        <v>0</v>
      </c>
      <c r="BR232" s="229">
        <f t="shared" si="443"/>
        <v>0</v>
      </c>
      <c r="BS232" s="229">
        <f t="shared" si="444"/>
        <v>0</v>
      </c>
      <c r="BT232" s="229">
        <f t="shared" si="445"/>
        <v>0</v>
      </c>
      <c r="BU232" s="229">
        <f t="shared" si="446"/>
        <v>0</v>
      </c>
      <c r="BV232" s="229">
        <f t="shared" si="447"/>
        <v>0</v>
      </c>
      <c r="BW232" s="229">
        <f t="shared" si="448"/>
        <v>0</v>
      </c>
      <c r="BX232" s="229">
        <f t="shared" si="449"/>
        <v>0</v>
      </c>
      <c r="BY232" s="229">
        <f t="shared" si="450"/>
        <v>0</v>
      </c>
      <c r="BZ232" s="229">
        <f t="shared" si="451"/>
        <v>0</v>
      </c>
      <c r="CA232" s="229">
        <f t="shared" si="452"/>
        <v>0</v>
      </c>
      <c r="CB232" s="229">
        <f t="shared" si="453"/>
        <v>0</v>
      </c>
      <c r="CC232" s="229">
        <f t="shared" si="454"/>
        <v>0</v>
      </c>
      <c r="CD232" s="229">
        <f t="shared" si="455"/>
        <v>0</v>
      </c>
      <c r="CE232" s="229">
        <f t="shared" si="456"/>
        <v>0</v>
      </c>
      <c r="CF232" s="229">
        <f t="shared" si="457"/>
        <v>0</v>
      </c>
      <c r="CG232" s="229">
        <f t="shared" si="458"/>
        <v>0</v>
      </c>
      <c r="CH232" s="229">
        <f t="shared" si="459"/>
        <v>0</v>
      </c>
      <c r="CI232" s="229">
        <f t="shared" si="460"/>
        <v>0</v>
      </c>
      <c r="CJ232" s="229">
        <f t="shared" si="461"/>
        <v>0</v>
      </c>
      <c r="CK232" s="229">
        <f t="shared" si="462"/>
        <v>0</v>
      </c>
      <c r="CL232" s="229">
        <f t="shared" si="463"/>
        <v>0</v>
      </c>
      <c r="CM232" s="224">
        <f t="shared" ref="CM232:CX232" si="568">IF($T99&gt;0,(((EXP(-(1/(Morning_Peak_Duration__hours*2))*(CM$141-(Morning_Peak_Time__24hr_clock+$C232))^2))+(EXP(-(1/(Afternoon_Peak_Duration__hours*2))*(CM$141-(Afternoon_Peak_Time__24hr_clock+$C232))^2)))*$V99)/TZCalibrationValue,0)</f>
        <v>0</v>
      </c>
      <c r="CN232" s="224">
        <f t="shared" si="568"/>
        <v>0</v>
      </c>
      <c r="CO232" s="224">
        <f t="shared" si="568"/>
        <v>0</v>
      </c>
      <c r="CP232" s="224">
        <f t="shared" si="568"/>
        <v>0</v>
      </c>
      <c r="CQ232" s="224">
        <f t="shared" si="568"/>
        <v>0</v>
      </c>
      <c r="CR232" s="224">
        <f t="shared" si="568"/>
        <v>0</v>
      </c>
      <c r="CS232" s="224">
        <f t="shared" si="568"/>
        <v>0</v>
      </c>
      <c r="CT232" s="224">
        <f t="shared" si="568"/>
        <v>0</v>
      </c>
      <c r="CU232" s="224">
        <f t="shared" si="568"/>
        <v>0</v>
      </c>
      <c r="CV232" s="224">
        <f t="shared" si="568"/>
        <v>0</v>
      </c>
      <c r="CW232" s="224">
        <f t="shared" si="568"/>
        <v>0</v>
      </c>
      <c r="CX232" s="224">
        <f t="shared" si="568"/>
        <v>0</v>
      </c>
      <c r="CY232" s="218"/>
    </row>
    <row r="233" spans="2:103" hidden="1" outlineLevel="1">
      <c r="B233" t="str">
        <f t="shared" si="411"/>
        <v>Site 92</v>
      </c>
      <c r="C233" s="230">
        <f>VLOOKUP(D100,'Scaling Tables'!$B$123:$C$149,2,FALSE)-VLOOKUP($C$4,'Scaling Tables'!$B$123:$C$149,2,FALSE)</f>
        <v>0</v>
      </c>
      <c r="D233" s="224">
        <f t="shared" ref="D233:O233" si="569">IF($T100&gt;0,(((EXP(-(1/(Morning_Peak_Duration__hours*2))*(D$141-(Morning_Peak_Time__24hr_clock+$C233))^2))+(EXP(-(1/(Afternoon_Peak_Duration__hours*2))*(D$141-(Afternoon_Peak_Time__24hr_clock+$C233))^2)))*$U100)/TZCalibrationValue,0)</f>
        <v>0</v>
      </c>
      <c r="E233" s="224">
        <f t="shared" si="569"/>
        <v>0</v>
      </c>
      <c r="F233" s="224">
        <f t="shared" si="569"/>
        <v>0</v>
      </c>
      <c r="G233" s="224">
        <f t="shared" si="569"/>
        <v>0</v>
      </c>
      <c r="H233" s="224">
        <f t="shared" si="569"/>
        <v>0</v>
      </c>
      <c r="I233" s="224">
        <f t="shared" si="569"/>
        <v>0</v>
      </c>
      <c r="J233" s="224">
        <f t="shared" si="569"/>
        <v>0</v>
      </c>
      <c r="K233" s="224">
        <f t="shared" si="569"/>
        <v>0</v>
      </c>
      <c r="L233" s="224">
        <f t="shared" si="569"/>
        <v>0</v>
      </c>
      <c r="M233" s="224">
        <f t="shared" si="569"/>
        <v>0</v>
      </c>
      <c r="N233" s="224">
        <f t="shared" si="569"/>
        <v>0</v>
      </c>
      <c r="O233" s="224">
        <f t="shared" si="569"/>
        <v>0</v>
      </c>
      <c r="P233" s="229">
        <f t="shared" si="413"/>
        <v>0</v>
      </c>
      <c r="Q233" s="229">
        <f t="shared" si="414"/>
        <v>0</v>
      </c>
      <c r="R233" s="229">
        <f t="shared" si="415"/>
        <v>0</v>
      </c>
      <c r="S233" s="229">
        <f t="shared" si="416"/>
        <v>0</v>
      </c>
      <c r="T233" s="229">
        <f t="shared" si="417"/>
        <v>0</v>
      </c>
      <c r="U233" s="229">
        <f t="shared" si="418"/>
        <v>0</v>
      </c>
      <c r="V233" s="229">
        <f t="shared" si="419"/>
        <v>0</v>
      </c>
      <c r="W233" s="229">
        <f t="shared" si="420"/>
        <v>0</v>
      </c>
      <c r="X233" s="229">
        <f t="shared" si="421"/>
        <v>0</v>
      </c>
      <c r="Y233" s="229">
        <f t="shared" si="422"/>
        <v>0</v>
      </c>
      <c r="Z233" s="229">
        <f t="shared" si="423"/>
        <v>0</v>
      </c>
      <c r="AA233" s="229">
        <f t="shared" si="424"/>
        <v>0</v>
      </c>
      <c r="AB233" s="229">
        <f t="shared" si="425"/>
        <v>0</v>
      </c>
      <c r="AC233" s="229">
        <f t="shared" si="426"/>
        <v>0</v>
      </c>
      <c r="AD233" s="229">
        <f t="shared" si="427"/>
        <v>0</v>
      </c>
      <c r="AE233" s="229">
        <f t="shared" si="428"/>
        <v>0</v>
      </c>
      <c r="AF233" s="229">
        <f t="shared" si="429"/>
        <v>0</v>
      </c>
      <c r="AG233" s="229">
        <f t="shared" si="430"/>
        <v>0</v>
      </c>
      <c r="AH233" s="229">
        <f t="shared" si="431"/>
        <v>0</v>
      </c>
      <c r="AI233" s="229">
        <f t="shared" si="432"/>
        <v>0</v>
      </c>
      <c r="AJ233" s="229">
        <f t="shared" si="433"/>
        <v>0</v>
      </c>
      <c r="AK233" s="229">
        <f t="shared" si="434"/>
        <v>0</v>
      </c>
      <c r="AL233" s="229">
        <f t="shared" si="435"/>
        <v>0</v>
      </c>
      <c r="AM233" s="229">
        <f t="shared" si="436"/>
        <v>0</v>
      </c>
      <c r="AN233" s="224">
        <f t="shared" ref="AN233:AY233" si="570">IF($T100&gt;0,(((EXP(-(1/(Morning_Peak_Duration__hours*2))*(AN$141-(Morning_Peak_Time__24hr_clock+$C233))^2))+(EXP(-(1/(Afternoon_Peak_Duration__hours*2))*(AN$141-(Afternoon_Peak_Time__24hr_clock+$C233))^2)))*$U100)/TZCalibrationValue,0)</f>
        <v>0</v>
      </c>
      <c r="AO233" s="224">
        <f t="shared" si="570"/>
        <v>0</v>
      </c>
      <c r="AP233" s="224">
        <f t="shared" si="570"/>
        <v>0</v>
      </c>
      <c r="AQ233" s="224">
        <f t="shared" si="570"/>
        <v>0</v>
      </c>
      <c r="AR233" s="224">
        <f t="shared" si="570"/>
        <v>0</v>
      </c>
      <c r="AS233" s="224">
        <f t="shared" si="570"/>
        <v>0</v>
      </c>
      <c r="AT233" s="224">
        <f t="shared" si="570"/>
        <v>0</v>
      </c>
      <c r="AU233" s="224">
        <f t="shared" si="570"/>
        <v>0</v>
      </c>
      <c r="AV233" s="224">
        <f t="shared" si="570"/>
        <v>0</v>
      </c>
      <c r="AW233" s="224">
        <f t="shared" si="570"/>
        <v>0</v>
      </c>
      <c r="AX233" s="224">
        <f t="shared" si="570"/>
        <v>0</v>
      </c>
      <c r="AY233" s="224">
        <f t="shared" si="570"/>
        <v>0</v>
      </c>
      <c r="AZ233" s="218"/>
      <c r="BA233"/>
      <c r="BB233" s="176" t="str">
        <f t="shared" si="438"/>
        <v>Site 92</v>
      </c>
      <c r="BC233" s="224">
        <f t="shared" ref="BC233:BN233" si="571">IF($T100&gt;0,(((EXP(-(1/(Morning_Peak_Duration__hours*2))*(BC$141-(Morning_Peak_Time__24hr_clock+$C233))^2))+(EXP(-(1/(Afternoon_Peak_Duration__hours*2))*(BC$141-(Afternoon_Peak_Time__24hr_clock+$C233))^2)))*$V100)/TZCalibrationValue,0)</f>
        <v>0</v>
      </c>
      <c r="BD233" s="224">
        <f t="shared" si="571"/>
        <v>0</v>
      </c>
      <c r="BE233" s="224">
        <f t="shared" si="571"/>
        <v>0</v>
      </c>
      <c r="BF233" s="224">
        <f t="shared" si="571"/>
        <v>0</v>
      </c>
      <c r="BG233" s="224">
        <f t="shared" si="571"/>
        <v>0</v>
      </c>
      <c r="BH233" s="224">
        <f t="shared" si="571"/>
        <v>0</v>
      </c>
      <c r="BI233" s="224">
        <f t="shared" si="571"/>
        <v>0</v>
      </c>
      <c r="BJ233" s="224">
        <f t="shared" si="571"/>
        <v>0</v>
      </c>
      <c r="BK233" s="224">
        <f t="shared" si="571"/>
        <v>0</v>
      </c>
      <c r="BL233" s="224">
        <f t="shared" si="571"/>
        <v>0</v>
      </c>
      <c r="BM233" s="224">
        <f t="shared" si="571"/>
        <v>0</v>
      </c>
      <c r="BN233" s="224">
        <f t="shared" si="571"/>
        <v>0</v>
      </c>
      <c r="BO233" s="229">
        <f t="shared" si="440"/>
        <v>0</v>
      </c>
      <c r="BP233" s="229">
        <f t="shared" si="441"/>
        <v>0</v>
      </c>
      <c r="BQ233" s="229">
        <f t="shared" si="442"/>
        <v>0</v>
      </c>
      <c r="BR233" s="229">
        <f t="shared" si="443"/>
        <v>0</v>
      </c>
      <c r="BS233" s="229">
        <f t="shared" si="444"/>
        <v>0</v>
      </c>
      <c r="BT233" s="229">
        <f t="shared" si="445"/>
        <v>0</v>
      </c>
      <c r="BU233" s="229">
        <f t="shared" si="446"/>
        <v>0</v>
      </c>
      <c r="BV233" s="229">
        <f t="shared" si="447"/>
        <v>0</v>
      </c>
      <c r="BW233" s="229">
        <f t="shared" si="448"/>
        <v>0</v>
      </c>
      <c r="BX233" s="229">
        <f t="shared" si="449"/>
        <v>0</v>
      </c>
      <c r="BY233" s="229">
        <f t="shared" si="450"/>
        <v>0</v>
      </c>
      <c r="BZ233" s="229">
        <f t="shared" si="451"/>
        <v>0</v>
      </c>
      <c r="CA233" s="229">
        <f t="shared" si="452"/>
        <v>0</v>
      </c>
      <c r="CB233" s="229">
        <f t="shared" si="453"/>
        <v>0</v>
      </c>
      <c r="CC233" s="229">
        <f t="shared" si="454"/>
        <v>0</v>
      </c>
      <c r="CD233" s="229">
        <f t="shared" si="455"/>
        <v>0</v>
      </c>
      <c r="CE233" s="229">
        <f t="shared" si="456"/>
        <v>0</v>
      </c>
      <c r="CF233" s="229">
        <f t="shared" si="457"/>
        <v>0</v>
      </c>
      <c r="CG233" s="229">
        <f t="shared" si="458"/>
        <v>0</v>
      </c>
      <c r="CH233" s="229">
        <f t="shared" si="459"/>
        <v>0</v>
      </c>
      <c r="CI233" s="229">
        <f t="shared" si="460"/>
        <v>0</v>
      </c>
      <c r="CJ233" s="229">
        <f t="shared" si="461"/>
        <v>0</v>
      </c>
      <c r="CK233" s="229">
        <f t="shared" si="462"/>
        <v>0</v>
      </c>
      <c r="CL233" s="229">
        <f t="shared" si="463"/>
        <v>0</v>
      </c>
      <c r="CM233" s="224">
        <f t="shared" ref="CM233:CX233" si="572">IF($T100&gt;0,(((EXP(-(1/(Morning_Peak_Duration__hours*2))*(CM$141-(Morning_Peak_Time__24hr_clock+$C233))^2))+(EXP(-(1/(Afternoon_Peak_Duration__hours*2))*(CM$141-(Afternoon_Peak_Time__24hr_clock+$C233))^2)))*$V100)/TZCalibrationValue,0)</f>
        <v>0</v>
      </c>
      <c r="CN233" s="224">
        <f t="shared" si="572"/>
        <v>0</v>
      </c>
      <c r="CO233" s="224">
        <f t="shared" si="572"/>
        <v>0</v>
      </c>
      <c r="CP233" s="224">
        <f t="shared" si="572"/>
        <v>0</v>
      </c>
      <c r="CQ233" s="224">
        <f t="shared" si="572"/>
        <v>0</v>
      </c>
      <c r="CR233" s="224">
        <f t="shared" si="572"/>
        <v>0</v>
      </c>
      <c r="CS233" s="224">
        <f t="shared" si="572"/>
        <v>0</v>
      </c>
      <c r="CT233" s="224">
        <f t="shared" si="572"/>
        <v>0</v>
      </c>
      <c r="CU233" s="224">
        <f t="shared" si="572"/>
        <v>0</v>
      </c>
      <c r="CV233" s="224">
        <f t="shared" si="572"/>
        <v>0</v>
      </c>
      <c r="CW233" s="224">
        <f t="shared" si="572"/>
        <v>0</v>
      </c>
      <c r="CX233" s="224">
        <f t="shared" si="572"/>
        <v>0</v>
      </c>
      <c r="CY233" s="218"/>
    </row>
    <row r="234" spans="2:103" hidden="1" outlineLevel="1">
      <c r="B234" t="str">
        <f t="shared" si="411"/>
        <v>Site 93</v>
      </c>
      <c r="C234" s="230">
        <f>VLOOKUP(D101,'Scaling Tables'!$B$123:$C$149,2,FALSE)-VLOOKUP($C$4,'Scaling Tables'!$B$123:$C$149,2,FALSE)</f>
        <v>0</v>
      </c>
      <c r="D234" s="224">
        <f t="shared" ref="D234:O234" si="573">IF($T101&gt;0,(((EXP(-(1/(Morning_Peak_Duration__hours*2))*(D$141-(Morning_Peak_Time__24hr_clock+$C234))^2))+(EXP(-(1/(Afternoon_Peak_Duration__hours*2))*(D$141-(Afternoon_Peak_Time__24hr_clock+$C234))^2)))*$U101)/TZCalibrationValue,0)</f>
        <v>0</v>
      </c>
      <c r="E234" s="224">
        <f t="shared" si="573"/>
        <v>0</v>
      </c>
      <c r="F234" s="224">
        <f t="shared" si="573"/>
        <v>0</v>
      </c>
      <c r="G234" s="224">
        <f t="shared" si="573"/>
        <v>0</v>
      </c>
      <c r="H234" s="224">
        <f t="shared" si="573"/>
        <v>0</v>
      </c>
      <c r="I234" s="224">
        <f t="shared" si="573"/>
        <v>0</v>
      </c>
      <c r="J234" s="224">
        <f t="shared" si="573"/>
        <v>0</v>
      </c>
      <c r="K234" s="224">
        <f t="shared" si="573"/>
        <v>0</v>
      </c>
      <c r="L234" s="224">
        <f t="shared" si="573"/>
        <v>0</v>
      </c>
      <c r="M234" s="224">
        <f t="shared" si="573"/>
        <v>0</v>
      </c>
      <c r="N234" s="224">
        <f t="shared" si="573"/>
        <v>0</v>
      </c>
      <c r="O234" s="224">
        <f t="shared" si="573"/>
        <v>0</v>
      </c>
      <c r="P234" s="229">
        <f t="shared" si="413"/>
        <v>0</v>
      </c>
      <c r="Q234" s="229">
        <f t="shared" si="414"/>
        <v>0</v>
      </c>
      <c r="R234" s="229">
        <f t="shared" si="415"/>
        <v>0</v>
      </c>
      <c r="S234" s="229">
        <f t="shared" si="416"/>
        <v>0</v>
      </c>
      <c r="T234" s="229">
        <f t="shared" si="417"/>
        <v>0</v>
      </c>
      <c r="U234" s="229">
        <f t="shared" si="418"/>
        <v>0</v>
      </c>
      <c r="V234" s="229">
        <f t="shared" si="419"/>
        <v>0</v>
      </c>
      <c r="W234" s="229">
        <f t="shared" si="420"/>
        <v>0</v>
      </c>
      <c r="X234" s="229">
        <f t="shared" si="421"/>
        <v>0</v>
      </c>
      <c r="Y234" s="229">
        <f t="shared" si="422"/>
        <v>0</v>
      </c>
      <c r="Z234" s="229">
        <f t="shared" si="423"/>
        <v>0</v>
      </c>
      <c r="AA234" s="229">
        <f t="shared" si="424"/>
        <v>0</v>
      </c>
      <c r="AB234" s="229">
        <f t="shared" si="425"/>
        <v>0</v>
      </c>
      <c r="AC234" s="229">
        <f t="shared" si="426"/>
        <v>0</v>
      </c>
      <c r="AD234" s="229">
        <f t="shared" si="427"/>
        <v>0</v>
      </c>
      <c r="AE234" s="229">
        <f t="shared" si="428"/>
        <v>0</v>
      </c>
      <c r="AF234" s="229">
        <f t="shared" si="429"/>
        <v>0</v>
      </c>
      <c r="AG234" s="229">
        <f t="shared" si="430"/>
        <v>0</v>
      </c>
      <c r="AH234" s="229">
        <f t="shared" si="431"/>
        <v>0</v>
      </c>
      <c r="AI234" s="229">
        <f t="shared" si="432"/>
        <v>0</v>
      </c>
      <c r="AJ234" s="229">
        <f t="shared" si="433"/>
        <v>0</v>
      </c>
      <c r="AK234" s="229">
        <f t="shared" si="434"/>
        <v>0</v>
      </c>
      <c r="AL234" s="229">
        <f t="shared" si="435"/>
        <v>0</v>
      </c>
      <c r="AM234" s="229">
        <f t="shared" si="436"/>
        <v>0</v>
      </c>
      <c r="AN234" s="224">
        <f t="shared" ref="AN234:AY234" si="574">IF($T101&gt;0,(((EXP(-(1/(Morning_Peak_Duration__hours*2))*(AN$141-(Morning_Peak_Time__24hr_clock+$C234))^2))+(EXP(-(1/(Afternoon_Peak_Duration__hours*2))*(AN$141-(Afternoon_Peak_Time__24hr_clock+$C234))^2)))*$U101)/TZCalibrationValue,0)</f>
        <v>0</v>
      </c>
      <c r="AO234" s="224">
        <f t="shared" si="574"/>
        <v>0</v>
      </c>
      <c r="AP234" s="224">
        <f t="shared" si="574"/>
        <v>0</v>
      </c>
      <c r="AQ234" s="224">
        <f t="shared" si="574"/>
        <v>0</v>
      </c>
      <c r="AR234" s="224">
        <f t="shared" si="574"/>
        <v>0</v>
      </c>
      <c r="AS234" s="224">
        <f t="shared" si="574"/>
        <v>0</v>
      </c>
      <c r="AT234" s="224">
        <f t="shared" si="574"/>
        <v>0</v>
      </c>
      <c r="AU234" s="224">
        <f t="shared" si="574"/>
        <v>0</v>
      </c>
      <c r="AV234" s="224">
        <f t="shared" si="574"/>
        <v>0</v>
      </c>
      <c r="AW234" s="224">
        <f t="shared" si="574"/>
        <v>0</v>
      </c>
      <c r="AX234" s="224">
        <f t="shared" si="574"/>
        <v>0</v>
      </c>
      <c r="AY234" s="224">
        <f t="shared" si="574"/>
        <v>0</v>
      </c>
      <c r="AZ234" s="218"/>
      <c r="BA234"/>
      <c r="BB234" s="176" t="str">
        <f t="shared" si="438"/>
        <v>Site 93</v>
      </c>
      <c r="BC234" s="224">
        <f t="shared" ref="BC234:BN234" si="575">IF($T101&gt;0,(((EXP(-(1/(Morning_Peak_Duration__hours*2))*(BC$141-(Morning_Peak_Time__24hr_clock+$C234))^2))+(EXP(-(1/(Afternoon_Peak_Duration__hours*2))*(BC$141-(Afternoon_Peak_Time__24hr_clock+$C234))^2)))*$V101)/TZCalibrationValue,0)</f>
        <v>0</v>
      </c>
      <c r="BD234" s="224">
        <f t="shared" si="575"/>
        <v>0</v>
      </c>
      <c r="BE234" s="224">
        <f t="shared" si="575"/>
        <v>0</v>
      </c>
      <c r="BF234" s="224">
        <f t="shared" si="575"/>
        <v>0</v>
      </c>
      <c r="BG234" s="224">
        <f t="shared" si="575"/>
        <v>0</v>
      </c>
      <c r="BH234" s="224">
        <f t="shared" si="575"/>
        <v>0</v>
      </c>
      <c r="BI234" s="224">
        <f t="shared" si="575"/>
        <v>0</v>
      </c>
      <c r="BJ234" s="224">
        <f t="shared" si="575"/>
        <v>0</v>
      </c>
      <c r="BK234" s="224">
        <f t="shared" si="575"/>
        <v>0</v>
      </c>
      <c r="BL234" s="224">
        <f t="shared" si="575"/>
        <v>0</v>
      </c>
      <c r="BM234" s="224">
        <f t="shared" si="575"/>
        <v>0</v>
      </c>
      <c r="BN234" s="224">
        <f t="shared" si="575"/>
        <v>0</v>
      </c>
      <c r="BO234" s="229">
        <f t="shared" si="440"/>
        <v>0</v>
      </c>
      <c r="BP234" s="229">
        <f t="shared" si="441"/>
        <v>0</v>
      </c>
      <c r="BQ234" s="229">
        <f t="shared" si="442"/>
        <v>0</v>
      </c>
      <c r="BR234" s="229">
        <f t="shared" si="443"/>
        <v>0</v>
      </c>
      <c r="BS234" s="229">
        <f t="shared" si="444"/>
        <v>0</v>
      </c>
      <c r="BT234" s="229">
        <f t="shared" si="445"/>
        <v>0</v>
      </c>
      <c r="BU234" s="229">
        <f t="shared" si="446"/>
        <v>0</v>
      </c>
      <c r="BV234" s="229">
        <f t="shared" si="447"/>
        <v>0</v>
      </c>
      <c r="BW234" s="229">
        <f t="shared" si="448"/>
        <v>0</v>
      </c>
      <c r="BX234" s="229">
        <f t="shared" si="449"/>
        <v>0</v>
      </c>
      <c r="BY234" s="229">
        <f t="shared" si="450"/>
        <v>0</v>
      </c>
      <c r="BZ234" s="229">
        <f t="shared" si="451"/>
        <v>0</v>
      </c>
      <c r="CA234" s="229">
        <f t="shared" si="452"/>
        <v>0</v>
      </c>
      <c r="CB234" s="229">
        <f t="shared" si="453"/>
        <v>0</v>
      </c>
      <c r="CC234" s="229">
        <f t="shared" si="454"/>
        <v>0</v>
      </c>
      <c r="CD234" s="229">
        <f t="shared" si="455"/>
        <v>0</v>
      </c>
      <c r="CE234" s="229">
        <f t="shared" si="456"/>
        <v>0</v>
      </c>
      <c r="CF234" s="229">
        <f t="shared" si="457"/>
        <v>0</v>
      </c>
      <c r="CG234" s="229">
        <f t="shared" si="458"/>
        <v>0</v>
      </c>
      <c r="CH234" s="229">
        <f t="shared" si="459"/>
        <v>0</v>
      </c>
      <c r="CI234" s="229">
        <f t="shared" si="460"/>
        <v>0</v>
      </c>
      <c r="CJ234" s="229">
        <f t="shared" si="461"/>
        <v>0</v>
      </c>
      <c r="CK234" s="229">
        <f t="shared" si="462"/>
        <v>0</v>
      </c>
      <c r="CL234" s="229">
        <f t="shared" si="463"/>
        <v>0</v>
      </c>
      <c r="CM234" s="224">
        <f t="shared" ref="CM234:CX234" si="576">IF($T101&gt;0,(((EXP(-(1/(Morning_Peak_Duration__hours*2))*(CM$141-(Morning_Peak_Time__24hr_clock+$C234))^2))+(EXP(-(1/(Afternoon_Peak_Duration__hours*2))*(CM$141-(Afternoon_Peak_Time__24hr_clock+$C234))^2)))*$V101)/TZCalibrationValue,0)</f>
        <v>0</v>
      </c>
      <c r="CN234" s="224">
        <f t="shared" si="576"/>
        <v>0</v>
      </c>
      <c r="CO234" s="224">
        <f t="shared" si="576"/>
        <v>0</v>
      </c>
      <c r="CP234" s="224">
        <f t="shared" si="576"/>
        <v>0</v>
      </c>
      <c r="CQ234" s="224">
        <f t="shared" si="576"/>
        <v>0</v>
      </c>
      <c r="CR234" s="224">
        <f t="shared" si="576"/>
        <v>0</v>
      </c>
      <c r="CS234" s="224">
        <f t="shared" si="576"/>
        <v>0</v>
      </c>
      <c r="CT234" s="224">
        <f t="shared" si="576"/>
        <v>0</v>
      </c>
      <c r="CU234" s="224">
        <f t="shared" si="576"/>
        <v>0</v>
      </c>
      <c r="CV234" s="224">
        <f t="shared" si="576"/>
        <v>0</v>
      </c>
      <c r="CW234" s="224">
        <f t="shared" si="576"/>
        <v>0</v>
      </c>
      <c r="CX234" s="224">
        <f t="shared" si="576"/>
        <v>0</v>
      </c>
      <c r="CY234" s="218"/>
    </row>
    <row r="235" spans="2:103" hidden="1" outlineLevel="1">
      <c r="B235" t="str">
        <f t="shared" si="411"/>
        <v>Site 94</v>
      </c>
      <c r="C235" s="230">
        <f>VLOOKUP(D102,'Scaling Tables'!$B$123:$C$149,2,FALSE)-VLOOKUP($C$4,'Scaling Tables'!$B$123:$C$149,2,FALSE)</f>
        <v>0</v>
      </c>
      <c r="D235" s="224">
        <f t="shared" ref="D235:O235" si="577">IF($T102&gt;0,(((EXP(-(1/(Morning_Peak_Duration__hours*2))*(D$141-(Morning_Peak_Time__24hr_clock+$C235))^2))+(EXP(-(1/(Afternoon_Peak_Duration__hours*2))*(D$141-(Afternoon_Peak_Time__24hr_clock+$C235))^2)))*$U102)/TZCalibrationValue,0)</f>
        <v>0</v>
      </c>
      <c r="E235" s="224">
        <f t="shared" si="577"/>
        <v>0</v>
      </c>
      <c r="F235" s="224">
        <f t="shared" si="577"/>
        <v>0</v>
      </c>
      <c r="G235" s="224">
        <f t="shared" si="577"/>
        <v>0</v>
      </c>
      <c r="H235" s="224">
        <f t="shared" si="577"/>
        <v>0</v>
      </c>
      <c r="I235" s="224">
        <f t="shared" si="577"/>
        <v>0</v>
      </c>
      <c r="J235" s="224">
        <f t="shared" si="577"/>
        <v>0</v>
      </c>
      <c r="K235" s="224">
        <f t="shared" si="577"/>
        <v>0</v>
      </c>
      <c r="L235" s="224">
        <f t="shared" si="577"/>
        <v>0</v>
      </c>
      <c r="M235" s="224">
        <f t="shared" si="577"/>
        <v>0</v>
      </c>
      <c r="N235" s="224">
        <f t="shared" si="577"/>
        <v>0</v>
      </c>
      <c r="O235" s="224">
        <f t="shared" si="577"/>
        <v>0</v>
      </c>
      <c r="P235" s="229">
        <f t="shared" si="413"/>
        <v>0</v>
      </c>
      <c r="Q235" s="229">
        <f t="shared" si="414"/>
        <v>0</v>
      </c>
      <c r="R235" s="229">
        <f t="shared" si="415"/>
        <v>0</v>
      </c>
      <c r="S235" s="229">
        <f t="shared" si="416"/>
        <v>0</v>
      </c>
      <c r="T235" s="229">
        <f t="shared" si="417"/>
        <v>0</v>
      </c>
      <c r="U235" s="229">
        <f t="shared" si="418"/>
        <v>0</v>
      </c>
      <c r="V235" s="229">
        <f t="shared" si="419"/>
        <v>0</v>
      </c>
      <c r="W235" s="229">
        <f t="shared" si="420"/>
        <v>0</v>
      </c>
      <c r="X235" s="229">
        <f t="shared" si="421"/>
        <v>0</v>
      </c>
      <c r="Y235" s="229">
        <f t="shared" si="422"/>
        <v>0</v>
      </c>
      <c r="Z235" s="229">
        <f t="shared" si="423"/>
        <v>0</v>
      </c>
      <c r="AA235" s="229">
        <f t="shared" si="424"/>
        <v>0</v>
      </c>
      <c r="AB235" s="229">
        <f t="shared" si="425"/>
        <v>0</v>
      </c>
      <c r="AC235" s="229">
        <f t="shared" si="426"/>
        <v>0</v>
      </c>
      <c r="AD235" s="229">
        <f t="shared" si="427"/>
        <v>0</v>
      </c>
      <c r="AE235" s="229">
        <f t="shared" si="428"/>
        <v>0</v>
      </c>
      <c r="AF235" s="229">
        <f t="shared" si="429"/>
        <v>0</v>
      </c>
      <c r="AG235" s="229">
        <f t="shared" si="430"/>
        <v>0</v>
      </c>
      <c r="AH235" s="229">
        <f t="shared" si="431"/>
        <v>0</v>
      </c>
      <c r="AI235" s="229">
        <f t="shared" si="432"/>
        <v>0</v>
      </c>
      <c r="AJ235" s="229">
        <f t="shared" si="433"/>
        <v>0</v>
      </c>
      <c r="AK235" s="229">
        <f t="shared" si="434"/>
        <v>0</v>
      </c>
      <c r="AL235" s="229">
        <f t="shared" si="435"/>
        <v>0</v>
      </c>
      <c r="AM235" s="229">
        <f t="shared" si="436"/>
        <v>0</v>
      </c>
      <c r="AN235" s="224">
        <f t="shared" ref="AN235:AY235" si="578">IF($T102&gt;0,(((EXP(-(1/(Morning_Peak_Duration__hours*2))*(AN$141-(Morning_Peak_Time__24hr_clock+$C235))^2))+(EXP(-(1/(Afternoon_Peak_Duration__hours*2))*(AN$141-(Afternoon_Peak_Time__24hr_clock+$C235))^2)))*$U102)/TZCalibrationValue,0)</f>
        <v>0</v>
      </c>
      <c r="AO235" s="224">
        <f t="shared" si="578"/>
        <v>0</v>
      </c>
      <c r="AP235" s="224">
        <f t="shared" si="578"/>
        <v>0</v>
      </c>
      <c r="AQ235" s="224">
        <f t="shared" si="578"/>
        <v>0</v>
      </c>
      <c r="AR235" s="224">
        <f t="shared" si="578"/>
        <v>0</v>
      </c>
      <c r="AS235" s="224">
        <f t="shared" si="578"/>
        <v>0</v>
      </c>
      <c r="AT235" s="224">
        <f t="shared" si="578"/>
        <v>0</v>
      </c>
      <c r="AU235" s="224">
        <f t="shared" si="578"/>
        <v>0</v>
      </c>
      <c r="AV235" s="224">
        <f t="shared" si="578"/>
        <v>0</v>
      </c>
      <c r="AW235" s="224">
        <f t="shared" si="578"/>
        <v>0</v>
      </c>
      <c r="AX235" s="224">
        <f t="shared" si="578"/>
        <v>0</v>
      </c>
      <c r="AY235" s="224">
        <f t="shared" si="578"/>
        <v>0</v>
      </c>
      <c r="AZ235" s="218"/>
      <c r="BA235"/>
      <c r="BB235" s="176" t="str">
        <f t="shared" si="438"/>
        <v>Site 94</v>
      </c>
      <c r="BC235" s="224">
        <f t="shared" ref="BC235:BN235" si="579">IF($T102&gt;0,(((EXP(-(1/(Morning_Peak_Duration__hours*2))*(BC$141-(Morning_Peak_Time__24hr_clock+$C235))^2))+(EXP(-(1/(Afternoon_Peak_Duration__hours*2))*(BC$141-(Afternoon_Peak_Time__24hr_clock+$C235))^2)))*$V102)/TZCalibrationValue,0)</f>
        <v>0</v>
      </c>
      <c r="BD235" s="224">
        <f t="shared" si="579"/>
        <v>0</v>
      </c>
      <c r="BE235" s="224">
        <f t="shared" si="579"/>
        <v>0</v>
      </c>
      <c r="BF235" s="224">
        <f t="shared" si="579"/>
        <v>0</v>
      </c>
      <c r="BG235" s="224">
        <f t="shared" si="579"/>
        <v>0</v>
      </c>
      <c r="BH235" s="224">
        <f t="shared" si="579"/>
        <v>0</v>
      </c>
      <c r="BI235" s="224">
        <f t="shared" si="579"/>
        <v>0</v>
      </c>
      <c r="BJ235" s="224">
        <f t="shared" si="579"/>
        <v>0</v>
      </c>
      <c r="BK235" s="224">
        <f t="shared" si="579"/>
        <v>0</v>
      </c>
      <c r="BL235" s="224">
        <f t="shared" si="579"/>
        <v>0</v>
      </c>
      <c r="BM235" s="224">
        <f t="shared" si="579"/>
        <v>0</v>
      </c>
      <c r="BN235" s="224">
        <f t="shared" si="579"/>
        <v>0</v>
      </c>
      <c r="BO235" s="229">
        <f t="shared" si="440"/>
        <v>0</v>
      </c>
      <c r="BP235" s="229">
        <f t="shared" si="441"/>
        <v>0</v>
      </c>
      <c r="BQ235" s="229">
        <f t="shared" si="442"/>
        <v>0</v>
      </c>
      <c r="BR235" s="229">
        <f t="shared" si="443"/>
        <v>0</v>
      </c>
      <c r="BS235" s="229">
        <f t="shared" si="444"/>
        <v>0</v>
      </c>
      <c r="BT235" s="229">
        <f t="shared" si="445"/>
        <v>0</v>
      </c>
      <c r="BU235" s="229">
        <f t="shared" si="446"/>
        <v>0</v>
      </c>
      <c r="BV235" s="229">
        <f t="shared" si="447"/>
        <v>0</v>
      </c>
      <c r="BW235" s="229">
        <f t="shared" si="448"/>
        <v>0</v>
      </c>
      <c r="BX235" s="229">
        <f t="shared" si="449"/>
        <v>0</v>
      </c>
      <c r="BY235" s="229">
        <f t="shared" si="450"/>
        <v>0</v>
      </c>
      <c r="BZ235" s="229">
        <f t="shared" si="451"/>
        <v>0</v>
      </c>
      <c r="CA235" s="229">
        <f t="shared" si="452"/>
        <v>0</v>
      </c>
      <c r="CB235" s="229">
        <f t="shared" si="453"/>
        <v>0</v>
      </c>
      <c r="CC235" s="229">
        <f t="shared" si="454"/>
        <v>0</v>
      </c>
      <c r="CD235" s="229">
        <f t="shared" si="455"/>
        <v>0</v>
      </c>
      <c r="CE235" s="229">
        <f t="shared" si="456"/>
        <v>0</v>
      </c>
      <c r="CF235" s="229">
        <f t="shared" si="457"/>
        <v>0</v>
      </c>
      <c r="CG235" s="229">
        <f t="shared" si="458"/>
        <v>0</v>
      </c>
      <c r="CH235" s="229">
        <f t="shared" si="459"/>
        <v>0</v>
      </c>
      <c r="CI235" s="229">
        <f t="shared" si="460"/>
        <v>0</v>
      </c>
      <c r="CJ235" s="229">
        <f t="shared" si="461"/>
        <v>0</v>
      </c>
      <c r="CK235" s="229">
        <f t="shared" si="462"/>
        <v>0</v>
      </c>
      <c r="CL235" s="229">
        <f t="shared" si="463"/>
        <v>0</v>
      </c>
      <c r="CM235" s="224">
        <f t="shared" ref="CM235:CX235" si="580">IF($T102&gt;0,(((EXP(-(1/(Morning_Peak_Duration__hours*2))*(CM$141-(Morning_Peak_Time__24hr_clock+$C235))^2))+(EXP(-(1/(Afternoon_Peak_Duration__hours*2))*(CM$141-(Afternoon_Peak_Time__24hr_clock+$C235))^2)))*$V102)/TZCalibrationValue,0)</f>
        <v>0</v>
      </c>
      <c r="CN235" s="224">
        <f t="shared" si="580"/>
        <v>0</v>
      </c>
      <c r="CO235" s="224">
        <f t="shared" si="580"/>
        <v>0</v>
      </c>
      <c r="CP235" s="224">
        <f t="shared" si="580"/>
        <v>0</v>
      </c>
      <c r="CQ235" s="224">
        <f t="shared" si="580"/>
        <v>0</v>
      </c>
      <c r="CR235" s="224">
        <f t="shared" si="580"/>
        <v>0</v>
      </c>
      <c r="CS235" s="224">
        <f t="shared" si="580"/>
        <v>0</v>
      </c>
      <c r="CT235" s="224">
        <f t="shared" si="580"/>
        <v>0</v>
      </c>
      <c r="CU235" s="224">
        <f t="shared" si="580"/>
        <v>0</v>
      </c>
      <c r="CV235" s="224">
        <f t="shared" si="580"/>
        <v>0</v>
      </c>
      <c r="CW235" s="224">
        <f t="shared" si="580"/>
        <v>0</v>
      </c>
      <c r="CX235" s="224">
        <f t="shared" si="580"/>
        <v>0</v>
      </c>
      <c r="CY235" s="218"/>
    </row>
    <row r="236" spans="2:103" hidden="1" outlineLevel="1">
      <c r="B236" t="str">
        <f t="shared" si="411"/>
        <v>Site 95</v>
      </c>
      <c r="C236" s="230">
        <f>VLOOKUP(D103,'Scaling Tables'!$B$123:$C$149,2,FALSE)-VLOOKUP($C$4,'Scaling Tables'!$B$123:$C$149,2,FALSE)</f>
        <v>0</v>
      </c>
      <c r="D236" s="224">
        <f t="shared" ref="D236:O236" si="581">IF($T103&gt;0,(((EXP(-(1/(Morning_Peak_Duration__hours*2))*(D$141-(Morning_Peak_Time__24hr_clock+$C236))^2))+(EXP(-(1/(Afternoon_Peak_Duration__hours*2))*(D$141-(Afternoon_Peak_Time__24hr_clock+$C236))^2)))*$U103)/TZCalibrationValue,0)</f>
        <v>0</v>
      </c>
      <c r="E236" s="224">
        <f t="shared" si="581"/>
        <v>0</v>
      </c>
      <c r="F236" s="224">
        <f t="shared" si="581"/>
        <v>0</v>
      </c>
      <c r="G236" s="224">
        <f t="shared" si="581"/>
        <v>0</v>
      </c>
      <c r="H236" s="224">
        <f t="shared" si="581"/>
        <v>0</v>
      </c>
      <c r="I236" s="224">
        <f t="shared" si="581"/>
        <v>0</v>
      </c>
      <c r="J236" s="224">
        <f t="shared" si="581"/>
        <v>0</v>
      </c>
      <c r="K236" s="224">
        <f t="shared" si="581"/>
        <v>0</v>
      </c>
      <c r="L236" s="224">
        <f t="shared" si="581"/>
        <v>0</v>
      </c>
      <c r="M236" s="224">
        <f t="shared" si="581"/>
        <v>0</v>
      </c>
      <c r="N236" s="224">
        <f t="shared" si="581"/>
        <v>0</v>
      </c>
      <c r="O236" s="224">
        <f t="shared" si="581"/>
        <v>0</v>
      </c>
      <c r="P236" s="229">
        <f t="shared" si="413"/>
        <v>0</v>
      </c>
      <c r="Q236" s="229">
        <f t="shared" si="414"/>
        <v>0</v>
      </c>
      <c r="R236" s="229">
        <f t="shared" si="415"/>
        <v>0</v>
      </c>
      <c r="S236" s="229">
        <f t="shared" si="416"/>
        <v>0</v>
      </c>
      <c r="T236" s="229">
        <f t="shared" si="417"/>
        <v>0</v>
      </c>
      <c r="U236" s="229">
        <f t="shared" si="418"/>
        <v>0</v>
      </c>
      <c r="V236" s="229">
        <f t="shared" si="419"/>
        <v>0</v>
      </c>
      <c r="W236" s="229">
        <f t="shared" si="420"/>
        <v>0</v>
      </c>
      <c r="X236" s="229">
        <f t="shared" si="421"/>
        <v>0</v>
      </c>
      <c r="Y236" s="229">
        <f t="shared" si="422"/>
        <v>0</v>
      </c>
      <c r="Z236" s="229">
        <f t="shared" si="423"/>
        <v>0</v>
      </c>
      <c r="AA236" s="229">
        <f t="shared" si="424"/>
        <v>0</v>
      </c>
      <c r="AB236" s="229">
        <f t="shared" si="425"/>
        <v>0</v>
      </c>
      <c r="AC236" s="229">
        <f t="shared" si="426"/>
        <v>0</v>
      </c>
      <c r="AD236" s="229">
        <f t="shared" si="427"/>
        <v>0</v>
      </c>
      <c r="AE236" s="229">
        <f t="shared" si="428"/>
        <v>0</v>
      </c>
      <c r="AF236" s="229">
        <f t="shared" si="429"/>
        <v>0</v>
      </c>
      <c r="AG236" s="229">
        <f t="shared" si="430"/>
        <v>0</v>
      </c>
      <c r="AH236" s="229">
        <f t="shared" si="431"/>
        <v>0</v>
      </c>
      <c r="AI236" s="229">
        <f t="shared" si="432"/>
        <v>0</v>
      </c>
      <c r="AJ236" s="229">
        <f t="shared" si="433"/>
        <v>0</v>
      </c>
      <c r="AK236" s="229">
        <f t="shared" si="434"/>
        <v>0</v>
      </c>
      <c r="AL236" s="229">
        <f t="shared" si="435"/>
        <v>0</v>
      </c>
      <c r="AM236" s="229">
        <f t="shared" si="436"/>
        <v>0</v>
      </c>
      <c r="AN236" s="224">
        <f t="shared" ref="AN236:AY236" si="582">IF($T103&gt;0,(((EXP(-(1/(Morning_Peak_Duration__hours*2))*(AN$141-(Morning_Peak_Time__24hr_clock+$C236))^2))+(EXP(-(1/(Afternoon_Peak_Duration__hours*2))*(AN$141-(Afternoon_Peak_Time__24hr_clock+$C236))^2)))*$U103)/TZCalibrationValue,0)</f>
        <v>0</v>
      </c>
      <c r="AO236" s="224">
        <f t="shared" si="582"/>
        <v>0</v>
      </c>
      <c r="AP236" s="224">
        <f t="shared" si="582"/>
        <v>0</v>
      </c>
      <c r="AQ236" s="224">
        <f t="shared" si="582"/>
        <v>0</v>
      </c>
      <c r="AR236" s="224">
        <f t="shared" si="582"/>
        <v>0</v>
      </c>
      <c r="AS236" s="224">
        <f t="shared" si="582"/>
        <v>0</v>
      </c>
      <c r="AT236" s="224">
        <f t="shared" si="582"/>
        <v>0</v>
      </c>
      <c r="AU236" s="224">
        <f t="shared" si="582"/>
        <v>0</v>
      </c>
      <c r="AV236" s="224">
        <f t="shared" si="582"/>
        <v>0</v>
      </c>
      <c r="AW236" s="224">
        <f t="shared" si="582"/>
        <v>0</v>
      </c>
      <c r="AX236" s="224">
        <f t="shared" si="582"/>
        <v>0</v>
      </c>
      <c r="AY236" s="224">
        <f t="shared" si="582"/>
        <v>0</v>
      </c>
      <c r="AZ236" s="218"/>
      <c r="BA236"/>
      <c r="BB236" s="176" t="str">
        <f t="shared" si="438"/>
        <v>Site 95</v>
      </c>
      <c r="BC236" s="224">
        <f t="shared" ref="BC236:BN236" si="583">IF($T103&gt;0,(((EXP(-(1/(Morning_Peak_Duration__hours*2))*(BC$141-(Morning_Peak_Time__24hr_clock+$C236))^2))+(EXP(-(1/(Afternoon_Peak_Duration__hours*2))*(BC$141-(Afternoon_Peak_Time__24hr_clock+$C236))^2)))*$V103)/TZCalibrationValue,0)</f>
        <v>0</v>
      </c>
      <c r="BD236" s="224">
        <f t="shared" si="583"/>
        <v>0</v>
      </c>
      <c r="BE236" s="224">
        <f t="shared" si="583"/>
        <v>0</v>
      </c>
      <c r="BF236" s="224">
        <f t="shared" si="583"/>
        <v>0</v>
      </c>
      <c r="BG236" s="224">
        <f t="shared" si="583"/>
        <v>0</v>
      </c>
      <c r="BH236" s="224">
        <f t="shared" si="583"/>
        <v>0</v>
      </c>
      <c r="BI236" s="224">
        <f t="shared" si="583"/>
        <v>0</v>
      </c>
      <c r="BJ236" s="224">
        <f t="shared" si="583"/>
        <v>0</v>
      </c>
      <c r="BK236" s="224">
        <f t="shared" si="583"/>
        <v>0</v>
      </c>
      <c r="BL236" s="224">
        <f t="shared" si="583"/>
        <v>0</v>
      </c>
      <c r="BM236" s="224">
        <f t="shared" si="583"/>
        <v>0</v>
      </c>
      <c r="BN236" s="224">
        <f t="shared" si="583"/>
        <v>0</v>
      </c>
      <c r="BO236" s="229">
        <f t="shared" si="440"/>
        <v>0</v>
      </c>
      <c r="BP236" s="229">
        <f t="shared" si="441"/>
        <v>0</v>
      </c>
      <c r="BQ236" s="229">
        <f t="shared" si="442"/>
        <v>0</v>
      </c>
      <c r="BR236" s="229">
        <f t="shared" si="443"/>
        <v>0</v>
      </c>
      <c r="BS236" s="229">
        <f t="shared" si="444"/>
        <v>0</v>
      </c>
      <c r="BT236" s="229">
        <f t="shared" si="445"/>
        <v>0</v>
      </c>
      <c r="BU236" s="229">
        <f t="shared" si="446"/>
        <v>0</v>
      </c>
      <c r="BV236" s="229">
        <f t="shared" si="447"/>
        <v>0</v>
      </c>
      <c r="BW236" s="229">
        <f t="shared" si="448"/>
        <v>0</v>
      </c>
      <c r="BX236" s="229">
        <f t="shared" si="449"/>
        <v>0</v>
      </c>
      <c r="BY236" s="229">
        <f t="shared" si="450"/>
        <v>0</v>
      </c>
      <c r="BZ236" s="229">
        <f t="shared" si="451"/>
        <v>0</v>
      </c>
      <c r="CA236" s="229">
        <f t="shared" si="452"/>
        <v>0</v>
      </c>
      <c r="CB236" s="229">
        <f t="shared" si="453"/>
        <v>0</v>
      </c>
      <c r="CC236" s="229">
        <f t="shared" si="454"/>
        <v>0</v>
      </c>
      <c r="CD236" s="229">
        <f t="shared" si="455"/>
        <v>0</v>
      </c>
      <c r="CE236" s="229">
        <f t="shared" si="456"/>
        <v>0</v>
      </c>
      <c r="CF236" s="229">
        <f t="shared" si="457"/>
        <v>0</v>
      </c>
      <c r="CG236" s="229">
        <f t="shared" si="458"/>
        <v>0</v>
      </c>
      <c r="CH236" s="229">
        <f t="shared" si="459"/>
        <v>0</v>
      </c>
      <c r="CI236" s="229">
        <f t="shared" si="460"/>
        <v>0</v>
      </c>
      <c r="CJ236" s="229">
        <f t="shared" si="461"/>
        <v>0</v>
      </c>
      <c r="CK236" s="229">
        <f t="shared" si="462"/>
        <v>0</v>
      </c>
      <c r="CL236" s="229">
        <f t="shared" si="463"/>
        <v>0</v>
      </c>
      <c r="CM236" s="224">
        <f t="shared" ref="CM236:CX236" si="584">IF($T103&gt;0,(((EXP(-(1/(Morning_Peak_Duration__hours*2))*(CM$141-(Morning_Peak_Time__24hr_clock+$C236))^2))+(EXP(-(1/(Afternoon_Peak_Duration__hours*2))*(CM$141-(Afternoon_Peak_Time__24hr_clock+$C236))^2)))*$V103)/TZCalibrationValue,0)</f>
        <v>0</v>
      </c>
      <c r="CN236" s="224">
        <f t="shared" si="584"/>
        <v>0</v>
      </c>
      <c r="CO236" s="224">
        <f t="shared" si="584"/>
        <v>0</v>
      </c>
      <c r="CP236" s="224">
        <f t="shared" si="584"/>
        <v>0</v>
      </c>
      <c r="CQ236" s="224">
        <f t="shared" si="584"/>
        <v>0</v>
      </c>
      <c r="CR236" s="224">
        <f t="shared" si="584"/>
        <v>0</v>
      </c>
      <c r="CS236" s="224">
        <f t="shared" si="584"/>
        <v>0</v>
      </c>
      <c r="CT236" s="224">
        <f t="shared" si="584"/>
        <v>0</v>
      </c>
      <c r="CU236" s="224">
        <f t="shared" si="584"/>
        <v>0</v>
      </c>
      <c r="CV236" s="224">
        <f t="shared" si="584"/>
        <v>0</v>
      </c>
      <c r="CW236" s="224">
        <f t="shared" si="584"/>
        <v>0</v>
      </c>
      <c r="CX236" s="224">
        <f t="shared" si="584"/>
        <v>0</v>
      </c>
      <c r="CY236" s="218"/>
    </row>
    <row r="237" spans="2:103" hidden="1" outlineLevel="1">
      <c r="B237" t="str">
        <f t="shared" si="411"/>
        <v>Site 96</v>
      </c>
      <c r="C237" s="230">
        <f>VLOOKUP(D104,'Scaling Tables'!$B$123:$C$149,2,FALSE)-VLOOKUP($C$4,'Scaling Tables'!$B$123:$C$149,2,FALSE)</f>
        <v>0</v>
      </c>
      <c r="D237" s="224">
        <f t="shared" ref="D237:O237" si="585">IF($T104&gt;0,(((EXP(-(1/(Morning_Peak_Duration__hours*2))*(D$141-(Morning_Peak_Time__24hr_clock+$C237))^2))+(EXP(-(1/(Afternoon_Peak_Duration__hours*2))*(D$141-(Afternoon_Peak_Time__24hr_clock+$C237))^2)))*$U104)/TZCalibrationValue,0)</f>
        <v>0</v>
      </c>
      <c r="E237" s="224">
        <f t="shared" si="585"/>
        <v>0</v>
      </c>
      <c r="F237" s="224">
        <f t="shared" si="585"/>
        <v>0</v>
      </c>
      <c r="G237" s="224">
        <f t="shared" si="585"/>
        <v>0</v>
      </c>
      <c r="H237" s="224">
        <f t="shared" si="585"/>
        <v>0</v>
      </c>
      <c r="I237" s="224">
        <f t="shared" si="585"/>
        <v>0</v>
      </c>
      <c r="J237" s="224">
        <f t="shared" si="585"/>
        <v>0</v>
      </c>
      <c r="K237" s="224">
        <f t="shared" si="585"/>
        <v>0</v>
      </c>
      <c r="L237" s="224">
        <f t="shared" si="585"/>
        <v>0</v>
      </c>
      <c r="M237" s="224">
        <f t="shared" si="585"/>
        <v>0</v>
      </c>
      <c r="N237" s="224">
        <f t="shared" si="585"/>
        <v>0</v>
      </c>
      <c r="O237" s="224">
        <f t="shared" si="585"/>
        <v>0</v>
      </c>
      <c r="P237" s="229">
        <f t="shared" si="413"/>
        <v>0</v>
      </c>
      <c r="Q237" s="229">
        <f t="shared" si="414"/>
        <v>0</v>
      </c>
      <c r="R237" s="229">
        <f t="shared" si="415"/>
        <v>0</v>
      </c>
      <c r="S237" s="229">
        <f t="shared" si="416"/>
        <v>0</v>
      </c>
      <c r="T237" s="229">
        <f t="shared" si="417"/>
        <v>0</v>
      </c>
      <c r="U237" s="229">
        <f t="shared" si="418"/>
        <v>0</v>
      </c>
      <c r="V237" s="229">
        <f t="shared" si="419"/>
        <v>0</v>
      </c>
      <c r="W237" s="229">
        <f t="shared" si="420"/>
        <v>0</v>
      </c>
      <c r="X237" s="229">
        <f t="shared" si="421"/>
        <v>0</v>
      </c>
      <c r="Y237" s="229">
        <f t="shared" si="422"/>
        <v>0</v>
      </c>
      <c r="Z237" s="229">
        <f t="shared" si="423"/>
        <v>0</v>
      </c>
      <c r="AA237" s="229">
        <f t="shared" si="424"/>
        <v>0</v>
      </c>
      <c r="AB237" s="229">
        <f t="shared" si="425"/>
        <v>0</v>
      </c>
      <c r="AC237" s="229">
        <f t="shared" si="426"/>
        <v>0</v>
      </c>
      <c r="AD237" s="229">
        <f t="shared" si="427"/>
        <v>0</v>
      </c>
      <c r="AE237" s="229">
        <f t="shared" si="428"/>
        <v>0</v>
      </c>
      <c r="AF237" s="229">
        <f t="shared" si="429"/>
        <v>0</v>
      </c>
      <c r="AG237" s="229">
        <f t="shared" si="430"/>
        <v>0</v>
      </c>
      <c r="AH237" s="229">
        <f t="shared" si="431"/>
        <v>0</v>
      </c>
      <c r="AI237" s="229">
        <f t="shared" si="432"/>
        <v>0</v>
      </c>
      <c r="AJ237" s="229">
        <f t="shared" si="433"/>
        <v>0</v>
      </c>
      <c r="AK237" s="229">
        <f t="shared" si="434"/>
        <v>0</v>
      </c>
      <c r="AL237" s="229">
        <f t="shared" si="435"/>
        <v>0</v>
      </c>
      <c r="AM237" s="229">
        <f t="shared" si="436"/>
        <v>0</v>
      </c>
      <c r="AN237" s="224">
        <f t="shared" ref="AN237:AY237" si="586">IF($T104&gt;0,(((EXP(-(1/(Morning_Peak_Duration__hours*2))*(AN$141-(Morning_Peak_Time__24hr_clock+$C237))^2))+(EXP(-(1/(Afternoon_Peak_Duration__hours*2))*(AN$141-(Afternoon_Peak_Time__24hr_clock+$C237))^2)))*$U104)/TZCalibrationValue,0)</f>
        <v>0</v>
      </c>
      <c r="AO237" s="224">
        <f t="shared" si="586"/>
        <v>0</v>
      </c>
      <c r="AP237" s="224">
        <f t="shared" si="586"/>
        <v>0</v>
      </c>
      <c r="AQ237" s="224">
        <f t="shared" si="586"/>
        <v>0</v>
      </c>
      <c r="AR237" s="224">
        <f t="shared" si="586"/>
        <v>0</v>
      </c>
      <c r="AS237" s="224">
        <f t="shared" si="586"/>
        <v>0</v>
      </c>
      <c r="AT237" s="224">
        <f t="shared" si="586"/>
        <v>0</v>
      </c>
      <c r="AU237" s="224">
        <f t="shared" si="586"/>
        <v>0</v>
      </c>
      <c r="AV237" s="224">
        <f t="shared" si="586"/>
        <v>0</v>
      </c>
      <c r="AW237" s="224">
        <f t="shared" si="586"/>
        <v>0</v>
      </c>
      <c r="AX237" s="224">
        <f t="shared" si="586"/>
        <v>0</v>
      </c>
      <c r="AY237" s="224">
        <f t="shared" si="586"/>
        <v>0</v>
      </c>
      <c r="AZ237" s="218"/>
      <c r="BA237"/>
      <c r="BB237" s="176" t="str">
        <f t="shared" si="438"/>
        <v>Site 96</v>
      </c>
      <c r="BC237" s="224">
        <f t="shared" ref="BC237:BN237" si="587">IF($T104&gt;0,(((EXP(-(1/(Morning_Peak_Duration__hours*2))*(BC$141-(Morning_Peak_Time__24hr_clock+$C237))^2))+(EXP(-(1/(Afternoon_Peak_Duration__hours*2))*(BC$141-(Afternoon_Peak_Time__24hr_clock+$C237))^2)))*$V104)/TZCalibrationValue,0)</f>
        <v>0</v>
      </c>
      <c r="BD237" s="224">
        <f t="shared" si="587"/>
        <v>0</v>
      </c>
      <c r="BE237" s="224">
        <f t="shared" si="587"/>
        <v>0</v>
      </c>
      <c r="BF237" s="224">
        <f t="shared" si="587"/>
        <v>0</v>
      </c>
      <c r="BG237" s="224">
        <f t="shared" si="587"/>
        <v>0</v>
      </c>
      <c r="BH237" s="224">
        <f t="shared" si="587"/>
        <v>0</v>
      </c>
      <c r="BI237" s="224">
        <f t="shared" si="587"/>
        <v>0</v>
      </c>
      <c r="BJ237" s="224">
        <f t="shared" si="587"/>
        <v>0</v>
      </c>
      <c r="BK237" s="224">
        <f t="shared" si="587"/>
        <v>0</v>
      </c>
      <c r="BL237" s="224">
        <f t="shared" si="587"/>
        <v>0</v>
      </c>
      <c r="BM237" s="224">
        <f t="shared" si="587"/>
        <v>0</v>
      </c>
      <c r="BN237" s="224">
        <f t="shared" si="587"/>
        <v>0</v>
      </c>
      <c r="BO237" s="229">
        <f t="shared" si="440"/>
        <v>0</v>
      </c>
      <c r="BP237" s="229">
        <f t="shared" si="441"/>
        <v>0</v>
      </c>
      <c r="BQ237" s="229">
        <f t="shared" si="442"/>
        <v>0</v>
      </c>
      <c r="BR237" s="229">
        <f t="shared" si="443"/>
        <v>0</v>
      </c>
      <c r="BS237" s="229">
        <f t="shared" si="444"/>
        <v>0</v>
      </c>
      <c r="BT237" s="229">
        <f t="shared" si="445"/>
        <v>0</v>
      </c>
      <c r="BU237" s="229">
        <f t="shared" si="446"/>
        <v>0</v>
      </c>
      <c r="BV237" s="229">
        <f t="shared" si="447"/>
        <v>0</v>
      </c>
      <c r="BW237" s="229">
        <f t="shared" si="448"/>
        <v>0</v>
      </c>
      <c r="BX237" s="229">
        <f t="shared" si="449"/>
        <v>0</v>
      </c>
      <c r="BY237" s="229">
        <f t="shared" si="450"/>
        <v>0</v>
      </c>
      <c r="BZ237" s="229">
        <f t="shared" si="451"/>
        <v>0</v>
      </c>
      <c r="CA237" s="229">
        <f t="shared" si="452"/>
        <v>0</v>
      </c>
      <c r="CB237" s="229">
        <f t="shared" si="453"/>
        <v>0</v>
      </c>
      <c r="CC237" s="229">
        <f t="shared" si="454"/>
        <v>0</v>
      </c>
      <c r="CD237" s="229">
        <f t="shared" si="455"/>
        <v>0</v>
      </c>
      <c r="CE237" s="229">
        <f t="shared" si="456"/>
        <v>0</v>
      </c>
      <c r="CF237" s="229">
        <f t="shared" si="457"/>
        <v>0</v>
      </c>
      <c r="CG237" s="229">
        <f t="shared" si="458"/>
        <v>0</v>
      </c>
      <c r="CH237" s="229">
        <f t="shared" si="459"/>
        <v>0</v>
      </c>
      <c r="CI237" s="229">
        <f t="shared" si="460"/>
        <v>0</v>
      </c>
      <c r="CJ237" s="229">
        <f t="shared" si="461"/>
        <v>0</v>
      </c>
      <c r="CK237" s="229">
        <f t="shared" si="462"/>
        <v>0</v>
      </c>
      <c r="CL237" s="229">
        <f t="shared" si="463"/>
        <v>0</v>
      </c>
      <c r="CM237" s="224">
        <f t="shared" ref="CM237:CX237" si="588">IF($T104&gt;0,(((EXP(-(1/(Morning_Peak_Duration__hours*2))*(CM$141-(Morning_Peak_Time__24hr_clock+$C237))^2))+(EXP(-(1/(Afternoon_Peak_Duration__hours*2))*(CM$141-(Afternoon_Peak_Time__24hr_clock+$C237))^2)))*$V104)/TZCalibrationValue,0)</f>
        <v>0</v>
      </c>
      <c r="CN237" s="224">
        <f t="shared" si="588"/>
        <v>0</v>
      </c>
      <c r="CO237" s="224">
        <f t="shared" si="588"/>
        <v>0</v>
      </c>
      <c r="CP237" s="224">
        <f t="shared" si="588"/>
        <v>0</v>
      </c>
      <c r="CQ237" s="224">
        <f t="shared" si="588"/>
        <v>0</v>
      </c>
      <c r="CR237" s="224">
        <f t="shared" si="588"/>
        <v>0</v>
      </c>
      <c r="CS237" s="224">
        <f t="shared" si="588"/>
        <v>0</v>
      </c>
      <c r="CT237" s="224">
        <f t="shared" si="588"/>
        <v>0</v>
      </c>
      <c r="CU237" s="224">
        <f t="shared" si="588"/>
        <v>0</v>
      </c>
      <c r="CV237" s="224">
        <f t="shared" si="588"/>
        <v>0</v>
      </c>
      <c r="CW237" s="224">
        <f t="shared" si="588"/>
        <v>0</v>
      </c>
      <c r="CX237" s="224">
        <f t="shared" si="588"/>
        <v>0</v>
      </c>
      <c r="CY237" s="218"/>
    </row>
    <row r="238" spans="2:103" hidden="1" outlineLevel="1">
      <c r="B238" t="str">
        <f>B105</f>
        <v>Site 97</v>
      </c>
      <c r="C238" s="230">
        <f>VLOOKUP(D105,'Scaling Tables'!$B$123:$C$149,2,FALSE)-VLOOKUP($C$4,'Scaling Tables'!$B$123:$C$149,2,FALSE)</f>
        <v>0</v>
      </c>
      <c r="D238" s="224">
        <f t="shared" ref="D238:O238" si="589">IF($T105&gt;0,(((EXP(-(1/(Morning_Peak_Duration__hours*2))*(D$141-(Morning_Peak_Time__24hr_clock+$C238))^2))+(EXP(-(1/(Afternoon_Peak_Duration__hours*2))*(D$141-(Afternoon_Peak_Time__24hr_clock+$C238))^2)))*$U105)/TZCalibrationValue,0)</f>
        <v>0</v>
      </c>
      <c r="E238" s="224">
        <f t="shared" si="589"/>
        <v>0</v>
      </c>
      <c r="F238" s="224">
        <f t="shared" si="589"/>
        <v>0</v>
      </c>
      <c r="G238" s="224">
        <f t="shared" si="589"/>
        <v>0</v>
      </c>
      <c r="H238" s="224">
        <f t="shared" si="589"/>
        <v>0</v>
      </c>
      <c r="I238" s="224">
        <f t="shared" si="589"/>
        <v>0</v>
      </c>
      <c r="J238" s="224">
        <f t="shared" si="589"/>
        <v>0</v>
      </c>
      <c r="K238" s="224">
        <f t="shared" si="589"/>
        <v>0</v>
      </c>
      <c r="L238" s="224">
        <f t="shared" si="589"/>
        <v>0</v>
      </c>
      <c r="M238" s="224">
        <f t="shared" si="589"/>
        <v>0</v>
      </c>
      <c r="N238" s="224">
        <f t="shared" si="589"/>
        <v>0</v>
      </c>
      <c r="O238" s="224">
        <f t="shared" si="589"/>
        <v>0</v>
      </c>
      <c r="P238" s="229">
        <f t="shared" ref="P238:P240" si="590">IF($T105&gt;0,(((EXP(-(1/(Morning_Peak_Duration__hours*2))*(P$141-(Morning_Peak_Time__24hr_clock+$C238))^2))+(EXP(-(1/(Afternoon_Peak_Duration__hours*2))*(P$141-(Afternoon_Peak_Time__24hr_clock+$C238))^2)))*$U105)/TZCalibrationValue,0)+AN238</f>
        <v>0</v>
      </c>
      <c r="Q238" s="229">
        <f t="shared" ref="Q238:Q240" si="591">IF($T105&gt;0,(((EXP(-(1/(Morning_Peak_Duration__hours*2))*(Q$141-(Morning_Peak_Time__24hr_clock+$C238))^2))+(EXP(-(1/(Afternoon_Peak_Duration__hours*2))*(Q$141-(Afternoon_Peak_Time__24hr_clock+$C238))^2)))*$U105)/TZCalibrationValue,0)+AO238</f>
        <v>0</v>
      </c>
      <c r="R238" s="229">
        <f t="shared" ref="R238:R240" si="592">IF($T105&gt;0,(((EXP(-(1/(Morning_Peak_Duration__hours*2))*(R$141-(Morning_Peak_Time__24hr_clock+$C238))^2))+(EXP(-(1/(Afternoon_Peak_Duration__hours*2))*(R$141-(Afternoon_Peak_Time__24hr_clock+$C238))^2)))*$U105)/TZCalibrationValue,0)+AP238</f>
        <v>0</v>
      </c>
      <c r="S238" s="229">
        <f t="shared" ref="S238:S240" si="593">IF($T105&gt;0,(((EXP(-(1/(Morning_Peak_Duration__hours*2))*(S$141-(Morning_Peak_Time__24hr_clock+$C238))^2))+(EXP(-(1/(Afternoon_Peak_Duration__hours*2))*(S$141-(Afternoon_Peak_Time__24hr_clock+$C238))^2)))*$U105)/TZCalibrationValue,0)+AQ238</f>
        <v>0</v>
      </c>
      <c r="T238" s="229">
        <f t="shared" ref="T238:T240" si="594">IF($T105&gt;0,(((EXP(-(1/(Morning_Peak_Duration__hours*2))*(T$141-(Morning_Peak_Time__24hr_clock+$C238))^2))+(EXP(-(1/(Afternoon_Peak_Duration__hours*2))*(T$141-(Afternoon_Peak_Time__24hr_clock+$C238))^2)))*$U105)/TZCalibrationValue,0)+AR238</f>
        <v>0</v>
      </c>
      <c r="U238" s="229">
        <f t="shared" ref="U238:U240" si="595">IF($T105&gt;0,(((EXP(-(1/(Morning_Peak_Duration__hours*2))*(U$141-(Morning_Peak_Time__24hr_clock+$C238))^2))+(EXP(-(1/(Afternoon_Peak_Duration__hours*2))*(U$141-(Afternoon_Peak_Time__24hr_clock+$C238))^2)))*$U105)/TZCalibrationValue,0)+AS238</f>
        <v>0</v>
      </c>
      <c r="V238" s="229">
        <f t="shared" ref="V238:V240" si="596">IF($T105&gt;0,(((EXP(-(1/(Morning_Peak_Duration__hours*2))*(V$141-(Morning_Peak_Time__24hr_clock+$C238))^2))+(EXP(-(1/(Afternoon_Peak_Duration__hours*2))*(V$141-(Afternoon_Peak_Time__24hr_clock+$C238))^2)))*$U105)/TZCalibrationValue,0)+AT238</f>
        <v>0</v>
      </c>
      <c r="W238" s="229">
        <f t="shared" ref="W238:W240" si="597">IF($T105&gt;0,(((EXP(-(1/(Morning_Peak_Duration__hours*2))*(W$141-(Morning_Peak_Time__24hr_clock+$C238))^2))+(EXP(-(1/(Afternoon_Peak_Duration__hours*2))*(W$141-(Afternoon_Peak_Time__24hr_clock+$C238))^2)))*$U105)/TZCalibrationValue,0)+AU238</f>
        <v>0</v>
      </c>
      <c r="X238" s="229">
        <f t="shared" ref="X238:X240" si="598">IF($T105&gt;0,(((EXP(-(1/(Morning_Peak_Duration__hours*2))*(X$141-(Morning_Peak_Time__24hr_clock+$C238))^2))+(EXP(-(1/(Afternoon_Peak_Duration__hours*2))*(X$141-(Afternoon_Peak_Time__24hr_clock+$C238))^2)))*$U105)/TZCalibrationValue,0)+AV238</f>
        <v>0</v>
      </c>
      <c r="Y238" s="229">
        <f t="shared" ref="Y238:Y240" si="599">IF($T105&gt;0,(((EXP(-(1/(Morning_Peak_Duration__hours*2))*(Y$141-(Morning_Peak_Time__24hr_clock+$C238))^2))+(EXP(-(1/(Afternoon_Peak_Duration__hours*2))*(Y$141-(Afternoon_Peak_Time__24hr_clock+$C238))^2)))*$U105)/TZCalibrationValue,0)+AW238</f>
        <v>0</v>
      </c>
      <c r="Z238" s="229">
        <f t="shared" ref="Z238:Z240" si="600">IF($T105&gt;0,(((EXP(-(1/(Morning_Peak_Duration__hours*2))*(Z$141-(Morning_Peak_Time__24hr_clock+$C238))^2))+(EXP(-(1/(Afternoon_Peak_Duration__hours*2))*(Z$141-(Afternoon_Peak_Time__24hr_clock+$C238))^2)))*$U105)/TZCalibrationValue,0)+AX238</f>
        <v>0</v>
      </c>
      <c r="AA238" s="229">
        <f t="shared" ref="AA238:AA240" si="601">IF($T105&gt;0,(((EXP(-(1/(Morning_Peak_Duration__hours*2))*(AA$141-(Morning_Peak_Time__24hr_clock+$C238))^2))+(EXP(-(1/(Afternoon_Peak_Duration__hours*2))*(AA$141-(Afternoon_Peak_Time__24hr_clock+$C238))^2)))*$U105)/TZCalibrationValue,0)+AY238</f>
        <v>0</v>
      </c>
      <c r="AB238" s="229">
        <f t="shared" ref="AB238:AB240" si="602">IF($T105&gt;0,(((EXP(-(1/(Morning_Peak_Duration__hours*2))*(AB$141-(Morning_Peak_Time__24hr_clock+$C238))^2))+(EXP(-(1/(Afternoon_Peak_Duration__hours*2))*(AB$141-(Afternoon_Peak_Time__24hr_clock+$C238))^2)))*$U105)/TZCalibrationValue,0)+AZ238</f>
        <v>0</v>
      </c>
      <c r="AC238" s="229">
        <f t="shared" ref="AC238:AC240" si="603">IF($T105&gt;0,(((EXP(-(1/(Morning_Peak_Duration__hours*2))*(AC$141-(Morning_Peak_Time__24hr_clock+$C238))^2))+(EXP(-(1/(Afternoon_Peak_Duration__hours*2))*(AC$141-(Afternoon_Peak_Time__24hr_clock+$C238))^2)))*$U105)/TZCalibrationValue,0)+E238</f>
        <v>0</v>
      </c>
      <c r="AD238" s="229">
        <f t="shared" ref="AD238:AD240" si="604">IF($T105&gt;0,(((EXP(-(1/(Morning_Peak_Duration__hours*2))*(AD$141-(Morning_Peak_Time__24hr_clock+$C238))^2))+(EXP(-(1/(Afternoon_Peak_Duration__hours*2))*(AD$141-(Afternoon_Peak_Time__24hr_clock+$C238))^2)))*$U105)/TZCalibrationValue,0)+F238</f>
        <v>0</v>
      </c>
      <c r="AE238" s="229">
        <f t="shared" ref="AE238:AE240" si="605">IF($T105&gt;0,(((EXP(-(1/(Morning_Peak_Duration__hours*2))*(AE$141-(Morning_Peak_Time__24hr_clock+$C238))^2))+(EXP(-(1/(Afternoon_Peak_Duration__hours*2))*(AE$141-(Afternoon_Peak_Time__24hr_clock+$C238))^2)))*$U105)/TZCalibrationValue,0)+G238</f>
        <v>0</v>
      </c>
      <c r="AF238" s="229">
        <f t="shared" ref="AF238:AF240" si="606">IF($T105&gt;0,(((EXP(-(1/(Morning_Peak_Duration__hours*2))*(AF$141-(Morning_Peak_Time__24hr_clock+$C238))^2))+(EXP(-(1/(Afternoon_Peak_Duration__hours*2))*(AF$141-(Afternoon_Peak_Time__24hr_clock+$C238))^2)))*$U105)/TZCalibrationValue,0)+H238</f>
        <v>0</v>
      </c>
      <c r="AG238" s="229">
        <f t="shared" ref="AG238:AG240" si="607">IF($T105&gt;0,(((EXP(-(1/(Morning_Peak_Duration__hours*2))*(AG$141-(Morning_Peak_Time__24hr_clock+$C238))^2))+(EXP(-(1/(Afternoon_Peak_Duration__hours*2))*(AG$141-(Afternoon_Peak_Time__24hr_clock+$C238))^2)))*$U105)/TZCalibrationValue,0)+I238</f>
        <v>0</v>
      </c>
      <c r="AH238" s="229">
        <f t="shared" ref="AH238:AH240" si="608">IF($T105&gt;0,(((EXP(-(1/(Morning_Peak_Duration__hours*2))*(AH$141-(Morning_Peak_Time__24hr_clock+$C238))^2))+(EXP(-(1/(Afternoon_Peak_Duration__hours*2))*(AH$141-(Afternoon_Peak_Time__24hr_clock+$C238))^2)))*$U105)/TZCalibrationValue,0)+J238</f>
        <v>0</v>
      </c>
      <c r="AI238" s="229">
        <f t="shared" ref="AI238:AI240" si="609">IF($T105&gt;0,(((EXP(-(1/(Morning_Peak_Duration__hours*2))*(AI$141-(Morning_Peak_Time__24hr_clock+$C238))^2))+(EXP(-(1/(Afternoon_Peak_Duration__hours*2))*(AI$141-(Afternoon_Peak_Time__24hr_clock+$C238))^2)))*$U105)/TZCalibrationValue,0)+K238</f>
        <v>0</v>
      </c>
      <c r="AJ238" s="229">
        <f t="shared" ref="AJ238:AJ240" si="610">IF($T105&gt;0,(((EXP(-(1/(Morning_Peak_Duration__hours*2))*(AJ$141-(Morning_Peak_Time__24hr_clock+$C238))^2))+(EXP(-(1/(Afternoon_Peak_Duration__hours*2))*(AJ$141-(Afternoon_Peak_Time__24hr_clock+$C238))^2)))*$U105)/TZCalibrationValue,0)+L238</f>
        <v>0</v>
      </c>
      <c r="AK238" s="229">
        <f t="shared" ref="AK238:AK240" si="611">IF($T105&gt;0,(((EXP(-(1/(Morning_Peak_Duration__hours*2))*(AK$141-(Morning_Peak_Time__24hr_clock+$C238))^2))+(EXP(-(1/(Afternoon_Peak_Duration__hours*2))*(AK$141-(Afternoon_Peak_Time__24hr_clock+$C238))^2)))*$U105)/TZCalibrationValue,0)+M238</f>
        <v>0</v>
      </c>
      <c r="AL238" s="229">
        <f t="shared" ref="AL238:AL240" si="612">IF($T105&gt;0,(((EXP(-(1/(Morning_Peak_Duration__hours*2))*(AL$141-(Morning_Peak_Time__24hr_clock+$C238))^2))+(EXP(-(1/(Afternoon_Peak_Duration__hours*2))*(AL$141-(Afternoon_Peak_Time__24hr_clock+$C238))^2)))*$U105)/TZCalibrationValue,0)+N238</f>
        <v>0</v>
      </c>
      <c r="AM238" s="229">
        <f t="shared" ref="AM238:AM240" si="613">IF($T105&gt;0,(((EXP(-(1/(Morning_Peak_Duration__hours*2))*(AM$141-(Morning_Peak_Time__24hr_clock+$C238))^2))+(EXP(-(1/(Afternoon_Peak_Duration__hours*2))*(AM$141-(Afternoon_Peak_Time__24hr_clock+$C238))^2)))*$U105)/TZCalibrationValue,0)+O238</f>
        <v>0</v>
      </c>
      <c r="AN238" s="224">
        <f t="shared" ref="AN238:AY238" si="614">IF($T105&gt;0,(((EXP(-(1/(Morning_Peak_Duration__hours*2))*(AN$141-(Morning_Peak_Time__24hr_clock+$C238))^2))+(EXP(-(1/(Afternoon_Peak_Duration__hours*2))*(AN$141-(Afternoon_Peak_Time__24hr_clock+$C238))^2)))*$U105)/TZCalibrationValue,0)</f>
        <v>0</v>
      </c>
      <c r="AO238" s="224">
        <f t="shared" si="614"/>
        <v>0</v>
      </c>
      <c r="AP238" s="224">
        <f t="shared" si="614"/>
        <v>0</v>
      </c>
      <c r="AQ238" s="224">
        <f t="shared" si="614"/>
        <v>0</v>
      </c>
      <c r="AR238" s="224">
        <f t="shared" si="614"/>
        <v>0</v>
      </c>
      <c r="AS238" s="224">
        <f t="shared" si="614"/>
        <v>0</v>
      </c>
      <c r="AT238" s="224">
        <f t="shared" si="614"/>
        <v>0</v>
      </c>
      <c r="AU238" s="224">
        <f t="shared" si="614"/>
        <v>0</v>
      </c>
      <c r="AV238" s="224">
        <f t="shared" si="614"/>
        <v>0</v>
      </c>
      <c r="AW238" s="224">
        <f t="shared" si="614"/>
        <v>0</v>
      </c>
      <c r="AX238" s="224">
        <f t="shared" si="614"/>
        <v>0</v>
      </c>
      <c r="AY238" s="224">
        <f t="shared" si="614"/>
        <v>0</v>
      </c>
      <c r="AZ238" s="218"/>
      <c r="BA238"/>
      <c r="BB238" s="176" t="str">
        <f t="shared" si="438"/>
        <v>Site 97</v>
      </c>
      <c r="BC238" s="224">
        <f t="shared" ref="BC238:BN238" si="615">IF($T105&gt;0,(((EXP(-(1/(Morning_Peak_Duration__hours*2))*(BC$141-(Morning_Peak_Time__24hr_clock+$C238))^2))+(EXP(-(1/(Afternoon_Peak_Duration__hours*2))*(BC$141-(Afternoon_Peak_Time__24hr_clock+$C238))^2)))*$V105)/TZCalibrationValue,0)</f>
        <v>0</v>
      </c>
      <c r="BD238" s="224">
        <f t="shared" si="615"/>
        <v>0</v>
      </c>
      <c r="BE238" s="224">
        <f t="shared" si="615"/>
        <v>0</v>
      </c>
      <c r="BF238" s="224">
        <f t="shared" si="615"/>
        <v>0</v>
      </c>
      <c r="BG238" s="224">
        <f t="shared" si="615"/>
        <v>0</v>
      </c>
      <c r="BH238" s="224">
        <f t="shared" si="615"/>
        <v>0</v>
      </c>
      <c r="BI238" s="224">
        <f t="shared" si="615"/>
        <v>0</v>
      </c>
      <c r="BJ238" s="224">
        <f t="shared" si="615"/>
        <v>0</v>
      </c>
      <c r="BK238" s="224">
        <f t="shared" si="615"/>
        <v>0</v>
      </c>
      <c r="BL238" s="224">
        <f t="shared" si="615"/>
        <v>0</v>
      </c>
      <c r="BM238" s="224">
        <f t="shared" si="615"/>
        <v>0</v>
      </c>
      <c r="BN238" s="224">
        <f t="shared" si="615"/>
        <v>0</v>
      </c>
      <c r="BO238" s="229">
        <f t="shared" ref="BO238:BO240" si="616">IF($T105&gt;0,(((EXP(-(1/(Morning_Peak_Duration__hours*2))*(BO$141-(Morning_Peak_Time__24hr_clock+$C238))^2))+(EXP(-(1/(Afternoon_Peak_Duration__hours*2))*(BO$141-(Afternoon_Peak_Time__24hr_clock+$C238))^2)))*$V105)/TZCalibrationValue,0)+CM238</f>
        <v>0</v>
      </c>
      <c r="BP238" s="229">
        <f t="shared" ref="BP238:BP240" si="617">IF($T105&gt;0,(((EXP(-(1/(Morning_Peak_Duration__hours*2))*(BP$141-(Morning_Peak_Time__24hr_clock+$C238))^2))+(EXP(-(1/(Afternoon_Peak_Duration__hours*2))*(BP$141-(Afternoon_Peak_Time__24hr_clock+$C238))^2)))*$V105)/TZCalibrationValue,0)+CN238</f>
        <v>0</v>
      </c>
      <c r="BQ238" s="229">
        <f t="shared" ref="BQ238:BQ240" si="618">IF($T105&gt;0,(((EXP(-(1/(Morning_Peak_Duration__hours*2))*(BQ$141-(Morning_Peak_Time__24hr_clock+$C238))^2))+(EXP(-(1/(Afternoon_Peak_Duration__hours*2))*(BQ$141-(Afternoon_Peak_Time__24hr_clock+$C238))^2)))*$V105)/TZCalibrationValue,0)+CO238</f>
        <v>0</v>
      </c>
      <c r="BR238" s="229">
        <f t="shared" ref="BR238:BR240" si="619">IF($T105&gt;0,(((EXP(-(1/(Morning_Peak_Duration__hours*2))*(BR$141-(Morning_Peak_Time__24hr_clock+$C238))^2))+(EXP(-(1/(Afternoon_Peak_Duration__hours*2))*(BR$141-(Afternoon_Peak_Time__24hr_clock+$C238))^2)))*$V105)/TZCalibrationValue,0)+CP238</f>
        <v>0</v>
      </c>
      <c r="BS238" s="229">
        <f t="shared" ref="BS238:BS240" si="620">IF($T105&gt;0,(((EXP(-(1/(Morning_Peak_Duration__hours*2))*(BS$141-(Morning_Peak_Time__24hr_clock+$C238))^2))+(EXP(-(1/(Afternoon_Peak_Duration__hours*2))*(BS$141-(Afternoon_Peak_Time__24hr_clock+$C238))^2)))*$V105)/TZCalibrationValue,0)+CQ238</f>
        <v>0</v>
      </c>
      <c r="BT238" s="229">
        <f t="shared" ref="BT238:BT240" si="621">IF($T105&gt;0,(((EXP(-(1/(Morning_Peak_Duration__hours*2))*(BT$141-(Morning_Peak_Time__24hr_clock+$C238))^2))+(EXP(-(1/(Afternoon_Peak_Duration__hours*2))*(BT$141-(Afternoon_Peak_Time__24hr_clock+$C238))^2)))*$V105)/TZCalibrationValue,0)+CR238</f>
        <v>0</v>
      </c>
      <c r="BU238" s="229">
        <f t="shared" ref="BU238:BU240" si="622">IF($T105&gt;0,(((EXP(-(1/(Morning_Peak_Duration__hours*2))*(BU$141-(Morning_Peak_Time__24hr_clock+$C238))^2))+(EXP(-(1/(Afternoon_Peak_Duration__hours*2))*(BU$141-(Afternoon_Peak_Time__24hr_clock+$C238))^2)))*$V105)/TZCalibrationValue,0)+CS238</f>
        <v>0</v>
      </c>
      <c r="BV238" s="229">
        <f t="shared" ref="BV238:BV240" si="623">IF($T105&gt;0,(((EXP(-(1/(Morning_Peak_Duration__hours*2))*(BV$141-(Morning_Peak_Time__24hr_clock+$C238))^2))+(EXP(-(1/(Afternoon_Peak_Duration__hours*2))*(BV$141-(Afternoon_Peak_Time__24hr_clock+$C238))^2)))*$V105)/TZCalibrationValue,0)+CT238</f>
        <v>0</v>
      </c>
      <c r="BW238" s="229">
        <f t="shared" ref="BW238:BW240" si="624">IF($T105&gt;0,(((EXP(-(1/(Morning_Peak_Duration__hours*2))*(BW$141-(Morning_Peak_Time__24hr_clock+$C238))^2))+(EXP(-(1/(Afternoon_Peak_Duration__hours*2))*(BW$141-(Afternoon_Peak_Time__24hr_clock+$C238))^2)))*$V105)/TZCalibrationValue,0)+CU238</f>
        <v>0</v>
      </c>
      <c r="BX238" s="229">
        <f t="shared" ref="BX238:BX240" si="625">IF($T105&gt;0,(((EXP(-(1/(Morning_Peak_Duration__hours*2))*(BX$141-(Morning_Peak_Time__24hr_clock+$C238))^2))+(EXP(-(1/(Afternoon_Peak_Duration__hours*2))*(BX$141-(Afternoon_Peak_Time__24hr_clock+$C238))^2)))*$V105)/TZCalibrationValue,0)+CV238</f>
        <v>0</v>
      </c>
      <c r="BY238" s="229">
        <f t="shared" ref="BY238:BY240" si="626">IF($T105&gt;0,(((EXP(-(1/(Morning_Peak_Duration__hours*2))*(BY$141-(Morning_Peak_Time__24hr_clock+$C238))^2))+(EXP(-(1/(Afternoon_Peak_Duration__hours*2))*(BY$141-(Afternoon_Peak_Time__24hr_clock+$C238))^2)))*$V105)/TZCalibrationValue,0)+CW238</f>
        <v>0</v>
      </c>
      <c r="BZ238" s="229">
        <f t="shared" ref="BZ238:BZ240" si="627">IF($T105&gt;0,(((EXP(-(1/(Morning_Peak_Duration__hours*2))*(BZ$141-(Morning_Peak_Time__24hr_clock+$C238))^2))+(EXP(-(1/(Afternoon_Peak_Duration__hours*2))*(BZ$141-(Afternoon_Peak_Time__24hr_clock+$C238))^2)))*$V105)/TZCalibrationValue,0)+CX238</f>
        <v>0</v>
      </c>
      <c r="CA238" s="229">
        <f t="shared" ref="CA238:CA240" si="628">IF($T105&gt;0,(((EXP(-(1/(Morning_Peak_Duration__hours*2))*(CA$141-(Morning_Peak_Time__24hr_clock+$C238))^2))+(EXP(-(1/(Afternoon_Peak_Duration__hours*2))*(CA$141-(Afternoon_Peak_Time__24hr_clock+$C238))^2)))*$V105)/TZCalibrationValue,0)+BC238</f>
        <v>0</v>
      </c>
      <c r="CB238" s="229">
        <f t="shared" ref="CB238:CB240" si="629">IF($T105&gt;0,(((EXP(-(1/(Morning_Peak_Duration__hours*2))*(CB$141-(Morning_Peak_Time__24hr_clock+$C238))^2))+(EXP(-(1/(Afternoon_Peak_Duration__hours*2))*(CB$141-(Afternoon_Peak_Time__24hr_clock+$C238))^2)))*$V105)/TZCalibrationValue,0)+BD238</f>
        <v>0</v>
      </c>
      <c r="CC238" s="229">
        <f t="shared" ref="CC238:CC240" si="630">IF($T105&gt;0,(((EXP(-(1/(Morning_Peak_Duration__hours*2))*(CC$141-(Morning_Peak_Time__24hr_clock+$C238))^2))+(EXP(-(1/(Afternoon_Peak_Duration__hours*2))*(CC$141-(Afternoon_Peak_Time__24hr_clock+$C238))^2)))*$V105)/TZCalibrationValue,0)+BE238</f>
        <v>0</v>
      </c>
      <c r="CD238" s="229">
        <f t="shared" ref="CD238:CD240" si="631">IF($T105&gt;0,(((EXP(-(1/(Morning_Peak_Duration__hours*2))*(CD$141-(Morning_Peak_Time__24hr_clock+$C238))^2))+(EXP(-(1/(Afternoon_Peak_Duration__hours*2))*(CD$141-(Afternoon_Peak_Time__24hr_clock+$C238))^2)))*$V105)/TZCalibrationValue,0)+BF238</f>
        <v>0</v>
      </c>
      <c r="CE238" s="229">
        <f t="shared" ref="CE238:CE240" si="632">IF($T105&gt;0,(((EXP(-(1/(Morning_Peak_Duration__hours*2))*(CE$141-(Morning_Peak_Time__24hr_clock+$C238))^2))+(EXP(-(1/(Afternoon_Peak_Duration__hours*2))*(CE$141-(Afternoon_Peak_Time__24hr_clock+$C238))^2)))*$V105)/TZCalibrationValue,0)+BG238</f>
        <v>0</v>
      </c>
      <c r="CF238" s="229">
        <f t="shared" ref="CF238:CF240" si="633">IF($T105&gt;0,(((EXP(-(1/(Morning_Peak_Duration__hours*2))*(CF$141-(Morning_Peak_Time__24hr_clock+$C238))^2))+(EXP(-(1/(Afternoon_Peak_Duration__hours*2))*(CF$141-(Afternoon_Peak_Time__24hr_clock+$C238))^2)))*$V105)/TZCalibrationValue,0)+BH238</f>
        <v>0</v>
      </c>
      <c r="CG238" s="229">
        <f t="shared" ref="CG238:CG240" si="634">IF($T105&gt;0,(((EXP(-(1/(Morning_Peak_Duration__hours*2))*(CG$141-(Morning_Peak_Time__24hr_clock+$C238))^2))+(EXP(-(1/(Afternoon_Peak_Duration__hours*2))*(CG$141-(Afternoon_Peak_Time__24hr_clock+$C238))^2)))*$V105)/TZCalibrationValue,0)+BI238</f>
        <v>0</v>
      </c>
      <c r="CH238" s="229">
        <f t="shared" ref="CH238:CH240" si="635">IF($T105&gt;0,(((EXP(-(1/(Morning_Peak_Duration__hours*2))*(CH$141-(Morning_Peak_Time__24hr_clock+$C238))^2))+(EXP(-(1/(Afternoon_Peak_Duration__hours*2))*(CH$141-(Afternoon_Peak_Time__24hr_clock+$C238))^2)))*$V105)/TZCalibrationValue,0)+BJ238</f>
        <v>0</v>
      </c>
      <c r="CI238" s="229">
        <f t="shared" ref="CI238:CI240" si="636">IF($T105&gt;0,(((EXP(-(1/(Morning_Peak_Duration__hours*2))*(CI$141-(Morning_Peak_Time__24hr_clock+$C238))^2))+(EXP(-(1/(Afternoon_Peak_Duration__hours*2))*(CI$141-(Afternoon_Peak_Time__24hr_clock+$C238))^2)))*$V105)/TZCalibrationValue,0)+BK238</f>
        <v>0</v>
      </c>
      <c r="CJ238" s="229">
        <f t="shared" ref="CJ238:CJ240" si="637">IF($T105&gt;0,(((EXP(-(1/(Morning_Peak_Duration__hours*2))*(CJ$141-(Morning_Peak_Time__24hr_clock+$C238))^2))+(EXP(-(1/(Afternoon_Peak_Duration__hours*2))*(CJ$141-(Afternoon_Peak_Time__24hr_clock+$C238))^2)))*$V105)/TZCalibrationValue,0)+BL238</f>
        <v>0</v>
      </c>
      <c r="CK238" s="229">
        <f t="shared" ref="CK238:CK240" si="638">IF($T105&gt;0,(((EXP(-(1/(Morning_Peak_Duration__hours*2))*(CK$141-(Morning_Peak_Time__24hr_clock+$C238))^2))+(EXP(-(1/(Afternoon_Peak_Duration__hours*2))*(CK$141-(Afternoon_Peak_Time__24hr_clock+$C238))^2)))*$V105)/TZCalibrationValue,0)+BM238</f>
        <v>0</v>
      </c>
      <c r="CL238" s="229">
        <f t="shared" ref="CL238:CL240" si="639">IF($T105&gt;0,(((EXP(-(1/(Morning_Peak_Duration__hours*2))*(CL$141-(Morning_Peak_Time__24hr_clock+$C238))^2))+(EXP(-(1/(Afternoon_Peak_Duration__hours*2))*(CL$141-(Afternoon_Peak_Time__24hr_clock+$C238))^2)))*$V105)/TZCalibrationValue,0)+BN238</f>
        <v>0</v>
      </c>
      <c r="CM238" s="224">
        <f t="shared" ref="CM238:CX238" si="640">IF($T105&gt;0,(((EXP(-(1/(Morning_Peak_Duration__hours*2))*(CM$141-(Morning_Peak_Time__24hr_clock+$C238))^2))+(EXP(-(1/(Afternoon_Peak_Duration__hours*2))*(CM$141-(Afternoon_Peak_Time__24hr_clock+$C238))^2)))*$V105)/TZCalibrationValue,0)</f>
        <v>0</v>
      </c>
      <c r="CN238" s="224">
        <f t="shared" si="640"/>
        <v>0</v>
      </c>
      <c r="CO238" s="224">
        <f t="shared" si="640"/>
        <v>0</v>
      </c>
      <c r="CP238" s="224">
        <f t="shared" si="640"/>
        <v>0</v>
      </c>
      <c r="CQ238" s="224">
        <f t="shared" si="640"/>
        <v>0</v>
      </c>
      <c r="CR238" s="224">
        <f t="shared" si="640"/>
        <v>0</v>
      </c>
      <c r="CS238" s="224">
        <f t="shared" si="640"/>
        <v>0</v>
      </c>
      <c r="CT238" s="224">
        <f t="shared" si="640"/>
        <v>0</v>
      </c>
      <c r="CU238" s="224">
        <f t="shared" si="640"/>
        <v>0</v>
      </c>
      <c r="CV238" s="224">
        <f t="shared" si="640"/>
        <v>0</v>
      </c>
      <c r="CW238" s="224">
        <f t="shared" si="640"/>
        <v>0</v>
      </c>
      <c r="CX238" s="224">
        <f t="shared" si="640"/>
        <v>0</v>
      </c>
      <c r="CY238" s="218"/>
    </row>
    <row r="239" spans="2:103" hidden="1" outlineLevel="1">
      <c r="B239" t="str">
        <f>B106</f>
        <v>Site 98</v>
      </c>
      <c r="C239" s="230">
        <f>VLOOKUP(D106,'Scaling Tables'!$B$123:$C$149,2,FALSE)-VLOOKUP($C$4,'Scaling Tables'!$B$123:$C$149,2,FALSE)</f>
        <v>0</v>
      </c>
      <c r="D239" s="224">
        <f t="shared" ref="D239:O239" si="641">IF($T106&gt;0,(((EXP(-(1/(Morning_Peak_Duration__hours*2))*(D$141-(Morning_Peak_Time__24hr_clock+$C239))^2))+(EXP(-(1/(Afternoon_Peak_Duration__hours*2))*(D$141-(Afternoon_Peak_Time__24hr_clock+$C239))^2)))*$U106)/TZCalibrationValue,0)</f>
        <v>0</v>
      </c>
      <c r="E239" s="224">
        <f t="shared" si="641"/>
        <v>0</v>
      </c>
      <c r="F239" s="224">
        <f t="shared" si="641"/>
        <v>0</v>
      </c>
      <c r="G239" s="224">
        <f t="shared" si="641"/>
        <v>0</v>
      </c>
      <c r="H239" s="224">
        <f t="shared" si="641"/>
        <v>0</v>
      </c>
      <c r="I239" s="224">
        <f t="shared" si="641"/>
        <v>0</v>
      </c>
      <c r="J239" s="224">
        <f t="shared" si="641"/>
        <v>0</v>
      </c>
      <c r="K239" s="224">
        <f t="shared" si="641"/>
        <v>0</v>
      </c>
      <c r="L239" s="224">
        <f t="shared" si="641"/>
        <v>0</v>
      </c>
      <c r="M239" s="224">
        <f t="shared" si="641"/>
        <v>0</v>
      </c>
      <c r="N239" s="224">
        <f t="shared" si="641"/>
        <v>0</v>
      </c>
      <c r="O239" s="224">
        <f t="shared" si="641"/>
        <v>0</v>
      </c>
      <c r="P239" s="229">
        <f t="shared" si="590"/>
        <v>0</v>
      </c>
      <c r="Q239" s="229">
        <f t="shared" si="591"/>
        <v>0</v>
      </c>
      <c r="R239" s="229">
        <f t="shared" si="592"/>
        <v>0</v>
      </c>
      <c r="S239" s="229">
        <f t="shared" si="593"/>
        <v>0</v>
      </c>
      <c r="T239" s="229">
        <f t="shared" si="594"/>
        <v>0</v>
      </c>
      <c r="U239" s="229">
        <f t="shared" si="595"/>
        <v>0</v>
      </c>
      <c r="V239" s="229">
        <f t="shared" si="596"/>
        <v>0</v>
      </c>
      <c r="W239" s="229">
        <f t="shared" si="597"/>
        <v>0</v>
      </c>
      <c r="X239" s="229">
        <f t="shared" si="598"/>
        <v>0</v>
      </c>
      <c r="Y239" s="229">
        <f t="shared" si="599"/>
        <v>0</v>
      </c>
      <c r="Z239" s="229">
        <f t="shared" si="600"/>
        <v>0</v>
      </c>
      <c r="AA239" s="229">
        <f t="shared" si="601"/>
        <v>0</v>
      </c>
      <c r="AB239" s="229">
        <f t="shared" si="602"/>
        <v>0</v>
      </c>
      <c r="AC239" s="229">
        <f t="shared" si="603"/>
        <v>0</v>
      </c>
      <c r="AD239" s="229">
        <f t="shared" si="604"/>
        <v>0</v>
      </c>
      <c r="AE239" s="229">
        <f t="shared" si="605"/>
        <v>0</v>
      </c>
      <c r="AF239" s="229">
        <f t="shared" si="606"/>
        <v>0</v>
      </c>
      <c r="AG239" s="229">
        <f t="shared" si="607"/>
        <v>0</v>
      </c>
      <c r="AH239" s="229">
        <f t="shared" si="608"/>
        <v>0</v>
      </c>
      <c r="AI239" s="229">
        <f t="shared" si="609"/>
        <v>0</v>
      </c>
      <c r="AJ239" s="229">
        <f t="shared" si="610"/>
        <v>0</v>
      </c>
      <c r="AK239" s="229">
        <f t="shared" si="611"/>
        <v>0</v>
      </c>
      <c r="AL239" s="229">
        <f t="shared" si="612"/>
        <v>0</v>
      </c>
      <c r="AM239" s="229">
        <f t="shared" si="613"/>
        <v>0</v>
      </c>
      <c r="AN239" s="224">
        <f t="shared" ref="AN239:AY239" si="642">IF($T106&gt;0,(((EXP(-(1/(Morning_Peak_Duration__hours*2))*(AN$141-(Morning_Peak_Time__24hr_clock+$C239))^2))+(EXP(-(1/(Afternoon_Peak_Duration__hours*2))*(AN$141-(Afternoon_Peak_Time__24hr_clock+$C239))^2)))*$U106)/TZCalibrationValue,0)</f>
        <v>0</v>
      </c>
      <c r="AO239" s="224">
        <f t="shared" si="642"/>
        <v>0</v>
      </c>
      <c r="AP239" s="224">
        <f t="shared" si="642"/>
        <v>0</v>
      </c>
      <c r="AQ239" s="224">
        <f t="shared" si="642"/>
        <v>0</v>
      </c>
      <c r="AR239" s="224">
        <f t="shared" si="642"/>
        <v>0</v>
      </c>
      <c r="AS239" s="224">
        <f t="shared" si="642"/>
        <v>0</v>
      </c>
      <c r="AT239" s="224">
        <f t="shared" si="642"/>
        <v>0</v>
      </c>
      <c r="AU239" s="224">
        <f t="shared" si="642"/>
        <v>0</v>
      </c>
      <c r="AV239" s="224">
        <f t="shared" si="642"/>
        <v>0</v>
      </c>
      <c r="AW239" s="224">
        <f t="shared" si="642"/>
        <v>0</v>
      </c>
      <c r="AX239" s="224">
        <f t="shared" si="642"/>
        <v>0</v>
      </c>
      <c r="AY239" s="224">
        <f t="shared" si="642"/>
        <v>0</v>
      </c>
      <c r="AZ239" s="218"/>
      <c r="BA239"/>
      <c r="BB239" s="176" t="str">
        <f t="shared" si="438"/>
        <v>Site 98</v>
      </c>
      <c r="BC239" s="224">
        <f t="shared" ref="BC239:BN239" si="643">IF($T106&gt;0,(((EXP(-(1/(Morning_Peak_Duration__hours*2))*(BC$141-(Morning_Peak_Time__24hr_clock+$C239))^2))+(EXP(-(1/(Afternoon_Peak_Duration__hours*2))*(BC$141-(Afternoon_Peak_Time__24hr_clock+$C239))^2)))*$V106)/TZCalibrationValue,0)</f>
        <v>0</v>
      </c>
      <c r="BD239" s="224">
        <f t="shared" si="643"/>
        <v>0</v>
      </c>
      <c r="BE239" s="224">
        <f t="shared" si="643"/>
        <v>0</v>
      </c>
      <c r="BF239" s="224">
        <f t="shared" si="643"/>
        <v>0</v>
      </c>
      <c r="BG239" s="224">
        <f t="shared" si="643"/>
        <v>0</v>
      </c>
      <c r="BH239" s="224">
        <f t="shared" si="643"/>
        <v>0</v>
      </c>
      <c r="BI239" s="224">
        <f t="shared" si="643"/>
        <v>0</v>
      </c>
      <c r="BJ239" s="224">
        <f t="shared" si="643"/>
        <v>0</v>
      </c>
      <c r="BK239" s="224">
        <f t="shared" si="643"/>
        <v>0</v>
      </c>
      <c r="BL239" s="224">
        <f t="shared" si="643"/>
        <v>0</v>
      </c>
      <c r="BM239" s="224">
        <f t="shared" si="643"/>
        <v>0</v>
      </c>
      <c r="BN239" s="224">
        <f t="shared" si="643"/>
        <v>0</v>
      </c>
      <c r="BO239" s="229">
        <f t="shared" si="616"/>
        <v>0</v>
      </c>
      <c r="BP239" s="229">
        <f t="shared" si="617"/>
        <v>0</v>
      </c>
      <c r="BQ239" s="229">
        <f t="shared" si="618"/>
        <v>0</v>
      </c>
      <c r="BR239" s="229">
        <f t="shared" si="619"/>
        <v>0</v>
      </c>
      <c r="BS239" s="229">
        <f t="shared" si="620"/>
        <v>0</v>
      </c>
      <c r="BT239" s="229">
        <f t="shared" si="621"/>
        <v>0</v>
      </c>
      <c r="BU239" s="229">
        <f t="shared" si="622"/>
        <v>0</v>
      </c>
      <c r="BV239" s="229">
        <f t="shared" si="623"/>
        <v>0</v>
      </c>
      <c r="BW239" s="229">
        <f t="shared" si="624"/>
        <v>0</v>
      </c>
      <c r="BX239" s="229">
        <f t="shared" si="625"/>
        <v>0</v>
      </c>
      <c r="BY239" s="229">
        <f t="shared" si="626"/>
        <v>0</v>
      </c>
      <c r="BZ239" s="229">
        <f t="shared" si="627"/>
        <v>0</v>
      </c>
      <c r="CA239" s="229">
        <f t="shared" si="628"/>
        <v>0</v>
      </c>
      <c r="CB239" s="229">
        <f t="shared" si="629"/>
        <v>0</v>
      </c>
      <c r="CC239" s="229">
        <f t="shared" si="630"/>
        <v>0</v>
      </c>
      <c r="CD239" s="229">
        <f t="shared" si="631"/>
        <v>0</v>
      </c>
      <c r="CE239" s="229">
        <f t="shared" si="632"/>
        <v>0</v>
      </c>
      <c r="CF239" s="229">
        <f t="shared" si="633"/>
        <v>0</v>
      </c>
      <c r="CG239" s="229">
        <f t="shared" si="634"/>
        <v>0</v>
      </c>
      <c r="CH239" s="229">
        <f t="shared" si="635"/>
        <v>0</v>
      </c>
      <c r="CI239" s="229">
        <f t="shared" si="636"/>
        <v>0</v>
      </c>
      <c r="CJ239" s="229">
        <f t="shared" si="637"/>
        <v>0</v>
      </c>
      <c r="CK239" s="229">
        <f t="shared" si="638"/>
        <v>0</v>
      </c>
      <c r="CL239" s="229">
        <f t="shared" si="639"/>
        <v>0</v>
      </c>
      <c r="CM239" s="224">
        <f t="shared" ref="CM239:CX239" si="644">IF($T106&gt;0,(((EXP(-(1/(Morning_Peak_Duration__hours*2))*(CM$141-(Morning_Peak_Time__24hr_clock+$C239))^2))+(EXP(-(1/(Afternoon_Peak_Duration__hours*2))*(CM$141-(Afternoon_Peak_Time__24hr_clock+$C239))^2)))*$V106)/TZCalibrationValue,0)</f>
        <v>0</v>
      </c>
      <c r="CN239" s="224">
        <f t="shared" si="644"/>
        <v>0</v>
      </c>
      <c r="CO239" s="224">
        <f t="shared" si="644"/>
        <v>0</v>
      </c>
      <c r="CP239" s="224">
        <f t="shared" si="644"/>
        <v>0</v>
      </c>
      <c r="CQ239" s="224">
        <f t="shared" si="644"/>
        <v>0</v>
      </c>
      <c r="CR239" s="224">
        <f t="shared" si="644"/>
        <v>0</v>
      </c>
      <c r="CS239" s="224">
        <f t="shared" si="644"/>
        <v>0</v>
      </c>
      <c r="CT239" s="224">
        <f t="shared" si="644"/>
        <v>0</v>
      </c>
      <c r="CU239" s="224">
        <f t="shared" si="644"/>
        <v>0</v>
      </c>
      <c r="CV239" s="224">
        <f t="shared" si="644"/>
        <v>0</v>
      </c>
      <c r="CW239" s="224">
        <f t="shared" si="644"/>
        <v>0</v>
      </c>
      <c r="CX239" s="224">
        <f t="shared" si="644"/>
        <v>0</v>
      </c>
      <c r="CY239" s="218"/>
    </row>
    <row r="240" spans="2:103" hidden="1" outlineLevel="1">
      <c r="B240" t="str">
        <f>B107</f>
        <v>Site 99</v>
      </c>
      <c r="C240" s="230">
        <f>VLOOKUP(D107,'Scaling Tables'!$B$123:$C$149,2,FALSE)-VLOOKUP($C$4,'Scaling Tables'!$B$123:$C$149,2,FALSE)</f>
        <v>0</v>
      </c>
      <c r="D240" s="224">
        <f t="shared" ref="D240:O240" si="645">IF($T107&gt;0,(((EXP(-(1/(Morning_Peak_Duration__hours*2))*(D$141-(Morning_Peak_Time__24hr_clock+$C240))^2))+(EXP(-(1/(Afternoon_Peak_Duration__hours*2))*(D$141-(Afternoon_Peak_Time__24hr_clock+$C240))^2)))*$U107)/TZCalibrationValue,0)</f>
        <v>0</v>
      </c>
      <c r="E240" s="224">
        <f t="shared" si="645"/>
        <v>0</v>
      </c>
      <c r="F240" s="224">
        <f t="shared" si="645"/>
        <v>0</v>
      </c>
      <c r="G240" s="224">
        <f t="shared" si="645"/>
        <v>0</v>
      </c>
      <c r="H240" s="224">
        <f t="shared" si="645"/>
        <v>0</v>
      </c>
      <c r="I240" s="224">
        <f t="shared" si="645"/>
        <v>0</v>
      </c>
      <c r="J240" s="224">
        <f t="shared" si="645"/>
        <v>0</v>
      </c>
      <c r="K240" s="224">
        <f t="shared" si="645"/>
        <v>0</v>
      </c>
      <c r="L240" s="224">
        <f t="shared" si="645"/>
        <v>0</v>
      </c>
      <c r="M240" s="224">
        <f t="shared" si="645"/>
        <v>0</v>
      </c>
      <c r="N240" s="224">
        <f t="shared" si="645"/>
        <v>0</v>
      </c>
      <c r="O240" s="224">
        <f t="shared" si="645"/>
        <v>0</v>
      </c>
      <c r="P240" s="229">
        <f t="shared" si="590"/>
        <v>0</v>
      </c>
      <c r="Q240" s="229">
        <f t="shared" si="591"/>
        <v>0</v>
      </c>
      <c r="R240" s="229">
        <f t="shared" si="592"/>
        <v>0</v>
      </c>
      <c r="S240" s="229">
        <f t="shared" si="593"/>
        <v>0</v>
      </c>
      <c r="T240" s="229">
        <f t="shared" si="594"/>
        <v>0</v>
      </c>
      <c r="U240" s="229">
        <f t="shared" si="595"/>
        <v>0</v>
      </c>
      <c r="V240" s="229">
        <f t="shared" si="596"/>
        <v>0</v>
      </c>
      <c r="W240" s="229">
        <f t="shared" si="597"/>
        <v>0</v>
      </c>
      <c r="X240" s="229">
        <f t="shared" si="598"/>
        <v>0</v>
      </c>
      <c r="Y240" s="229">
        <f t="shared" si="599"/>
        <v>0</v>
      </c>
      <c r="Z240" s="229">
        <f t="shared" si="600"/>
        <v>0</v>
      </c>
      <c r="AA240" s="229">
        <f t="shared" si="601"/>
        <v>0</v>
      </c>
      <c r="AB240" s="229">
        <f t="shared" si="602"/>
        <v>0</v>
      </c>
      <c r="AC240" s="229">
        <f t="shared" si="603"/>
        <v>0</v>
      </c>
      <c r="AD240" s="229">
        <f t="shared" si="604"/>
        <v>0</v>
      </c>
      <c r="AE240" s="229">
        <f t="shared" si="605"/>
        <v>0</v>
      </c>
      <c r="AF240" s="229">
        <f t="shared" si="606"/>
        <v>0</v>
      </c>
      <c r="AG240" s="229">
        <f t="shared" si="607"/>
        <v>0</v>
      </c>
      <c r="AH240" s="229">
        <f t="shared" si="608"/>
        <v>0</v>
      </c>
      <c r="AI240" s="229">
        <f t="shared" si="609"/>
        <v>0</v>
      </c>
      <c r="AJ240" s="229">
        <f t="shared" si="610"/>
        <v>0</v>
      </c>
      <c r="AK240" s="229">
        <f t="shared" si="611"/>
        <v>0</v>
      </c>
      <c r="AL240" s="229">
        <f t="shared" si="612"/>
        <v>0</v>
      </c>
      <c r="AM240" s="229">
        <f t="shared" si="613"/>
        <v>0</v>
      </c>
      <c r="AN240" s="224">
        <f t="shared" ref="AN240:AY240" si="646">IF($T107&gt;0,(((EXP(-(1/(Morning_Peak_Duration__hours*2))*(AN$141-(Morning_Peak_Time__24hr_clock+$C240))^2))+(EXP(-(1/(Afternoon_Peak_Duration__hours*2))*(AN$141-(Afternoon_Peak_Time__24hr_clock+$C240))^2)))*$U107)/TZCalibrationValue,0)</f>
        <v>0</v>
      </c>
      <c r="AO240" s="224">
        <f t="shared" si="646"/>
        <v>0</v>
      </c>
      <c r="AP240" s="224">
        <f t="shared" si="646"/>
        <v>0</v>
      </c>
      <c r="AQ240" s="224">
        <f t="shared" si="646"/>
        <v>0</v>
      </c>
      <c r="AR240" s="224">
        <f t="shared" si="646"/>
        <v>0</v>
      </c>
      <c r="AS240" s="224">
        <f t="shared" si="646"/>
        <v>0</v>
      </c>
      <c r="AT240" s="224">
        <f t="shared" si="646"/>
        <v>0</v>
      </c>
      <c r="AU240" s="224">
        <f t="shared" si="646"/>
        <v>0</v>
      </c>
      <c r="AV240" s="224">
        <f t="shared" si="646"/>
        <v>0</v>
      </c>
      <c r="AW240" s="224">
        <f t="shared" si="646"/>
        <v>0</v>
      </c>
      <c r="AX240" s="224">
        <f t="shared" si="646"/>
        <v>0</v>
      </c>
      <c r="AY240" s="224">
        <f t="shared" si="646"/>
        <v>0</v>
      </c>
      <c r="AZ240" s="218"/>
      <c r="BA240"/>
      <c r="BB240" s="176" t="str">
        <f t="shared" si="438"/>
        <v>Site 99</v>
      </c>
      <c r="BC240" s="224">
        <f t="shared" ref="BC240:BN240" si="647">IF($T107&gt;0,(((EXP(-(1/(Morning_Peak_Duration__hours*2))*(BC$141-(Morning_Peak_Time__24hr_clock+$C240))^2))+(EXP(-(1/(Afternoon_Peak_Duration__hours*2))*(BC$141-(Afternoon_Peak_Time__24hr_clock+$C240))^2)))*$V107)/TZCalibrationValue,0)</f>
        <v>0</v>
      </c>
      <c r="BD240" s="224">
        <f t="shared" si="647"/>
        <v>0</v>
      </c>
      <c r="BE240" s="224">
        <f t="shared" si="647"/>
        <v>0</v>
      </c>
      <c r="BF240" s="224">
        <f t="shared" si="647"/>
        <v>0</v>
      </c>
      <c r="BG240" s="224">
        <f t="shared" si="647"/>
        <v>0</v>
      </c>
      <c r="BH240" s="224">
        <f t="shared" si="647"/>
        <v>0</v>
      </c>
      <c r="BI240" s="224">
        <f t="shared" si="647"/>
        <v>0</v>
      </c>
      <c r="BJ240" s="224">
        <f t="shared" si="647"/>
        <v>0</v>
      </c>
      <c r="BK240" s="224">
        <f t="shared" si="647"/>
        <v>0</v>
      </c>
      <c r="BL240" s="224">
        <f t="shared" si="647"/>
        <v>0</v>
      </c>
      <c r="BM240" s="224">
        <f t="shared" si="647"/>
        <v>0</v>
      </c>
      <c r="BN240" s="224">
        <f t="shared" si="647"/>
        <v>0</v>
      </c>
      <c r="BO240" s="229">
        <f t="shared" si="616"/>
        <v>0</v>
      </c>
      <c r="BP240" s="229">
        <f t="shared" si="617"/>
        <v>0</v>
      </c>
      <c r="BQ240" s="229">
        <f t="shared" si="618"/>
        <v>0</v>
      </c>
      <c r="BR240" s="229">
        <f t="shared" si="619"/>
        <v>0</v>
      </c>
      <c r="BS240" s="229">
        <f t="shared" si="620"/>
        <v>0</v>
      </c>
      <c r="BT240" s="229">
        <f t="shared" si="621"/>
        <v>0</v>
      </c>
      <c r="BU240" s="229">
        <f t="shared" si="622"/>
        <v>0</v>
      </c>
      <c r="BV240" s="229">
        <f t="shared" si="623"/>
        <v>0</v>
      </c>
      <c r="BW240" s="229">
        <f t="shared" si="624"/>
        <v>0</v>
      </c>
      <c r="BX240" s="229">
        <f t="shared" si="625"/>
        <v>0</v>
      </c>
      <c r="BY240" s="229">
        <f t="shared" si="626"/>
        <v>0</v>
      </c>
      <c r="BZ240" s="229">
        <f t="shared" si="627"/>
        <v>0</v>
      </c>
      <c r="CA240" s="229">
        <f t="shared" si="628"/>
        <v>0</v>
      </c>
      <c r="CB240" s="229">
        <f t="shared" si="629"/>
        <v>0</v>
      </c>
      <c r="CC240" s="229">
        <f t="shared" si="630"/>
        <v>0</v>
      </c>
      <c r="CD240" s="229">
        <f t="shared" si="631"/>
        <v>0</v>
      </c>
      <c r="CE240" s="229">
        <f t="shared" si="632"/>
        <v>0</v>
      </c>
      <c r="CF240" s="229">
        <f t="shared" si="633"/>
        <v>0</v>
      </c>
      <c r="CG240" s="229">
        <f t="shared" si="634"/>
        <v>0</v>
      </c>
      <c r="CH240" s="229">
        <f t="shared" si="635"/>
        <v>0</v>
      </c>
      <c r="CI240" s="229">
        <f t="shared" si="636"/>
        <v>0</v>
      </c>
      <c r="CJ240" s="229">
        <f t="shared" si="637"/>
        <v>0</v>
      </c>
      <c r="CK240" s="229">
        <f t="shared" si="638"/>
        <v>0</v>
      </c>
      <c r="CL240" s="229">
        <f t="shared" si="639"/>
        <v>0</v>
      </c>
      <c r="CM240" s="224">
        <f t="shared" ref="CM240:CX240" si="648">IF($T107&gt;0,(((EXP(-(1/(Morning_Peak_Duration__hours*2))*(CM$141-(Morning_Peak_Time__24hr_clock+$C240))^2))+(EXP(-(1/(Afternoon_Peak_Duration__hours*2))*(CM$141-(Afternoon_Peak_Time__24hr_clock+$C240))^2)))*$V107)/TZCalibrationValue,0)</f>
        <v>0</v>
      </c>
      <c r="CN240" s="224">
        <f t="shared" si="648"/>
        <v>0</v>
      </c>
      <c r="CO240" s="224">
        <f t="shared" si="648"/>
        <v>0</v>
      </c>
      <c r="CP240" s="224">
        <f t="shared" si="648"/>
        <v>0</v>
      </c>
      <c r="CQ240" s="224">
        <f t="shared" si="648"/>
        <v>0</v>
      </c>
      <c r="CR240" s="224">
        <f t="shared" si="648"/>
        <v>0</v>
      </c>
      <c r="CS240" s="224">
        <f t="shared" si="648"/>
        <v>0</v>
      </c>
      <c r="CT240" s="224">
        <f t="shared" si="648"/>
        <v>0</v>
      </c>
      <c r="CU240" s="224">
        <f t="shared" si="648"/>
        <v>0</v>
      </c>
      <c r="CV240" s="224">
        <f t="shared" si="648"/>
        <v>0</v>
      </c>
      <c r="CW240" s="224">
        <f t="shared" si="648"/>
        <v>0</v>
      </c>
      <c r="CX240" s="224">
        <f t="shared" si="648"/>
        <v>0</v>
      </c>
      <c r="CY240" s="218"/>
    </row>
    <row r="241" spans="2:103" hidden="1" outlineLevel="1">
      <c r="B241" s="176" t="s">
        <v>5</v>
      </c>
      <c r="C241" s="25"/>
      <c r="D241" s="90">
        <f>SUM(D142:D240)</f>
        <v>0</v>
      </c>
      <c r="E241" s="90">
        <f t="shared" ref="E241:AY241" si="649">SUM(E142:E240)</f>
        <v>0</v>
      </c>
      <c r="F241" s="90">
        <f t="shared" si="649"/>
        <v>0</v>
      </c>
      <c r="G241" s="90">
        <f t="shared" si="649"/>
        <v>0</v>
      </c>
      <c r="H241" s="90">
        <f t="shared" si="649"/>
        <v>0</v>
      </c>
      <c r="I241" s="90">
        <f t="shared" si="649"/>
        <v>0</v>
      </c>
      <c r="J241" s="90">
        <f t="shared" si="649"/>
        <v>0</v>
      </c>
      <c r="K241" s="90">
        <f t="shared" si="649"/>
        <v>0</v>
      </c>
      <c r="L241" s="90">
        <f t="shared" si="649"/>
        <v>0</v>
      </c>
      <c r="M241" s="90">
        <f t="shared" si="649"/>
        <v>0</v>
      </c>
      <c r="N241" s="90">
        <f t="shared" si="649"/>
        <v>0</v>
      </c>
      <c r="O241" s="90">
        <f t="shared" si="649"/>
        <v>0</v>
      </c>
      <c r="P241" s="90">
        <f t="shared" si="649"/>
        <v>0</v>
      </c>
      <c r="Q241" s="90">
        <f t="shared" si="649"/>
        <v>0</v>
      </c>
      <c r="R241" s="90">
        <f t="shared" si="649"/>
        <v>0</v>
      </c>
      <c r="S241" s="90">
        <f t="shared" si="649"/>
        <v>0</v>
      </c>
      <c r="T241" s="90">
        <f t="shared" si="649"/>
        <v>0</v>
      </c>
      <c r="U241" s="90">
        <f t="shared" si="649"/>
        <v>0</v>
      </c>
      <c r="V241" s="90">
        <f t="shared" si="649"/>
        <v>0</v>
      </c>
      <c r="W241" s="90">
        <f t="shared" si="649"/>
        <v>0</v>
      </c>
      <c r="X241" s="90">
        <f t="shared" si="649"/>
        <v>0</v>
      </c>
      <c r="Y241" s="90">
        <f t="shared" si="649"/>
        <v>0</v>
      </c>
      <c r="Z241" s="90">
        <f t="shared" si="649"/>
        <v>0</v>
      </c>
      <c r="AA241" s="90">
        <f t="shared" si="649"/>
        <v>0</v>
      </c>
      <c r="AB241" s="90">
        <f t="shared" si="649"/>
        <v>0</v>
      </c>
      <c r="AC241" s="90">
        <f t="shared" si="649"/>
        <v>0</v>
      </c>
      <c r="AD241" s="90">
        <f t="shared" si="649"/>
        <v>0</v>
      </c>
      <c r="AE241" s="90">
        <f t="shared" si="649"/>
        <v>0</v>
      </c>
      <c r="AF241" s="90">
        <f t="shared" si="649"/>
        <v>0</v>
      </c>
      <c r="AG241" s="90">
        <f t="shared" si="649"/>
        <v>0</v>
      </c>
      <c r="AH241" s="90">
        <f t="shared" si="649"/>
        <v>0</v>
      </c>
      <c r="AI241" s="90">
        <f t="shared" si="649"/>
        <v>0</v>
      </c>
      <c r="AJ241" s="90">
        <f t="shared" si="649"/>
        <v>0</v>
      </c>
      <c r="AK241" s="90">
        <f t="shared" si="649"/>
        <v>0</v>
      </c>
      <c r="AL241" s="90">
        <f t="shared" si="649"/>
        <v>0</v>
      </c>
      <c r="AM241" s="90">
        <f t="shared" si="649"/>
        <v>0</v>
      </c>
      <c r="AN241" s="90">
        <f t="shared" si="649"/>
        <v>0</v>
      </c>
      <c r="AO241" s="90">
        <f t="shared" si="649"/>
        <v>0</v>
      </c>
      <c r="AP241" s="90">
        <f t="shared" si="649"/>
        <v>0</v>
      </c>
      <c r="AQ241" s="90">
        <f t="shared" si="649"/>
        <v>0</v>
      </c>
      <c r="AR241" s="90">
        <f t="shared" si="649"/>
        <v>0</v>
      </c>
      <c r="AS241" s="90">
        <f t="shared" si="649"/>
        <v>0</v>
      </c>
      <c r="AT241" s="90">
        <f t="shared" si="649"/>
        <v>0</v>
      </c>
      <c r="AU241" s="90">
        <f t="shared" si="649"/>
        <v>0</v>
      </c>
      <c r="AV241" s="90">
        <f t="shared" si="649"/>
        <v>0</v>
      </c>
      <c r="AW241" s="90">
        <f t="shared" si="649"/>
        <v>0</v>
      </c>
      <c r="AX241" s="90">
        <f t="shared" si="649"/>
        <v>0</v>
      </c>
      <c r="AY241" s="90">
        <f t="shared" si="649"/>
        <v>0</v>
      </c>
      <c r="AZ241" s="25">
        <f>MAX(D241:AY241)</f>
        <v>0</v>
      </c>
      <c r="BA241"/>
      <c r="BB241" s="176" t="s">
        <v>5</v>
      </c>
      <c r="BC241" s="90">
        <f>SUM(BC142:BC240)</f>
        <v>0</v>
      </c>
      <c r="BD241" s="90">
        <f t="shared" ref="BD241:CX241" si="650">SUM(BD142:BD240)</f>
        <v>0</v>
      </c>
      <c r="BE241" s="90">
        <f t="shared" si="650"/>
        <v>0</v>
      </c>
      <c r="BF241" s="90">
        <f t="shared" si="650"/>
        <v>0</v>
      </c>
      <c r="BG241" s="90">
        <f t="shared" si="650"/>
        <v>0</v>
      </c>
      <c r="BH241" s="90">
        <f t="shared" si="650"/>
        <v>0</v>
      </c>
      <c r="BI241" s="90">
        <f t="shared" si="650"/>
        <v>0</v>
      </c>
      <c r="BJ241" s="90">
        <f t="shared" si="650"/>
        <v>0</v>
      </c>
      <c r="BK241" s="90">
        <f t="shared" si="650"/>
        <v>0</v>
      </c>
      <c r="BL241" s="90">
        <f t="shared" si="650"/>
        <v>0</v>
      </c>
      <c r="BM241" s="90">
        <f t="shared" si="650"/>
        <v>0</v>
      </c>
      <c r="BN241" s="90">
        <f t="shared" si="650"/>
        <v>0</v>
      </c>
      <c r="BO241" s="90">
        <f t="shared" si="650"/>
        <v>0</v>
      </c>
      <c r="BP241" s="90">
        <f t="shared" si="650"/>
        <v>0</v>
      </c>
      <c r="BQ241" s="90">
        <f t="shared" si="650"/>
        <v>0</v>
      </c>
      <c r="BR241" s="90">
        <f t="shared" si="650"/>
        <v>0</v>
      </c>
      <c r="BS241" s="90">
        <f t="shared" si="650"/>
        <v>0</v>
      </c>
      <c r="BT241" s="90">
        <f t="shared" si="650"/>
        <v>0</v>
      </c>
      <c r="BU241" s="90">
        <f t="shared" si="650"/>
        <v>0</v>
      </c>
      <c r="BV241" s="90">
        <f t="shared" si="650"/>
        <v>0</v>
      </c>
      <c r="BW241" s="90">
        <f t="shared" si="650"/>
        <v>0</v>
      </c>
      <c r="BX241" s="90">
        <f t="shared" si="650"/>
        <v>0</v>
      </c>
      <c r="BY241" s="90">
        <f t="shared" si="650"/>
        <v>0</v>
      </c>
      <c r="BZ241" s="90">
        <f t="shared" si="650"/>
        <v>0</v>
      </c>
      <c r="CA241" s="90">
        <f t="shared" si="650"/>
        <v>0</v>
      </c>
      <c r="CB241" s="90">
        <f t="shared" si="650"/>
        <v>0</v>
      </c>
      <c r="CC241" s="90">
        <f t="shared" si="650"/>
        <v>0</v>
      </c>
      <c r="CD241" s="90">
        <f t="shared" si="650"/>
        <v>0</v>
      </c>
      <c r="CE241" s="90">
        <f t="shared" si="650"/>
        <v>0</v>
      </c>
      <c r="CF241" s="90">
        <f t="shared" si="650"/>
        <v>0</v>
      </c>
      <c r="CG241" s="90">
        <f t="shared" si="650"/>
        <v>0</v>
      </c>
      <c r="CH241" s="90">
        <f t="shared" si="650"/>
        <v>0</v>
      </c>
      <c r="CI241" s="90">
        <f t="shared" si="650"/>
        <v>0</v>
      </c>
      <c r="CJ241" s="90">
        <f t="shared" si="650"/>
        <v>0</v>
      </c>
      <c r="CK241" s="90">
        <f t="shared" si="650"/>
        <v>0</v>
      </c>
      <c r="CL241" s="90">
        <f t="shared" si="650"/>
        <v>0</v>
      </c>
      <c r="CM241" s="90">
        <f t="shared" si="650"/>
        <v>0</v>
      </c>
      <c r="CN241" s="90">
        <f t="shared" si="650"/>
        <v>0</v>
      </c>
      <c r="CO241" s="90">
        <f t="shared" si="650"/>
        <v>0</v>
      </c>
      <c r="CP241" s="90">
        <f t="shared" si="650"/>
        <v>0</v>
      </c>
      <c r="CQ241" s="90">
        <f t="shared" si="650"/>
        <v>0</v>
      </c>
      <c r="CR241" s="90">
        <f t="shared" si="650"/>
        <v>0</v>
      </c>
      <c r="CS241" s="90">
        <f t="shared" si="650"/>
        <v>0</v>
      </c>
      <c r="CT241" s="90">
        <f t="shared" si="650"/>
        <v>0</v>
      </c>
      <c r="CU241" s="90">
        <f t="shared" si="650"/>
        <v>0</v>
      </c>
      <c r="CV241" s="90">
        <f t="shared" si="650"/>
        <v>0</v>
      </c>
      <c r="CW241" s="90">
        <f t="shared" si="650"/>
        <v>0</v>
      </c>
      <c r="CX241" s="90">
        <f t="shared" si="650"/>
        <v>0</v>
      </c>
      <c r="CY241" s="25">
        <f>MAX(BC241:CX241)</f>
        <v>0</v>
      </c>
    </row>
    <row r="242" spans="2:103" collapsed="1">
      <c r="C242" s="17"/>
      <c r="D242" s="17"/>
      <c r="E242" s="17"/>
      <c r="F242" s="17"/>
      <c r="X242" s="17"/>
      <c r="AA242" s="17"/>
    </row>
  </sheetData>
  <dataConsolidate/>
  <mergeCells count="18">
    <mergeCell ref="AH7:AJ7"/>
    <mergeCell ref="Y7:AA7"/>
    <mergeCell ref="AB7:AD7"/>
    <mergeCell ref="AE7:AG7"/>
    <mergeCell ref="T7:W7"/>
    <mergeCell ref="B2:W2"/>
    <mergeCell ref="G7:I7"/>
    <mergeCell ref="J7:L7"/>
    <mergeCell ref="M7:O7"/>
    <mergeCell ref="P7:Q7"/>
    <mergeCell ref="R7:S7"/>
    <mergeCell ref="B7:E7"/>
    <mergeCell ref="F6:O6"/>
    <mergeCell ref="D140:AY140"/>
    <mergeCell ref="B139:AY139"/>
    <mergeCell ref="BB139:CX139"/>
    <mergeCell ref="BC140:CX140"/>
    <mergeCell ref="C136:AY136"/>
  </mergeCells>
  <conditionalFormatting sqref="H8:I8 K8:O8 Q8">
    <cfRule type="expression" dxfId="21" priority="7">
      <formula>IF(Exchange_Service="Office 365",TRUE,FALSE)</formula>
    </cfRule>
  </conditionalFormatting>
  <conditionalFormatting sqref="B1">
    <cfRule type="expression" dxfId="20" priority="1">
      <formula>IF($B$1="Using Custom TimeZone",1,0)</formula>
    </cfRule>
  </conditionalFormatting>
  <dataValidations count="2">
    <dataValidation type="list" allowBlank="1" showInputMessage="1" showErrorMessage="1" sqref="C9:C107">
      <formula1>Profile_Choices</formula1>
    </dataValidation>
    <dataValidation type="list" allowBlank="1" showInputMessage="1" showErrorMessage="1" sqref="C4 D9:D107">
      <formula1>ListOfTimezones</formula1>
    </dataValidation>
  </dataValidations>
  <pageMargins left="0.7" right="0.7" top="0.75" bottom="0.75" header="0.3" footer="0.3"/>
  <pageSetup paperSize="9" orientation="portrait" horizontalDpi="4294967292" verticalDpi="4294967292" r:id="rId1"/>
  <ignoredErrors>
    <ignoredError sqref="W29:X29" calculatedColumn="1"/>
  </ignoredErrors>
  <drawing r:id="rId2"/>
  <legacyDrawing r:id="rId3"/>
  <tableParts count="10">
    <tablePart r:id="rId4"/>
    <tablePart r:id="rId5"/>
    <tablePart r:id="rId6"/>
    <tablePart r:id="rId7"/>
    <tablePart r:id="rId8"/>
    <tablePart r:id="rId9"/>
    <tablePart r:id="rId10"/>
    <tablePart r:id="rId11"/>
    <tablePart r:id="rId12"/>
    <tablePart r:id="rId1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'Scaling Tables'!$D$7:$D$10</xm:f>
          </x14:formula1>
          <xm:sqref>C9:C107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B1:M38"/>
  <sheetViews>
    <sheetView topLeftCell="A13" workbookViewId="0">
      <selection activeCell="M4" sqref="M4"/>
    </sheetView>
  </sheetViews>
  <sheetFormatPr defaultRowHeight="15"/>
  <cols>
    <col min="1" max="1" width="4.140625" customWidth="1"/>
    <col min="2" max="2" width="28.28515625" customWidth="1"/>
    <col min="3" max="5" width="12" customWidth="1"/>
    <col min="6" max="6" width="4" customWidth="1"/>
    <col min="7" max="7" width="28.85546875" customWidth="1"/>
    <col min="8" max="10" width="11.85546875" customWidth="1"/>
  </cols>
  <sheetData>
    <row r="1" spans="2:13">
      <c r="J1" s="128" t="s">
        <v>168</v>
      </c>
    </row>
    <row r="2" spans="2:13" ht="33.75">
      <c r="B2" s="92" t="s">
        <v>181</v>
      </c>
    </row>
    <row r="4" spans="2:13">
      <c r="B4" s="312" t="str">
        <f>Input!B25 &amp; " [Sent: " &amp; Input!C27 &amp; " Recv: " &amp; Input!C28 &amp; " AvgMsg: " &amp;Input!C26 &amp; " KB]"</f>
        <v>User Profile 1 (Light) [Sent: 5 Recv: 20 AvgMsg: 50 KB]</v>
      </c>
      <c r="C4" s="312"/>
      <c r="D4" s="312"/>
      <c r="E4" s="312"/>
      <c r="G4" s="312" t="str">
        <f>Input!E25 &amp; " [Sent: " &amp; Input!F27 &amp; " Recv: " &amp; Input!F28 &amp; " AvgMsg: " &amp;Input!F26 &amp; " KB]"</f>
        <v>User Profile 2 (Medium) [Sent: 10 Recv: 40 AvgMsg: 50 KB]</v>
      </c>
      <c r="H4" s="312"/>
      <c r="I4" s="312"/>
      <c r="J4" s="312"/>
    </row>
    <row r="5" spans="2:13">
      <c r="B5" t="s">
        <v>0</v>
      </c>
      <c r="C5" s="25" t="s">
        <v>141</v>
      </c>
      <c r="D5" s="25" t="s">
        <v>145</v>
      </c>
      <c r="E5" s="25" t="s">
        <v>146</v>
      </c>
      <c r="G5" s="89" t="s">
        <v>0</v>
      </c>
      <c r="H5" s="25" t="s">
        <v>141</v>
      </c>
      <c r="I5" s="25" t="s">
        <v>145</v>
      </c>
      <c r="J5" s="25" t="s">
        <v>146</v>
      </c>
    </row>
    <row r="6" spans="2:13">
      <c r="B6" t="s">
        <v>9</v>
      </c>
      <c r="C6" s="91">
        <f>('Scaling Tables'!O19)</f>
        <v>2408.8155000000002</v>
      </c>
      <c r="D6" s="90">
        <f>((C6*(MAX(Tools!$E$29:'Tools'!$D$29)))/(3600))*2</f>
        <v>0.17753114901566897</v>
      </c>
      <c r="E6" s="90">
        <f t="shared" ref="E6:E18" si="0">D6*8</f>
        <v>1.4202491921253517</v>
      </c>
      <c r="G6" s="89" t="s">
        <v>9</v>
      </c>
      <c r="H6" s="91">
        <f>('Scaling Tables'!O39)</f>
        <v>3674.9430000000002</v>
      </c>
      <c r="I6" s="90">
        <f>((H6*(MAX(Tools!$E$29:'Tools'!$D$29)))/(3600))*2</f>
        <v>0.27084550616561942</v>
      </c>
      <c r="J6" s="90">
        <f t="shared" ref="J6:J18" si="1">I6*8</f>
        <v>2.1667640493249554</v>
      </c>
    </row>
    <row r="7" spans="2:13">
      <c r="B7" t="s">
        <v>10</v>
      </c>
      <c r="C7" s="91">
        <f>('Scaling Tables'!O20)</f>
        <v>2354.1015000000002</v>
      </c>
      <c r="D7" s="90">
        <f>((C7*(MAX(Tools!$E$29:'Tools'!$D$29)))/(3600))*2</f>
        <v>0.17349869435600601</v>
      </c>
      <c r="E7" s="90">
        <f t="shared" si="0"/>
        <v>1.3879895548480481</v>
      </c>
      <c r="G7" s="89" t="s">
        <v>10</v>
      </c>
      <c r="H7" s="91">
        <f>('Scaling Tables'!O40)</f>
        <v>3573.315000000001</v>
      </c>
      <c r="I7" s="90">
        <f>((H7*(MAX(Tools!$E$29:'Tools'!$D$29)))/(3600))*2</f>
        <v>0.2633554615307504</v>
      </c>
      <c r="J7" s="90">
        <f t="shared" si="1"/>
        <v>2.1068436922460032</v>
      </c>
    </row>
    <row r="8" spans="2:13">
      <c r="B8" t="s">
        <v>8</v>
      </c>
      <c r="C8" s="91">
        <f>('Scaling Tables'!O21)</f>
        <v>2037.3875</v>
      </c>
      <c r="D8" s="90">
        <f>((C8*(MAX(Tools!$E$29:'Tools'!$D$29)))/(3600))*2</f>
        <v>0.15015668234663934</v>
      </c>
      <c r="E8" s="90">
        <f t="shared" si="0"/>
        <v>1.2012534587731147</v>
      </c>
      <c r="G8" s="89" t="s">
        <v>8</v>
      </c>
      <c r="H8" s="91">
        <f>('Scaling Tables'!O41)</f>
        <v>3783.498</v>
      </c>
      <c r="I8" s="90">
        <f>((H8*(MAX(Tools!$E$29:'Tools'!$D$29)))/(3600))*2</f>
        <v>0.27884607486064644</v>
      </c>
      <c r="J8" s="90">
        <f t="shared" si="1"/>
        <v>2.2307685988851715</v>
      </c>
    </row>
    <row r="9" spans="2:13">
      <c r="B9" t="s">
        <v>11</v>
      </c>
      <c r="C9" s="91">
        <f>('Scaling Tables'!O22)</f>
        <v>2393.6835000000001</v>
      </c>
      <c r="D9" s="90">
        <f>((C9*(MAX(Tools!$E$29:'Tools'!$D$29)))/(3600))*2</f>
        <v>0.17641591152782271</v>
      </c>
      <c r="E9" s="90">
        <f t="shared" si="0"/>
        <v>1.4113272922225817</v>
      </c>
      <c r="G9" s="89" t="s">
        <v>11</v>
      </c>
      <c r="H9" s="91">
        <f>('Scaling Tables'!O42)</f>
        <v>3643.9790000000003</v>
      </c>
      <c r="I9" s="90">
        <f>((H9*(MAX(Tools!$E$29:'Tools'!$D$29)))/(3600))*2</f>
        <v>0.26856344076952693</v>
      </c>
      <c r="J9" s="90">
        <f t="shared" si="1"/>
        <v>2.1485075261562154</v>
      </c>
    </row>
    <row r="10" spans="2:13">
      <c r="B10" t="s">
        <v>12</v>
      </c>
      <c r="C10" s="91">
        <f>('Scaling Tables'!O23)</f>
        <v>2357.1514999999999</v>
      </c>
      <c r="D10" s="90">
        <f>((C10*(MAX(Tools!$E$29:'Tools'!$D$29)))/(3600))*2</f>
        <v>0.17372348118774875</v>
      </c>
      <c r="E10" s="90">
        <f t="shared" si="0"/>
        <v>1.38978784950199</v>
      </c>
      <c r="G10" s="89" t="s">
        <v>12</v>
      </c>
      <c r="H10" s="91">
        <f>('Scaling Tables'!O43)</f>
        <v>3579.6650000000004</v>
      </c>
      <c r="I10" s="90">
        <f>((H10*(MAX(Tools!$E$29:'Tools'!$D$29)))/(3600))*2</f>
        <v>0.2638234603443787</v>
      </c>
      <c r="J10" s="90">
        <f t="shared" si="1"/>
        <v>2.1105876827550296</v>
      </c>
      <c r="M10" t="s">
        <v>182</v>
      </c>
    </row>
    <row r="11" spans="2:13">
      <c r="B11" t="s">
        <v>13</v>
      </c>
      <c r="C11" s="91">
        <f>('Scaling Tables'!O24)</f>
        <v>1855.2375</v>
      </c>
      <c r="D11" s="90">
        <f>((C11*(MAX(Tools!$E$29:'Tools'!$D$29)))/(3600))*2</f>
        <v>0.13673211795256096</v>
      </c>
      <c r="E11" s="90">
        <f t="shared" si="0"/>
        <v>1.0938569436204877</v>
      </c>
      <c r="G11" s="89" t="s">
        <v>13</v>
      </c>
      <c r="H11" s="91">
        <f>('Scaling Tables'!O44)</f>
        <v>3416.7979999999998</v>
      </c>
      <c r="I11" s="90">
        <f>((H11*(MAX(Tools!$E$29:'Tools'!$D$29)))/(3600))*2</f>
        <v>0.25182006463111833</v>
      </c>
      <c r="J11" s="90">
        <f t="shared" si="1"/>
        <v>2.0145605170489467</v>
      </c>
    </row>
    <row r="12" spans="2:13">
      <c r="B12" t="s">
        <v>26</v>
      </c>
      <c r="C12" s="91">
        <f>('Scaling Tables'!O25)</f>
        <v>2038.0160000000001</v>
      </c>
      <c r="D12" s="90">
        <f>((C12*(MAX(Tools!$E$29:'Tools'!$D$29)))/(3600))*2</f>
        <v>0.15020300317409846</v>
      </c>
      <c r="E12" s="90">
        <f t="shared" si="0"/>
        <v>1.2016240253927877</v>
      </c>
      <c r="G12" s="89" t="s">
        <v>26</v>
      </c>
      <c r="H12" s="91">
        <f>('Scaling Tables'!O45)</f>
        <v>2948.9940000000001</v>
      </c>
      <c r="I12" s="90">
        <f>((H12*(MAX(Tools!$E$29:'Tools'!$D$29)))/(3600))*2</f>
        <v>0.21734262888142064</v>
      </c>
      <c r="J12" s="90">
        <f t="shared" si="1"/>
        <v>1.7387410310513651</v>
      </c>
    </row>
    <row r="13" spans="2:13">
      <c r="B13" t="s">
        <v>27</v>
      </c>
      <c r="C13" s="91">
        <f>('Scaling Tables'!O26)</f>
        <v>1927.2659999999998</v>
      </c>
      <c r="D13" s="90">
        <f>((C13*(MAX(Tools!$E$29:'Tools'!$D$29)))/(3600))*2</f>
        <v>0.14204066166081719</v>
      </c>
      <c r="E13" s="90">
        <f t="shared" si="0"/>
        <v>1.1363252932865375</v>
      </c>
      <c r="G13" s="89" t="s">
        <v>27</v>
      </c>
      <c r="H13" s="91">
        <f>('Scaling Tables'!O46)</f>
        <v>2830.982</v>
      </c>
      <c r="I13" s="90">
        <f>((H13*(MAX(Tools!$E$29:'Tools'!$D$29)))/(3600))*2</f>
        <v>0.20864507360678997</v>
      </c>
      <c r="J13" s="90">
        <f t="shared" si="1"/>
        <v>1.6691605888543197</v>
      </c>
    </row>
    <row r="14" spans="2:13">
      <c r="B14" t="s">
        <v>28</v>
      </c>
      <c r="C14" s="91">
        <f>('Scaling Tables'!O27)</f>
        <v>1411.6879999999999</v>
      </c>
      <c r="D14" s="90">
        <f>((C14*(MAX(Tools!$E$29:'Tools'!$D$29)))/(3600))*2</f>
        <v>0.10404225341942197</v>
      </c>
      <c r="E14" s="90">
        <f t="shared" si="0"/>
        <v>0.83233802735537576</v>
      </c>
      <c r="G14" s="89" t="s">
        <v>28</v>
      </c>
      <c r="H14" s="91">
        <f>('Scaling Tables'!O47)</f>
        <v>2634.7869999999998</v>
      </c>
      <c r="I14" s="90">
        <f>((H14*(MAX(Tools!$E$29:'Tools'!$D$29)))/(3600))*2</f>
        <v>0.19418538427768639</v>
      </c>
      <c r="J14" s="90">
        <f t="shared" si="1"/>
        <v>1.5534830742214911</v>
      </c>
    </row>
    <row r="15" spans="2:13">
      <c r="B15" t="s">
        <v>15</v>
      </c>
      <c r="C15" s="91">
        <f>('Scaling Tables'!O28)</f>
        <v>2034.9670000000001</v>
      </c>
      <c r="D15" s="90">
        <f>((C15*(MAX(Tools!$E$29:'Tools'!$D$29)))/(3600))*2</f>
        <v>0.14997829004295632</v>
      </c>
      <c r="E15" s="90">
        <f t="shared" si="0"/>
        <v>1.1998263203436506</v>
      </c>
      <c r="G15" s="89" t="s">
        <v>15</v>
      </c>
      <c r="H15" s="91">
        <f>('Scaling Tables'!O48)</f>
        <v>3964.28</v>
      </c>
      <c r="I15" s="90">
        <f>((H15*(MAX(Tools!$E$29:'Tools'!$D$29)))/(3600))*2</f>
        <v>0.29216981683314314</v>
      </c>
      <c r="J15" s="90">
        <f t="shared" si="1"/>
        <v>2.3373585346651451</v>
      </c>
    </row>
    <row r="16" spans="2:13">
      <c r="B16" t="s">
        <v>16</v>
      </c>
      <c r="C16" s="91">
        <f>('Scaling Tables'!O29)</f>
        <v>1838.0692500000002</v>
      </c>
      <c r="D16" s="90">
        <f>((C16*(MAX(Tools!$E$29:'Tools'!$D$29)))/(3600))*2</f>
        <v>0.13546680761680124</v>
      </c>
      <c r="E16" s="90">
        <f t="shared" si="0"/>
        <v>1.0837344609344099</v>
      </c>
      <c r="G16" s="89" t="s">
        <v>16</v>
      </c>
      <c r="H16" s="91">
        <f>('Scaling Tables'!O49)</f>
        <v>3635.1385000000005</v>
      </c>
      <c r="I16" s="90">
        <f>((H16*(MAX(Tools!$E$29:'Tools'!$D$29)))/(3600))*2</f>
        <v>0.26791189061017556</v>
      </c>
      <c r="J16" s="90">
        <f t="shared" si="1"/>
        <v>2.1432951248814045</v>
      </c>
    </row>
    <row r="17" spans="2:10">
      <c r="B17" t="s">
        <v>29</v>
      </c>
      <c r="C17" s="91">
        <f>('Scaling Tables'!O30)</f>
        <v>336.26919450000003</v>
      </c>
      <c r="D17" s="90">
        <f>((C17*(MAX(Tools!$E$29:'Tools'!$D$29)))/(3600))*2</f>
        <v>2.4783241588306981E-2</v>
      </c>
      <c r="E17" s="90">
        <f t="shared" si="0"/>
        <v>0.19826593270645584</v>
      </c>
      <c r="G17" s="89" t="s">
        <v>29</v>
      </c>
      <c r="H17" s="91">
        <f>('Scaling Tables'!O50)</f>
        <v>597.17238899999995</v>
      </c>
      <c r="I17" s="90">
        <f>((H17*(MAX(Tools!$E$29:'Tools'!$D$29)))/(3600))*2</f>
        <v>4.4011963713950705E-2</v>
      </c>
      <c r="J17" s="90">
        <f t="shared" si="1"/>
        <v>0.35209570971160564</v>
      </c>
    </row>
    <row r="18" spans="2:10">
      <c r="B18" t="s">
        <v>30</v>
      </c>
      <c r="C18" s="91">
        <f>('Scaling Tables'!O31)</f>
        <v>310.95732050000004</v>
      </c>
      <c r="D18" s="90">
        <f>((C18*(MAX(Tools!$E$29:'Tools'!$D$29)))/(3600))*2</f>
        <v>2.2917741272919671E-2</v>
      </c>
      <c r="E18" s="90">
        <f t="shared" si="0"/>
        <v>0.18334193018335737</v>
      </c>
      <c r="G18" s="89" t="s">
        <v>30</v>
      </c>
      <c r="H18" s="91">
        <f>('Scaling Tables'!O51)</f>
        <v>546.54864100000009</v>
      </c>
      <c r="I18" s="90">
        <f>((H18*(MAX(Tools!$E$29:'Tools'!$D$29)))/(3600))*2</f>
        <v>4.0280963083176101E-2</v>
      </c>
      <c r="J18" s="90">
        <f t="shared" si="1"/>
        <v>0.32224770466540881</v>
      </c>
    </row>
    <row r="19" spans="2:10">
      <c r="B19" s="154" t="s">
        <v>178</v>
      </c>
      <c r="C19" s="91">
        <f>('Scaling Tables'!O32)</f>
        <v>3290.7391999999995</v>
      </c>
      <c r="D19" s="90">
        <f>((C19*(MAX(Tools!$E$29:'Tools'!$D$29)))/(3600))*2</f>
        <v>0.24252945536380979</v>
      </c>
      <c r="E19" s="90">
        <f t="shared" ref="E19" si="2">D19*8</f>
        <v>1.9402356429104783</v>
      </c>
      <c r="G19" s="154" t="s">
        <v>178</v>
      </c>
      <c r="H19" s="91">
        <f>('Scaling Tables'!O52)</f>
        <v>5249.6903999999986</v>
      </c>
      <c r="I19" s="90">
        <f>((H19*(MAX(Tools!$E$29:'Tools'!$D$29)))/(3600))*2</f>
        <v>0.38690533529385152</v>
      </c>
      <c r="J19" s="90">
        <f>I19*8</f>
        <v>3.0952426823508121</v>
      </c>
    </row>
    <row r="20" spans="2:10">
      <c r="C20" s="91"/>
      <c r="D20" s="90"/>
      <c r="E20" s="90"/>
      <c r="G20" s="89"/>
      <c r="H20" s="91"/>
      <c r="I20" s="90"/>
      <c r="J20" s="90"/>
    </row>
    <row r="22" spans="2:10">
      <c r="B22" s="312" t="str">
        <f>Input!B36 &amp; " [Sent: " &amp; Input!C38 &amp; " Recv: " &amp; Input!C39 &amp; " AvgMsg: " &amp;Input!C37 &amp; " KB]"</f>
        <v>User Profile 3 (Heavy) [Sent: 20 Recv: 80 AvgMsg: 50 KB]</v>
      </c>
      <c r="C22" s="312"/>
      <c r="D22" s="312"/>
      <c r="E22" s="312"/>
      <c r="G22" s="312" t="str">
        <f>Input!E36 &amp; " [Sent: " &amp; Input!F38 &amp; " Recv: " &amp; Input!F39 &amp; " AvgMsg: " &amp;Input!F37 &amp; " KB]"</f>
        <v>User Profile 4 (Very Heavy) [Sent: 30 Recv: 120 AvgMsg: 50 KB]</v>
      </c>
      <c r="H22" s="312"/>
      <c r="I22" s="312"/>
      <c r="J22" s="312"/>
    </row>
    <row r="23" spans="2:10">
      <c r="B23" s="89" t="s">
        <v>0</v>
      </c>
      <c r="C23" s="25" t="s">
        <v>141</v>
      </c>
      <c r="D23" s="25" t="s">
        <v>145</v>
      </c>
      <c r="E23" s="25" t="s">
        <v>146</v>
      </c>
      <c r="G23" s="89" t="s">
        <v>0</v>
      </c>
      <c r="H23" s="25" t="s">
        <v>141</v>
      </c>
      <c r="I23" s="25" t="s">
        <v>145</v>
      </c>
      <c r="J23" s="25" t="s">
        <v>146</v>
      </c>
    </row>
    <row r="24" spans="2:10">
      <c r="B24" s="89" t="s">
        <v>9</v>
      </c>
      <c r="C24" s="91">
        <f>('Scaling Tables'!O59)</f>
        <v>6207.1980000000003</v>
      </c>
      <c r="D24" s="90">
        <f>((C24*(MAX(Tools!$E$29:'Tools'!$D$29)))/(3600))*2</f>
        <v>0.45747422046552022</v>
      </c>
      <c r="E24" s="90">
        <f t="shared" ref="E24:E36" si="3">D24*8</f>
        <v>3.6597937637241618</v>
      </c>
      <c r="G24" s="89" t="s">
        <v>9</v>
      </c>
      <c r="H24" s="91">
        <f>('Scaling Tables'!O79)</f>
        <v>8739.4529999999995</v>
      </c>
      <c r="I24" s="90">
        <f>((H24*(MAX(Tools!$E$29:'Tools'!$D$29)))/(3600))*2</f>
        <v>0.64410293476542102</v>
      </c>
      <c r="J24" s="90">
        <f t="shared" ref="J24:J36" si="4">I24*8</f>
        <v>5.1528234781233682</v>
      </c>
    </row>
    <row r="25" spans="2:10">
      <c r="B25" s="89" t="s">
        <v>10</v>
      </c>
      <c r="C25" s="91">
        <f>('Scaling Tables'!O60)</f>
        <v>6011.7420000000011</v>
      </c>
      <c r="D25" s="90">
        <f>((C25*(MAX(Tools!$E$29:'Tools'!$D$29)))/(3600))*2</f>
        <v>0.44306899588023901</v>
      </c>
      <c r="E25" s="90">
        <f t="shared" si="3"/>
        <v>3.5445519670419121</v>
      </c>
      <c r="G25" s="89" t="s">
        <v>10</v>
      </c>
      <c r="H25" s="91">
        <f>('Scaling Tables'!O80)</f>
        <v>8450.1690000000017</v>
      </c>
      <c r="I25" s="90">
        <f>((H25*(MAX(Tools!$E$29:'Tools'!$D$29)))/(3600))*2</f>
        <v>0.62278253022972774</v>
      </c>
      <c r="J25" s="90">
        <f t="shared" si="4"/>
        <v>4.9822602418378219</v>
      </c>
    </row>
    <row r="26" spans="2:10">
      <c r="B26" s="89" t="s">
        <v>8</v>
      </c>
      <c r="C26" s="91">
        <f>('Scaling Tables'!O61)</f>
        <v>7273.3190000000004</v>
      </c>
      <c r="D26" s="90">
        <f>((C26*(MAX(Tools!$E$29:'Tools'!$D$29)))/(3600))*2</f>
        <v>0.53604797844728924</v>
      </c>
      <c r="E26" s="90">
        <f t="shared" si="3"/>
        <v>4.2883838275783139</v>
      </c>
      <c r="G26" s="89" t="s">
        <v>8</v>
      </c>
      <c r="H26" s="91">
        <f>('Scaling Tables'!O81)</f>
        <v>10763.14</v>
      </c>
      <c r="I26" s="90">
        <f>((H26*(MAX(Tools!$E$29:'Tools'!$D$29)))/(3600))*2</f>
        <v>0.7932498820339321</v>
      </c>
      <c r="J26" s="90">
        <f t="shared" si="4"/>
        <v>6.3459990562714568</v>
      </c>
    </row>
    <row r="27" spans="2:10">
      <c r="B27" s="89" t="s">
        <v>11</v>
      </c>
      <c r="C27" s="91">
        <f>('Scaling Tables'!O62)</f>
        <v>6144.5700000000006</v>
      </c>
      <c r="D27" s="90">
        <f>((C27*(MAX(Tools!$E$29:'Tools'!$D$29)))/(3600))*2</f>
        <v>0.45285849925293536</v>
      </c>
      <c r="E27" s="90">
        <f t="shared" si="3"/>
        <v>3.6228679940234829</v>
      </c>
      <c r="G27" s="89" t="s">
        <v>11</v>
      </c>
      <c r="H27" s="91">
        <f>('Scaling Tables'!O82)</f>
        <v>8645.1610000000001</v>
      </c>
      <c r="I27" s="90">
        <f>((H27*(MAX(Tools!$E$29:'Tools'!$D$29)))/(3600))*2</f>
        <v>0.63715355773634375</v>
      </c>
      <c r="J27" s="90">
        <f t="shared" si="4"/>
        <v>5.09722846189075</v>
      </c>
    </row>
    <row r="28" spans="2:10">
      <c r="B28" s="89" t="s">
        <v>12</v>
      </c>
      <c r="C28" s="91">
        <f>('Scaling Tables'!O63)</f>
        <v>6024.692</v>
      </c>
      <c r="D28" s="90">
        <f>((C28*(MAX(Tools!$E$29:'Tools'!$D$29)))/(3600))*2</f>
        <v>0.44402341865763845</v>
      </c>
      <c r="E28" s="90">
        <f t="shared" si="3"/>
        <v>3.5521873492611076</v>
      </c>
      <c r="G28" s="89" t="s">
        <v>12</v>
      </c>
      <c r="H28" s="91">
        <f>('Scaling Tables'!O83)</f>
        <v>8469.7189999999991</v>
      </c>
      <c r="I28" s="90">
        <f>((H28*(MAX(Tools!$E$29:'Tools'!$D$29)))/(3600))*2</f>
        <v>0.62422337697089814</v>
      </c>
      <c r="J28" s="90">
        <f t="shared" si="4"/>
        <v>4.9937870157671851</v>
      </c>
    </row>
    <row r="29" spans="2:10">
      <c r="B29" s="89" t="s">
        <v>13</v>
      </c>
      <c r="C29" s="91">
        <f>('Scaling Tables'!O64)</f>
        <v>6539.9189999999999</v>
      </c>
      <c r="D29" s="90">
        <f>((C29*(MAX(Tools!$E$29:'Tools'!$D$29)))/(3600))*2</f>
        <v>0.48199595798823308</v>
      </c>
      <c r="E29" s="90">
        <f t="shared" si="3"/>
        <v>3.8559676639058647</v>
      </c>
      <c r="G29" s="89" t="s">
        <v>13</v>
      </c>
      <c r="H29" s="91">
        <f>('Scaling Tables'!O84)</f>
        <v>9663.0400000000009</v>
      </c>
      <c r="I29" s="90">
        <f>((H29*(MAX(Tools!$E$29:'Tools'!$D$29)))/(3600))*2</f>
        <v>0.71217185134534788</v>
      </c>
      <c r="J29" s="90">
        <f t="shared" si="4"/>
        <v>5.6973748107627831</v>
      </c>
    </row>
    <row r="30" spans="2:10">
      <c r="B30" s="89" t="s">
        <v>26</v>
      </c>
      <c r="C30" s="91">
        <f>('Scaling Tables'!O65)</f>
        <v>4770.95</v>
      </c>
      <c r="D30" s="90">
        <f>((C30*(MAX(Tools!$E$29:'Tools'!$D$29)))/(3600))*2</f>
        <v>0.35162188029606495</v>
      </c>
      <c r="E30" s="90">
        <f t="shared" si="3"/>
        <v>2.8129750423685196</v>
      </c>
      <c r="G30" s="89" t="s">
        <v>26</v>
      </c>
      <c r="H30" s="91">
        <f>('Scaling Tables'!O85)</f>
        <v>6592.9059999999999</v>
      </c>
      <c r="I30" s="90">
        <f>((H30*(MAX(Tools!$E$29:'Tools'!$D$29)))/(3600))*2</f>
        <v>0.48590113171070926</v>
      </c>
      <c r="J30" s="90">
        <f t="shared" si="4"/>
        <v>3.887209053685674</v>
      </c>
    </row>
    <row r="31" spans="2:10">
      <c r="B31" s="89" t="s">
        <v>27</v>
      </c>
      <c r="C31" s="91">
        <f>('Scaling Tables'!O66)</f>
        <v>4638.4139999999998</v>
      </c>
      <c r="D31" s="90">
        <f>((C31*(MAX(Tools!$E$29:'Tools'!$D$29)))/(3600))*2</f>
        <v>0.3418538974987354</v>
      </c>
      <c r="E31" s="90">
        <f t="shared" si="3"/>
        <v>2.7348311799898832</v>
      </c>
      <c r="G31" s="89" t="s">
        <v>27</v>
      </c>
      <c r="H31" s="91">
        <f>('Scaling Tables'!O86)</f>
        <v>6445.8460000000005</v>
      </c>
      <c r="I31" s="90">
        <f>((H31*(MAX(Tools!$E$29:'Tools'!$D$29)))/(3600))*2</f>
        <v>0.4750627213906809</v>
      </c>
      <c r="J31" s="90">
        <f t="shared" si="4"/>
        <v>3.8005017711254472</v>
      </c>
    </row>
    <row r="32" spans="2:10">
      <c r="B32" s="89" t="s">
        <v>28</v>
      </c>
      <c r="C32" s="91">
        <f>('Scaling Tables'!O67)</f>
        <v>5080.9849999999997</v>
      </c>
      <c r="D32" s="90">
        <f>((C32*(MAX(Tools!$E$29:'Tools'!$D$29)))/(3600))*2</f>
        <v>0.37447164599421523</v>
      </c>
      <c r="E32" s="90">
        <f t="shared" si="3"/>
        <v>2.9957731679537218</v>
      </c>
      <c r="G32" s="89" t="s">
        <v>28</v>
      </c>
      <c r="H32" s="91">
        <f>('Scaling Tables'!O87)</f>
        <v>7527.183</v>
      </c>
      <c r="I32" s="90">
        <f>((H32*(MAX(Tools!$E$29:'Tools'!$D$29)))/(3600))*2</f>
        <v>0.55475790771074418</v>
      </c>
      <c r="J32" s="90">
        <f t="shared" si="4"/>
        <v>4.4380632616859534</v>
      </c>
    </row>
    <row r="33" spans="2:10">
      <c r="B33" s="89" t="s">
        <v>15</v>
      </c>
      <c r="C33" s="91">
        <f>('Scaling Tables'!O68)</f>
        <v>7822.9059999999999</v>
      </c>
      <c r="D33" s="90">
        <f>((C33*(MAX(Tools!$E$29:'Tools'!$D$29)))/(3600))*2</f>
        <v>0.57655287041351688</v>
      </c>
      <c r="E33" s="90">
        <f t="shared" si="3"/>
        <v>4.6124229633081351</v>
      </c>
      <c r="G33" s="89" t="s">
        <v>15</v>
      </c>
      <c r="H33" s="91">
        <f>('Scaling Tables'!O88)</f>
        <v>11681.532000000001</v>
      </c>
      <c r="I33" s="90">
        <f>((H33*(MAX(Tools!$E$29:'Tools'!$D$29)))/(3600))*2</f>
        <v>0.86093592399389052</v>
      </c>
      <c r="J33" s="90">
        <f t="shared" si="4"/>
        <v>6.8874873919511241</v>
      </c>
    </row>
    <row r="34" spans="2:10">
      <c r="B34" s="89" t="s">
        <v>16</v>
      </c>
      <c r="C34" s="91">
        <f>('Scaling Tables'!O69)</f>
        <v>7229.277000000001</v>
      </c>
      <c r="D34" s="90">
        <f>((C34*(MAX(Tools!$E$29:'Tools'!$D$29)))/(3600))*2</f>
        <v>0.53280205659692426</v>
      </c>
      <c r="E34" s="90">
        <f t="shared" si="3"/>
        <v>4.262416452775394</v>
      </c>
      <c r="G34" s="89" t="s">
        <v>16</v>
      </c>
      <c r="H34" s="91">
        <f>('Scaling Tables'!O89)</f>
        <v>10823.415499999999</v>
      </c>
      <c r="I34" s="90">
        <f>((H34*(MAX(Tools!$E$29:'Tools'!$D$29)))/(3600))*2</f>
        <v>0.79769222258367267</v>
      </c>
      <c r="J34" s="90">
        <f t="shared" si="4"/>
        <v>6.3815377806693814</v>
      </c>
    </row>
    <row r="35" spans="2:10">
      <c r="B35" s="89" t="s">
        <v>29</v>
      </c>
      <c r="C35" s="91">
        <f>('Scaling Tables'!O70)</f>
        <v>1118.9787779999999</v>
      </c>
      <c r="D35" s="90">
        <f>((C35*(MAX(Tools!$E$29:'Tools'!$D$29)))/(3600))*2</f>
        <v>8.2469407965238162E-2</v>
      </c>
      <c r="E35" s="90">
        <f t="shared" si="3"/>
        <v>0.65975526372190529</v>
      </c>
      <c r="G35" s="89" t="s">
        <v>29</v>
      </c>
      <c r="H35" s="91">
        <f>('Scaling Tables'!O90)</f>
        <v>1640.7851670000005</v>
      </c>
      <c r="I35" s="90">
        <f>((H35*(MAX(Tools!$E$29:'Tools'!$D$29)))/(3600))*2</f>
        <v>0.12092685221652565</v>
      </c>
      <c r="J35" s="90">
        <f t="shared" si="4"/>
        <v>0.96741481773220517</v>
      </c>
    </row>
    <row r="36" spans="2:10">
      <c r="B36" s="89" t="s">
        <v>30</v>
      </c>
      <c r="C36" s="91">
        <f>('Scaling Tables'!O71)</f>
        <v>1017.731282</v>
      </c>
      <c r="D36" s="90">
        <f>((C36*(MAX(Tools!$E$29:'Tools'!$D$29)))/(3600))*2</f>
        <v>7.5007406703688925E-2</v>
      </c>
      <c r="E36" s="90">
        <f t="shared" si="3"/>
        <v>0.6000592536295114</v>
      </c>
      <c r="G36" s="89" t="s">
        <v>30</v>
      </c>
      <c r="H36" s="91">
        <f>('Scaling Tables'!O91)</f>
        <v>1488.9139230000003</v>
      </c>
      <c r="I36" s="90">
        <f>((H36*(MAX(Tools!$E$29:'Tools'!$D$29)))/(3600))*2</f>
        <v>0.1097338503242018</v>
      </c>
      <c r="J36" s="90">
        <f t="shared" si="4"/>
        <v>0.87787080259361439</v>
      </c>
    </row>
    <row r="37" spans="2:10">
      <c r="B37" s="154" t="s">
        <v>178</v>
      </c>
      <c r="C37" s="91">
        <f>('Scaling Tables'!O72)</f>
        <v>9167.5927999999985</v>
      </c>
      <c r="D37" s="90">
        <f>((C37*(MAX(Tools!$E$29:'Tools'!$D$29)))/(3600))*2</f>
        <v>0.67565709515393502</v>
      </c>
      <c r="E37" s="90">
        <f>D37*8</f>
        <v>5.4052567612314801</v>
      </c>
      <c r="G37" s="154" t="s">
        <v>178</v>
      </c>
      <c r="H37" s="91">
        <f>('Scaling Tables'!O92)</f>
        <v>13085.495200000001</v>
      </c>
      <c r="I37" s="90">
        <f>((H37*(MAX(Tools!$E$29:'Tools'!$D$29)))/(3600))*2</f>
        <v>0.96440885501401874</v>
      </c>
      <c r="J37" s="90">
        <f>I37*8</f>
        <v>7.7152708401121499</v>
      </c>
    </row>
    <row r="38" spans="2:10">
      <c r="B38" s="89"/>
      <c r="C38" s="91"/>
      <c r="D38" s="90"/>
      <c r="E38" s="90"/>
      <c r="G38" s="89"/>
      <c r="H38" s="91"/>
      <c r="I38" s="90"/>
      <c r="J38" s="90"/>
    </row>
  </sheetData>
  <mergeCells count="4">
    <mergeCell ref="B4:E4"/>
    <mergeCell ref="G4:J4"/>
    <mergeCell ref="B22:E22"/>
    <mergeCell ref="G22:J22"/>
  </mergeCells>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499984740745262"/>
  </sheetPr>
  <dimension ref="A1:G48"/>
  <sheetViews>
    <sheetView topLeftCell="B4" workbookViewId="0">
      <selection activeCell="F12" sqref="F12"/>
    </sheetView>
  </sheetViews>
  <sheetFormatPr defaultColWidth="8.85546875" defaultRowHeight="15"/>
  <cols>
    <col min="1" max="1" width="5.28515625" customWidth="1"/>
    <col min="2" max="2" width="38.85546875" customWidth="1"/>
    <col min="3" max="3" width="13.42578125" customWidth="1"/>
    <col min="4" max="4" width="15" customWidth="1"/>
    <col min="5" max="5" width="19.28515625" customWidth="1"/>
  </cols>
  <sheetData>
    <row r="1" spans="1:6">
      <c r="A1" s="8"/>
      <c r="B1" s="8"/>
      <c r="C1" s="8"/>
      <c r="D1" s="8"/>
      <c r="E1" s="8"/>
    </row>
    <row r="2" spans="1:6">
      <c r="A2" s="8"/>
      <c r="B2" s="12"/>
      <c r="C2" s="12"/>
      <c r="D2" s="12"/>
      <c r="E2" s="12"/>
      <c r="F2" s="17"/>
    </row>
    <row r="3" spans="1:6">
      <c r="A3" s="11"/>
      <c r="B3" s="313" t="s">
        <v>81</v>
      </c>
      <c r="C3" s="313"/>
      <c r="D3" s="313"/>
      <c r="E3" s="313"/>
      <c r="F3" s="17"/>
    </row>
    <row r="4" spans="1:6">
      <c r="A4" s="11"/>
      <c r="B4" s="78" t="s">
        <v>78</v>
      </c>
      <c r="C4" s="78" t="s">
        <v>79</v>
      </c>
      <c r="D4" s="78" t="s">
        <v>364</v>
      </c>
      <c r="E4" s="78" t="s">
        <v>363</v>
      </c>
      <c r="F4" s="17"/>
    </row>
    <row r="5" spans="1:6">
      <c r="A5" s="11"/>
      <c r="B5" s="260">
        <v>1</v>
      </c>
      <c r="C5" s="79">
        <v>0</v>
      </c>
      <c r="D5" s="80">
        <f t="shared" ref="D5:D28" si="0">E5/SUM($E$5:$E$28)</f>
        <v>2.6575637877179719E-10</v>
      </c>
      <c r="E5" s="261">
        <f t="shared" ref="E5:E28" si="1">(((EXP(-(1/(Morning_Peak_Duration__hours*2))*(B5-(Morning_Peak_Time__24hr_clock))^2))+(EXP(-(1/(Afternoon_Peak_Duration__hours*2))*(B5-(Afternoon_Peak_Time__24hr_clock))^2))))</f>
        <v>2.2743866643148897E-9</v>
      </c>
      <c r="F5" s="17"/>
    </row>
    <row r="6" spans="1:6">
      <c r="A6" s="11"/>
      <c r="B6" s="260">
        <v>2</v>
      </c>
      <c r="C6" s="79">
        <v>0</v>
      </c>
      <c r="D6" s="80">
        <f t="shared" si="0"/>
        <v>1.4929037931987916E-8</v>
      </c>
      <c r="E6" s="261">
        <f t="shared" si="1"/>
        <v>1.2776515446397176E-7</v>
      </c>
      <c r="F6" s="17"/>
    </row>
    <row r="7" spans="1:6">
      <c r="A7" s="11"/>
      <c r="B7" s="260">
        <v>3</v>
      </c>
      <c r="C7" s="79">
        <v>0</v>
      </c>
      <c r="D7" s="80">
        <f t="shared" si="0"/>
        <v>5.9067286663906884E-7</v>
      </c>
      <c r="E7" s="261">
        <f t="shared" si="1"/>
        <v>5.0550752424653098E-6</v>
      </c>
      <c r="F7" s="17"/>
    </row>
    <row r="8" spans="1:6">
      <c r="A8" s="11"/>
      <c r="B8" s="260">
        <v>4</v>
      </c>
      <c r="C8" s="79">
        <v>0</v>
      </c>
      <c r="D8" s="80">
        <f t="shared" si="0"/>
        <v>1.4855576239997285E-5</v>
      </c>
      <c r="E8" s="261">
        <f t="shared" si="1"/>
        <v>1.2713645725875823E-4</v>
      </c>
      <c r="F8" s="17"/>
    </row>
    <row r="9" spans="1:6">
      <c r="A9" s="11"/>
      <c r="B9" s="260">
        <v>5</v>
      </c>
      <c r="C9" s="79">
        <v>0</v>
      </c>
      <c r="D9" s="80">
        <f t="shared" si="0"/>
        <v>2.3025025480274977E-4</v>
      </c>
      <c r="E9" s="261">
        <f t="shared" si="1"/>
        <v>1.9705194336206602E-3</v>
      </c>
      <c r="F9" s="17"/>
    </row>
    <row r="10" spans="1:6">
      <c r="A10" s="11"/>
      <c r="B10" s="260">
        <v>6</v>
      </c>
      <c r="C10" s="79">
        <v>0</v>
      </c>
      <c r="D10" s="80">
        <f t="shared" si="0"/>
        <v>2.1793344451655171E-3</v>
      </c>
      <c r="E10" s="261">
        <f t="shared" si="1"/>
        <v>1.8651101516636692E-2</v>
      </c>
      <c r="F10" s="17"/>
    </row>
    <row r="11" spans="1:6">
      <c r="A11" s="11"/>
      <c r="B11" s="260">
        <v>7</v>
      </c>
      <c r="C11" s="79">
        <v>0</v>
      </c>
      <c r="D11" s="80">
        <f t="shared" si="0"/>
        <v>1.2571237956890221E-2</v>
      </c>
      <c r="E11" s="261">
        <f t="shared" si="1"/>
        <v>0.10758671568004721</v>
      </c>
      <c r="F11" s="17"/>
    </row>
    <row r="12" spans="1:6">
      <c r="A12" s="11"/>
      <c r="B12" s="260">
        <v>8</v>
      </c>
      <c r="C12" s="79">
        <v>0</v>
      </c>
      <c r="D12" s="80">
        <f t="shared" si="0"/>
        <v>4.4283848644727231E-2</v>
      </c>
      <c r="E12" s="261">
        <f t="shared" si="1"/>
        <v>0.37898843770968466</v>
      </c>
      <c r="F12" s="17"/>
    </row>
    <row r="13" spans="1:6">
      <c r="A13" s="11"/>
      <c r="B13" s="260">
        <v>9</v>
      </c>
      <c r="C13" s="79">
        <v>0</v>
      </c>
      <c r="D13" s="80">
        <f t="shared" si="0"/>
        <v>9.6134839206706776E-2</v>
      </c>
      <c r="E13" s="261">
        <f t="shared" si="1"/>
        <v>0.82273771669481233</v>
      </c>
      <c r="F13" s="17"/>
    </row>
    <row r="14" spans="1:6">
      <c r="A14" s="11"/>
      <c r="B14" s="260">
        <v>10</v>
      </c>
      <c r="C14" s="79">
        <v>0</v>
      </c>
      <c r="D14" s="80">
        <f t="shared" si="0"/>
        <v>0.13266108102849891</v>
      </c>
      <c r="E14" s="261">
        <f t="shared" si="1"/>
        <v>1.1353352832366128</v>
      </c>
      <c r="F14" s="17"/>
    </row>
    <row r="15" spans="1:6">
      <c r="A15" s="11"/>
      <c r="B15" s="260">
        <v>11</v>
      </c>
      <c r="C15" s="79">
        <v>0</v>
      </c>
      <c r="D15" s="80">
        <f t="shared" si="0"/>
        <v>0.12893574543821726</v>
      </c>
      <c r="E15" s="261">
        <f t="shared" si="1"/>
        <v>1.1034532504297547</v>
      </c>
      <c r="F15" s="17"/>
    </row>
    <row r="16" spans="1:6">
      <c r="A16" s="11"/>
      <c r="B16" s="260">
        <v>12</v>
      </c>
      <c r="C16" s="79">
        <v>0</v>
      </c>
      <c r="D16" s="80">
        <f t="shared" si="0"/>
        <v>0.11385737698546453</v>
      </c>
      <c r="E16" s="261">
        <f t="shared" si="1"/>
        <v>0.97441010088407576</v>
      </c>
      <c r="F16" s="17"/>
    </row>
    <row r="17" spans="1:7">
      <c r="A17" s="11"/>
      <c r="B17" s="260">
        <v>13</v>
      </c>
      <c r="C17" s="79">
        <v>0</v>
      </c>
      <c r="D17" s="80">
        <f t="shared" si="0"/>
        <v>0.1154331853384352</v>
      </c>
      <c r="E17" s="261">
        <f t="shared" si="1"/>
        <v>0.9878961271464598</v>
      </c>
      <c r="F17" s="17"/>
    </row>
    <row r="18" spans="1:7">
      <c r="A18" s="11"/>
      <c r="B18" s="260">
        <v>14</v>
      </c>
      <c r="C18" s="79">
        <v>0</v>
      </c>
      <c r="D18" s="80">
        <f t="shared" si="0"/>
        <v>0.11898762900954607</v>
      </c>
      <c r="E18" s="261">
        <f t="shared" si="1"/>
        <v>1.0183156388887342</v>
      </c>
      <c r="F18" s="17"/>
    </row>
    <row r="19" spans="1:7">
      <c r="A19" s="11"/>
      <c r="B19" s="260">
        <v>15</v>
      </c>
      <c r="C19" s="79">
        <v>0</v>
      </c>
      <c r="D19" s="80">
        <f t="shared" si="0"/>
        <v>0.10334311895890398</v>
      </c>
      <c r="E19" s="261">
        <f t="shared" si="1"/>
        <v>0.88442735672082318</v>
      </c>
      <c r="F19" s="17"/>
    </row>
    <row r="20" spans="1:7">
      <c r="A20" s="11"/>
      <c r="B20" s="260">
        <v>16</v>
      </c>
      <c r="C20" s="79">
        <v>0</v>
      </c>
      <c r="D20" s="80">
        <f t="shared" si="0"/>
        <v>7.0886006856930972E-2</v>
      </c>
      <c r="E20" s="261">
        <f t="shared" si="1"/>
        <v>0.60665406951672007</v>
      </c>
      <c r="F20" s="17"/>
    </row>
    <row r="21" spans="1:7">
      <c r="A21" s="11"/>
      <c r="B21" s="260">
        <v>17</v>
      </c>
      <c r="C21" s="79">
        <v>0</v>
      </c>
      <c r="D21" s="80">
        <f t="shared" si="0"/>
        <v>3.7935385883888027E-2</v>
      </c>
      <c r="E21" s="261">
        <f t="shared" si="1"/>
        <v>0.32465725247574184</v>
      </c>
      <c r="F21" s="17"/>
    </row>
    <row r="22" spans="1:7">
      <c r="A22" s="11"/>
      <c r="B22" s="260">
        <v>18</v>
      </c>
      <c r="C22" s="79">
        <v>0</v>
      </c>
      <c r="D22" s="80">
        <f t="shared" si="0"/>
        <v>1.5813601646662959E-2</v>
      </c>
      <c r="E22" s="261">
        <f t="shared" si="1"/>
        <v>0.13533539577178741</v>
      </c>
      <c r="F22" s="17"/>
    </row>
    <row r="23" spans="1:7">
      <c r="A23" s="11"/>
      <c r="B23" s="260">
        <v>19</v>
      </c>
      <c r="C23" s="79">
        <v>0</v>
      </c>
      <c r="D23" s="80">
        <f t="shared" si="0"/>
        <v>5.133920710975709E-3</v>
      </c>
      <c r="E23" s="261">
        <f t="shared" si="1"/>
        <v>4.3936935228635475E-2</v>
      </c>
      <c r="F23" s="17"/>
    </row>
    <row r="24" spans="1:7">
      <c r="A24" s="11"/>
      <c r="B24" s="260">
        <v>20</v>
      </c>
      <c r="C24" s="79">
        <v>0</v>
      </c>
      <c r="D24" s="80">
        <f t="shared" si="0"/>
        <v>1.2980583916551538E-3</v>
      </c>
      <c r="E24" s="261">
        <f t="shared" si="1"/>
        <v>1.1108996552130251E-2</v>
      </c>
      <c r="F24" s="17"/>
    </row>
    <row r="25" spans="1:7">
      <c r="A25" s="11"/>
      <c r="B25" s="260">
        <v>21</v>
      </c>
      <c r="C25" s="79">
        <v>0</v>
      </c>
      <c r="D25" s="80">
        <f t="shared" si="0"/>
        <v>2.5560285210265104E-4</v>
      </c>
      <c r="E25" s="261">
        <f t="shared" si="1"/>
        <v>2.1874911182557621E-3</v>
      </c>
      <c r="F25" s="17"/>
    </row>
    <row r="26" spans="1:7">
      <c r="A26" s="11"/>
      <c r="B26" s="260">
        <v>22</v>
      </c>
      <c r="C26" s="79">
        <v>0</v>
      </c>
      <c r="D26" s="80">
        <f t="shared" si="0"/>
        <v>3.9197966908392414E-5</v>
      </c>
      <c r="E26" s="261">
        <f t="shared" si="1"/>
        <v>3.3546262790274382E-4</v>
      </c>
      <c r="F26" s="17"/>
    </row>
    <row r="27" spans="1:7">
      <c r="A27" s="11"/>
      <c r="B27" s="260">
        <v>23</v>
      </c>
      <c r="C27" s="79">
        <v>0</v>
      </c>
      <c r="D27" s="80">
        <f t="shared" si="0"/>
        <v>4.6815295378867714E-6</v>
      </c>
      <c r="E27" s="261">
        <f t="shared" si="1"/>
        <v>4.0065297392951516E-5</v>
      </c>
      <c r="F27" s="17"/>
    </row>
    <row r="28" spans="1:7">
      <c r="A28" s="11"/>
      <c r="B28" s="260">
        <v>24</v>
      </c>
      <c r="C28" s="79">
        <v>0</v>
      </c>
      <c r="D28" s="80">
        <f t="shared" si="0"/>
        <v>4.3545007869116673E-7</v>
      </c>
      <c r="E28" s="261">
        <f t="shared" si="1"/>
        <v>3.7266531720786714E-6</v>
      </c>
      <c r="F28" s="17"/>
    </row>
    <row r="29" spans="1:7">
      <c r="A29" s="11"/>
      <c r="B29" s="81" t="s">
        <v>80</v>
      </c>
      <c r="C29" s="82">
        <f>SUM(C5:C28)</f>
        <v>0</v>
      </c>
      <c r="D29" s="83">
        <f>MAX(D5:D28)</f>
        <v>0.13266108102849891</v>
      </c>
      <c r="E29" s="83">
        <f>IF(D29=0,MAX(E5:E28),0)</f>
        <v>0</v>
      </c>
      <c r="F29" s="17"/>
    </row>
    <row r="30" spans="1:7">
      <c r="A30" s="8"/>
      <c r="B30" s="15"/>
      <c r="C30" s="15"/>
      <c r="D30" s="15"/>
      <c r="E30" s="15"/>
      <c r="F30" s="17"/>
      <c r="G30" s="17"/>
    </row>
    <row r="31" spans="1:7" ht="67.5" customHeight="1">
      <c r="A31" s="17"/>
      <c r="B31" s="316" t="s">
        <v>269</v>
      </c>
      <c r="C31" s="316"/>
      <c r="D31" s="316"/>
      <c r="E31" s="17"/>
      <c r="F31" s="17"/>
      <c r="G31" s="17"/>
    </row>
    <row r="32" spans="1:7">
      <c r="A32" s="17"/>
      <c r="B32" s="314" t="s">
        <v>66</v>
      </c>
      <c r="C32" s="315"/>
      <c r="D32" s="315"/>
      <c r="F32" s="17"/>
    </row>
    <row r="33" spans="1:6" ht="30">
      <c r="A33" s="17"/>
      <c r="B33" s="169" t="s">
        <v>0</v>
      </c>
      <c r="C33" s="170" t="s">
        <v>185</v>
      </c>
      <c r="D33" s="171" t="s">
        <v>184</v>
      </c>
      <c r="F33" s="17"/>
    </row>
    <row r="34" spans="1:6">
      <c r="B34" s="14" t="s">
        <v>53</v>
      </c>
      <c r="C34" s="18">
        <v>6</v>
      </c>
      <c r="D34" s="173">
        <v>1</v>
      </c>
    </row>
    <row r="35" spans="1:6">
      <c r="B35" s="14" t="s">
        <v>54</v>
      </c>
      <c r="C35" s="18">
        <v>4</v>
      </c>
      <c r="D35" s="173">
        <v>1</v>
      </c>
    </row>
    <row r="36" spans="1:6">
      <c r="B36" s="14" t="s">
        <v>55</v>
      </c>
      <c r="C36" s="18">
        <v>2</v>
      </c>
      <c r="D36" s="173">
        <v>1</v>
      </c>
    </row>
    <row r="37" spans="1:6">
      <c r="B37" s="14" t="s">
        <v>56</v>
      </c>
      <c r="C37" s="18">
        <v>6</v>
      </c>
      <c r="D37" s="173">
        <v>1</v>
      </c>
    </row>
    <row r="38" spans="1:6">
      <c r="B38" s="14" t="s">
        <v>57</v>
      </c>
      <c r="C38" s="18">
        <v>4</v>
      </c>
      <c r="D38" s="173">
        <v>1</v>
      </c>
    </row>
    <row r="39" spans="1:6">
      <c r="B39" s="14" t="s">
        <v>58</v>
      </c>
      <c r="C39" s="18">
        <v>2</v>
      </c>
      <c r="D39" s="173">
        <v>1</v>
      </c>
    </row>
    <row r="40" spans="1:6">
      <c r="B40" s="14" t="s">
        <v>59</v>
      </c>
      <c r="C40" s="18">
        <v>4</v>
      </c>
      <c r="D40" s="173">
        <v>1</v>
      </c>
    </row>
    <row r="41" spans="1:6">
      <c r="B41" s="14" t="s">
        <v>60</v>
      </c>
      <c r="C41" s="18">
        <v>3</v>
      </c>
      <c r="D41" s="173">
        <v>1</v>
      </c>
    </row>
    <row r="42" spans="1:6">
      <c r="B42" s="14" t="s">
        <v>61</v>
      </c>
      <c r="C42" s="18">
        <v>2</v>
      </c>
      <c r="D42" s="173">
        <v>1</v>
      </c>
    </row>
    <row r="43" spans="1:6">
      <c r="B43" s="14" t="s">
        <v>62</v>
      </c>
      <c r="C43" s="18">
        <v>1</v>
      </c>
      <c r="D43" s="173"/>
    </row>
    <row r="44" spans="1:6">
      <c r="B44" s="14" t="s">
        <v>63</v>
      </c>
      <c r="C44" s="18">
        <v>1</v>
      </c>
      <c r="D44" s="173"/>
    </row>
    <row r="45" spans="1:6">
      <c r="B45" s="14" t="s">
        <v>64</v>
      </c>
      <c r="C45" s="18">
        <v>1</v>
      </c>
      <c r="D45" s="173"/>
    </row>
    <row r="46" spans="1:6">
      <c r="B46" s="14" t="s">
        <v>65</v>
      </c>
      <c r="C46" s="18">
        <v>1</v>
      </c>
      <c r="D46" s="173"/>
    </row>
    <row r="47" spans="1:6">
      <c r="B47" s="14" t="s">
        <v>183</v>
      </c>
      <c r="C47" s="18">
        <v>1</v>
      </c>
      <c r="D47" s="173"/>
    </row>
    <row r="48" spans="1:6">
      <c r="B48" s="159"/>
      <c r="C48" s="172"/>
      <c r="D48" s="158"/>
    </row>
  </sheetData>
  <mergeCells count="3">
    <mergeCell ref="B3:E3"/>
    <mergeCell ref="B32:D32"/>
    <mergeCell ref="B31:D31"/>
  </mergeCells>
  <dataValidations count="1">
    <dataValidation type="decimal" operator="greaterThanOrEqual" allowBlank="1" showInputMessage="1" showErrorMessage="1" errorTitle="Input Error" error="The number entered must be greater than or equal to zero." sqref="E5:E28">
      <formula1>0</formula1>
    </dataValidation>
  </dataValidations>
  <pageMargins left="0.7" right="0.7" top="0.75" bottom="0.75" header="0.3" footer="0.3"/>
  <pageSetup orientation="portrait" r:id="rId1"/>
  <drawing r:id="rId2"/>
  <tableParts count="2">
    <tablePart r:id="rId3"/>
    <tablePart r:id="rId4"/>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tint="-0.499984740745262"/>
  </sheetPr>
  <dimension ref="A1:Q155"/>
  <sheetViews>
    <sheetView topLeftCell="A120" workbookViewId="0">
      <selection activeCell="D149" sqref="D149"/>
    </sheetView>
  </sheetViews>
  <sheetFormatPr defaultColWidth="8.85546875" defaultRowHeight="15"/>
  <cols>
    <col min="1" max="1" width="4.42578125" style="7" customWidth="1"/>
    <col min="2" max="2" width="41" customWidth="1"/>
    <col min="3" max="3" width="20.42578125" customWidth="1"/>
    <col min="4" max="4" width="34.85546875" style="7" customWidth="1"/>
    <col min="5" max="5" width="18.42578125" customWidth="1"/>
    <col min="6" max="6" width="12.42578125" customWidth="1"/>
    <col min="7" max="7" width="20.42578125" customWidth="1"/>
    <col min="8" max="8" width="18.42578125" style="17" customWidth="1"/>
    <col min="9" max="9" width="11.42578125" customWidth="1"/>
    <col min="10" max="10" width="11.7109375" hidden="1" customWidth="1"/>
    <col min="11" max="11" width="13.7109375" customWidth="1"/>
    <col min="12" max="12" width="15.85546875" customWidth="1"/>
    <col min="13" max="13" width="24.140625" customWidth="1"/>
    <col min="14" max="14" width="42" style="44" customWidth="1"/>
    <col min="15" max="15" width="15.85546875" customWidth="1"/>
    <col min="16" max="16" width="41.42578125" style="44" customWidth="1"/>
    <col min="17" max="17" width="13" customWidth="1"/>
  </cols>
  <sheetData>
    <row r="1" spans="1:17" s="7" customFormat="1">
      <c r="H1" s="17"/>
      <c r="N1" s="44"/>
      <c r="P1" s="44"/>
    </row>
    <row r="2" spans="1:17" s="6" customFormat="1">
      <c r="A2" s="7"/>
      <c r="B2" s="16" t="s">
        <v>39</v>
      </c>
      <c r="C2" s="8"/>
      <c r="D2" s="16" t="s">
        <v>88</v>
      </c>
      <c r="E2" s="8"/>
      <c r="F2" s="12"/>
      <c r="G2" s="12"/>
      <c r="H2" s="12"/>
      <c r="I2" s="12"/>
      <c r="J2" s="12"/>
      <c r="K2" s="12"/>
      <c r="L2" s="12"/>
      <c r="M2" s="8"/>
      <c r="N2" s="45"/>
      <c r="P2" s="44"/>
    </row>
    <row r="3" spans="1:17">
      <c r="B3" s="8" t="s">
        <v>21</v>
      </c>
      <c r="C3" s="8"/>
      <c r="D3" s="8" t="s">
        <v>90</v>
      </c>
      <c r="E3" s="11"/>
      <c r="F3" s="317" t="s">
        <v>40</v>
      </c>
      <c r="G3" s="318"/>
      <c r="H3" s="318"/>
      <c r="I3" s="318"/>
      <c r="J3" s="318"/>
      <c r="K3" s="318"/>
      <c r="L3" s="319"/>
      <c r="M3" s="14"/>
      <c r="N3" s="45"/>
    </row>
    <row r="4" spans="1:17">
      <c r="B4" s="8" t="s">
        <v>22</v>
      </c>
      <c r="C4" s="8"/>
      <c r="D4" s="8" t="s">
        <v>89</v>
      </c>
      <c r="E4" s="11"/>
      <c r="F4" s="320"/>
      <c r="G4" s="321"/>
      <c r="H4" s="321"/>
      <c r="I4" s="321"/>
      <c r="J4" s="321"/>
      <c r="K4" s="321"/>
      <c r="L4" s="322"/>
      <c r="M4" s="14"/>
      <c r="N4" s="45"/>
    </row>
    <row r="5" spans="1:17">
      <c r="B5" s="8"/>
      <c r="C5" s="8"/>
      <c r="D5" s="8"/>
      <c r="E5" s="11"/>
      <c r="F5" s="320"/>
      <c r="G5" s="321"/>
      <c r="H5" s="321"/>
      <c r="I5" s="321"/>
      <c r="J5" s="321"/>
      <c r="K5" s="321"/>
      <c r="L5" s="322"/>
      <c r="M5" s="14"/>
      <c r="N5" s="45"/>
    </row>
    <row r="6" spans="1:17">
      <c r="B6" s="21" t="s">
        <v>67</v>
      </c>
      <c r="C6" s="19"/>
      <c r="D6" s="21" t="s">
        <v>120</v>
      </c>
      <c r="E6" s="11"/>
      <c r="F6" s="320"/>
      <c r="G6" s="321"/>
      <c r="H6" s="321"/>
      <c r="I6" s="321"/>
      <c r="J6" s="321"/>
      <c r="K6" s="321"/>
      <c r="L6" s="322"/>
      <c r="M6" s="14"/>
      <c r="N6" s="45"/>
    </row>
    <row r="7" spans="1:17">
      <c r="B7" s="7" t="s">
        <v>68</v>
      </c>
      <c r="C7" s="7"/>
      <c r="D7" s="41" t="s">
        <v>121</v>
      </c>
      <c r="E7" s="11"/>
      <c r="F7" s="320"/>
      <c r="G7" s="321"/>
      <c r="H7" s="321"/>
      <c r="I7" s="321"/>
      <c r="J7" s="321"/>
      <c r="K7" s="321"/>
      <c r="L7" s="322"/>
      <c r="M7" s="14"/>
      <c r="N7" s="45"/>
    </row>
    <row r="8" spans="1:17">
      <c r="B8" s="7" t="s">
        <v>69</v>
      </c>
      <c r="C8" s="7"/>
      <c r="D8" s="41" t="s">
        <v>122</v>
      </c>
      <c r="E8" s="11"/>
      <c r="F8" s="320"/>
      <c r="G8" s="321"/>
      <c r="H8" s="321"/>
      <c r="I8" s="321"/>
      <c r="J8" s="321"/>
      <c r="K8" s="321"/>
      <c r="L8" s="322"/>
      <c r="M8" s="14"/>
      <c r="N8" s="45"/>
    </row>
    <row r="9" spans="1:17">
      <c r="B9" s="1" t="s">
        <v>70</v>
      </c>
      <c r="C9" s="7"/>
      <c r="D9" s="1" t="s">
        <v>123</v>
      </c>
      <c r="E9" s="11"/>
      <c r="F9" s="323"/>
      <c r="G9" s="324"/>
      <c r="H9" s="324"/>
      <c r="I9" s="324"/>
      <c r="J9" s="324"/>
      <c r="K9" s="324"/>
      <c r="L9" s="325"/>
      <c r="M9" s="14"/>
      <c r="N9" s="45"/>
    </row>
    <row r="10" spans="1:17">
      <c r="B10" s="1" t="s">
        <v>71</v>
      </c>
      <c r="C10" s="7"/>
      <c r="D10" s="1" t="s">
        <v>124</v>
      </c>
      <c r="E10" s="8"/>
      <c r="F10" s="15"/>
      <c r="G10" s="15"/>
      <c r="H10" s="15"/>
      <c r="I10" s="15"/>
      <c r="J10" s="15"/>
      <c r="K10" s="15"/>
      <c r="L10" s="15"/>
      <c r="M10" s="8"/>
      <c r="N10" s="45"/>
    </row>
    <row r="11" spans="1:17" s="136" customFormat="1">
      <c r="B11" s="1"/>
      <c r="D11" s="1"/>
      <c r="E11" s="12"/>
      <c r="F11" s="20"/>
      <c r="G11" s="20"/>
      <c r="H11" s="20"/>
      <c r="I11" s="20"/>
      <c r="J11" s="20"/>
      <c r="K11" s="20"/>
      <c r="L11" s="20"/>
      <c r="M11" s="12"/>
      <c r="N11" s="46"/>
      <c r="P11" s="44"/>
    </row>
    <row r="12" spans="1:17" s="136" customFormat="1">
      <c r="B12" s="1" t="s">
        <v>173</v>
      </c>
      <c r="D12" s="1"/>
      <c r="E12" s="12"/>
      <c r="F12" s="20"/>
      <c r="G12" s="20"/>
      <c r="H12" s="20"/>
      <c r="I12" s="20"/>
      <c r="J12" s="20"/>
      <c r="K12" s="20"/>
      <c r="L12" s="20"/>
      <c r="M12" s="12"/>
      <c r="N12" s="46"/>
      <c r="P12" s="44"/>
    </row>
    <row r="13" spans="1:17" s="136" customFormat="1">
      <c r="B13" s="1" t="s">
        <v>174</v>
      </c>
      <c r="D13" s="1"/>
      <c r="E13" s="12"/>
      <c r="F13" s="20"/>
      <c r="G13" s="20"/>
      <c r="H13" s="20"/>
      <c r="I13" s="20"/>
      <c r="J13" s="20"/>
      <c r="K13" s="20"/>
      <c r="L13" s="20"/>
      <c r="M13" s="12"/>
      <c r="N13" s="46"/>
      <c r="P13" s="44"/>
    </row>
    <row r="14" spans="1:17" s="136" customFormat="1">
      <c r="B14" s="1" t="s">
        <v>71</v>
      </c>
      <c r="D14" s="1"/>
      <c r="E14" s="12"/>
      <c r="F14" s="20"/>
      <c r="G14" s="20"/>
      <c r="H14" s="20"/>
      <c r="I14" s="20"/>
      <c r="J14" s="20"/>
      <c r="K14" s="20"/>
      <c r="L14" s="20"/>
      <c r="M14" s="12"/>
      <c r="N14" s="46"/>
      <c r="P14" s="44"/>
    </row>
    <row r="15" spans="1:17" s="4" customFormat="1">
      <c r="A15" s="7"/>
      <c r="B15" s="20"/>
      <c r="C15" s="12"/>
      <c r="D15" s="12"/>
      <c r="E15" s="12"/>
      <c r="F15" s="12"/>
      <c r="G15" s="12"/>
      <c r="H15" s="12"/>
      <c r="I15" s="12"/>
      <c r="J15" s="12"/>
      <c r="K15" s="12"/>
      <c r="L15" s="12"/>
      <c r="M15" s="12"/>
      <c r="N15" s="46"/>
      <c r="P15" s="44"/>
    </row>
    <row r="16" spans="1:17" s="41" customFormat="1">
      <c r="B16" s="329" t="s">
        <v>114</v>
      </c>
      <c r="C16" s="330"/>
      <c r="D16" s="330"/>
      <c r="E16" s="330"/>
      <c r="F16" s="330"/>
      <c r="G16" s="330"/>
      <c r="H16" s="330"/>
      <c r="I16" s="330"/>
      <c r="J16" s="330"/>
      <c r="K16" s="330"/>
      <c r="L16" s="330"/>
      <c r="M16" s="330"/>
      <c r="N16" s="330"/>
      <c r="O16" s="330"/>
      <c r="P16" s="330"/>
      <c r="Q16" s="330"/>
    </row>
    <row r="17" spans="2:17">
      <c r="B17" s="326" t="s">
        <v>103</v>
      </c>
      <c r="C17" s="326"/>
      <c r="D17" s="326"/>
      <c r="E17" s="326"/>
      <c r="F17" s="326"/>
      <c r="G17" s="326"/>
      <c r="H17" s="326"/>
      <c r="I17" s="326"/>
      <c r="J17" s="326"/>
      <c r="K17" s="326"/>
      <c r="L17" s="326"/>
      <c r="M17" s="326"/>
      <c r="N17" s="327" t="s">
        <v>104</v>
      </c>
      <c r="O17" s="328"/>
      <c r="P17" s="328"/>
      <c r="Q17" s="328"/>
    </row>
    <row r="18" spans="2:17" ht="60">
      <c r="B18" s="35" t="s">
        <v>3</v>
      </c>
      <c r="C18" s="36" t="s">
        <v>42</v>
      </c>
      <c r="D18" s="36" t="s">
        <v>43</v>
      </c>
      <c r="E18" s="36" t="s">
        <v>14</v>
      </c>
      <c r="F18" s="36" t="s">
        <v>17</v>
      </c>
      <c r="G18" s="36" t="s">
        <v>86</v>
      </c>
      <c r="H18" s="36" t="s">
        <v>87</v>
      </c>
      <c r="I18" s="36" t="s">
        <v>20</v>
      </c>
      <c r="J18" s="36" t="s">
        <v>23</v>
      </c>
      <c r="K18" s="36" t="s">
        <v>24</v>
      </c>
      <c r="L18" s="36" t="s">
        <v>18</v>
      </c>
      <c r="M18" s="36" t="s">
        <v>37</v>
      </c>
      <c r="N18" s="56" t="s">
        <v>119</v>
      </c>
      <c r="O18" s="57" t="s">
        <v>44</v>
      </c>
      <c r="P18" s="56" t="s">
        <v>119</v>
      </c>
      <c r="Q18" s="57" t="s">
        <v>45</v>
      </c>
    </row>
    <row r="19" spans="2:17">
      <c r="B19" s="37" t="s">
        <v>9</v>
      </c>
      <c r="C19" s="9">
        <f>(P1_MessagesReceived_Per_Mailbox_Per_Day)*((0.8952*P1_Avg_Msg_Size*1000)+5925.6)/1000</f>
        <v>1013.712</v>
      </c>
      <c r="D19" s="9">
        <f>(P1_Messages_Sent_Per_Mailbox_Per_Day)*((0.8727*P1_Avg_Msg_Size*1000)+6399)/1000</f>
        <v>250.17000000000002</v>
      </c>
      <c r="E19" s="9">
        <f>(1*P1_MessagesReceived_Per_Mailbox_Per_Day*1500)/1000</f>
        <v>30</v>
      </c>
      <c r="F19" s="10">
        <f>IF(1&gt;0,OABSize*1000*(GAL_Changes_per_Day)+(((OST_Resync_Per_Month*1)/20)*OABSize*1000),0)</f>
        <v>525</v>
      </c>
      <c r="G19" s="10">
        <f t="shared" ref="G19:G24" si="0">IF(Meeting_Availability_Protocol=$D$4,(P1_Average_Meetings_Per_Mailbox_Per_Day*2580+4702)/1000,((P1_Avg_Recipients_Per_Meeting*3515+67384)/1000)*P1_Average_Meetings_Per_Mailbox_Per_Day)</f>
        <v>38.964500000000001</v>
      </c>
      <c r="H19" s="10">
        <f t="shared" ref="H19:H24" si="1">IF(Meeting_Availability_Protocol=$D$4,(P1_Average_Meetings_Per_Mailbox_Per_Day*2616+2913)/1000,((P1_Avg_Recipients_Per_Meeting*50120+354471)/1000)*P1_Average_Meetings_Per_Mailbox_Per_Day)</f>
        <v>252.41550000000001</v>
      </c>
      <c r="I19" s="9">
        <f>65*1</f>
        <v>65</v>
      </c>
      <c r="J19" s="13" t="s">
        <v>6</v>
      </c>
      <c r="K19" s="10">
        <f t="shared" ref="K19:K25" si="2">((1*Working_Day__Hours)*13136)/1000</f>
        <v>105.08799999999999</v>
      </c>
      <c r="L19" s="9">
        <v>0</v>
      </c>
      <c r="M19" s="54">
        <f>((OST_Resync_Per_Month*(P1_Avg_Mailbox_Size__GB*1000000))/20)*0.8952</f>
        <v>447.6</v>
      </c>
      <c r="N19" s="58" t="str">
        <f>"P1_"&amp;Table3[[#This Row],[Client Type]]&amp;"_Received"</f>
        <v>P1_Outlook 2010 (OA-Cached)_Received</v>
      </c>
      <c r="O19" s="59">
        <f t="shared" ref="O19:O31" si="3">SUM(C19,F19,I19,K19,L19,M19,H19)</f>
        <v>2408.8155000000002</v>
      </c>
      <c r="P19" s="60" t="str">
        <f>"P1_"&amp;Table3[[#This Row],[Client Type]]&amp;"_Sent"</f>
        <v>P1_Outlook 2010 (OA-Cached)_Sent</v>
      </c>
      <c r="Q19" s="61">
        <f t="shared" ref="Q19:Q31" si="4">SUM(D19,E19,G19)</f>
        <v>319.1345</v>
      </c>
    </row>
    <row r="20" spans="2:17">
      <c r="B20" s="37" t="s">
        <v>10</v>
      </c>
      <c r="C20" s="10">
        <f>(P1_MessagesReceived_Per_Mailbox_Per_Day)*((0.8796*P1_Avg_Msg_Size*1000)+4359.9)/1000</f>
        <v>966.79800000000023</v>
      </c>
      <c r="D20" s="10">
        <f>(P1_Messages_Sent_Per_Mailbox_Per_Day)*((0.8729*P1_Avg_Msg_Size*1000)+13935)/1000</f>
        <v>287.89999999999998</v>
      </c>
      <c r="E20" s="9">
        <f>(1*P1_MessagesReceived_Per_Mailbox_Per_Day*1500)/1000</f>
        <v>30</v>
      </c>
      <c r="F20" s="10">
        <f>IF(1&gt;0,OABSize*1000*(GAL_Changes_per_Day)+(((OST_Resync_Per_Month*1)/20)*OABSize*1000),0)</f>
        <v>525</v>
      </c>
      <c r="G20" s="10">
        <f t="shared" si="0"/>
        <v>38.964500000000001</v>
      </c>
      <c r="H20" s="10">
        <f t="shared" si="1"/>
        <v>252.41550000000001</v>
      </c>
      <c r="I20" s="9">
        <f>65*1</f>
        <v>65</v>
      </c>
      <c r="J20" s="13" t="s">
        <v>6</v>
      </c>
      <c r="K20" s="10">
        <f t="shared" si="2"/>
        <v>105.08799999999999</v>
      </c>
      <c r="L20" s="9">
        <v>0</v>
      </c>
      <c r="M20" s="54">
        <f>((OST_Resync_Per_Month*(P1_Avg_Mailbox_Size__GB*1000000))/20)*0.8796</f>
        <v>439.8</v>
      </c>
      <c r="N20" s="62" t="str">
        <f>"P1_"&amp;Table3[[#This Row],[Client Type]]&amp;"_Received"</f>
        <v>P1_Outlook 2010 (MAPI-Cached)_Received</v>
      </c>
      <c r="O20" s="38">
        <f t="shared" si="3"/>
        <v>2354.1015000000002</v>
      </c>
      <c r="P20" s="45" t="str">
        <f>"P1_"&amp;Table3[[#This Row],[Client Type]]&amp;"_Sent"</f>
        <v>P1_Outlook 2010 (MAPI-Cached)_Sent</v>
      </c>
      <c r="Q20" s="63">
        <f t="shared" si="4"/>
        <v>356.86449999999996</v>
      </c>
    </row>
    <row r="21" spans="2:17">
      <c r="B21" s="37" t="s">
        <v>8</v>
      </c>
      <c r="C21" s="10">
        <f>(P1_MessagesReceived_Per_Mailbox_Per_Day*4297)/1000</f>
        <v>85.94</v>
      </c>
      <c r="D21" s="10">
        <f>(P1_Messages_Sent_Per_Mailbox_Per_Day)*((0.8624*P1_Avg_Msg_Size*1000)+8423.7)/1000</f>
        <v>257.71850000000006</v>
      </c>
      <c r="E21" s="9">
        <f>(1*P1_MessagesReceived_Per_Mailbox_Per_Day*10035)/1000</f>
        <v>200.7</v>
      </c>
      <c r="F21" s="10">
        <v>0</v>
      </c>
      <c r="G21" s="10">
        <f t="shared" si="0"/>
        <v>38.964500000000001</v>
      </c>
      <c r="H21" s="10">
        <f t="shared" si="1"/>
        <v>252.41550000000001</v>
      </c>
      <c r="I21" s="9">
        <f>188589/1000*1</f>
        <v>188.589</v>
      </c>
      <c r="J21" s="13" t="s">
        <v>6</v>
      </c>
      <c r="K21" s="10">
        <f t="shared" si="2"/>
        <v>105.08799999999999</v>
      </c>
      <c r="L21" s="9">
        <f>(((0.9404*P1_Avg_Msg_Size*1000)+9194.2)*P1_MessagesReceived_Per_Mailbox_Per_Day*P1_Web_Client_Online_Mode_Item_Read*1)/1000</f>
        <v>1405.355</v>
      </c>
      <c r="M21" s="55">
        <v>0</v>
      </c>
      <c r="N21" s="64" t="str">
        <f>"P1_"&amp;Table3[[#This Row],[Client Type]]&amp;"_Received"</f>
        <v>P1_Outlook 2010 (MAPI-Online)_Received</v>
      </c>
      <c r="O21" s="38">
        <f t="shared" si="3"/>
        <v>2037.3875</v>
      </c>
      <c r="P21" s="45" t="str">
        <f>"P1_"&amp;Table3[[#This Row],[Client Type]]&amp;"_Sent"</f>
        <v>P1_Outlook 2010 (MAPI-Online)_Sent</v>
      </c>
      <c r="Q21" s="63">
        <f t="shared" si="4"/>
        <v>497.38300000000004</v>
      </c>
    </row>
    <row r="22" spans="2:17">
      <c r="B22" s="37" t="s">
        <v>11</v>
      </c>
      <c r="C22" s="10">
        <f>(P1_MessagesReceived_Per_Mailbox_Per_Day)*((0.8966*P1_Avg_Msg_Size*1000)+5064)/1000</f>
        <v>997.88</v>
      </c>
      <c r="D22" s="10">
        <f>(P1_Messages_Sent_Per_Mailbox_Per_Day)*((0.8884*P1_Avg_Msg_Size*1000)+12089)/1000</f>
        <v>282.54500000000002</v>
      </c>
      <c r="E22" s="9">
        <f>(1*P1_MessagesReceived_Per_Mailbox_Per_Day*1500)/1000</f>
        <v>30</v>
      </c>
      <c r="F22" s="10">
        <f>IF(1&gt;0,OABSize*1000*(GAL_Changes_per_Day)+(((OST_Resync_Per_Month*1)/20)*OABSize*1000),0)</f>
        <v>525</v>
      </c>
      <c r="G22" s="10">
        <f t="shared" si="0"/>
        <v>38.964500000000001</v>
      </c>
      <c r="H22" s="10">
        <f t="shared" si="1"/>
        <v>252.41550000000001</v>
      </c>
      <c r="I22" s="9">
        <f>65*1</f>
        <v>65</v>
      </c>
      <c r="J22" s="13" t="s">
        <v>6</v>
      </c>
      <c r="K22" s="10">
        <f t="shared" si="2"/>
        <v>105.08799999999999</v>
      </c>
      <c r="L22" s="9">
        <v>0</v>
      </c>
      <c r="M22" s="54">
        <f>((OST_Resync_Per_Month*(P1_Avg_Mailbox_Size__GB*1000000))/20)*0.8966</f>
        <v>448.29999999999995</v>
      </c>
      <c r="N22" s="62" t="str">
        <f>"P1_"&amp;Table3[[#This Row],[Client Type]]&amp;"_Received"</f>
        <v>P1_Outlook 2007 (OA-Cached)_Received</v>
      </c>
      <c r="O22" s="38">
        <f t="shared" si="3"/>
        <v>2393.6835000000001</v>
      </c>
      <c r="P22" s="45" t="str">
        <f>"P1_"&amp;Table3[[#This Row],[Client Type]]&amp;"_Sent"</f>
        <v>P1_Outlook 2007 (OA-Cached)_Sent</v>
      </c>
      <c r="Q22" s="63">
        <f t="shared" si="4"/>
        <v>351.5095</v>
      </c>
    </row>
    <row r="23" spans="2:17">
      <c r="B23" s="37" t="s">
        <v>12</v>
      </c>
      <c r="C23" s="10">
        <f>(P1_MessagesReceived_Per_Mailbox_Per_Day)*((0.8791*P1_Avg_Msg_Size*1000)+4549.9)/1000</f>
        <v>970.09799999999996</v>
      </c>
      <c r="D23" s="10">
        <f>(P1_Messages_Sent_Per_Mailbox_Per_Day)*((0.8518*P1_Avg_Msg_Size*1000)+12401)/1000</f>
        <v>274.95499999999998</v>
      </c>
      <c r="E23" s="9">
        <f>(1*P1_MessagesReceived_Per_Mailbox_Per_Day*1500)/1000</f>
        <v>30</v>
      </c>
      <c r="F23" s="10">
        <f>IF(1&gt;0,OABSize*1000*(GAL_Changes_per_Day)+(((OST_Resync_Per_Month*1)/20)*OABSize*1000),0)</f>
        <v>525</v>
      </c>
      <c r="G23" s="10">
        <f t="shared" si="0"/>
        <v>38.964500000000001</v>
      </c>
      <c r="H23" s="10">
        <f t="shared" si="1"/>
        <v>252.41550000000001</v>
      </c>
      <c r="I23" s="9">
        <f>65*1</f>
        <v>65</v>
      </c>
      <c r="J23" s="13" t="s">
        <v>6</v>
      </c>
      <c r="K23" s="10">
        <f t="shared" si="2"/>
        <v>105.08799999999999</v>
      </c>
      <c r="L23" s="9">
        <v>0</v>
      </c>
      <c r="M23" s="54">
        <f>((OST_Resync_Per_Month*(P1_Avg_Mailbox_Size__GB*1000000))/20)*0.8791</f>
        <v>439.55</v>
      </c>
      <c r="N23" s="62" t="str">
        <f>"P1_"&amp;Table3[[#This Row],[Client Type]]&amp;"_Received"</f>
        <v>P1_Outlook 2007 (MAPI-Cached)_Received</v>
      </c>
      <c r="O23" s="38">
        <f t="shared" si="3"/>
        <v>2357.1514999999999</v>
      </c>
      <c r="P23" s="45" t="str">
        <f>"P1_"&amp;Table3[[#This Row],[Client Type]]&amp;"_Sent"</f>
        <v>P1_Outlook 2007 (MAPI-Cached)_Sent</v>
      </c>
      <c r="Q23" s="63">
        <f t="shared" si="4"/>
        <v>343.91949999999997</v>
      </c>
    </row>
    <row r="24" spans="2:17">
      <c r="B24" s="37" t="s">
        <v>13</v>
      </c>
      <c r="C24" s="10">
        <f>(P1_MessagesReceived_Per_Mailbox_Per_Day*4186)/1000</f>
        <v>83.72</v>
      </c>
      <c r="D24" s="10">
        <f>(P1_Messages_Sent_Per_Mailbox_Per_Day)*((0.8652*P1_Avg_Msg_Size*1000)+5757.7)/1000</f>
        <v>245.08850000000001</v>
      </c>
      <c r="E24" s="9">
        <f>(1*P1_MessagesReceived_Per_Mailbox_Per_Day*10035)/1000</f>
        <v>200.7</v>
      </c>
      <c r="F24" s="10">
        <v>0</v>
      </c>
      <c r="G24" s="10">
        <f t="shared" si="0"/>
        <v>38.964500000000001</v>
      </c>
      <c r="H24" s="10">
        <f t="shared" si="1"/>
        <v>252.41550000000001</v>
      </c>
      <c r="I24" s="9">
        <f>188589/1000*1</f>
        <v>188.589</v>
      </c>
      <c r="J24" s="13" t="s">
        <v>6</v>
      </c>
      <c r="K24" s="10">
        <f t="shared" si="2"/>
        <v>105.08799999999999</v>
      </c>
      <c r="L24" s="9">
        <f>(((0.8652*P1_Avg_Msg_Size*1000)+5757)*P1_MessagesReceived_Per_Mailbox_Per_Day*P1_Web_Client_Online_Mode_Item_Read*1)/1000</f>
        <v>1225.425</v>
      </c>
      <c r="M24" s="55">
        <v>0</v>
      </c>
      <c r="N24" s="64" t="str">
        <f>"P1_"&amp;Table3[[#This Row],[Client Type]]&amp;"_Received"</f>
        <v>P1_Outlook 2007 (MAPI-Online)_Received</v>
      </c>
      <c r="O24" s="38">
        <f t="shared" si="3"/>
        <v>1855.2375</v>
      </c>
      <c r="P24" s="45" t="str">
        <f>"P1_"&amp;Table3[[#This Row],[Client Type]]&amp;"_Sent"</f>
        <v>P1_Outlook 2007 (MAPI-Online)_Sent</v>
      </c>
      <c r="Q24" s="63">
        <f t="shared" si="4"/>
        <v>484.75299999999999</v>
      </c>
    </row>
    <row r="25" spans="2:17">
      <c r="B25" s="37" t="s">
        <v>26</v>
      </c>
      <c r="C25" s="10">
        <f>(P1_MessagesReceived_Per_Mailbox_Per_Day)*((0.8639*P1_Avg_Msg_Size*1000)+2353.9)/1000</f>
        <v>910.97799999999995</v>
      </c>
      <c r="D25" s="10">
        <f>(P1_Messages_Sent_Per_Mailbox_Per_Day)*((1.7266*P1_Avg_Msg_Size*1000)+7859.8)/1000</f>
        <v>470.94900000000001</v>
      </c>
      <c r="E25" s="9">
        <f>(1*P1_MessagesReceived_Per_Mailbox_Per_Day*1500)/1000</f>
        <v>30</v>
      </c>
      <c r="F25" s="10">
        <f>IF(1&gt;0,OABSize*1000*(GAL_Changes_per_Day)+(((OST_Resync_Per_Month*1)/20)*OABSize*1000),0)</f>
        <v>525</v>
      </c>
      <c r="G25" s="10">
        <f>IF(Meeting_Availability_Protocol=$D$4,(P1_Average_Meetings_Per_Mailbox_Per_Day*2580+4702)/1000,0)</f>
        <v>0</v>
      </c>
      <c r="H25" s="10">
        <f>IF(Meeting_Availability_Protocol=$D$4,(P1_Average_Meetings_Per_Mailbox_Per_Day*2616+2913)/1000,0)</f>
        <v>0</v>
      </c>
      <c r="I25" s="9">
        <f>65*1</f>
        <v>65</v>
      </c>
      <c r="J25" s="13" t="s">
        <v>6</v>
      </c>
      <c r="K25" s="10">
        <f t="shared" si="2"/>
        <v>105.08799999999999</v>
      </c>
      <c r="L25" s="9">
        <v>0</v>
      </c>
      <c r="M25" s="54">
        <f>((OST_Resync_Per_Month*(P1_Avg_Mailbox_Size__GB*1000000))/20)*0.8639</f>
        <v>431.95</v>
      </c>
      <c r="N25" s="62" t="str">
        <f>"P1_"&amp;Table3[[#This Row],[Client Type]]&amp;"_Received"</f>
        <v>P1_Outlook 2003 (OA-Cached)_Received</v>
      </c>
      <c r="O25" s="38">
        <f t="shared" si="3"/>
        <v>2038.0160000000001</v>
      </c>
      <c r="P25" s="45" t="str">
        <f>"P1_"&amp;Table3[[#This Row],[Client Type]]&amp;"_Sent"</f>
        <v>P1_Outlook 2003 (OA-Cached)_Sent</v>
      </c>
      <c r="Q25" s="63">
        <f t="shared" si="4"/>
        <v>500.94900000000001</v>
      </c>
    </row>
    <row r="26" spans="2:17">
      <c r="B26" s="37" t="s">
        <v>27</v>
      </c>
      <c r="C26" s="10">
        <f>(P1_MessagesReceived_Per_Mailbox_Per_Day)*((0.8671*P1_Avg_Msg_Size*1000)+1830.8)/1000</f>
        <v>903.71600000000001</v>
      </c>
      <c r="D26" s="10">
        <f>(P1_Messages_Sent_Per_Mailbox_Per_Day)*((1.7396*P1_Avg_Msg_Size*1000)+4311.6)/1000</f>
        <v>456.45800000000003</v>
      </c>
      <c r="E26" s="9">
        <f>(1*P1_MessagesReceived_Per_Mailbox_Per_Day*1500)/1000</f>
        <v>30</v>
      </c>
      <c r="F26" s="10">
        <f>IF(1&gt;0,OABSize*1000*(GAL_Changes_per_Day)+(((OST_Resync_Per_Month*1)/20)*OABSize*1000),0)</f>
        <v>525</v>
      </c>
      <c r="G26" s="10">
        <f>IF(Meeting_Availability_Protocol=$D$4,(P1_Average_Meetings_Per_Mailbox_Per_Day*2580+4702)/1000,0)</f>
        <v>0</v>
      </c>
      <c r="H26" s="10">
        <f>IF(Meeting_Availability_Protocol=$D$4,(P1_Average_Meetings_Per_Mailbox_Per_Day*2616+2913)/1000,0)</f>
        <v>0</v>
      </c>
      <c r="I26" s="9">
        <f>65*1</f>
        <v>65</v>
      </c>
      <c r="J26" s="13" t="s">
        <v>6</v>
      </c>
      <c r="K26" s="10">
        <v>0</v>
      </c>
      <c r="L26" s="9">
        <v>0</v>
      </c>
      <c r="M26" s="54">
        <f>((OST_Resync_Per_Month*(P1_Avg_Mailbox_Size__GB*1000000))/20)*0.8671</f>
        <v>433.55</v>
      </c>
      <c r="N26" s="62" t="str">
        <f>"P1_"&amp;Table3[[#This Row],[Client Type]]&amp;"_Received"</f>
        <v>P1_Outlook 2003 (MAPI-Cached)_Received</v>
      </c>
      <c r="O26" s="38">
        <f t="shared" si="3"/>
        <v>1927.2659999999998</v>
      </c>
      <c r="P26" s="45" t="str">
        <f>"P1_"&amp;Table3[[#This Row],[Client Type]]&amp;"_Sent"</f>
        <v>P1_Outlook 2003 (MAPI-Cached)_Sent</v>
      </c>
      <c r="Q26" s="63">
        <f t="shared" si="4"/>
        <v>486.45800000000003</v>
      </c>
    </row>
    <row r="27" spans="2:17">
      <c r="B27" s="37" t="s">
        <v>28</v>
      </c>
      <c r="C27" s="10">
        <f>(P1_MessagesReceived_Per_Mailbox_Per_Day)*((0.0052*P1_Avg_Msg_Size*1000)+1149.2)/1000</f>
        <v>28.184000000000001</v>
      </c>
      <c r="D27" s="10">
        <f>(P1_Messages_Sent_Per_Mailbox_Per_Day)*((0.8763*P1_Avg_Msg_Size*1000)+3179.5)/1000</f>
        <v>234.9725</v>
      </c>
      <c r="E27" s="9">
        <f>(1*P1_MessagesReceived_Per_Mailbox_Per_Day*9081)/1000</f>
        <v>181.62</v>
      </c>
      <c r="F27" s="10">
        <v>0</v>
      </c>
      <c r="G27" s="10">
        <f>IF(Meeting_Availability_Protocol=$D$4,(P1_Average_Meetings_Per_Mailbox_Per_Day*2580+4702)/1000,0)</f>
        <v>0</v>
      </c>
      <c r="H27" s="10">
        <f>IF(Meeting_Availability_Protocol=$D$4,(P1_Average_Meetings_Per_Mailbox_Per_Day*2616+2913)/1000,0)</f>
        <v>0</v>
      </c>
      <c r="I27" s="9">
        <f>188589/1000*1</f>
        <v>188.589</v>
      </c>
      <c r="J27" s="13" t="s">
        <v>6</v>
      </c>
      <c r="K27" s="10">
        <v>0</v>
      </c>
      <c r="L27" s="9">
        <f>(((0.8267*P1_Avg_Msg_Size*1000)+6461.6)*P1_MessagesReceived_Per_Mailbox_Per_Day*P1_Web_Client_Online_Mode_Item_Read*1)/1000</f>
        <v>1194.915</v>
      </c>
      <c r="M27" s="55">
        <v>0</v>
      </c>
      <c r="N27" s="64" t="str">
        <f>"P1_"&amp;Table3[[#This Row],[Client Type]]&amp;"_Received"</f>
        <v>P1_Outlook 2003 (MAPI-Online)_Received</v>
      </c>
      <c r="O27" s="38">
        <f t="shared" si="3"/>
        <v>1411.6879999999999</v>
      </c>
      <c r="P27" s="45" t="str">
        <f>"P1_"&amp;Table3[[#This Row],[Client Type]]&amp;"_Sent"</f>
        <v>P1_Outlook 2003 (MAPI-Online)_Sent</v>
      </c>
      <c r="Q27" s="63">
        <f t="shared" si="4"/>
        <v>416.59249999999997</v>
      </c>
    </row>
    <row r="28" spans="2:17">
      <c r="B28" s="37" t="s">
        <v>15</v>
      </c>
      <c r="C28" s="10">
        <f>(P1_MessagesReceived_Per_Mailbox_Per_Day)*((0.0129*P1_Avg_Msg_Size*1000)+3299.2)/1000</f>
        <v>78.884</v>
      </c>
      <c r="D28" s="10">
        <f>(P1_Messages_Sent_Per_Mailbox_Per_Day)*((1.2843*P1_Avg_Msg_Size*1000)+17931)/1000</f>
        <v>410.73</v>
      </c>
      <c r="E28" s="9">
        <f>(1*P1_MessagesReceived_Per_Mailbox_Per_Day*13521)/1000</f>
        <v>270.42</v>
      </c>
      <c r="F28" s="10">
        <v>0</v>
      </c>
      <c r="G28" s="10">
        <f>(P1_Average_Meetings_Per_Mailbox_Per_Day*23555)/1000</f>
        <v>11.7775</v>
      </c>
      <c r="H28" s="10">
        <f>(P1_Average_Meetings_Per_Mailbox_Per_Day*59458)/1000</f>
        <v>29.728999999999999</v>
      </c>
      <c r="I28" s="9">
        <f>(105654/1000)*1</f>
        <v>105.654</v>
      </c>
      <c r="J28" s="13" t="s">
        <v>6</v>
      </c>
      <c r="K28" s="10">
        <v>0</v>
      </c>
      <c r="L28" s="9">
        <f>(((1.1*P1_Avg_Msg_Size*1000)+17828)*P1_MessagesReceived_Per_Mailbox_Per_Day*P1_Web_Client_Online_Mode_Item_Read*1)/1000</f>
        <v>1820.7</v>
      </c>
      <c r="M28" s="55">
        <v>0</v>
      </c>
      <c r="N28" s="64" t="str">
        <f>"P1_"&amp;Table3[[#This Row],[Client Type]]&amp;"_Received"</f>
        <v>P1_OWA 2007_Received</v>
      </c>
      <c r="O28" s="38">
        <f t="shared" si="3"/>
        <v>2034.9670000000001</v>
      </c>
      <c r="P28" s="45" t="str">
        <f>"P1_"&amp;Table3[[#This Row],[Client Type]]&amp;"_Sent"</f>
        <v>P1_OWA 2007_Sent</v>
      </c>
      <c r="Q28" s="63">
        <f t="shared" si="4"/>
        <v>692.92750000000012</v>
      </c>
    </row>
    <row r="29" spans="2:17">
      <c r="B29" s="37" t="s">
        <v>16</v>
      </c>
      <c r="C29" s="10">
        <f>(P1_MessagesReceived_Per_Mailbox_Per_Day)*((0.0073*P1_Avg_Msg_Size*1000)+8166)/1000</f>
        <v>170.62</v>
      </c>
      <c r="D29" s="10">
        <f>(P1_Messages_Sent_Per_Mailbox_Per_Day)*((1.524*P1_Avg_Msg_Size*1000)+4883.7)/1000</f>
        <v>405.41849999999999</v>
      </c>
      <c r="E29" s="9">
        <f>(1*P1_MessagesReceived_Per_Mailbox_Per_Day*7184)/1000</f>
        <v>143.68</v>
      </c>
      <c r="F29" s="10">
        <v>0</v>
      </c>
      <c r="G29" s="10">
        <f>(P1_Average_Meetings_Per_Mailbox_Per_Day*23555)/1000</f>
        <v>11.7775</v>
      </c>
      <c r="H29" s="10">
        <f>(P1_Average_Meetings_Per_Mailbox_Per_Day*59458)/1000</f>
        <v>29.728999999999999</v>
      </c>
      <c r="I29" s="9">
        <f>41*1</f>
        <v>41</v>
      </c>
      <c r="J29" s="13" t="s">
        <v>6</v>
      </c>
      <c r="K29" s="10">
        <v>0</v>
      </c>
      <c r="L29" s="9">
        <f>(((1.2644*P1_Avg_Msg_Size*1000)+648.81)*P1_MessagesReceived_Per_Mailbox_Per_Day*P1_Web_Client_Online_Mode_Item_Read*1)/1000</f>
        <v>1596.7202500000001</v>
      </c>
      <c r="M29" s="55">
        <v>0</v>
      </c>
      <c r="N29" s="64" t="str">
        <f>"P1_"&amp;Table3[[#This Row],[Client Type]]&amp;"_Received"</f>
        <v>P1_OWA 2010_Received</v>
      </c>
      <c r="O29" s="38">
        <f t="shared" si="3"/>
        <v>1838.0692500000002</v>
      </c>
      <c r="P29" s="45" t="str">
        <f>"P1_"&amp;Table3[[#This Row],[Client Type]]&amp;"_Sent"</f>
        <v>P1_OWA 2010_Sent</v>
      </c>
      <c r="Q29" s="63">
        <f t="shared" si="4"/>
        <v>560.87600000000009</v>
      </c>
    </row>
    <row r="30" spans="2:17">
      <c r="B30" s="37" t="s">
        <v>29</v>
      </c>
      <c r="C30" s="10">
        <f>(P1_MessagesReceived_Per_Mailbox_Per_Day)*((0.0005*P1_Avg_Msg_Size*1000)+1761.3)/1000</f>
        <v>35.725999999999999</v>
      </c>
      <c r="D30" s="10">
        <f>(P1_Messages_Sent_Per_Mailbox_Per_Day*3853)/1000</f>
        <v>19.265000000000001</v>
      </c>
      <c r="E30" s="9">
        <f>(1*P1_MessagesReceived_Per_Mailbox_Per_Day*362)/1000</f>
        <v>7.24</v>
      </c>
      <c r="F30" s="10">
        <v>0</v>
      </c>
      <c r="G30" s="10">
        <v>0</v>
      </c>
      <c r="H30" s="10">
        <v>0</v>
      </c>
      <c r="I30" s="9">
        <f>65*1</f>
        <v>65</v>
      </c>
      <c r="J30" s="13" t="s">
        <v>6</v>
      </c>
      <c r="K30" s="10">
        <f>(10366)/1000</f>
        <v>10.366</v>
      </c>
      <c r="L30" s="9">
        <f>(((1.2355*P1_Avg_Msg_Size*1000)-5487.4)*P1_MessagesReceived_Per_Mailbox_Per_Day*P1_Mobile_Client_Attachment_Read*1)/1000</f>
        <v>225.15040000000002</v>
      </c>
      <c r="M30" s="69">
        <f>(C30*Mobile_Device_Days_to_Sync*Mobile_Device_Full_Syncs_Per_Month)/20</f>
        <v>2.6794499999999999E-2</v>
      </c>
      <c r="N30" s="64" t="str">
        <f>"P1_"&amp;Table3[[#This Row],[Client Type]]&amp;"_Received"</f>
        <v>P1_Windows Mobile 6.x_Received</v>
      </c>
      <c r="O30" s="38">
        <f t="shared" si="3"/>
        <v>336.26919450000003</v>
      </c>
      <c r="P30" s="45" t="str">
        <f>"P1_"&amp;Table3[[#This Row],[Client Type]]&amp;"_Sent"</f>
        <v>P1_Windows Mobile 6.x_Sent</v>
      </c>
      <c r="Q30" s="63">
        <f t="shared" si="4"/>
        <v>26.505000000000003</v>
      </c>
    </row>
    <row r="31" spans="2:17">
      <c r="B31" s="37" t="s">
        <v>30</v>
      </c>
      <c r="C31" s="10">
        <f>(P1_MessagesReceived_Per_Mailbox_Per_Day)*((0.0031*P1_Avg_Msg_Size*1000)+1959.7)/1000</f>
        <v>42.293999999999997</v>
      </c>
      <c r="D31" s="10">
        <f>(P1_Messages_Sent_Per_Mailbox_Per_Day*4312)/1000</f>
        <v>21.56</v>
      </c>
      <c r="E31" s="9">
        <f>(1*P1_MessagesReceived_Per_Mailbox_Per_Day*320)/1000</f>
        <v>6.4</v>
      </c>
      <c r="F31" s="10">
        <v>0</v>
      </c>
      <c r="G31" s="10">
        <v>0</v>
      </c>
      <c r="H31" s="10">
        <v>0</v>
      </c>
      <c r="I31" s="9">
        <f>65*1</f>
        <v>65</v>
      </c>
      <c r="J31" s="13" t="s">
        <v>6</v>
      </c>
      <c r="K31" s="10">
        <f>(10366)/1000</f>
        <v>10.366</v>
      </c>
      <c r="L31" s="9">
        <f>(((0.9878*P1_Avg_Msg_Size*1000)-1073.6)*P1_MessagesReceived_Per_Mailbox_Per_Day*P1_Mobile_Client_Attachment_Read*1)/1000</f>
        <v>193.26560000000001</v>
      </c>
      <c r="M31" s="69">
        <f>(C31*Mobile_Device_Days_to_Sync*Mobile_Device_Full_Syncs_Per_Month)/20</f>
        <v>3.1720499999999999E-2</v>
      </c>
      <c r="N31" s="64" t="str">
        <f>"P1_"&amp;Table3[[#This Row],[Client Type]]&amp;"_Received"</f>
        <v>P1_Windows Phone 7.x_Received</v>
      </c>
      <c r="O31" s="38">
        <f t="shared" si="3"/>
        <v>310.95732050000004</v>
      </c>
      <c r="P31" s="45" t="str">
        <f>"P1_"&amp;Table3[[#This Row],[Client Type]]&amp;"_Sent"</f>
        <v>P1_Windows Phone 7.x_Sent</v>
      </c>
      <c r="Q31" s="63">
        <f t="shared" si="4"/>
        <v>27.96</v>
      </c>
    </row>
    <row r="32" spans="2:17">
      <c r="B32" s="37" t="s">
        <v>178</v>
      </c>
      <c r="C32" s="10">
        <f>(P1_MessagesReceived_Per_Mailbox_Per_Day)*((1.3134*P1_Avg_Msg_Size*1000)+32048)/1000</f>
        <v>1954.36</v>
      </c>
      <c r="D32" s="10">
        <f>(P1_Messages_Sent_Per_Mailbox_Per_Day)*((3.3516*P1_Avg_Msg_Size*1000)+37212)/1000</f>
        <v>1023.9599999999999</v>
      </c>
      <c r="E32" s="10">
        <f>(1*P1_MessagesReceived_Per_Mailbox_Per_Day*1500)/1000</f>
        <v>30</v>
      </c>
      <c r="F32" s="10">
        <f>IF(1&gt;0,OABSize*1000*(GAL_Changes_per_Day)+(((OST_Resync_Per_Month*1)/20)*OABSize*1000),0)</f>
        <v>525</v>
      </c>
      <c r="G32" s="10">
        <f>(((P1_Avg_Recipients_Per_Meeting*2576.2)+5941.6)/1000)*P1_Average_Meetings_Per_Mailbox_Per_Day</f>
        <v>6.8351000000000006</v>
      </c>
      <c r="H32" s="10">
        <f>(((P1_Avg_Recipients_Per_Meeting*1759.8)+3903)/1000)*P1_Average_Meetings_Per_Mailbox_Per_Day</f>
        <v>4.5911999999999997</v>
      </c>
      <c r="I32" s="10">
        <v>45</v>
      </c>
      <c r="J32" s="160"/>
      <c r="K32" s="10">
        <f>((1*Working_Day__Hours)*13136)/1000</f>
        <v>105.08799999999999</v>
      </c>
      <c r="L32" s="10">
        <v>0</v>
      </c>
      <c r="M32" s="69">
        <f>((OST_Resync_Per_Month*(P1_Avg_Mailbox_Size__GB*1000000))/20)*1.3134</f>
        <v>656.69999999999993</v>
      </c>
      <c r="N32" s="64" t="str">
        <f>"P1_"&amp;B32&amp;"_Received"</f>
        <v>P1_Outlook 2011 (EWS)_Received</v>
      </c>
      <c r="O32" s="38">
        <f t="shared" ref="O32" si="5">SUM(C32,F32,I32,K32,L32,M32,H32)</f>
        <v>3290.7391999999995</v>
      </c>
      <c r="P32" s="45" t="str">
        <f>"P1_"&amp;B32&amp;"_Sent"</f>
        <v>P1_Outlook 2011 (EWS)_Sent</v>
      </c>
      <c r="Q32" s="63">
        <f t="shared" ref="Q32" si="6">SUM(D32,E32,G32)</f>
        <v>1060.7951</v>
      </c>
    </row>
    <row r="33" spans="2:17">
      <c r="B33" s="37"/>
      <c r="C33" s="10"/>
      <c r="D33" s="10"/>
      <c r="E33" s="9"/>
      <c r="F33" s="10"/>
      <c r="G33" s="10"/>
      <c r="H33" s="10"/>
      <c r="I33" s="9"/>
      <c r="J33" s="13"/>
      <c r="K33" s="10"/>
      <c r="L33" s="9"/>
      <c r="M33" s="69"/>
      <c r="N33" s="65"/>
      <c r="O33" s="66"/>
      <c r="P33" s="46"/>
      <c r="Q33" s="67"/>
    </row>
    <row r="34" spans="2:17" s="68" customFormat="1">
      <c r="B34" s="72"/>
      <c r="C34" s="73"/>
      <c r="D34" s="73"/>
      <c r="E34" s="74"/>
      <c r="F34" s="73"/>
      <c r="G34" s="73"/>
      <c r="H34" s="75"/>
      <c r="I34" s="74"/>
      <c r="J34" s="76"/>
      <c r="K34" s="73"/>
      <c r="L34" s="74"/>
      <c r="M34" s="73"/>
      <c r="N34" s="65"/>
      <c r="O34" s="157"/>
      <c r="P34" s="70"/>
      <c r="Q34" s="71"/>
    </row>
    <row r="36" spans="2:17" s="41" customFormat="1">
      <c r="B36" s="331" t="s">
        <v>115</v>
      </c>
      <c r="C36" s="331"/>
      <c r="D36" s="331"/>
      <c r="E36" s="331"/>
      <c r="F36" s="331"/>
      <c r="G36" s="331"/>
      <c r="H36" s="331"/>
      <c r="I36" s="331"/>
      <c r="J36" s="331"/>
      <c r="K36" s="331"/>
      <c r="L36" s="331"/>
      <c r="M36" s="331"/>
      <c r="N36" s="331"/>
      <c r="O36" s="331"/>
      <c r="P36" s="331"/>
      <c r="Q36" s="331"/>
    </row>
    <row r="37" spans="2:17" s="41" customFormat="1">
      <c r="B37" s="326" t="s">
        <v>103</v>
      </c>
      <c r="C37" s="326"/>
      <c r="D37" s="326"/>
      <c r="E37" s="326"/>
      <c r="F37" s="326"/>
      <c r="G37" s="326"/>
      <c r="H37" s="326"/>
      <c r="I37" s="326"/>
      <c r="J37" s="326"/>
      <c r="K37" s="326"/>
      <c r="L37" s="326"/>
      <c r="M37" s="326"/>
      <c r="N37" s="332" t="s">
        <v>104</v>
      </c>
      <c r="O37" s="333"/>
      <c r="P37" s="333"/>
      <c r="Q37" s="333"/>
    </row>
    <row r="38" spans="2:17" s="41" customFormat="1" ht="60">
      <c r="B38" s="35" t="s">
        <v>3</v>
      </c>
      <c r="C38" s="36" t="s">
        <v>42</v>
      </c>
      <c r="D38" s="36" t="s">
        <v>43</v>
      </c>
      <c r="E38" s="36" t="s">
        <v>14</v>
      </c>
      <c r="F38" s="36" t="s">
        <v>17</v>
      </c>
      <c r="G38" s="36" t="s">
        <v>86</v>
      </c>
      <c r="H38" s="36" t="s">
        <v>87</v>
      </c>
      <c r="I38" s="36" t="s">
        <v>20</v>
      </c>
      <c r="J38" s="36" t="s">
        <v>23</v>
      </c>
      <c r="K38" s="36" t="s">
        <v>24</v>
      </c>
      <c r="L38" s="36" t="s">
        <v>18</v>
      </c>
      <c r="M38" s="36" t="s">
        <v>37</v>
      </c>
      <c r="N38" s="48" t="s">
        <v>119</v>
      </c>
      <c r="O38" s="47" t="s">
        <v>44</v>
      </c>
      <c r="P38" s="48" t="s">
        <v>119</v>
      </c>
      <c r="Q38" s="47" t="s">
        <v>45</v>
      </c>
    </row>
    <row r="39" spans="2:17" s="41" customFormat="1">
      <c r="B39" s="37" t="s">
        <v>9</v>
      </c>
      <c r="C39" s="9">
        <f>(P2_MessagesReceived_Per_Mailbox_Per_Day)*((0.8952*P2_Avg_Msg_Size*1000)+5925.6)/1000</f>
        <v>2027.424</v>
      </c>
      <c r="D39" s="9">
        <f>(P2_Messages_Sent_Per_Mailbox_Per_Day)*((0.8727*P2_Avg_Msg_Size*1000)+6399)/1000</f>
        <v>500.34000000000003</v>
      </c>
      <c r="E39" s="9">
        <f>(1*P2_MessagesReceived_Per_Mailbox_Per_Day*1500)/1000</f>
        <v>60</v>
      </c>
      <c r="F39" s="10">
        <f>IF(1&gt;0,OABSize*1000*(GAL_Changes_per_Day)+(((OST_Resync_Per_Month*1)/20)*OABSize*1000),0)</f>
        <v>525</v>
      </c>
      <c r="G39" s="10">
        <f t="shared" ref="G39:G44" si="7">IF(Meeting_Availability_Protocol=$D$4,(P2_Average_Meetings_Per_Mailbox_Per_Day*2580+4702)/1000,((P2_Avg_Recipients_Per_Meeting*3515+67384)/1000)*P2_Average_Meetings_Per_Mailbox_Per_Day)</f>
        <v>77.929000000000002</v>
      </c>
      <c r="H39" s="10">
        <f t="shared" ref="H39:H44" si="8">IF(Meeting_Availability_Protocol=$D$4,(P2_Average_Meetings_Per_Mailbox_Per_Day*2616+2913)/1000,((P2_Avg_Recipients_Per_Meeting*50120+354471)/1000)*P2_Average_Meetings_Per_Mailbox_Per_Day)</f>
        <v>504.83100000000002</v>
      </c>
      <c r="I39" s="9">
        <f>65*1</f>
        <v>65</v>
      </c>
      <c r="J39" s="13" t="s">
        <v>6</v>
      </c>
      <c r="K39" s="10">
        <f t="shared" ref="K39:K45" si="9">((1*Working_Day__Hours)*13136)/1000</f>
        <v>105.08799999999999</v>
      </c>
      <c r="L39" s="9">
        <v>0</v>
      </c>
      <c r="M39" s="9">
        <f>((OST_Resync_Per_Month*(P2_Avg_Mailbox_Size__GB*1000000))/20)*0.8952</f>
        <v>447.6</v>
      </c>
      <c r="N39" s="42" t="str">
        <f>"P2_"&amp;Table36[[#This Row],[Client Type]]&amp;"_Received"</f>
        <v>P2_Outlook 2010 (OA-Cached)_Received</v>
      </c>
      <c r="O39" s="38">
        <f t="shared" ref="O39:O52" si="10">SUM(C39,F39,I39,K39,L39,M39,H39)</f>
        <v>3674.9430000000002</v>
      </c>
      <c r="P39" s="45" t="str">
        <f>"P2_"&amp;Table36[[#This Row],[Client Type]]&amp;"_Sent"</f>
        <v>P2_Outlook 2010 (OA-Cached)_Sent</v>
      </c>
      <c r="Q39" s="39">
        <f t="shared" ref="Q39:Q52" si="11">SUM(D39,E39,G39)</f>
        <v>638.26900000000001</v>
      </c>
    </row>
    <row r="40" spans="2:17" s="41" customFormat="1">
      <c r="B40" s="37" t="s">
        <v>10</v>
      </c>
      <c r="C40" s="10">
        <f>(P2_MessagesReceived_Per_Mailbox_Per_Day)*((0.8796*P2_Avg_Msg_Size*1000)+4359.9)/1000</f>
        <v>1933.5960000000005</v>
      </c>
      <c r="D40" s="10">
        <f>(P2_Messages_Sent_Per_Mailbox_Per_Day)*((0.8729*P2_Avg_Msg_Size*1000)+13935)/1000</f>
        <v>575.79999999999995</v>
      </c>
      <c r="E40" s="9">
        <f>(1*P2_MessagesReceived_Per_Mailbox_Per_Day*1500)/1000</f>
        <v>60</v>
      </c>
      <c r="F40" s="10">
        <f>IF(1&gt;0,OABSize*1000*(GAL_Changes_per_Day)+(((OST_Resync_Per_Month*1)/20)*OABSize*1000),0)</f>
        <v>525</v>
      </c>
      <c r="G40" s="10">
        <f t="shared" si="7"/>
        <v>77.929000000000002</v>
      </c>
      <c r="H40" s="10">
        <f t="shared" si="8"/>
        <v>504.83100000000002</v>
      </c>
      <c r="I40" s="9">
        <f>65*1</f>
        <v>65</v>
      </c>
      <c r="J40" s="13" t="s">
        <v>6</v>
      </c>
      <c r="K40" s="10">
        <f t="shared" si="9"/>
        <v>105.08799999999999</v>
      </c>
      <c r="L40" s="9">
        <v>0</v>
      </c>
      <c r="M40" s="9">
        <f>((OST_Resync_Per_Month*(P2_Avg_Mailbox_Size__GB*1000000))/20)*0.8796</f>
        <v>439.8</v>
      </c>
      <c r="N40" s="42" t="str">
        <f>"P2_"&amp;Table36[[#This Row],[Client Type]]&amp;"_Received"</f>
        <v>P2_Outlook 2010 (MAPI-Cached)_Received</v>
      </c>
      <c r="O40" s="38">
        <f t="shared" si="10"/>
        <v>3573.315000000001</v>
      </c>
      <c r="P40" s="45" t="str">
        <f>"P2_"&amp;Table36[[#This Row],[Client Type]]&amp;"_Sent"</f>
        <v>P2_Outlook 2010 (MAPI-Cached)_Sent</v>
      </c>
      <c r="Q40" s="39">
        <f t="shared" si="11"/>
        <v>713.72899999999993</v>
      </c>
    </row>
    <row r="41" spans="2:17" s="41" customFormat="1">
      <c r="B41" s="37" t="s">
        <v>8</v>
      </c>
      <c r="C41" s="10">
        <f>(P2_MessagesReceived_Per_Mailbox_Per_Day)*((0.0012*P2_Avg_Msg_Size*1000)+4297)/1000</f>
        <v>174.28</v>
      </c>
      <c r="D41" s="10">
        <f>(P2_Messages_Sent_Per_Mailbox_Per_Day)*((0.8624*P2_Avg_Msg_Size*1000)+8423.7)/1000</f>
        <v>515.43700000000013</v>
      </c>
      <c r="E41" s="9">
        <f>(1*P2_MessagesReceived_Per_Mailbox_Per_Day*10035)/1000</f>
        <v>401.4</v>
      </c>
      <c r="F41" s="10">
        <v>0</v>
      </c>
      <c r="G41" s="10">
        <f t="shared" si="7"/>
        <v>77.929000000000002</v>
      </c>
      <c r="H41" s="10">
        <f t="shared" si="8"/>
        <v>504.83100000000002</v>
      </c>
      <c r="I41" s="9">
        <f>188589/1000*1</f>
        <v>188.589</v>
      </c>
      <c r="J41" s="13" t="s">
        <v>6</v>
      </c>
      <c r="K41" s="10">
        <f t="shared" si="9"/>
        <v>105.08799999999999</v>
      </c>
      <c r="L41" s="9">
        <f>(((0.9404*P2_Avg_Msg_Size*1000)+9194.2)*P2_MessagesReceived_Per_Mailbox_Per_Day*P2_Web_Client_Online_Mode_Item_Read*1)/1000</f>
        <v>2810.71</v>
      </c>
      <c r="M41" s="10">
        <v>0</v>
      </c>
      <c r="N41" s="43" t="str">
        <f>"P2_"&amp;Table36[[#This Row],[Client Type]]&amp;"_Received"</f>
        <v>P2_Outlook 2010 (MAPI-Online)_Received</v>
      </c>
      <c r="O41" s="38">
        <f t="shared" si="10"/>
        <v>3783.498</v>
      </c>
      <c r="P41" s="45" t="str">
        <f>"P2_"&amp;Table36[[#This Row],[Client Type]]&amp;"_Sent"</f>
        <v>P2_Outlook 2010 (MAPI-Online)_Sent</v>
      </c>
      <c r="Q41" s="39">
        <f t="shared" si="11"/>
        <v>994.76600000000008</v>
      </c>
    </row>
    <row r="42" spans="2:17" s="41" customFormat="1">
      <c r="B42" s="37" t="s">
        <v>11</v>
      </c>
      <c r="C42" s="10">
        <f>(P2_MessagesReceived_Per_Mailbox_Per_Day)*((0.8966*P2_Avg_Msg_Size*1000)+5064)/1000</f>
        <v>1995.76</v>
      </c>
      <c r="D42" s="10">
        <f>(P2_Messages_Sent_Per_Mailbox_Per_Day)*((0.8884*P2_Avg_Msg_Size*1000)+12089)/1000</f>
        <v>565.09</v>
      </c>
      <c r="E42" s="9">
        <f>(1*P2_MessagesReceived_Per_Mailbox_Per_Day*1500)/1000</f>
        <v>60</v>
      </c>
      <c r="F42" s="10">
        <f>IF(1&gt;0,OABSize*1000*(GAL_Changes_per_Day)+(((OST_Resync_Per_Month*1)/20)*OABSize*1000),0)</f>
        <v>525</v>
      </c>
      <c r="G42" s="10">
        <f t="shared" si="7"/>
        <v>77.929000000000002</v>
      </c>
      <c r="H42" s="10">
        <f t="shared" si="8"/>
        <v>504.83100000000002</v>
      </c>
      <c r="I42" s="9">
        <f>65*1</f>
        <v>65</v>
      </c>
      <c r="J42" s="13" t="s">
        <v>6</v>
      </c>
      <c r="K42" s="10">
        <f t="shared" si="9"/>
        <v>105.08799999999999</v>
      </c>
      <c r="L42" s="9">
        <v>0</v>
      </c>
      <c r="M42" s="9">
        <f>((OST_Resync_Per_Month*(P2_Avg_Mailbox_Size__GB*1000000))/20)*0.8966</f>
        <v>448.29999999999995</v>
      </c>
      <c r="N42" s="42" t="str">
        <f>"P2_"&amp;Table36[[#This Row],[Client Type]]&amp;"_Received"</f>
        <v>P2_Outlook 2007 (OA-Cached)_Received</v>
      </c>
      <c r="O42" s="38">
        <f t="shared" si="10"/>
        <v>3643.9790000000003</v>
      </c>
      <c r="P42" s="45" t="str">
        <f>"P2_"&amp;Table36[[#This Row],[Client Type]]&amp;"_Sent"</f>
        <v>P2_Outlook 2007 (OA-Cached)_Sent</v>
      </c>
      <c r="Q42" s="39">
        <f t="shared" si="11"/>
        <v>703.01900000000001</v>
      </c>
    </row>
    <row r="43" spans="2:17" s="41" customFormat="1">
      <c r="B43" s="37" t="s">
        <v>12</v>
      </c>
      <c r="C43" s="10">
        <f>(P2_MessagesReceived_Per_Mailbox_Per_Day)*((0.8791*P2_Avg_Msg_Size*1000)+4549.9)/1000</f>
        <v>1940.1959999999999</v>
      </c>
      <c r="D43" s="10">
        <f>(P2_Messages_Sent_Per_Mailbox_Per_Day)*((0.8518*P2_Avg_Msg_Size*1000)+12401)/1000</f>
        <v>549.91</v>
      </c>
      <c r="E43" s="9">
        <f>(1*P2_MessagesReceived_Per_Mailbox_Per_Day*1500)/1000</f>
        <v>60</v>
      </c>
      <c r="F43" s="10">
        <f>IF(1&gt;0,OABSize*1000*(GAL_Changes_per_Day)+(((OST_Resync_Per_Month*1)/20)*OABSize*1000),0)</f>
        <v>525</v>
      </c>
      <c r="G43" s="10">
        <f t="shared" si="7"/>
        <v>77.929000000000002</v>
      </c>
      <c r="H43" s="10">
        <f t="shared" si="8"/>
        <v>504.83100000000002</v>
      </c>
      <c r="I43" s="9">
        <f>65*1</f>
        <v>65</v>
      </c>
      <c r="J43" s="13" t="s">
        <v>6</v>
      </c>
      <c r="K43" s="10">
        <f t="shared" si="9"/>
        <v>105.08799999999999</v>
      </c>
      <c r="L43" s="9">
        <v>0</v>
      </c>
      <c r="M43" s="9">
        <f>((OST_Resync_Per_Month*(P2_Avg_Mailbox_Size__GB*1000000))/20)*0.8791</f>
        <v>439.55</v>
      </c>
      <c r="N43" s="42" t="str">
        <f>"P2_"&amp;Table36[[#This Row],[Client Type]]&amp;"_Received"</f>
        <v>P2_Outlook 2007 (MAPI-Cached)_Received</v>
      </c>
      <c r="O43" s="38">
        <f t="shared" si="10"/>
        <v>3579.6650000000004</v>
      </c>
      <c r="P43" s="45" t="str">
        <f>"P2_"&amp;Table36[[#This Row],[Client Type]]&amp;"_Sent"</f>
        <v>P2_Outlook 2007 (MAPI-Cached)_Sent</v>
      </c>
      <c r="Q43" s="39">
        <f t="shared" si="11"/>
        <v>687.83899999999994</v>
      </c>
    </row>
    <row r="44" spans="2:17" s="41" customFormat="1">
      <c r="B44" s="37" t="s">
        <v>13</v>
      </c>
      <c r="C44" s="10">
        <f>(P2_MessagesReceived_Per_Mailbox_Per_Day*4186)/1000</f>
        <v>167.44</v>
      </c>
      <c r="D44" s="10">
        <f>(P2_Messages_Sent_Per_Mailbox_Per_Day)*((0.8652*P2_Avg_Msg_Size*1000)+5757.7)/1000</f>
        <v>490.17700000000002</v>
      </c>
      <c r="E44" s="9">
        <f>(1*P2_MessagesReceived_Per_Mailbox_Per_Day*10035)/1000</f>
        <v>401.4</v>
      </c>
      <c r="F44" s="10">
        <v>0</v>
      </c>
      <c r="G44" s="10">
        <f t="shared" si="7"/>
        <v>77.929000000000002</v>
      </c>
      <c r="H44" s="10">
        <f t="shared" si="8"/>
        <v>504.83100000000002</v>
      </c>
      <c r="I44" s="9">
        <f>188589/1000*1</f>
        <v>188.589</v>
      </c>
      <c r="J44" s="13" t="s">
        <v>6</v>
      </c>
      <c r="K44" s="10">
        <f t="shared" si="9"/>
        <v>105.08799999999999</v>
      </c>
      <c r="L44" s="9">
        <f>(((0.8652*P2_Avg_Msg_Size*1000)+5757)*P2_MessagesReceived_Per_Mailbox_Per_Day*P2_Web_Client_Online_Mode_Item_Read*1)/1000</f>
        <v>2450.85</v>
      </c>
      <c r="M44" s="10">
        <v>0</v>
      </c>
      <c r="N44" s="43" t="str">
        <f>"P2_"&amp;Table36[[#This Row],[Client Type]]&amp;"_Received"</f>
        <v>P2_Outlook 2007 (MAPI-Online)_Received</v>
      </c>
      <c r="O44" s="38">
        <f t="shared" si="10"/>
        <v>3416.7979999999998</v>
      </c>
      <c r="P44" s="45" t="str">
        <f>"P2_"&amp;Table36[[#This Row],[Client Type]]&amp;"_Sent"</f>
        <v>P2_Outlook 2007 (MAPI-Online)_Sent</v>
      </c>
      <c r="Q44" s="39">
        <f t="shared" si="11"/>
        <v>969.50599999999997</v>
      </c>
    </row>
    <row r="45" spans="2:17" s="41" customFormat="1">
      <c r="B45" s="37" t="s">
        <v>26</v>
      </c>
      <c r="C45" s="10">
        <f>(P2_MessagesReceived_Per_Mailbox_Per_Day)*((0.8639*P2_Avg_Msg_Size*1000)+2353.9)/1000</f>
        <v>1821.9559999999999</v>
      </c>
      <c r="D45" s="10">
        <f>(P2_Messages_Sent_Per_Mailbox_Per_Day)*((1.7266*P2_Avg_Msg_Size*1000)+7859.8)/1000</f>
        <v>941.89800000000002</v>
      </c>
      <c r="E45" s="9">
        <f>(1*P2_MessagesReceived_Per_Mailbox_Per_Day*1500)/1000</f>
        <v>60</v>
      </c>
      <c r="F45" s="10">
        <f>IF(1&gt;0,OABSize*1000*(GAL_Changes_per_Day)+(((OST_Resync_Per_Month*1)/20)*OABSize*1000),0)</f>
        <v>525</v>
      </c>
      <c r="G45" s="10">
        <f>IF(Meeting_Availability_Protocol=$D$4,(P2_Average_Meetings_Per_Mailbox_Per_Day*2580+4702)/1000,0)</f>
        <v>0</v>
      </c>
      <c r="H45" s="10">
        <f>IF(Meeting_Availability_Protocol=$D$4,(P2_Average_Meetings_Per_Mailbox_Per_Day*2616+2913)/1000,0)</f>
        <v>0</v>
      </c>
      <c r="I45" s="9">
        <f>65*1</f>
        <v>65</v>
      </c>
      <c r="J45" s="13" t="s">
        <v>6</v>
      </c>
      <c r="K45" s="10">
        <f t="shared" si="9"/>
        <v>105.08799999999999</v>
      </c>
      <c r="L45" s="9">
        <v>0</v>
      </c>
      <c r="M45" s="9">
        <f>((OST_Resync_Per_Month*(P2_Avg_Mailbox_Size__GB*1000000))/20)*0.8639</f>
        <v>431.95</v>
      </c>
      <c r="N45" s="42" t="str">
        <f>"P2_"&amp;Table36[[#This Row],[Client Type]]&amp;"_Received"</f>
        <v>P2_Outlook 2003 (OA-Cached)_Received</v>
      </c>
      <c r="O45" s="38">
        <f t="shared" si="10"/>
        <v>2948.9940000000001</v>
      </c>
      <c r="P45" s="45" t="str">
        <f>"P2_"&amp;Table36[[#This Row],[Client Type]]&amp;"_Sent"</f>
        <v>P2_Outlook 2003 (OA-Cached)_Sent</v>
      </c>
      <c r="Q45" s="39">
        <f t="shared" si="11"/>
        <v>1001.898</v>
      </c>
    </row>
    <row r="46" spans="2:17" s="41" customFormat="1">
      <c r="B46" s="37" t="s">
        <v>27</v>
      </c>
      <c r="C46" s="10">
        <f>(P2_MessagesReceived_Per_Mailbox_Per_Day)*((0.8671*P2_Avg_Msg_Size*1000)+1830.8)/1000</f>
        <v>1807.432</v>
      </c>
      <c r="D46" s="10">
        <f>(P2_Messages_Sent_Per_Mailbox_Per_Day)*((1.7396*P2_Avg_Msg_Size*1000)+4311.6)/1000</f>
        <v>912.91600000000005</v>
      </c>
      <c r="E46" s="9">
        <f>(1*P2_MessagesReceived_Per_Mailbox_Per_Day*1500)/1000</f>
        <v>60</v>
      </c>
      <c r="F46" s="10">
        <f>IF(1&gt;0,OABSize*1000*(GAL_Changes_per_Day)+(((OST_Resync_Per_Month*1)/20)*OABSize*1000),0)</f>
        <v>525</v>
      </c>
      <c r="G46" s="10">
        <f>IF(Meeting_Availability_Protocol=$D$4,(P2_Average_Meetings_Per_Mailbox_Per_Day*2580+4702)/1000,0)</f>
        <v>0</v>
      </c>
      <c r="H46" s="10">
        <f>IF(Meeting_Availability_Protocol=$D$4,(P2_Average_Meetings_Per_Mailbox_Per_Day*2616+2913)/1000,0)</f>
        <v>0</v>
      </c>
      <c r="I46" s="9">
        <f>65*1</f>
        <v>65</v>
      </c>
      <c r="J46" s="13" t="s">
        <v>6</v>
      </c>
      <c r="K46" s="10">
        <v>0</v>
      </c>
      <c r="L46" s="9">
        <v>0</v>
      </c>
      <c r="M46" s="9">
        <f>((OST_Resync_Per_Month*(P2_Avg_Mailbox_Size__GB*1000000))/20)*0.8671</f>
        <v>433.55</v>
      </c>
      <c r="N46" s="42" t="str">
        <f>"P2_"&amp;Table36[[#This Row],[Client Type]]&amp;"_Received"</f>
        <v>P2_Outlook 2003 (MAPI-Cached)_Received</v>
      </c>
      <c r="O46" s="38">
        <f t="shared" si="10"/>
        <v>2830.982</v>
      </c>
      <c r="P46" s="45" t="str">
        <f>"P2_"&amp;Table36[[#This Row],[Client Type]]&amp;"_Sent"</f>
        <v>P2_Outlook 2003 (MAPI-Cached)_Sent</v>
      </c>
      <c r="Q46" s="39">
        <f t="shared" si="11"/>
        <v>972.91600000000005</v>
      </c>
    </row>
    <row r="47" spans="2:17" s="41" customFormat="1">
      <c r="B47" s="37" t="s">
        <v>28</v>
      </c>
      <c r="C47" s="10">
        <f>(P2_MessagesReceived_Per_Mailbox_Per_Day)*((0.0052*P2_Avg_Msg_Size*1000)+1149.2)/1000</f>
        <v>56.368000000000002</v>
      </c>
      <c r="D47" s="10">
        <f>(P2_Messages_Sent_Per_Mailbox_Per_Day)*((0.8763*P2_Avg_Msg_Size*1000)+3179.5)/1000</f>
        <v>469.94499999999999</v>
      </c>
      <c r="E47" s="9">
        <f>(1*P2_MessagesReceived_Per_Mailbox_Per_Day*9081)/1000</f>
        <v>363.24</v>
      </c>
      <c r="F47" s="10">
        <v>0</v>
      </c>
      <c r="G47" s="10">
        <f>IF(Meeting_Availability_Protocol=$D$4,(P2_Average_Meetings_Per_Mailbox_Per_Day*2580+4702)/1000,0)</f>
        <v>0</v>
      </c>
      <c r="H47" s="10">
        <f>IF(Meeting_Availability_Protocol=$D$4,(P2_Average_Meetings_Per_Mailbox_Per_Day*2616+2913)/1000,0)</f>
        <v>0</v>
      </c>
      <c r="I47" s="9">
        <f>188589/1000*1</f>
        <v>188.589</v>
      </c>
      <c r="J47" s="13" t="s">
        <v>6</v>
      </c>
      <c r="K47" s="10">
        <v>0</v>
      </c>
      <c r="L47" s="9">
        <f>(((0.8267*P2_Avg_Msg_Size*1000)+6461.6)*P2_MessagesReceived_Per_Mailbox_Per_Day*P2_Web_Client_Online_Mode_Item_Read*1)/1000</f>
        <v>2389.83</v>
      </c>
      <c r="M47" s="10">
        <v>0</v>
      </c>
      <c r="N47" s="43" t="str">
        <f>"P2_"&amp;Table36[[#This Row],[Client Type]]&amp;"_Received"</f>
        <v>P2_Outlook 2003 (MAPI-Online)_Received</v>
      </c>
      <c r="O47" s="38">
        <f t="shared" si="10"/>
        <v>2634.7869999999998</v>
      </c>
      <c r="P47" s="45" t="str">
        <f>"P2_"&amp;Table36[[#This Row],[Client Type]]&amp;"_Sent"</f>
        <v>P2_Outlook 2003 (MAPI-Online)_Sent</v>
      </c>
      <c r="Q47" s="39">
        <f t="shared" si="11"/>
        <v>833.18499999999995</v>
      </c>
    </row>
    <row r="48" spans="2:17" s="41" customFormat="1">
      <c r="B48" s="37" t="s">
        <v>15</v>
      </c>
      <c r="C48" s="10">
        <f>(P2_MessagesReceived_Per_Mailbox_Per_Day)*((0.0129*P2_Avg_Msg_Size*1000)+3299.2)/1000</f>
        <v>157.768</v>
      </c>
      <c r="D48" s="10">
        <f>(P2_Messages_Sent_Per_Mailbox_Per_Day)*((1.2843*P2_Avg_Msg_Size*1000)+17931)/1000</f>
        <v>821.46</v>
      </c>
      <c r="E48" s="9">
        <f>(1*P2_MessagesReceived_Per_Mailbox_Per_Day*13521)/1000</f>
        <v>540.84</v>
      </c>
      <c r="F48" s="10">
        <v>0</v>
      </c>
      <c r="G48" s="10">
        <f>(P2_Average_Meetings_Per_Mailbox_Per_Day*23555)/1000</f>
        <v>23.555</v>
      </c>
      <c r="H48" s="10">
        <f>(P2_Average_Meetings_Per_Mailbox_Per_Day*59458)/1000</f>
        <v>59.457999999999998</v>
      </c>
      <c r="I48" s="9">
        <f>(105654/1000)*1</f>
        <v>105.654</v>
      </c>
      <c r="J48" s="13" t="s">
        <v>6</v>
      </c>
      <c r="K48" s="10">
        <v>0</v>
      </c>
      <c r="L48" s="9">
        <f>(((1.1*P2_Avg_Msg_Size*1000)+17828)*P2_MessagesReceived_Per_Mailbox_Per_Day*P2_Web_Client_Online_Mode_Item_Read*1)/1000</f>
        <v>3641.4</v>
      </c>
      <c r="M48" s="10">
        <v>0</v>
      </c>
      <c r="N48" s="43" t="str">
        <f>"P2_"&amp;Table36[[#This Row],[Client Type]]&amp;"_Received"</f>
        <v>P2_OWA 2007_Received</v>
      </c>
      <c r="O48" s="38">
        <f t="shared" si="10"/>
        <v>3964.28</v>
      </c>
      <c r="P48" s="45" t="str">
        <f>"P2_"&amp;Table36[[#This Row],[Client Type]]&amp;"_Sent"</f>
        <v>P2_OWA 2007_Sent</v>
      </c>
      <c r="Q48" s="39">
        <f t="shared" si="11"/>
        <v>1385.8550000000002</v>
      </c>
    </row>
    <row r="49" spans="2:17" s="41" customFormat="1">
      <c r="B49" s="37" t="s">
        <v>16</v>
      </c>
      <c r="C49" s="10">
        <f>(P2_MessagesReceived_Per_Mailbox_Per_Day)*((0.0073*P2_Avg_Msg_Size*1000)+8166)/1000</f>
        <v>341.24</v>
      </c>
      <c r="D49" s="10">
        <f>(P2_Messages_Sent_Per_Mailbox_Per_Day)*((1.524*P2_Avg_Msg_Size*1000)+4883.7)/1000</f>
        <v>810.83699999999999</v>
      </c>
      <c r="E49" s="9">
        <f>(1*P2_MessagesReceived_Per_Mailbox_Per_Day*7184)/1000</f>
        <v>287.36</v>
      </c>
      <c r="F49" s="10">
        <v>0</v>
      </c>
      <c r="G49" s="10">
        <f>(P2_Average_Meetings_Per_Mailbox_Per_Day*23555)/1000</f>
        <v>23.555</v>
      </c>
      <c r="H49" s="10">
        <f>(P2_Average_Meetings_Per_Mailbox_Per_Day*59458)/1000</f>
        <v>59.457999999999998</v>
      </c>
      <c r="I49" s="9">
        <f>41*1</f>
        <v>41</v>
      </c>
      <c r="J49" s="13" t="s">
        <v>6</v>
      </c>
      <c r="K49" s="10">
        <v>0</v>
      </c>
      <c r="L49" s="9">
        <f>(((1.2644*P2_Avg_Msg_Size*1000)+648.81)*P2_MessagesReceived_Per_Mailbox_Per_Day*P2_Web_Client_Online_Mode_Item_Read*1)/1000</f>
        <v>3193.4405000000002</v>
      </c>
      <c r="M49" s="10">
        <v>0</v>
      </c>
      <c r="N49" s="43" t="str">
        <f>"P2_"&amp;Table36[[#This Row],[Client Type]]&amp;"_Received"</f>
        <v>P2_OWA 2010_Received</v>
      </c>
      <c r="O49" s="38">
        <f t="shared" si="10"/>
        <v>3635.1385000000005</v>
      </c>
      <c r="P49" s="45" t="str">
        <f>"P2_"&amp;Table36[[#This Row],[Client Type]]&amp;"_Sent"</f>
        <v>P2_OWA 2010_Sent</v>
      </c>
      <c r="Q49" s="39">
        <f t="shared" si="11"/>
        <v>1121.7520000000002</v>
      </c>
    </row>
    <row r="50" spans="2:17" s="41" customFormat="1">
      <c r="B50" s="37" t="s">
        <v>29</v>
      </c>
      <c r="C50" s="10">
        <f>(P2_MessagesReceived_Per_Mailbox_Per_Day)*((0.0005*P2_Avg_Msg_Size*1000)+1761.3)/1000</f>
        <v>71.451999999999998</v>
      </c>
      <c r="D50" s="10">
        <f>(P2_Messages_Sent_Per_Mailbox_Per_Day*3853)/1000</f>
        <v>38.53</v>
      </c>
      <c r="E50" s="9">
        <f>(1*P2_MessagesReceived_Per_Mailbox_Per_Day*362)/1000</f>
        <v>14.48</v>
      </c>
      <c r="F50" s="10">
        <v>0</v>
      </c>
      <c r="G50" s="10">
        <v>0</v>
      </c>
      <c r="H50" s="10">
        <v>0</v>
      </c>
      <c r="I50" s="9">
        <f>65*1</f>
        <v>65</v>
      </c>
      <c r="J50" s="13" t="s">
        <v>6</v>
      </c>
      <c r="K50" s="10">
        <f>(10366)/1000</f>
        <v>10.366</v>
      </c>
      <c r="L50" s="9">
        <f>(((1.2355*P2_Avg_Msg_Size*1000)-5487.4)*P2_MessagesReceived_Per_Mailbox_Per_Day*P2_Mobile_Client_Attachment_Read*1)/1000</f>
        <v>450.30080000000004</v>
      </c>
      <c r="M50" s="10">
        <f>(C50*Mobile_Device_Days_to_Sync*Mobile_Device_Full_Syncs_Per_Month)/20</f>
        <v>5.3588999999999998E-2</v>
      </c>
      <c r="N50" s="43" t="str">
        <f>"P2_"&amp;Table36[[#This Row],[Client Type]]&amp;"_Received"</f>
        <v>P2_Windows Mobile 6.x_Received</v>
      </c>
      <c r="O50" s="38">
        <f t="shared" si="10"/>
        <v>597.17238899999995</v>
      </c>
      <c r="P50" s="45" t="str">
        <f>"P2_"&amp;Table36[[#This Row],[Client Type]]&amp;"_Sent"</f>
        <v>P2_Windows Mobile 6.x_Sent</v>
      </c>
      <c r="Q50" s="39">
        <f t="shared" si="11"/>
        <v>53.010000000000005</v>
      </c>
    </row>
    <row r="51" spans="2:17" s="41" customFormat="1">
      <c r="B51" s="37" t="s">
        <v>30</v>
      </c>
      <c r="C51" s="10">
        <f>(P2_MessagesReceived_Per_Mailbox_Per_Day)*((0.0031*P2_Avg_Msg_Size*1000)+1959.7)/1000</f>
        <v>84.587999999999994</v>
      </c>
      <c r="D51" s="10">
        <f>(P2_Messages_Sent_Per_Mailbox_Per_Day*4312)/1000</f>
        <v>43.12</v>
      </c>
      <c r="E51" s="9">
        <f>(1*P2_MessagesReceived_Per_Mailbox_Per_Day*320)/1000</f>
        <v>12.8</v>
      </c>
      <c r="F51" s="10">
        <v>0</v>
      </c>
      <c r="G51" s="10">
        <v>0</v>
      </c>
      <c r="H51" s="10">
        <v>0</v>
      </c>
      <c r="I51" s="9">
        <f>65*1</f>
        <v>65</v>
      </c>
      <c r="J51" s="13" t="s">
        <v>6</v>
      </c>
      <c r="K51" s="10">
        <f>(10366)/1000</f>
        <v>10.366</v>
      </c>
      <c r="L51" s="9">
        <f>(((0.9878*P2_Avg_Msg_Size*1000)-1073.6)*P2_MessagesReceived_Per_Mailbox_Per_Day*P2_Mobile_Client_Attachment_Read*1)/1000</f>
        <v>386.53120000000001</v>
      </c>
      <c r="M51" s="10">
        <f>(C51*Mobile_Device_Days_to_Sync*Mobile_Device_Full_Syncs_Per_Month)/20</f>
        <v>6.3440999999999997E-2</v>
      </c>
      <c r="N51" s="43" t="str">
        <f>"P2_"&amp;Table36[[#This Row],[Client Type]]&amp;"_Received"</f>
        <v>P2_Windows Phone 7.x_Received</v>
      </c>
      <c r="O51" s="38">
        <f t="shared" si="10"/>
        <v>546.54864100000009</v>
      </c>
      <c r="P51" s="45" t="str">
        <f>"P2_"&amp;Table36[[#This Row],[Client Type]]&amp;"_Sent"</f>
        <v>P2_Windows Phone 7.x_Sent</v>
      </c>
      <c r="Q51" s="39">
        <f t="shared" si="11"/>
        <v>55.92</v>
      </c>
    </row>
    <row r="52" spans="2:17" s="41" customFormat="1">
      <c r="B52" s="37" t="s">
        <v>178</v>
      </c>
      <c r="C52" s="10">
        <f>(P2_MessagesReceived_Per_Mailbox_Per_Day)*((1.3134*P2_Avg_Msg_Size*1000)+32048)/1000</f>
        <v>3908.72</v>
      </c>
      <c r="D52" s="10">
        <f>(P2_Messages_Sent_Per_Mailbox_Per_Day)*((3.3516*P2_Avg_Msg_Size*1000)+37212)/1000</f>
        <v>2047.9199999999998</v>
      </c>
      <c r="E52" s="10">
        <f>(1*P2_MessagesReceived_Per_Mailbox_Per_Day*1500)/1000</f>
        <v>60</v>
      </c>
      <c r="F52" s="10">
        <f>IF(1&gt;0,OABSize*1000*(GAL_Changes_per_Day)+(((OST_Resync_Per_Month*1)/20)*OABSize*1000),0)</f>
        <v>525</v>
      </c>
      <c r="G52" s="10">
        <f>(((P2_Avg_Recipients_Per_Meeting*2576.2)+5941.6)/1000)*P2_Average_Meetings_Per_Mailbox_Per_Day</f>
        <v>13.670200000000001</v>
      </c>
      <c r="H52" s="10">
        <f>(((P2_Avg_Recipients_Per_Meeting*1759.8)+3903)/1000)*P2_Average_Meetings_Per_Mailbox_Per_Day</f>
        <v>9.1823999999999995</v>
      </c>
      <c r="I52" s="10">
        <v>45</v>
      </c>
      <c r="J52" s="160"/>
      <c r="K52" s="10">
        <f>((1*Working_Day__Hours)*13136)/1000</f>
        <v>105.08799999999999</v>
      </c>
      <c r="L52" s="10">
        <v>0</v>
      </c>
      <c r="M52" s="69">
        <f>((OST_Resync_Per_Month*(P2_Avg_Mailbox_Size__GB*1000000))/20)*1.3134</f>
        <v>656.69999999999993</v>
      </c>
      <c r="N52" s="64" t="str">
        <f>"P2_"&amp;B52&amp;"_Received"</f>
        <v>P2_Outlook 2011 (EWS)_Received</v>
      </c>
      <c r="O52" s="38">
        <f t="shared" si="10"/>
        <v>5249.6903999999986</v>
      </c>
      <c r="P52" s="45" t="str">
        <f>"P2_"&amp;B52&amp;"_Sent"</f>
        <v>P2_Outlook 2011 (EWS)_Sent</v>
      </c>
      <c r="Q52" s="63">
        <f t="shared" si="11"/>
        <v>2121.5902000000001</v>
      </c>
    </row>
    <row r="53" spans="2:17" s="41" customFormat="1">
      <c r="B53" s="37"/>
      <c r="C53" s="10"/>
      <c r="D53" s="10"/>
      <c r="E53" s="9"/>
      <c r="F53" s="10"/>
      <c r="G53" s="10"/>
      <c r="H53" s="10"/>
      <c r="I53" s="9"/>
      <c r="J53" s="13"/>
      <c r="K53" s="10"/>
      <c r="L53" s="9"/>
      <c r="M53" s="10"/>
      <c r="N53" s="43"/>
      <c r="O53" s="38"/>
      <c r="P53" s="45"/>
      <c r="Q53" s="39"/>
    </row>
    <row r="54" spans="2:17" s="154" customFormat="1">
      <c r="B54" s="161"/>
      <c r="C54" s="162"/>
      <c r="D54" s="162"/>
      <c r="E54" s="163"/>
      <c r="F54" s="162"/>
      <c r="G54" s="162"/>
      <c r="H54" s="162"/>
      <c r="I54" s="163"/>
      <c r="J54" s="164"/>
      <c r="K54" s="162"/>
      <c r="L54" s="163"/>
      <c r="M54" s="162"/>
      <c r="N54" s="165"/>
      <c r="O54" s="166"/>
      <c r="P54" s="167"/>
      <c r="Q54" s="168"/>
    </row>
    <row r="55" spans="2:17" s="41" customFormat="1">
      <c r="N55" s="44"/>
      <c r="P55" s="44"/>
    </row>
    <row r="56" spans="2:17" s="41" customFormat="1">
      <c r="B56" s="334" t="s">
        <v>116</v>
      </c>
      <c r="C56" s="334"/>
      <c r="D56" s="334"/>
      <c r="E56" s="334"/>
      <c r="F56" s="334"/>
      <c r="G56" s="334"/>
      <c r="H56" s="334"/>
      <c r="I56" s="334"/>
      <c r="J56" s="334"/>
      <c r="K56" s="334"/>
      <c r="L56" s="334"/>
      <c r="M56" s="334"/>
      <c r="N56" s="334"/>
      <c r="O56" s="334"/>
      <c r="P56" s="334"/>
      <c r="Q56" s="334"/>
    </row>
    <row r="57" spans="2:17" s="41" customFormat="1">
      <c r="B57" s="326" t="s">
        <v>103</v>
      </c>
      <c r="C57" s="326"/>
      <c r="D57" s="326"/>
      <c r="E57" s="326"/>
      <c r="F57" s="326"/>
      <c r="G57" s="326"/>
      <c r="H57" s="326"/>
      <c r="I57" s="326"/>
      <c r="J57" s="326"/>
      <c r="K57" s="326"/>
      <c r="L57" s="326"/>
      <c r="M57" s="326"/>
      <c r="N57" s="335" t="s">
        <v>104</v>
      </c>
      <c r="O57" s="336"/>
      <c r="P57" s="336"/>
      <c r="Q57" s="336"/>
    </row>
    <row r="58" spans="2:17" s="41" customFormat="1" ht="60">
      <c r="B58" s="35" t="s">
        <v>3</v>
      </c>
      <c r="C58" s="36" t="s">
        <v>42</v>
      </c>
      <c r="D58" s="36" t="s">
        <v>43</v>
      </c>
      <c r="E58" s="36" t="s">
        <v>14</v>
      </c>
      <c r="F58" s="36" t="s">
        <v>17</v>
      </c>
      <c r="G58" s="36" t="s">
        <v>86</v>
      </c>
      <c r="H58" s="36" t="s">
        <v>87</v>
      </c>
      <c r="I58" s="36" t="s">
        <v>20</v>
      </c>
      <c r="J58" s="36" t="s">
        <v>23</v>
      </c>
      <c r="K58" s="36" t="s">
        <v>24</v>
      </c>
      <c r="L58" s="36" t="s">
        <v>18</v>
      </c>
      <c r="M58" s="36" t="s">
        <v>37</v>
      </c>
      <c r="N58" s="50" t="s">
        <v>119</v>
      </c>
      <c r="O58" s="49" t="s">
        <v>44</v>
      </c>
      <c r="P58" s="50" t="s">
        <v>119</v>
      </c>
      <c r="Q58" s="49" t="s">
        <v>45</v>
      </c>
    </row>
    <row r="59" spans="2:17" s="41" customFormat="1">
      <c r="B59" s="37" t="s">
        <v>9</v>
      </c>
      <c r="C59" s="9">
        <f>(P3_MessagesReceived_Per_Mailbox_Per_Day)*((0.8952*P3_Avg_Msg_Size*1000)+5925.6)/1000</f>
        <v>4054.848</v>
      </c>
      <c r="D59" s="9">
        <f>(P3_Messages_Sent_Per_Mailbox_Per_Day)*((0.8727*P3_Avg_Msg_Size*1000)+6399)/1000</f>
        <v>1000.6800000000001</v>
      </c>
      <c r="E59" s="9">
        <f>(1*P3_MessagesReceived_Per_Mailbox_Per_Day*1500)/1000</f>
        <v>120</v>
      </c>
      <c r="F59" s="10">
        <f>IF(1&gt;0,OABSize*1000*(GAL_Changes_per_Day)+(((OST_Resync_Per_Month*1)/20)*OABSize*1000),0)</f>
        <v>525</v>
      </c>
      <c r="G59" s="10">
        <f t="shared" ref="G59:G64" si="12">IF(Meeting_Availability_Protocol=$D$4,(P3_Average_Meetings_Per_Mailbox_Per_Day*2580+4702)/1000,((P3_Avg_Recipients_Per_Meeting*3515+67384)/1000)*P3_Average_Meetings_Per_Mailbox_Per_Day)</f>
        <v>155.858</v>
      </c>
      <c r="H59" s="10">
        <f t="shared" ref="H59:H64" si="13">IF(Meeting_Availability_Protocol=$D$4,(P3_Average_Meetings_Per_Mailbox_Per_Day*2616+2913)/1000,((P3_Avg_Recipients_Per_Meeting*50120+354471)/1000)*P3_Average_Meetings_Per_Mailbox_Per_Day)</f>
        <v>1009.662</v>
      </c>
      <c r="I59" s="9">
        <f>65*1</f>
        <v>65</v>
      </c>
      <c r="J59" s="13" t="s">
        <v>6</v>
      </c>
      <c r="K59" s="10">
        <f t="shared" ref="K59:K65" si="14">((1*Working_Day__Hours)*13136)/1000</f>
        <v>105.08799999999999</v>
      </c>
      <c r="L59" s="9">
        <v>0</v>
      </c>
      <c r="M59" s="9">
        <f>((OST_Resync_Per_Month*(P3_Avg_Mailbox_Size__GB*1000000))/20)*0.8952</f>
        <v>447.6</v>
      </c>
      <c r="N59" s="42" t="str">
        <f>"P3_"&amp;Table3630[[#This Row],[Client Type]]&amp;"_Received"</f>
        <v>P3_Outlook 2010 (OA-Cached)_Received</v>
      </c>
      <c r="O59" s="38">
        <f t="shared" ref="O59:O72" si="15">SUM(C59,F59,I59,K59,L59,M59,H59)</f>
        <v>6207.1980000000003</v>
      </c>
      <c r="P59" s="45" t="str">
        <f>"P3_"&amp;Table3630[[#This Row],[Client Type]]&amp;"_Sent"</f>
        <v>P3_Outlook 2010 (OA-Cached)_Sent</v>
      </c>
      <c r="Q59" s="39">
        <f t="shared" ref="Q59:Q72" si="16">SUM(D59,E59,G59)</f>
        <v>1276.538</v>
      </c>
    </row>
    <row r="60" spans="2:17" s="41" customFormat="1">
      <c r="B60" s="37" t="s">
        <v>10</v>
      </c>
      <c r="C60" s="10">
        <f>(P3_MessagesReceived_Per_Mailbox_Per_Day)*((0.8796*P3_Avg_Msg_Size*1000)+4359.9)/1000</f>
        <v>3867.1920000000009</v>
      </c>
      <c r="D60" s="10">
        <f>(P3_Messages_Sent_Per_Mailbox_Per_Day)*((0.8729*P3_Avg_Msg_Size*1000)+13935)/1000</f>
        <v>1151.5999999999999</v>
      </c>
      <c r="E60" s="9">
        <f>(1*P3_MessagesReceived_Per_Mailbox_Per_Day*1500)/1000</f>
        <v>120</v>
      </c>
      <c r="F60" s="10">
        <f>IF(1&gt;0,OABSize*1000*(GAL_Changes_per_Day)+(((OST_Resync_Per_Month*1)/20)*OABSize*1000),0)</f>
        <v>525</v>
      </c>
      <c r="G60" s="10">
        <f t="shared" si="12"/>
        <v>155.858</v>
      </c>
      <c r="H60" s="10">
        <f t="shared" si="13"/>
        <v>1009.662</v>
      </c>
      <c r="I60" s="9">
        <f>65*1</f>
        <v>65</v>
      </c>
      <c r="J60" s="13" t="s">
        <v>6</v>
      </c>
      <c r="K60" s="10">
        <f t="shared" si="14"/>
        <v>105.08799999999999</v>
      </c>
      <c r="L60" s="9">
        <v>0</v>
      </c>
      <c r="M60" s="9">
        <f>((OST_Resync_Per_Month*(P3_Avg_Mailbox_Size__GB*1000000))/20)*0.8796</f>
        <v>439.8</v>
      </c>
      <c r="N60" s="42" t="str">
        <f>"P3_"&amp;Table3630[[#This Row],[Client Type]]&amp;"_Received"</f>
        <v>P3_Outlook 2010 (MAPI-Cached)_Received</v>
      </c>
      <c r="O60" s="38">
        <f t="shared" si="15"/>
        <v>6011.7420000000011</v>
      </c>
      <c r="P60" s="45" t="str">
        <f>"P3_"&amp;Table3630[[#This Row],[Client Type]]&amp;"_Sent"</f>
        <v>P3_Outlook 2010 (MAPI-Cached)_Sent</v>
      </c>
      <c r="Q60" s="39">
        <f t="shared" si="16"/>
        <v>1427.4579999999999</v>
      </c>
    </row>
    <row r="61" spans="2:17" s="41" customFormat="1">
      <c r="B61" s="37" t="s">
        <v>8</v>
      </c>
      <c r="C61" s="10">
        <f>(P3_MessagesReceived_Per_Mailbox_Per_Day)*((0.0012*P3_Avg_Msg_Size*1000)+4297)/1000</f>
        <v>348.56</v>
      </c>
      <c r="D61" s="10">
        <f>(P3_Messages_Sent_Per_Mailbox_Per_Day)*((0.8624*P3_Avg_Msg_Size*1000)+8423.7)/1000</f>
        <v>1030.8740000000003</v>
      </c>
      <c r="E61" s="9">
        <f>(1*P3_MessagesReceived_Per_Mailbox_Per_Day*10035)/1000</f>
        <v>802.8</v>
      </c>
      <c r="F61" s="10">
        <v>0</v>
      </c>
      <c r="G61" s="10">
        <f t="shared" si="12"/>
        <v>155.858</v>
      </c>
      <c r="H61" s="10">
        <f t="shared" si="13"/>
        <v>1009.662</v>
      </c>
      <c r="I61" s="9">
        <f>188589/1000*1</f>
        <v>188.589</v>
      </c>
      <c r="J61" s="13" t="s">
        <v>6</v>
      </c>
      <c r="K61" s="10">
        <f t="shared" si="14"/>
        <v>105.08799999999999</v>
      </c>
      <c r="L61" s="9">
        <f>(((0.9404*P3_Avg_Msg_Size*1000)+9194.2)*P3_MessagesReceived_Per_Mailbox_Per_Day*P3_Web_Client_Online_Mode_Item_Read*1)/1000</f>
        <v>5621.42</v>
      </c>
      <c r="M61" s="10">
        <v>0</v>
      </c>
      <c r="N61" s="43" t="str">
        <f>"P3_"&amp;Table3630[[#This Row],[Client Type]]&amp;"_Received"</f>
        <v>P3_Outlook 2010 (MAPI-Online)_Received</v>
      </c>
      <c r="O61" s="38">
        <f t="shared" si="15"/>
        <v>7273.3190000000004</v>
      </c>
      <c r="P61" s="45" t="str">
        <f>"P3_"&amp;Table3630[[#This Row],[Client Type]]&amp;"_Sent"</f>
        <v>P3_Outlook 2010 (MAPI-Online)_Sent</v>
      </c>
      <c r="Q61" s="39">
        <f t="shared" si="16"/>
        <v>1989.5320000000002</v>
      </c>
    </row>
    <row r="62" spans="2:17" s="41" customFormat="1">
      <c r="B62" s="37" t="s">
        <v>11</v>
      </c>
      <c r="C62" s="10">
        <f>(P3_MessagesReceived_Per_Mailbox_Per_Day)*((0.8966*P3_Avg_Msg_Size*1000)+5064)/1000</f>
        <v>3991.52</v>
      </c>
      <c r="D62" s="10">
        <f>(P3_Messages_Sent_Per_Mailbox_Per_Day)*((0.8884*P3_Avg_Msg_Size*1000)+12089)/1000</f>
        <v>1130.18</v>
      </c>
      <c r="E62" s="9">
        <f>(1*P3_MessagesReceived_Per_Mailbox_Per_Day*1500)/1000</f>
        <v>120</v>
      </c>
      <c r="F62" s="10">
        <f>IF(1&gt;0,OABSize*1000*(GAL_Changes_per_Day)+(((OST_Resync_Per_Month*1)/20)*OABSize*1000),0)</f>
        <v>525</v>
      </c>
      <c r="G62" s="10">
        <f t="shared" si="12"/>
        <v>155.858</v>
      </c>
      <c r="H62" s="10">
        <f t="shared" si="13"/>
        <v>1009.662</v>
      </c>
      <c r="I62" s="9">
        <f>65*1</f>
        <v>65</v>
      </c>
      <c r="J62" s="13" t="s">
        <v>6</v>
      </c>
      <c r="K62" s="10">
        <f t="shared" si="14"/>
        <v>105.08799999999999</v>
      </c>
      <c r="L62" s="9">
        <v>0</v>
      </c>
      <c r="M62" s="9">
        <f>((OST_Resync_Per_Month*(P3_Avg_Mailbox_Size__GB*1000000))/20)*0.8966</f>
        <v>448.29999999999995</v>
      </c>
      <c r="N62" s="42" t="str">
        <f>"P3_"&amp;Table3630[[#This Row],[Client Type]]&amp;"_Received"</f>
        <v>P3_Outlook 2007 (OA-Cached)_Received</v>
      </c>
      <c r="O62" s="38">
        <f t="shared" si="15"/>
        <v>6144.5700000000006</v>
      </c>
      <c r="P62" s="45" t="str">
        <f>"P3_"&amp;Table3630[[#This Row],[Client Type]]&amp;"_Sent"</f>
        <v>P3_Outlook 2007 (OA-Cached)_Sent</v>
      </c>
      <c r="Q62" s="39">
        <f t="shared" si="16"/>
        <v>1406.038</v>
      </c>
    </row>
    <row r="63" spans="2:17" s="41" customFormat="1">
      <c r="B63" s="37" t="s">
        <v>12</v>
      </c>
      <c r="C63" s="10">
        <f>(P3_MessagesReceived_Per_Mailbox_Per_Day)*((0.8791*P3_Avg_Msg_Size*1000)+4549.9)/1000</f>
        <v>3880.3919999999998</v>
      </c>
      <c r="D63" s="10">
        <f>(P3_Messages_Sent_Per_Mailbox_Per_Day)*((0.8518*P3_Avg_Msg_Size*1000)+12401)/1000</f>
        <v>1099.82</v>
      </c>
      <c r="E63" s="9">
        <f>(1*P3_MessagesReceived_Per_Mailbox_Per_Day*1500)/1000</f>
        <v>120</v>
      </c>
      <c r="F63" s="10">
        <f>IF(1&gt;0,OABSize*1000*(GAL_Changes_per_Day)+(((OST_Resync_Per_Month*1)/20)*OABSize*1000),0)</f>
        <v>525</v>
      </c>
      <c r="G63" s="10">
        <f t="shared" si="12"/>
        <v>155.858</v>
      </c>
      <c r="H63" s="10">
        <f t="shared" si="13"/>
        <v>1009.662</v>
      </c>
      <c r="I63" s="9">
        <f>65*1</f>
        <v>65</v>
      </c>
      <c r="J63" s="13" t="s">
        <v>6</v>
      </c>
      <c r="K63" s="10">
        <f t="shared" si="14"/>
        <v>105.08799999999999</v>
      </c>
      <c r="L63" s="9">
        <v>0</v>
      </c>
      <c r="M63" s="9">
        <f>((OST_Resync_Per_Month*(P3_Avg_Mailbox_Size__GB*1000000))/20)*0.8791</f>
        <v>439.55</v>
      </c>
      <c r="N63" s="42" t="str">
        <f>"P3_"&amp;Table3630[[#This Row],[Client Type]]&amp;"_Received"</f>
        <v>P3_Outlook 2007 (MAPI-Cached)_Received</v>
      </c>
      <c r="O63" s="38">
        <f t="shared" si="15"/>
        <v>6024.692</v>
      </c>
      <c r="P63" s="45" t="str">
        <f>"P3_"&amp;Table3630[[#This Row],[Client Type]]&amp;"_Sent"</f>
        <v>P3_Outlook 2007 (MAPI-Cached)_Sent</v>
      </c>
      <c r="Q63" s="39">
        <f t="shared" si="16"/>
        <v>1375.6779999999999</v>
      </c>
    </row>
    <row r="64" spans="2:17" s="41" customFormat="1">
      <c r="B64" s="37" t="s">
        <v>13</v>
      </c>
      <c r="C64" s="10">
        <f>(P3_MessagesReceived_Per_Mailbox_Per_Day*4186)/1000</f>
        <v>334.88</v>
      </c>
      <c r="D64" s="10">
        <f>(P3_Messages_Sent_Per_Mailbox_Per_Day)*((0.8652*P3_Avg_Msg_Size*1000)+5757.7)/1000</f>
        <v>980.35400000000004</v>
      </c>
      <c r="E64" s="9">
        <f>(1*P3_MessagesReceived_Per_Mailbox_Per_Day*10035)/1000</f>
        <v>802.8</v>
      </c>
      <c r="F64" s="10">
        <v>0</v>
      </c>
      <c r="G64" s="10">
        <f t="shared" si="12"/>
        <v>155.858</v>
      </c>
      <c r="H64" s="10">
        <f t="shared" si="13"/>
        <v>1009.662</v>
      </c>
      <c r="I64" s="9">
        <f>188589/1000*1</f>
        <v>188.589</v>
      </c>
      <c r="J64" s="13" t="s">
        <v>6</v>
      </c>
      <c r="K64" s="10">
        <f t="shared" si="14"/>
        <v>105.08799999999999</v>
      </c>
      <c r="L64" s="9">
        <f>(((0.8652*P3_Avg_Msg_Size*1000)+5757)*P3_MessagesReceived_Per_Mailbox_Per_Day*P3_Web_Client_Online_Mode_Item_Read*1)/1000</f>
        <v>4901.7</v>
      </c>
      <c r="M64" s="10">
        <v>0</v>
      </c>
      <c r="N64" s="43" t="str">
        <f>"P3_"&amp;Table3630[[#This Row],[Client Type]]&amp;"_Received"</f>
        <v>P3_Outlook 2007 (MAPI-Online)_Received</v>
      </c>
      <c r="O64" s="38">
        <f t="shared" si="15"/>
        <v>6539.9189999999999</v>
      </c>
      <c r="P64" s="45" t="str">
        <f>"P3_"&amp;Table3630[[#This Row],[Client Type]]&amp;"_Sent"</f>
        <v>P3_Outlook 2007 (MAPI-Online)_Sent</v>
      </c>
      <c r="Q64" s="39">
        <f t="shared" si="16"/>
        <v>1939.0119999999999</v>
      </c>
    </row>
    <row r="65" spans="2:17" s="41" customFormat="1">
      <c r="B65" s="37" t="s">
        <v>26</v>
      </c>
      <c r="C65" s="10">
        <f>(P3_MessagesReceived_Per_Mailbox_Per_Day)*((0.8639*P3_Avg_Msg_Size*1000)+2353.9)/1000</f>
        <v>3643.9119999999998</v>
      </c>
      <c r="D65" s="10">
        <f>(P3_Messages_Sent_Per_Mailbox_Per_Day)*((1.7266*P3_Avg_Msg_Size*1000)+7859.8)/1000</f>
        <v>1883.796</v>
      </c>
      <c r="E65" s="9">
        <f>(1*P3_MessagesReceived_Per_Mailbox_Per_Day*1500)/1000</f>
        <v>120</v>
      </c>
      <c r="F65" s="10">
        <f>IF(1&gt;0,OABSize*1000*(GAL_Changes_per_Day)+(((OST_Resync_Per_Month*1)/20)*OABSize*1000),0)</f>
        <v>525</v>
      </c>
      <c r="G65" s="10">
        <f>IF(Meeting_Availability_Protocol=$D$4,(P3_Average_Meetings_Per_Mailbox_Per_Day*2580+4702)/1000,0)</f>
        <v>0</v>
      </c>
      <c r="H65" s="10">
        <f>IF(Meeting_Availability_Protocol=$D$4,(P3_Average_Meetings_Per_Mailbox_Per_Day*2616+2913)/1000,0)</f>
        <v>0</v>
      </c>
      <c r="I65" s="9">
        <f>65*1</f>
        <v>65</v>
      </c>
      <c r="J65" s="13" t="s">
        <v>6</v>
      </c>
      <c r="K65" s="10">
        <f t="shared" si="14"/>
        <v>105.08799999999999</v>
      </c>
      <c r="L65" s="9">
        <v>0</v>
      </c>
      <c r="M65" s="9">
        <f>((OST_Resync_Per_Month*(P3_Avg_Mailbox_Size__GB*1000000))/20)*0.8639</f>
        <v>431.95</v>
      </c>
      <c r="N65" s="42" t="str">
        <f>"P3_"&amp;Table3630[[#This Row],[Client Type]]&amp;"_Received"</f>
        <v>P3_Outlook 2003 (OA-Cached)_Received</v>
      </c>
      <c r="O65" s="38">
        <f t="shared" si="15"/>
        <v>4770.95</v>
      </c>
      <c r="P65" s="45" t="str">
        <f>"P3_"&amp;Table3630[[#This Row],[Client Type]]&amp;"_Sent"</f>
        <v>P3_Outlook 2003 (OA-Cached)_Sent</v>
      </c>
      <c r="Q65" s="39">
        <f t="shared" si="16"/>
        <v>2003.796</v>
      </c>
    </row>
    <row r="66" spans="2:17" s="41" customFormat="1">
      <c r="B66" s="37" t="s">
        <v>27</v>
      </c>
      <c r="C66" s="10">
        <f>(P3_MessagesReceived_Per_Mailbox_Per_Day)*((0.8671*P3_Avg_Msg_Size*1000)+1830.8)/1000</f>
        <v>3614.864</v>
      </c>
      <c r="D66" s="10">
        <f>(P3_Messages_Sent_Per_Mailbox_Per_Day)*((1.7396*P3_Avg_Msg_Size*1000)+4311.6)/1000</f>
        <v>1825.8320000000001</v>
      </c>
      <c r="E66" s="9">
        <f>(1*P3_MessagesReceived_Per_Mailbox_Per_Day*1500)/1000</f>
        <v>120</v>
      </c>
      <c r="F66" s="10">
        <f>IF(1&gt;0,OABSize*1000*(GAL_Changes_per_Day)+(((OST_Resync_Per_Month*1)/20)*OABSize*1000),0)</f>
        <v>525</v>
      </c>
      <c r="G66" s="10">
        <f>IF(Meeting_Availability_Protocol=$D$4,(P3_Average_Meetings_Per_Mailbox_Per_Day*2580+4702)/1000,0)</f>
        <v>0</v>
      </c>
      <c r="H66" s="10">
        <f>IF(Meeting_Availability_Protocol=$D$4,(P3_Average_Meetings_Per_Mailbox_Per_Day*2616+2913)/1000,0)</f>
        <v>0</v>
      </c>
      <c r="I66" s="9">
        <f>65*1</f>
        <v>65</v>
      </c>
      <c r="J66" s="13" t="s">
        <v>6</v>
      </c>
      <c r="K66" s="10">
        <v>0</v>
      </c>
      <c r="L66" s="9">
        <v>0</v>
      </c>
      <c r="M66" s="9">
        <f>((OST_Resync_Per_Month*(P3_Avg_Mailbox_Size__GB*1000000))/20)*0.8671</f>
        <v>433.55</v>
      </c>
      <c r="N66" s="42" t="str">
        <f>"P3_"&amp;Table3630[[#This Row],[Client Type]]&amp;"_Received"</f>
        <v>P3_Outlook 2003 (MAPI-Cached)_Received</v>
      </c>
      <c r="O66" s="38">
        <f t="shared" si="15"/>
        <v>4638.4139999999998</v>
      </c>
      <c r="P66" s="45" t="str">
        <f>"P3_"&amp;Table3630[[#This Row],[Client Type]]&amp;"_Sent"</f>
        <v>P3_Outlook 2003 (MAPI-Cached)_Sent</v>
      </c>
      <c r="Q66" s="39">
        <f t="shared" si="16"/>
        <v>1945.8320000000001</v>
      </c>
    </row>
    <row r="67" spans="2:17" s="41" customFormat="1">
      <c r="B67" s="37" t="s">
        <v>28</v>
      </c>
      <c r="C67" s="10">
        <f>(P3_MessagesReceived_Per_Mailbox_Per_Day)*((0.0052*P3_Avg_Msg_Size*1000)+1149.2)/1000</f>
        <v>112.736</v>
      </c>
      <c r="D67" s="10">
        <f>(P3_Messages_Sent_Per_Mailbox_Per_Day)*((0.8763*P3_Avg_Msg_Size*1000)+3179.5)/1000</f>
        <v>939.89</v>
      </c>
      <c r="E67" s="9">
        <f>(1*P3_MessagesReceived_Per_Mailbox_Per_Day*9081)/1000</f>
        <v>726.48</v>
      </c>
      <c r="F67" s="10">
        <v>0</v>
      </c>
      <c r="G67" s="10">
        <f>IF(Meeting_Availability_Protocol=$D$4,(P3_Average_Meetings_Per_Mailbox_Per_Day*2580+4702)/1000,0)</f>
        <v>0</v>
      </c>
      <c r="H67" s="10">
        <f>IF(Meeting_Availability_Protocol=$D$4,(P3_Average_Meetings_Per_Mailbox_Per_Day*2616+2913)/1000,0)</f>
        <v>0</v>
      </c>
      <c r="I67" s="9">
        <f>188589/1000*1</f>
        <v>188.589</v>
      </c>
      <c r="J67" s="13" t="s">
        <v>6</v>
      </c>
      <c r="K67" s="10">
        <v>0</v>
      </c>
      <c r="L67" s="9">
        <f>(((0.8267*P3_Avg_Msg_Size*1000)+6461.6)*P3_MessagesReceived_Per_Mailbox_Per_Day*P3_Web_Client_Online_Mode_Item_Read*1)/1000</f>
        <v>4779.66</v>
      </c>
      <c r="M67" s="10">
        <v>0</v>
      </c>
      <c r="N67" s="43" t="str">
        <f>"P3_"&amp;Table3630[[#This Row],[Client Type]]&amp;"_Received"</f>
        <v>P3_Outlook 2003 (MAPI-Online)_Received</v>
      </c>
      <c r="O67" s="38">
        <f t="shared" si="15"/>
        <v>5080.9849999999997</v>
      </c>
      <c r="P67" s="45" t="str">
        <f>"P3_"&amp;Table3630[[#This Row],[Client Type]]&amp;"_Sent"</f>
        <v>P3_Outlook 2003 (MAPI-Online)_Sent</v>
      </c>
      <c r="Q67" s="39">
        <f t="shared" si="16"/>
        <v>1666.37</v>
      </c>
    </row>
    <row r="68" spans="2:17" s="41" customFormat="1">
      <c r="B68" s="37" t="s">
        <v>15</v>
      </c>
      <c r="C68" s="10">
        <f>(P3_MessagesReceived_Per_Mailbox_Per_Day)*((0.0129*P3_Avg_Msg_Size*1000)+3299.2)/1000</f>
        <v>315.536</v>
      </c>
      <c r="D68" s="10">
        <f>(P3_Messages_Sent_Per_Mailbox_Per_Day)*((1.2843*P3_Avg_Msg_Size*1000)+17931)/1000</f>
        <v>1642.92</v>
      </c>
      <c r="E68" s="9">
        <f>(1*P3_MessagesReceived_Per_Mailbox_Per_Day*13521)/1000</f>
        <v>1081.68</v>
      </c>
      <c r="F68" s="10">
        <v>0</v>
      </c>
      <c r="G68" s="10">
        <f>(P3_Average_Meetings_Per_Mailbox_Per_Day*23555)/1000</f>
        <v>47.11</v>
      </c>
      <c r="H68" s="10">
        <f>(P3_Average_Meetings_Per_Mailbox_Per_Day*59458)/1000</f>
        <v>118.916</v>
      </c>
      <c r="I68" s="9">
        <f>(105654/1000)*1</f>
        <v>105.654</v>
      </c>
      <c r="J68" s="13" t="s">
        <v>6</v>
      </c>
      <c r="K68" s="10">
        <v>0</v>
      </c>
      <c r="L68" s="9">
        <f>(((1.1*P3_Avg_Msg_Size*1000)+17828)*P3_MessagesReceived_Per_Mailbox_Per_Day*P3_Web_Client_Online_Mode_Item_Read*1)/1000</f>
        <v>7282.8</v>
      </c>
      <c r="M68" s="10">
        <v>0</v>
      </c>
      <c r="N68" s="43" t="str">
        <f>"P3_"&amp;Table3630[[#This Row],[Client Type]]&amp;"_Received"</f>
        <v>P3_OWA 2007_Received</v>
      </c>
      <c r="O68" s="38">
        <f t="shared" si="15"/>
        <v>7822.9059999999999</v>
      </c>
      <c r="P68" s="45" t="str">
        <f>"P3_"&amp;Table3630[[#This Row],[Client Type]]&amp;"_Sent"</f>
        <v>P3_OWA 2007_Sent</v>
      </c>
      <c r="Q68" s="39">
        <f t="shared" si="16"/>
        <v>2771.7100000000005</v>
      </c>
    </row>
    <row r="69" spans="2:17" s="41" customFormat="1">
      <c r="B69" s="37" t="s">
        <v>16</v>
      </c>
      <c r="C69" s="10">
        <f>(P3_MessagesReceived_Per_Mailbox_Per_Day)*((0.0073*P3_Avg_Msg_Size*1000)+8166)/1000</f>
        <v>682.48</v>
      </c>
      <c r="D69" s="10">
        <f>(P3_Messages_Sent_Per_Mailbox_Per_Day)*((1.524*P3_Avg_Msg_Size*1000)+4883.7)/1000</f>
        <v>1621.674</v>
      </c>
      <c r="E69" s="9">
        <f>(1*P3_MessagesReceived_Per_Mailbox_Per_Day*7184)/1000</f>
        <v>574.72</v>
      </c>
      <c r="F69" s="10">
        <v>0</v>
      </c>
      <c r="G69" s="10">
        <f>(P3_Average_Meetings_Per_Mailbox_Per_Day*23555)/1000</f>
        <v>47.11</v>
      </c>
      <c r="H69" s="10">
        <f>(P3_Average_Meetings_Per_Mailbox_Per_Day*59458)/1000</f>
        <v>118.916</v>
      </c>
      <c r="I69" s="9">
        <f>41*1</f>
        <v>41</v>
      </c>
      <c r="J69" s="13" t="s">
        <v>6</v>
      </c>
      <c r="K69" s="10">
        <v>0</v>
      </c>
      <c r="L69" s="9">
        <f>(((1.2644*P3_Avg_Msg_Size*1000)+648.81)*P3_MessagesReceived_Per_Mailbox_Per_Day*P3_Web_Client_Online_Mode_Item_Read*1)/1000</f>
        <v>6386.8810000000003</v>
      </c>
      <c r="M69" s="10">
        <v>0</v>
      </c>
      <c r="N69" s="43" t="str">
        <f>"P3_"&amp;Table3630[[#This Row],[Client Type]]&amp;"_Received"</f>
        <v>P3_OWA 2010_Received</v>
      </c>
      <c r="O69" s="38">
        <f t="shared" si="15"/>
        <v>7229.277000000001</v>
      </c>
      <c r="P69" s="45" t="str">
        <f>"P3_"&amp;Table3630[[#This Row],[Client Type]]&amp;"_Sent"</f>
        <v>P3_OWA 2010_Sent</v>
      </c>
      <c r="Q69" s="39">
        <f t="shared" si="16"/>
        <v>2243.5040000000004</v>
      </c>
    </row>
    <row r="70" spans="2:17" s="41" customFormat="1">
      <c r="B70" s="37" t="s">
        <v>29</v>
      </c>
      <c r="C70" s="10">
        <f>(P3_MessagesReceived_Per_Mailbox_Per_Day)*((0.0005*P3_Avg_Msg_Size*1000)+1761.3)/1000</f>
        <v>142.904</v>
      </c>
      <c r="D70" s="10">
        <f>(P3_Messages_Sent_Per_Mailbox_Per_Day*3853)/1000</f>
        <v>77.06</v>
      </c>
      <c r="E70" s="9">
        <f>(1*P3_MessagesReceived_Per_Mailbox_Per_Day*362)/1000</f>
        <v>28.96</v>
      </c>
      <c r="F70" s="10">
        <v>0</v>
      </c>
      <c r="G70" s="10">
        <v>0</v>
      </c>
      <c r="H70" s="10">
        <v>0</v>
      </c>
      <c r="I70" s="9">
        <f>65*1</f>
        <v>65</v>
      </c>
      <c r="J70" s="13" t="s">
        <v>6</v>
      </c>
      <c r="K70" s="10">
        <f>(10366)/1000</f>
        <v>10.366</v>
      </c>
      <c r="L70" s="9">
        <f>(((1.2355*P3_Avg_Msg_Size*1000)-5487.4)*P3_MessagesReceived_Per_Mailbox_Per_Day*P3_Mobile_Client_Attachment_Read*1)/1000</f>
        <v>900.60160000000008</v>
      </c>
      <c r="M70" s="10">
        <f>(C70*Mobile_Device_Days_to_Sync*Mobile_Device_Full_Syncs_Per_Month)/20</f>
        <v>0.107178</v>
      </c>
      <c r="N70" s="43" t="str">
        <f>"P3_"&amp;Table3630[[#This Row],[Client Type]]&amp;"_Received"</f>
        <v>P3_Windows Mobile 6.x_Received</v>
      </c>
      <c r="O70" s="38">
        <f t="shared" si="15"/>
        <v>1118.9787779999999</v>
      </c>
      <c r="P70" s="45" t="str">
        <f>"P3_"&amp;Table3630[[#This Row],[Client Type]]&amp;"_Sent"</f>
        <v>P3_Windows Mobile 6.x_Sent</v>
      </c>
      <c r="Q70" s="39">
        <f t="shared" si="16"/>
        <v>106.02000000000001</v>
      </c>
    </row>
    <row r="71" spans="2:17" s="41" customFormat="1">
      <c r="B71" s="37" t="s">
        <v>30</v>
      </c>
      <c r="C71" s="10">
        <f>(P3_MessagesReceived_Per_Mailbox_Per_Day)*((0.0031*P3_Avg_Msg_Size*1000)+1959.7)/1000</f>
        <v>169.17599999999999</v>
      </c>
      <c r="D71" s="10">
        <f>(P3_Messages_Sent_Per_Mailbox_Per_Day*4312)/1000</f>
        <v>86.24</v>
      </c>
      <c r="E71" s="9">
        <f>(1*P3_MessagesReceived_Per_Mailbox_Per_Day*320)/1000</f>
        <v>25.6</v>
      </c>
      <c r="F71" s="10">
        <v>0</v>
      </c>
      <c r="G71" s="10">
        <v>0</v>
      </c>
      <c r="H71" s="10">
        <v>0</v>
      </c>
      <c r="I71" s="9">
        <f>65*1</f>
        <v>65</v>
      </c>
      <c r="J71" s="13" t="s">
        <v>6</v>
      </c>
      <c r="K71" s="10">
        <f>(10366)/1000</f>
        <v>10.366</v>
      </c>
      <c r="L71" s="9">
        <f>(((0.9878*P3_Avg_Msg_Size*1000)-1073.6)*P3_MessagesReceived_Per_Mailbox_Per_Day*P3_Mobile_Client_Attachment_Read*1)/1000</f>
        <v>773.06240000000003</v>
      </c>
      <c r="M71" s="10">
        <f>(C71*Mobile_Device_Days_to_Sync*Mobile_Device_Full_Syncs_Per_Month)/20</f>
        <v>0.12688199999999999</v>
      </c>
      <c r="N71" s="43" t="str">
        <f>"P3_"&amp;Table3630[[#This Row],[Client Type]]&amp;"_Received"</f>
        <v>P3_Windows Phone 7.x_Received</v>
      </c>
      <c r="O71" s="38">
        <f t="shared" si="15"/>
        <v>1017.731282</v>
      </c>
      <c r="P71" s="45" t="str">
        <f>"P3_"&amp;Table3630[[#This Row],[Client Type]]&amp;"_Sent"</f>
        <v>P3_Windows Phone 7.x_Sent</v>
      </c>
      <c r="Q71" s="39">
        <f t="shared" si="16"/>
        <v>111.84</v>
      </c>
    </row>
    <row r="72" spans="2:17" s="41" customFormat="1">
      <c r="B72" s="37" t="s">
        <v>178</v>
      </c>
      <c r="C72" s="10">
        <f>(P3_MessagesReceived_Per_Mailbox_Per_Day)*((1.3134*P3_Avg_Msg_Size*1000)+32048)/1000</f>
        <v>7817.44</v>
      </c>
      <c r="D72" s="10">
        <f>(P3_Messages_Sent_Per_Mailbox_Per_Day)*((3.3516*P3_Avg_Msg_Size*1000)+37212)/1000</f>
        <v>4095.8399999999997</v>
      </c>
      <c r="E72" s="10">
        <f>(1*P3_MessagesReceived_Per_Mailbox_Per_Day*1500)/1000</f>
        <v>120</v>
      </c>
      <c r="F72" s="10">
        <f>IF(1&gt;0,OABSize*1000*(GAL_Changes_per_Day)+(((OST_Resync_Per_Month*1)/20)*OABSize*1000),0)</f>
        <v>525</v>
      </c>
      <c r="G72" s="10">
        <f>(((P3_Avg_Recipients_Per_Meeting*2576.2)+5941.6)/1000)*P3_Average_Meetings_Per_Mailbox_Per_Day</f>
        <v>27.340400000000002</v>
      </c>
      <c r="H72" s="10">
        <f>(((P3_Avg_Recipients_Per_Meeting*1759.8)+3903)/1000)*P3_Average_Meetings_Per_Mailbox_Per_Day</f>
        <v>18.364799999999999</v>
      </c>
      <c r="I72" s="10">
        <v>45</v>
      </c>
      <c r="J72" s="160"/>
      <c r="K72" s="10">
        <f>((1*Working_Day__Hours)*13136)/1000</f>
        <v>105.08799999999999</v>
      </c>
      <c r="L72" s="10">
        <v>0</v>
      </c>
      <c r="M72" s="69">
        <f>((OST_Resync_Per_Month*(P3_Avg_Mailbox_Size__GB*1000000))/20)*1.3134</f>
        <v>656.69999999999993</v>
      </c>
      <c r="N72" s="64" t="str">
        <f>"P3_"&amp;B72&amp;"_Received"</f>
        <v>P3_Outlook 2011 (EWS)_Received</v>
      </c>
      <c r="O72" s="38">
        <f t="shared" si="15"/>
        <v>9167.5927999999985</v>
      </c>
      <c r="P72" s="45" t="str">
        <f>"P3_"&amp;B72&amp;"_Sent"</f>
        <v>P3_Outlook 2011 (EWS)_Sent</v>
      </c>
      <c r="Q72" s="63">
        <f t="shared" si="16"/>
        <v>4243.1804000000002</v>
      </c>
    </row>
    <row r="73" spans="2:17" s="41" customFormat="1">
      <c r="B73" s="37"/>
      <c r="C73" s="10"/>
      <c r="D73" s="10"/>
      <c r="E73" s="9"/>
      <c r="F73" s="10"/>
      <c r="G73" s="10"/>
      <c r="H73" s="10"/>
      <c r="I73" s="9"/>
      <c r="J73" s="13"/>
      <c r="K73" s="10"/>
      <c r="L73" s="9"/>
      <c r="M73" s="10"/>
      <c r="N73" s="43"/>
      <c r="O73" s="38"/>
      <c r="P73" s="45"/>
      <c r="Q73" s="39"/>
    </row>
    <row r="74" spans="2:17" s="154" customFormat="1">
      <c r="B74" s="161"/>
      <c r="C74" s="162"/>
      <c r="D74" s="162"/>
      <c r="E74" s="163"/>
      <c r="F74" s="162"/>
      <c r="G74" s="162"/>
      <c r="H74" s="162"/>
      <c r="I74" s="163"/>
      <c r="J74" s="164"/>
      <c r="K74" s="162"/>
      <c r="L74" s="163"/>
      <c r="M74" s="162"/>
      <c r="N74" s="165"/>
      <c r="O74" s="166"/>
      <c r="P74" s="167"/>
      <c r="Q74" s="168"/>
    </row>
    <row r="75" spans="2:17" s="41" customFormat="1">
      <c r="N75" s="44"/>
      <c r="P75" s="44"/>
    </row>
    <row r="76" spans="2:17" s="41" customFormat="1">
      <c r="B76" s="337" t="s">
        <v>118</v>
      </c>
      <c r="C76" s="337"/>
      <c r="D76" s="337"/>
      <c r="E76" s="337"/>
      <c r="F76" s="337"/>
      <c r="G76" s="337"/>
      <c r="H76" s="337"/>
      <c r="I76" s="337"/>
      <c r="J76" s="337"/>
      <c r="K76" s="337"/>
      <c r="L76" s="337"/>
      <c r="M76" s="337"/>
      <c r="N76" s="337"/>
      <c r="O76" s="337"/>
      <c r="P76" s="337"/>
      <c r="Q76" s="337"/>
    </row>
    <row r="77" spans="2:17" s="41" customFormat="1">
      <c r="B77" s="326" t="s">
        <v>103</v>
      </c>
      <c r="C77" s="326"/>
      <c r="D77" s="326"/>
      <c r="E77" s="326"/>
      <c r="F77" s="326"/>
      <c r="G77" s="326"/>
      <c r="H77" s="326"/>
      <c r="I77" s="326"/>
      <c r="J77" s="326"/>
      <c r="K77" s="326"/>
      <c r="L77" s="326"/>
      <c r="M77" s="326"/>
      <c r="N77" s="338" t="s">
        <v>104</v>
      </c>
      <c r="O77" s="339"/>
      <c r="P77" s="339"/>
      <c r="Q77" s="339"/>
    </row>
    <row r="78" spans="2:17" s="41" customFormat="1" ht="60">
      <c r="B78" s="35" t="s">
        <v>3</v>
      </c>
      <c r="C78" s="36" t="s">
        <v>42</v>
      </c>
      <c r="D78" s="36" t="s">
        <v>43</v>
      </c>
      <c r="E78" s="36" t="s">
        <v>14</v>
      </c>
      <c r="F78" s="36" t="s">
        <v>17</v>
      </c>
      <c r="G78" s="36" t="s">
        <v>86</v>
      </c>
      <c r="H78" s="36" t="s">
        <v>87</v>
      </c>
      <c r="I78" s="36" t="s">
        <v>20</v>
      </c>
      <c r="J78" s="36" t="s">
        <v>23</v>
      </c>
      <c r="K78" s="36" t="s">
        <v>24</v>
      </c>
      <c r="L78" s="36" t="s">
        <v>18</v>
      </c>
      <c r="M78" s="36" t="s">
        <v>37</v>
      </c>
      <c r="N78" s="51" t="s">
        <v>119</v>
      </c>
      <c r="O78" s="52" t="s">
        <v>44</v>
      </c>
      <c r="P78" s="53" t="s">
        <v>119</v>
      </c>
      <c r="Q78" s="52" t="s">
        <v>45</v>
      </c>
    </row>
    <row r="79" spans="2:17" s="41" customFormat="1">
      <c r="B79" s="37" t="s">
        <v>9</v>
      </c>
      <c r="C79" s="9">
        <f>(P4_MessagesReceived_Per_Mailbox_Per_Day)*((0.8952*P4_Avg_Msg_Size*1000)+5925.6)/1000</f>
        <v>6082.2719999999999</v>
      </c>
      <c r="D79" s="9">
        <f>(P4_Messages_Sent_Per_Mailbox_Per_Day)*((0.8727*P4_Avg_Msg_Size*1000)+6399)/1000</f>
        <v>1501.0200000000002</v>
      </c>
      <c r="E79" s="9">
        <f>(1*P4_MessagesReceived_Per_Mailbox_Per_Day*1500)/1000</f>
        <v>180</v>
      </c>
      <c r="F79" s="10">
        <f>IF(1&gt;0,OABSize*1000*(GAL_Changes_per_Day)+(((OST_Resync_Per_Month*1)/20)*OABSize*1000),0)</f>
        <v>525</v>
      </c>
      <c r="G79" s="10">
        <f t="shared" ref="G79:G84" si="17">IF(Meeting_Availability_Protocol=$D$4,(P4_Average_Meetings_Per_Mailbox_Per_Day*2580+4702)/1000,((P4_Avg_Recipients_Per_Meeting*3515+67384)/1000)*P4_Average_Meetings_Per_Mailbox_Per_Day)</f>
        <v>233.78700000000001</v>
      </c>
      <c r="H79" s="10">
        <f t="shared" ref="H79:H84" si="18">IF(Meeting_Availability_Protocol=$D$4,(P4_Average_Meetings_Per_Mailbox_Per_Day*2616+2913)/1000,((P4_Avg_Recipients_Per_Meeting*50120+354471)/1000)*P4_Average_Meetings_Per_Mailbox_Per_Day)</f>
        <v>1514.4929999999999</v>
      </c>
      <c r="I79" s="9">
        <f>65*1</f>
        <v>65</v>
      </c>
      <c r="J79" s="13" t="s">
        <v>6</v>
      </c>
      <c r="K79" s="10">
        <f t="shared" ref="K79:K85" si="19">((1*Working_Day__Hours)*13136)/1000</f>
        <v>105.08799999999999</v>
      </c>
      <c r="L79" s="9">
        <v>0</v>
      </c>
      <c r="M79" s="9">
        <f>((OST_Resync_Per_Month*(P4_Avg_Mailbox_Size__GB*1000000))/20)*0.8952</f>
        <v>447.6</v>
      </c>
      <c r="N79" s="58" t="str">
        <f>"P4_"&amp;Table3632[[#This Row],[Client Type]]&amp;"_Received"</f>
        <v>P4_Outlook 2010 (OA-Cached)_Received</v>
      </c>
      <c r="O79" s="59">
        <f t="shared" ref="O79:O92" si="20">SUM(C79,F79,I79,K79,L79,M79,H79)</f>
        <v>8739.4529999999995</v>
      </c>
      <c r="P79" s="60" t="str">
        <f>"P4_"&amp;Table3632[[#This Row],[Client Type]]&amp;"_Sent"</f>
        <v>P4_Outlook 2010 (OA-Cached)_Sent</v>
      </c>
      <c r="Q79" s="61">
        <f t="shared" ref="Q79:Q92" si="21">SUM(D79,E79,G79)</f>
        <v>1914.8070000000002</v>
      </c>
    </row>
    <row r="80" spans="2:17" s="41" customFormat="1">
      <c r="B80" s="37" t="s">
        <v>10</v>
      </c>
      <c r="C80" s="10">
        <f>(P4_MessagesReceived_Per_Mailbox_Per_Day)*((0.8796*P4_Avg_Msg_Size*1000)+4359.9)/1000</f>
        <v>5800.7880000000014</v>
      </c>
      <c r="D80" s="10">
        <f>(P4_Messages_Sent_Per_Mailbox_Per_Day)*((0.8729*P4_Avg_Msg_Size*1000)+13935)/1000</f>
        <v>1727.4</v>
      </c>
      <c r="E80" s="9">
        <f>(1*P4_MessagesReceived_Per_Mailbox_Per_Day*1500)/1000</f>
        <v>180</v>
      </c>
      <c r="F80" s="10">
        <f>IF(1&gt;0,OABSize*1000*(GAL_Changes_per_Day)+(((OST_Resync_Per_Month*1)/20)*OABSize*1000),0)</f>
        <v>525</v>
      </c>
      <c r="G80" s="10">
        <f t="shared" si="17"/>
        <v>233.78700000000001</v>
      </c>
      <c r="H80" s="10">
        <f t="shared" si="18"/>
        <v>1514.4929999999999</v>
      </c>
      <c r="I80" s="9">
        <f>65*1</f>
        <v>65</v>
      </c>
      <c r="J80" s="13" t="s">
        <v>6</v>
      </c>
      <c r="K80" s="10">
        <f t="shared" si="19"/>
        <v>105.08799999999999</v>
      </c>
      <c r="L80" s="9">
        <v>0</v>
      </c>
      <c r="M80" s="9">
        <f>((OST_Resync_Per_Month*(P4_Avg_Mailbox_Size__GB*1000000))/20)*0.8796</f>
        <v>439.8</v>
      </c>
      <c r="N80" s="62" t="str">
        <f>"P4_"&amp;Table3632[[#This Row],[Client Type]]&amp;"_Received"</f>
        <v>P4_Outlook 2010 (MAPI-Cached)_Received</v>
      </c>
      <c r="O80" s="38">
        <f t="shared" si="20"/>
        <v>8450.1690000000017</v>
      </c>
      <c r="P80" s="45" t="str">
        <f>"P4_"&amp;Table3632[[#This Row],[Client Type]]&amp;"_Sent"</f>
        <v>P4_Outlook 2010 (MAPI-Cached)_Sent</v>
      </c>
      <c r="Q80" s="63">
        <f t="shared" si="21"/>
        <v>2141.1869999999999</v>
      </c>
    </row>
    <row r="81" spans="2:17" s="41" customFormat="1">
      <c r="B81" s="37" t="s">
        <v>8</v>
      </c>
      <c r="C81" s="10">
        <f>(P4_MessagesReceived_Per_Mailbox_Per_Day)*((0.0012*P4_Avg_Msg_Size*1000)+4297)/1000</f>
        <v>522.84</v>
      </c>
      <c r="D81" s="10">
        <f>(P4_Messages_Sent_Per_Mailbox_Per_Day)*((0.8624*P4_Avg_Msg_Size*1000)+8423.7)/1000</f>
        <v>1546.3110000000004</v>
      </c>
      <c r="E81" s="9">
        <f>(1*P4_MessagesReceived_Per_Mailbox_Per_Day*10035)/1000</f>
        <v>1204.2</v>
      </c>
      <c r="F81" s="10">
        <v>0</v>
      </c>
      <c r="G81" s="10">
        <f t="shared" si="17"/>
        <v>233.78700000000001</v>
      </c>
      <c r="H81" s="10">
        <f t="shared" si="18"/>
        <v>1514.4929999999999</v>
      </c>
      <c r="I81" s="9">
        <f>188589/1000*1</f>
        <v>188.589</v>
      </c>
      <c r="J81" s="13" t="s">
        <v>6</v>
      </c>
      <c r="K81" s="10">
        <f t="shared" si="19"/>
        <v>105.08799999999999</v>
      </c>
      <c r="L81" s="9">
        <f>(((0.9404*P4_Avg_Msg_Size*1000)+9194.2)*P4_MessagesReceived_Per_Mailbox_Per_Day*P4_Web_Client_Online_Mode_Item_Read*1)/1000</f>
        <v>8432.1299999999992</v>
      </c>
      <c r="M81" s="10">
        <v>0</v>
      </c>
      <c r="N81" s="64" t="str">
        <f>"P4_"&amp;Table3632[[#This Row],[Client Type]]&amp;"_Received"</f>
        <v>P4_Outlook 2010 (MAPI-Online)_Received</v>
      </c>
      <c r="O81" s="38">
        <f t="shared" si="20"/>
        <v>10763.14</v>
      </c>
      <c r="P81" s="45" t="str">
        <f>"P4_"&amp;Table3632[[#This Row],[Client Type]]&amp;"_Sent"</f>
        <v>P4_Outlook 2010 (MAPI-Online)_Sent</v>
      </c>
      <c r="Q81" s="63">
        <f t="shared" si="21"/>
        <v>2984.2980000000002</v>
      </c>
    </row>
    <row r="82" spans="2:17" s="41" customFormat="1">
      <c r="B82" s="37" t="s">
        <v>11</v>
      </c>
      <c r="C82" s="10">
        <f>(P4_MessagesReceived_Per_Mailbox_Per_Day)*((0.8966*P4_Avg_Msg_Size*1000)+5064)/1000</f>
        <v>5987.28</v>
      </c>
      <c r="D82" s="10">
        <f>(P4_Messages_Sent_Per_Mailbox_Per_Day)*((0.8884*P4_Avg_Msg_Size*1000)+12089)/1000</f>
        <v>1695.27</v>
      </c>
      <c r="E82" s="9">
        <f>(1*P4_MessagesReceived_Per_Mailbox_Per_Day*1500)/1000</f>
        <v>180</v>
      </c>
      <c r="F82" s="10">
        <f>IF(1&gt;0,OABSize*1000*(GAL_Changes_per_Day)+(((OST_Resync_Per_Month*1)/20)*OABSize*1000),0)</f>
        <v>525</v>
      </c>
      <c r="G82" s="10">
        <f t="shared" si="17"/>
        <v>233.78700000000001</v>
      </c>
      <c r="H82" s="10">
        <f t="shared" si="18"/>
        <v>1514.4929999999999</v>
      </c>
      <c r="I82" s="9">
        <f>65*1</f>
        <v>65</v>
      </c>
      <c r="J82" s="13" t="s">
        <v>6</v>
      </c>
      <c r="K82" s="10">
        <f t="shared" si="19"/>
        <v>105.08799999999999</v>
      </c>
      <c r="L82" s="9">
        <v>0</v>
      </c>
      <c r="M82" s="9">
        <f>((OST_Resync_Per_Month*(P4_Avg_Mailbox_Size__GB*1000000))/20)*0.8966</f>
        <v>448.29999999999995</v>
      </c>
      <c r="N82" s="62" t="str">
        <f>"P4_"&amp;Table3632[[#This Row],[Client Type]]&amp;"_Received"</f>
        <v>P4_Outlook 2007 (OA-Cached)_Received</v>
      </c>
      <c r="O82" s="38">
        <f t="shared" si="20"/>
        <v>8645.1610000000001</v>
      </c>
      <c r="P82" s="45" t="str">
        <f>"P4_"&amp;Table3632[[#This Row],[Client Type]]&amp;"_Sent"</f>
        <v>P4_Outlook 2007 (OA-Cached)_Sent</v>
      </c>
      <c r="Q82" s="63">
        <f t="shared" si="21"/>
        <v>2109.0569999999998</v>
      </c>
    </row>
    <row r="83" spans="2:17" s="41" customFormat="1">
      <c r="B83" s="37" t="s">
        <v>12</v>
      </c>
      <c r="C83" s="10">
        <f>(P4_MessagesReceived_Per_Mailbox_Per_Day)*((0.8791*P4_Avg_Msg_Size*1000)+4549.9)/1000</f>
        <v>5820.5879999999997</v>
      </c>
      <c r="D83" s="10">
        <f>(P4_Messages_Sent_Per_Mailbox_Per_Day)*((0.8518*P4_Avg_Msg_Size*1000)+12401)/1000</f>
        <v>1649.73</v>
      </c>
      <c r="E83" s="9">
        <f>(1*P4_MessagesReceived_Per_Mailbox_Per_Day*1500)/1000</f>
        <v>180</v>
      </c>
      <c r="F83" s="10">
        <f>IF(1&gt;0,OABSize*1000*(GAL_Changes_per_Day)+(((OST_Resync_Per_Month*1)/20)*OABSize*1000),0)</f>
        <v>525</v>
      </c>
      <c r="G83" s="10">
        <f t="shared" si="17"/>
        <v>233.78700000000001</v>
      </c>
      <c r="H83" s="10">
        <f t="shared" si="18"/>
        <v>1514.4929999999999</v>
      </c>
      <c r="I83" s="9">
        <f>65*1</f>
        <v>65</v>
      </c>
      <c r="J83" s="13" t="s">
        <v>6</v>
      </c>
      <c r="K83" s="10">
        <f t="shared" si="19"/>
        <v>105.08799999999999</v>
      </c>
      <c r="L83" s="9">
        <v>0</v>
      </c>
      <c r="M83" s="9">
        <f>((OST_Resync_Per_Month*(P4_Avg_Mailbox_Size__GB*1000000))/20)*0.8791</f>
        <v>439.55</v>
      </c>
      <c r="N83" s="62" t="str">
        <f>"P4_"&amp;Table3632[[#This Row],[Client Type]]&amp;"_Received"</f>
        <v>P4_Outlook 2007 (MAPI-Cached)_Received</v>
      </c>
      <c r="O83" s="38">
        <f t="shared" si="20"/>
        <v>8469.7189999999991</v>
      </c>
      <c r="P83" s="45" t="str">
        <f>"P4_"&amp;Table3632[[#This Row],[Client Type]]&amp;"_Sent"</f>
        <v>P4_Outlook 2007 (MAPI-Cached)_Sent</v>
      </c>
      <c r="Q83" s="63">
        <f t="shared" si="21"/>
        <v>2063.5169999999998</v>
      </c>
    </row>
    <row r="84" spans="2:17" s="41" customFormat="1">
      <c r="B84" s="37" t="s">
        <v>13</v>
      </c>
      <c r="C84" s="10">
        <f>(P4_MessagesReceived_Per_Mailbox_Per_Day*4186)/1000</f>
        <v>502.32</v>
      </c>
      <c r="D84" s="10">
        <f>(P4_Messages_Sent_Per_Mailbox_Per_Day)*((0.8652*P4_Avg_Msg_Size*1000)+5757.7)/1000</f>
        <v>1470.5309999999999</v>
      </c>
      <c r="E84" s="9">
        <f>(1*P4_MessagesReceived_Per_Mailbox_Per_Day*10035)/1000</f>
        <v>1204.2</v>
      </c>
      <c r="F84" s="10">
        <v>0</v>
      </c>
      <c r="G84" s="10">
        <f t="shared" si="17"/>
        <v>233.78700000000001</v>
      </c>
      <c r="H84" s="10">
        <f t="shared" si="18"/>
        <v>1514.4929999999999</v>
      </c>
      <c r="I84" s="9">
        <f>188589/1000*1</f>
        <v>188.589</v>
      </c>
      <c r="J84" s="13" t="s">
        <v>6</v>
      </c>
      <c r="K84" s="10">
        <f t="shared" si="19"/>
        <v>105.08799999999999</v>
      </c>
      <c r="L84" s="9">
        <f>(((0.8652*P4_Avg_Msg_Size*1000)+5757)*P4_MessagesReceived_Per_Mailbox_Per_Day*P4_Web_Client_Online_Mode_Item_Read*1)/1000</f>
        <v>7352.55</v>
      </c>
      <c r="M84" s="10">
        <v>0</v>
      </c>
      <c r="N84" s="64" t="str">
        <f>"P4_"&amp;Table3632[[#This Row],[Client Type]]&amp;"_Received"</f>
        <v>P4_Outlook 2007 (MAPI-Online)_Received</v>
      </c>
      <c r="O84" s="38">
        <f t="shared" si="20"/>
        <v>9663.0400000000009</v>
      </c>
      <c r="P84" s="45" t="str">
        <f>"P4_"&amp;Table3632[[#This Row],[Client Type]]&amp;"_Sent"</f>
        <v>P4_Outlook 2007 (MAPI-Online)_Sent</v>
      </c>
      <c r="Q84" s="63">
        <f t="shared" si="21"/>
        <v>2908.5179999999996</v>
      </c>
    </row>
    <row r="85" spans="2:17" s="41" customFormat="1">
      <c r="B85" s="37" t="s">
        <v>26</v>
      </c>
      <c r="C85" s="10">
        <f>(P4_MessagesReceived_Per_Mailbox_Per_Day)*((0.8639*P4_Avg_Msg_Size*1000)+2353.9)/1000</f>
        <v>5465.8680000000004</v>
      </c>
      <c r="D85" s="10">
        <f>(P4_Messages_Sent_Per_Mailbox_Per_Day)*((1.7266*P4_Avg_Msg_Size*1000)+7859.8)/1000</f>
        <v>2825.694</v>
      </c>
      <c r="E85" s="9">
        <f>(1*P4_MessagesReceived_Per_Mailbox_Per_Day*1500)/1000</f>
        <v>180</v>
      </c>
      <c r="F85" s="10">
        <f>IF(1&gt;0,OABSize*1000*(GAL_Changes_per_Day)+(((OST_Resync_Per_Month*1)/20)*OABSize*1000),0)</f>
        <v>525</v>
      </c>
      <c r="G85" s="10">
        <f>IF(Meeting_Availability_Protocol=$D$4,(P4_Average_Meetings_Per_Mailbox_Per_Day*2580+4702)/1000,0)</f>
        <v>0</v>
      </c>
      <c r="H85" s="10">
        <f>IF(Meeting_Availability_Protocol=$D$4,(P4_Average_Meetings_Per_Mailbox_Per_Day*2616+2913)/1000,0)</f>
        <v>0</v>
      </c>
      <c r="I85" s="9">
        <f>65*1</f>
        <v>65</v>
      </c>
      <c r="J85" s="13" t="s">
        <v>6</v>
      </c>
      <c r="K85" s="10">
        <f t="shared" si="19"/>
        <v>105.08799999999999</v>
      </c>
      <c r="L85" s="9">
        <v>0</v>
      </c>
      <c r="M85" s="9">
        <f>((OST_Resync_Per_Month*(P4_Avg_Mailbox_Size__GB*1000000))/20)*0.8639</f>
        <v>431.95</v>
      </c>
      <c r="N85" s="62" t="str">
        <f>"P4_"&amp;Table3632[[#This Row],[Client Type]]&amp;"_Received"</f>
        <v>P4_Outlook 2003 (OA-Cached)_Received</v>
      </c>
      <c r="O85" s="38">
        <f t="shared" si="20"/>
        <v>6592.9059999999999</v>
      </c>
      <c r="P85" s="45" t="str">
        <f>"P4_"&amp;Table3632[[#This Row],[Client Type]]&amp;"_Sent"</f>
        <v>P4_Outlook 2003 (OA-Cached)_Sent</v>
      </c>
      <c r="Q85" s="63">
        <f t="shared" si="21"/>
        <v>3005.694</v>
      </c>
    </row>
    <row r="86" spans="2:17" s="41" customFormat="1">
      <c r="B86" s="37" t="s">
        <v>27</v>
      </c>
      <c r="C86" s="10">
        <f>(P4_MessagesReceived_Per_Mailbox_Per_Day)*((0.8671*P4_Avg_Msg_Size*1000)+1830.8)/1000</f>
        <v>5422.2960000000003</v>
      </c>
      <c r="D86" s="10">
        <f>(P4_Messages_Sent_Per_Mailbox_Per_Day)*((1.7396*P4_Avg_Msg_Size*1000)+4311.6)/1000</f>
        <v>2738.748</v>
      </c>
      <c r="E86" s="9">
        <f>(1*P4_MessagesReceived_Per_Mailbox_Per_Day*1500)/1000</f>
        <v>180</v>
      </c>
      <c r="F86" s="10">
        <f>IF(1&gt;0,OABSize*1000*(GAL_Changes_per_Day)+(((OST_Resync_Per_Month*1)/20)*OABSize*1000),0)</f>
        <v>525</v>
      </c>
      <c r="G86" s="10">
        <f>IF(Meeting_Availability_Protocol=$D$4,(P4_Average_Meetings_Per_Mailbox_Per_Day*2580+4702)/1000,0)</f>
        <v>0</v>
      </c>
      <c r="H86" s="10">
        <f>IF(Meeting_Availability_Protocol=$D$4,(P4_Average_Meetings_Per_Mailbox_Per_Day*2616+2913)/1000,0)</f>
        <v>0</v>
      </c>
      <c r="I86" s="9">
        <f>65*1</f>
        <v>65</v>
      </c>
      <c r="J86" s="13" t="s">
        <v>6</v>
      </c>
      <c r="K86" s="10">
        <v>0</v>
      </c>
      <c r="L86" s="9">
        <v>0</v>
      </c>
      <c r="M86" s="9">
        <f>((OST_Resync_Per_Month*(P4_Avg_Mailbox_Size__GB*1000000))/20)*0.8671</f>
        <v>433.55</v>
      </c>
      <c r="N86" s="62" t="str">
        <f>"P4_"&amp;Table3632[[#This Row],[Client Type]]&amp;"_Received"</f>
        <v>P4_Outlook 2003 (MAPI-Cached)_Received</v>
      </c>
      <c r="O86" s="38">
        <f t="shared" si="20"/>
        <v>6445.8460000000005</v>
      </c>
      <c r="P86" s="45" t="str">
        <f>"P4_"&amp;Table3632[[#This Row],[Client Type]]&amp;"_Sent"</f>
        <v>P4_Outlook 2003 (MAPI-Cached)_Sent</v>
      </c>
      <c r="Q86" s="63">
        <f t="shared" si="21"/>
        <v>2918.748</v>
      </c>
    </row>
    <row r="87" spans="2:17" s="41" customFormat="1">
      <c r="B87" s="37" t="s">
        <v>28</v>
      </c>
      <c r="C87" s="10">
        <f>(P4_MessagesReceived_Per_Mailbox_Per_Day)*((0.0052*P4_Avg_Msg_Size*1000)+1149.2)/1000</f>
        <v>169.10400000000001</v>
      </c>
      <c r="D87" s="10">
        <f>(P4_Messages_Sent_Per_Mailbox_Per_Day)*((0.8763*P4_Avg_Msg_Size*1000)+3179.5)/1000</f>
        <v>1409.835</v>
      </c>
      <c r="E87" s="9">
        <f>(1*P4_MessagesReceived_Per_Mailbox_Per_Day*9081)/1000</f>
        <v>1089.72</v>
      </c>
      <c r="F87" s="10">
        <v>0</v>
      </c>
      <c r="G87" s="10">
        <f>IF(Meeting_Availability_Protocol=$D$4,(P4_Average_Meetings_Per_Mailbox_Per_Day*2580+4702)/1000,0)</f>
        <v>0</v>
      </c>
      <c r="H87" s="10">
        <f>IF(Meeting_Availability_Protocol=$D$4,(P4_Average_Meetings_Per_Mailbox_Per_Day*2616+2913)/1000,0)</f>
        <v>0</v>
      </c>
      <c r="I87" s="9">
        <f>188589/1000*1</f>
        <v>188.589</v>
      </c>
      <c r="J87" s="13" t="s">
        <v>6</v>
      </c>
      <c r="K87" s="10">
        <v>0</v>
      </c>
      <c r="L87" s="9">
        <f>(((0.8267*P4_Avg_Msg_Size*1000)+6461.6)*P4_MessagesReceived_Per_Mailbox_Per_Day*P4_Web_Client_Online_Mode_Item_Read*1)/1000</f>
        <v>7169.49</v>
      </c>
      <c r="M87" s="10">
        <v>0</v>
      </c>
      <c r="N87" s="64" t="str">
        <f>"P4_"&amp;Table3632[[#This Row],[Client Type]]&amp;"_Received"</f>
        <v>P4_Outlook 2003 (MAPI-Online)_Received</v>
      </c>
      <c r="O87" s="38">
        <f t="shared" si="20"/>
        <v>7527.183</v>
      </c>
      <c r="P87" s="45" t="str">
        <f>"P4_"&amp;Table3632[[#This Row],[Client Type]]&amp;"_Sent"</f>
        <v>P4_Outlook 2003 (MAPI-Online)_Sent</v>
      </c>
      <c r="Q87" s="63">
        <f t="shared" si="21"/>
        <v>2499.5550000000003</v>
      </c>
    </row>
    <row r="88" spans="2:17" s="41" customFormat="1">
      <c r="B88" s="37" t="s">
        <v>15</v>
      </c>
      <c r="C88" s="10">
        <f>(P4_MessagesReceived_Per_Mailbox_Per_Day)*((0.0129*P4_Avg_Msg_Size*1000)+3299.2)/1000</f>
        <v>473.30399999999997</v>
      </c>
      <c r="D88" s="10">
        <f>(P4_Messages_Sent_Per_Mailbox_Per_Day)*((1.2843*P4_Avg_Msg_Size*1000)+17931)/1000</f>
        <v>2464.38</v>
      </c>
      <c r="E88" s="9">
        <f>(1*P4_MessagesReceived_Per_Mailbox_Per_Day*13521)/1000</f>
        <v>1622.52</v>
      </c>
      <c r="F88" s="10">
        <v>0</v>
      </c>
      <c r="G88" s="10">
        <f>(P4_Average_Meetings_Per_Mailbox_Per_Day*23555)/1000</f>
        <v>70.665000000000006</v>
      </c>
      <c r="H88" s="10">
        <f>(P4_Average_Meetings_Per_Mailbox_Per_Day*59458)/1000</f>
        <v>178.374</v>
      </c>
      <c r="I88" s="9">
        <f>(105654/1000)*1</f>
        <v>105.654</v>
      </c>
      <c r="J88" s="13" t="s">
        <v>6</v>
      </c>
      <c r="K88" s="10">
        <v>0</v>
      </c>
      <c r="L88" s="9">
        <f>(((1.1*P4_Avg_Msg_Size*1000)+17828)*P4_MessagesReceived_Per_Mailbox_Per_Day*P4_Web_Client_Online_Mode_Item_Read*1)/1000</f>
        <v>10924.2</v>
      </c>
      <c r="M88" s="10">
        <v>0</v>
      </c>
      <c r="N88" s="64" t="str">
        <f>"P4_"&amp;Table3632[[#This Row],[Client Type]]&amp;"_Received"</f>
        <v>P4_OWA 2007_Received</v>
      </c>
      <c r="O88" s="38">
        <f t="shared" si="20"/>
        <v>11681.532000000001</v>
      </c>
      <c r="P88" s="45" t="str">
        <f>"P4_"&amp;Table3632[[#This Row],[Client Type]]&amp;"_Sent"</f>
        <v>P4_OWA 2007_Sent</v>
      </c>
      <c r="Q88" s="63">
        <f t="shared" si="21"/>
        <v>4157.5650000000005</v>
      </c>
    </row>
    <row r="89" spans="2:17" s="41" customFormat="1">
      <c r="B89" s="37" t="s">
        <v>16</v>
      </c>
      <c r="C89" s="10">
        <f>(P4_MessagesReceived_Per_Mailbox_Per_Day)*((0.0073*P4_Avg_Msg_Size*1000)+8166)/1000</f>
        <v>1023.72</v>
      </c>
      <c r="D89" s="10">
        <f>(P4_Messages_Sent_Per_Mailbox_Per_Day)*((1.524*P4_Avg_Msg_Size*1000)+4883.7)/1000</f>
        <v>2432.511</v>
      </c>
      <c r="E89" s="9">
        <f>(1*P4_MessagesReceived_Per_Mailbox_Per_Day*7184)/1000</f>
        <v>862.08</v>
      </c>
      <c r="F89" s="10">
        <v>0</v>
      </c>
      <c r="G89" s="10">
        <f>(P4_Average_Meetings_Per_Mailbox_Per_Day*23555)/1000</f>
        <v>70.665000000000006</v>
      </c>
      <c r="H89" s="10">
        <f>(P4_Average_Meetings_Per_Mailbox_Per_Day*59458)/1000</f>
        <v>178.374</v>
      </c>
      <c r="I89" s="9">
        <f>41*1</f>
        <v>41</v>
      </c>
      <c r="J89" s="13" t="s">
        <v>6</v>
      </c>
      <c r="K89" s="10">
        <v>0</v>
      </c>
      <c r="L89" s="9">
        <f>(((1.2644*P4_Avg_Msg_Size*1000)+648.81)*P4_MessagesReceived_Per_Mailbox_Per_Day*P4_Web_Client_Online_Mode_Item_Read*1)/1000</f>
        <v>9580.3215</v>
      </c>
      <c r="M89" s="10">
        <v>0</v>
      </c>
      <c r="N89" s="64" t="str">
        <f>"P4_"&amp;Table3632[[#This Row],[Client Type]]&amp;"_Received"</f>
        <v>P4_OWA 2010_Received</v>
      </c>
      <c r="O89" s="38">
        <f t="shared" si="20"/>
        <v>10823.415499999999</v>
      </c>
      <c r="P89" s="45" t="str">
        <f>"P4_"&amp;Table3632[[#This Row],[Client Type]]&amp;"_Sent"</f>
        <v>P4_OWA 2010_Sent</v>
      </c>
      <c r="Q89" s="63">
        <f t="shared" si="21"/>
        <v>3365.2559999999999</v>
      </c>
    </row>
    <row r="90" spans="2:17" s="41" customFormat="1">
      <c r="B90" s="37" t="s">
        <v>29</v>
      </c>
      <c r="C90" s="10">
        <f>(P4_MessagesReceived_Per_Mailbox_Per_Day)*((0.0005*P4_Avg_Msg_Size*1000)+1761.3)/1000</f>
        <v>214.35599999999999</v>
      </c>
      <c r="D90" s="10">
        <f>(P4_Messages_Sent_Per_Mailbox_Per_Day*3853)/1000</f>
        <v>115.59</v>
      </c>
      <c r="E90" s="9">
        <f>(1*P4_MessagesReceived_Per_Mailbox_Per_Day*362)/1000</f>
        <v>43.44</v>
      </c>
      <c r="F90" s="10">
        <v>0</v>
      </c>
      <c r="G90" s="10">
        <v>0</v>
      </c>
      <c r="H90" s="10">
        <v>0</v>
      </c>
      <c r="I90" s="9">
        <f>65*1</f>
        <v>65</v>
      </c>
      <c r="J90" s="13" t="s">
        <v>6</v>
      </c>
      <c r="K90" s="10">
        <f>(10366)/1000</f>
        <v>10.366</v>
      </c>
      <c r="L90" s="9">
        <f>(((1.2355*P4_Avg_Msg_Size*1000)-5487.4)*P4_MessagesReceived_Per_Mailbox_Per_Day*P4_Mobile_Client_Attachment_Read*1)/1000</f>
        <v>1350.9024000000004</v>
      </c>
      <c r="M90" s="10">
        <f>(C90*Mobile_Device_Days_to_Sync*Mobile_Device_Full_Syncs_Per_Month)/20</f>
        <v>0.16076699999999999</v>
      </c>
      <c r="N90" s="64" t="str">
        <f>"P4_"&amp;Table3632[[#This Row],[Client Type]]&amp;"_Received"</f>
        <v>P4_Windows Mobile 6.x_Received</v>
      </c>
      <c r="O90" s="38">
        <f t="shared" si="20"/>
        <v>1640.7851670000005</v>
      </c>
      <c r="P90" s="45" t="str">
        <f>"P4_"&amp;Table3632[[#This Row],[Client Type]]&amp;"_Sent"</f>
        <v>P4_Windows Mobile 6.x_Sent</v>
      </c>
      <c r="Q90" s="63">
        <f t="shared" si="21"/>
        <v>159.03</v>
      </c>
    </row>
    <row r="91" spans="2:17" s="41" customFormat="1">
      <c r="B91" s="37" t="s">
        <v>30</v>
      </c>
      <c r="C91" s="10">
        <f>(P4_MessagesReceived_Per_Mailbox_Per_Day)*((0.0031*P4_Avg_Msg_Size*1000)+1959.7)/1000</f>
        <v>253.76399999999998</v>
      </c>
      <c r="D91" s="10">
        <f>(P4_Messages_Sent_Per_Mailbox_Per_Day*4312)/1000</f>
        <v>129.36000000000001</v>
      </c>
      <c r="E91" s="9">
        <f>(1*P4_MessagesReceived_Per_Mailbox_Per_Day*320)/1000</f>
        <v>38.4</v>
      </c>
      <c r="F91" s="10">
        <v>0</v>
      </c>
      <c r="G91" s="10">
        <v>0</v>
      </c>
      <c r="H91" s="10">
        <v>0</v>
      </c>
      <c r="I91" s="9">
        <f>65*1</f>
        <v>65</v>
      </c>
      <c r="J91" s="13" t="s">
        <v>6</v>
      </c>
      <c r="K91" s="10">
        <f>(10366)/1000</f>
        <v>10.366</v>
      </c>
      <c r="L91" s="9">
        <f>(((0.9878*P4_Avg_Msg_Size*1000)-1073.6)*P4_MessagesReceived_Per_Mailbox_Per_Day*P4_Mobile_Client_Attachment_Read*1)/1000</f>
        <v>1159.5936000000002</v>
      </c>
      <c r="M91" s="10">
        <f>(C91*Mobile_Device_Days_to_Sync*Mobile_Device_Full_Syncs_Per_Month)/20</f>
        <v>0.19032299999999996</v>
      </c>
      <c r="N91" s="64" t="str">
        <f>"P4_"&amp;Table3632[[#This Row],[Client Type]]&amp;"_Received"</f>
        <v>P4_Windows Phone 7.x_Received</v>
      </c>
      <c r="O91" s="38">
        <f t="shared" si="20"/>
        <v>1488.9139230000003</v>
      </c>
      <c r="P91" s="45" t="str">
        <f>"P4_"&amp;Table3632[[#This Row],[Client Type]]&amp;"_Sent"</f>
        <v>P4_Windows Phone 7.x_Sent</v>
      </c>
      <c r="Q91" s="63">
        <f t="shared" si="21"/>
        <v>167.76000000000002</v>
      </c>
    </row>
    <row r="92" spans="2:17" s="41" customFormat="1">
      <c r="B92" s="37" t="s">
        <v>178</v>
      </c>
      <c r="C92" s="10">
        <f>(P4_MessagesReceived_Per_Mailbox_Per_Day)*((1.3134*P4_Avg_Msg_Size*1000)+32048)/1000</f>
        <v>11726.16</v>
      </c>
      <c r="D92" s="10">
        <f>(P4_Messages_Sent_Per_Mailbox_Per_Day)*((3.3516*P4_Avg_Msg_Size*1000)+37212)/1000</f>
        <v>6143.7599999999993</v>
      </c>
      <c r="E92" s="10">
        <f>(1*P4_MessagesReceived_Per_Mailbox_Per_Day*1500)/1000</f>
        <v>180</v>
      </c>
      <c r="F92" s="10">
        <f>IF(1&gt;0,OABSize*1000*(GAL_Changes_per_Day)+(((OST_Resync_Per_Month*1)/20)*OABSize*1000),0)</f>
        <v>525</v>
      </c>
      <c r="G92" s="10">
        <f>(((P4_Avg_Recipients_Per_Meeting*2576.2)+5941.6)/1000)*P4_Average_Meetings_Per_Mailbox_Per_Day</f>
        <v>41.010600000000004</v>
      </c>
      <c r="H92" s="10">
        <f>(((P4_Avg_Recipients_Per_Meeting*1759.8)+3903)/1000)*P4_Average_Meetings_Per_Mailbox_Per_Day</f>
        <v>27.547199999999997</v>
      </c>
      <c r="I92" s="10">
        <v>45</v>
      </c>
      <c r="J92" s="160"/>
      <c r="K92" s="10">
        <f>((1*Working_Day__Hours)*13136)/1000</f>
        <v>105.08799999999999</v>
      </c>
      <c r="L92" s="10">
        <v>0</v>
      </c>
      <c r="M92" s="69">
        <f>((OST_Resync_Per_Month*(P4_Avg_Mailbox_Size__GB*1000000))/20)*1.3134</f>
        <v>656.69999999999993</v>
      </c>
      <c r="N92" s="64" t="str">
        <f>"P4_"&amp;B92&amp;"_Received"</f>
        <v>P4_Outlook 2011 (EWS)_Received</v>
      </c>
      <c r="O92" s="38">
        <f t="shared" si="20"/>
        <v>13085.495200000001</v>
      </c>
      <c r="P92" s="45" t="str">
        <f>"P4_"&amp;B92&amp;"_Sent"</f>
        <v>P4_Outlook 2011 (EWS)_Sent</v>
      </c>
      <c r="Q92" s="63">
        <f t="shared" si="21"/>
        <v>6364.7705999999989</v>
      </c>
    </row>
    <row r="93" spans="2:17" s="41" customFormat="1">
      <c r="B93" s="37"/>
      <c r="C93" s="10"/>
      <c r="D93" s="10"/>
      <c r="E93" s="9"/>
      <c r="F93" s="10"/>
      <c r="G93" s="10"/>
      <c r="H93" s="10"/>
      <c r="I93" s="9"/>
      <c r="J93" s="13"/>
      <c r="K93" s="10"/>
      <c r="L93" s="9"/>
      <c r="M93" s="10"/>
      <c r="N93" s="65"/>
      <c r="O93" s="66"/>
      <c r="P93" s="46"/>
      <c r="Q93" s="67"/>
    </row>
    <row r="94" spans="2:17" s="154" customFormat="1">
      <c r="B94" s="161"/>
      <c r="C94" s="162"/>
      <c r="D94" s="162"/>
      <c r="E94" s="163"/>
      <c r="F94" s="162"/>
      <c r="G94" s="162"/>
      <c r="H94" s="162"/>
      <c r="I94" s="163"/>
      <c r="J94" s="164"/>
      <c r="K94" s="162"/>
      <c r="L94" s="163"/>
      <c r="M94" s="162"/>
      <c r="N94" s="165"/>
      <c r="O94" s="166"/>
      <c r="P94" s="167"/>
      <c r="Q94" s="168"/>
    </row>
    <row r="95" spans="2:17" s="41" customFormat="1">
      <c r="N95" s="44"/>
      <c r="P95" s="44"/>
    </row>
    <row r="96" spans="2:17">
      <c r="D96" s="154"/>
      <c r="E96" s="154"/>
      <c r="F96" s="154"/>
    </row>
    <row r="97" spans="2:6">
      <c r="B97" s="285" t="s">
        <v>125</v>
      </c>
      <c r="C97" s="285"/>
      <c r="D97" s="154"/>
      <c r="E97" s="154"/>
      <c r="F97" s="154"/>
    </row>
    <row r="98" spans="2:6">
      <c r="B98" s="27" t="s">
        <v>99</v>
      </c>
      <c r="C98" s="25" t="s">
        <v>94</v>
      </c>
    </row>
    <row r="99" spans="2:6">
      <c r="B99" t="s">
        <v>96</v>
      </c>
      <c r="C99" s="29">
        <f>P1_Avg_Mailbox_Size__GB</f>
        <v>2</v>
      </c>
    </row>
    <row r="100" spans="2:6">
      <c r="B100" t="s">
        <v>97</v>
      </c>
      <c r="C100" s="30">
        <f>Working_Day__Hours</f>
        <v>8</v>
      </c>
    </row>
    <row r="101" spans="2:6">
      <c r="B101" t="s">
        <v>98</v>
      </c>
      <c r="C101" s="31">
        <f>IF(P1_Ensure_OST_download_in_1_Working_Day="Yes",(C99*1024*8)/(C100*3600),"0")</f>
        <v>0.56888888888888889</v>
      </c>
    </row>
    <row r="102" spans="2:6">
      <c r="E102" s="28"/>
    </row>
    <row r="103" spans="2:6">
      <c r="B103" s="285" t="s">
        <v>126</v>
      </c>
      <c r="C103" s="285"/>
    </row>
    <row r="104" spans="2:6">
      <c r="B104" s="41" t="s">
        <v>99</v>
      </c>
      <c r="C104" s="25" t="s">
        <v>94</v>
      </c>
    </row>
    <row r="105" spans="2:6">
      <c r="B105" s="41" t="s">
        <v>96</v>
      </c>
      <c r="C105" s="29">
        <f>P2_Avg_Mailbox_Size__GB</f>
        <v>2</v>
      </c>
    </row>
    <row r="106" spans="2:6">
      <c r="B106" s="41" t="s">
        <v>97</v>
      </c>
      <c r="C106" s="30">
        <f>Working_Day__Hours</f>
        <v>8</v>
      </c>
    </row>
    <row r="107" spans="2:6">
      <c r="B107" s="41" t="s">
        <v>98</v>
      </c>
      <c r="C107" s="31">
        <f>IF(P2_Ensure_OST_download_in_1_Working_Day="Yes",(C105*1024*8)/(C106*3600),"0")</f>
        <v>0.56888888888888889</v>
      </c>
    </row>
    <row r="109" spans="2:6">
      <c r="B109" s="285" t="s">
        <v>127</v>
      </c>
      <c r="C109" s="285"/>
    </row>
    <row r="110" spans="2:6">
      <c r="B110" s="41" t="s">
        <v>99</v>
      </c>
      <c r="C110" s="25" t="s">
        <v>94</v>
      </c>
    </row>
    <row r="111" spans="2:6">
      <c r="B111" s="41" t="s">
        <v>96</v>
      </c>
      <c r="C111" s="29">
        <f>P3_Avg_Mailbox_Size__GB</f>
        <v>2</v>
      </c>
    </row>
    <row r="112" spans="2:6">
      <c r="B112" s="41" t="s">
        <v>97</v>
      </c>
      <c r="C112" s="30">
        <f>Working_Day__Hours</f>
        <v>8</v>
      </c>
    </row>
    <row r="113" spans="2:3">
      <c r="B113" s="41" t="s">
        <v>98</v>
      </c>
      <c r="C113" s="31">
        <f>IF(P3_Ensure_OST_download_in_1_Working_Day="Yes",(C111*1024*8)/(C112*3600),"0")</f>
        <v>0.56888888888888889</v>
      </c>
    </row>
    <row r="115" spans="2:3">
      <c r="B115" s="285" t="s">
        <v>128</v>
      </c>
      <c r="C115" s="285"/>
    </row>
    <row r="116" spans="2:3">
      <c r="B116" s="41" t="s">
        <v>99</v>
      </c>
      <c r="C116" s="25" t="s">
        <v>94</v>
      </c>
    </row>
    <row r="117" spans="2:3">
      <c r="B117" s="41" t="s">
        <v>96</v>
      </c>
      <c r="C117" s="29">
        <f>P4_Avg_Mailbox_Size__GB</f>
        <v>2</v>
      </c>
    </row>
    <row r="118" spans="2:3">
      <c r="B118" s="41" t="s">
        <v>97</v>
      </c>
      <c r="C118" s="30">
        <f>Working_Day__Hours</f>
        <v>8</v>
      </c>
    </row>
    <row r="119" spans="2:3">
      <c r="B119" s="41" t="s">
        <v>98</v>
      </c>
      <c r="C119" s="31">
        <f>IF(P4_Ensure_OST_download_in_1_Working_Day="Yes",(C117*1024*8)/(C118*3600),"0")</f>
        <v>0.56888888888888889</v>
      </c>
    </row>
    <row r="122" spans="2:3">
      <c r="B122" t="s">
        <v>276</v>
      </c>
      <c r="C122" t="s">
        <v>330</v>
      </c>
    </row>
    <row r="123" spans="2:3">
      <c r="B123" s="176" t="s">
        <v>315</v>
      </c>
      <c r="C123">
        <v>13</v>
      </c>
    </row>
    <row r="124" spans="2:3">
      <c r="B124" s="176" t="s">
        <v>316</v>
      </c>
      <c r="C124">
        <v>12</v>
      </c>
    </row>
    <row r="125" spans="2:3">
      <c r="B125" s="176" t="s">
        <v>317</v>
      </c>
      <c r="C125">
        <v>11</v>
      </c>
    </row>
    <row r="126" spans="2:3">
      <c r="B126" s="176" t="s">
        <v>307</v>
      </c>
      <c r="C126" s="176">
        <v>10</v>
      </c>
    </row>
    <row r="127" spans="2:3">
      <c r="B127" s="176" t="s">
        <v>308</v>
      </c>
      <c r="C127" s="176">
        <v>9</v>
      </c>
    </row>
    <row r="128" spans="2:3">
      <c r="B128" s="176" t="s">
        <v>309</v>
      </c>
      <c r="C128" s="176">
        <v>8</v>
      </c>
    </row>
    <row r="129" spans="2:3">
      <c r="B129" s="176" t="s">
        <v>310</v>
      </c>
      <c r="C129" s="176">
        <v>7</v>
      </c>
    </row>
    <row r="130" spans="2:3">
      <c r="B130" s="176" t="s">
        <v>311</v>
      </c>
      <c r="C130" s="176">
        <v>6</v>
      </c>
    </row>
    <row r="131" spans="2:3">
      <c r="B131" s="176" t="s">
        <v>312</v>
      </c>
      <c r="C131" s="176">
        <v>5</v>
      </c>
    </row>
    <row r="132" spans="2:3">
      <c r="B132" s="176" t="s">
        <v>313</v>
      </c>
      <c r="C132" s="176">
        <v>4</v>
      </c>
    </row>
    <row r="133" spans="2:3">
      <c r="B133" s="176" t="s">
        <v>314</v>
      </c>
      <c r="C133" s="176">
        <v>3</v>
      </c>
    </row>
    <row r="134" spans="2:3">
      <c r="B134" t="s">
        <v>306</v>
      </c>
      <c r="C134" s="176">
        <v>2</v>
      </c>
    </row>
    <row r="135" spans="2:3">
      <c r="B135" t="s">
        <v>305</v>
      </c>
      <c r="C135" s="176">
        <v>1</v>
      </c>
    </row>
    <row r="136" spans="2:3">
      <c r="B136" t="s">
        <v>303</v>
      </c>
      <c r="C136" s="176">
        <v>0</v>
      </c>
    </row>
    <row r="137" spans="2:3">
      <c r="B137" t="s">
        <v>304</v>
      </c>
      <c r="C137" s="176">
        <v>-1</v>
      </c>
    </row>
    <row r="138" spans="2:3">
      <c r="B138" s="176" t="s">
        <v>318</v>
      </c>
      <c r="C138" s="176">
        <v>-2</v>
      </c>
    </row>
    <row r="139" spans="2:3">
      <c r="B139" s="176" t="s">
        <v>319</v>
      </c>
      <c r="C139" s="176">
        <v>-3</v>
      </c>
    </row>
    <row r="140" spans="2:3">
      <c r="B140" s="176" t="s">
        <v>320</v>
      </c>
      <c r="C140" s="176">
        <v>-4</v>
      </c>
    </row>
    <row r="141" spans="2:3">
      <c r="B141" s="176" t="s">
        <v>321</v>
      </c>
      <c r="C141" s="176">
        <v>-5</v>
      </c>
    </row>
    <row r="142" spans="2:3">
      <c r="B142" s="176" t="s">
        <v>322</v>
      </c>
      <c r="C142" s="176">
        <v>-6</v>
      </c>
    </row>
    <row r="143" spans="2:3">
      <c r="B143" s="176" t="s">
        <v>323</v>
      </c>
      <c r="C143" s="176">
        <v>-7</v>
      </c>
    </row>
    <row r="144" spans="2:3">
      <c r="B144" s="176" t="s">
        <v>324</v>
      </c>
      <c r="C144" s="176">
        <v>-8</v>
      </c>
    </row>
    <row r="145" spans="2:6">
      <c r="B145" s="176" t="s">
        <v>325</v>
      </c>
      <c r="C145" s="176">
        <v>-9</v>
      </c>
    </row>
    <row r="146" spans="2:6">
      <c r="B146" s="176" t="s">
        <v>326</v>
      </c>
      <c r="C146" s="176">
        <v>-10</v>
      </c>
    </row>
    <row r="147" spans="2:6">
      <c r="B147" s="176" t="s">
        <v>327</v>
      </c>
      <c r="C147" s="176">
        <v>-11</v>
      </c>
    </row>
    <row r="148" spans="2:6">
      <c r="B148" s="176" t="s">
        <v>328</v>
      </c>
      <c r="C148" s="176">
        <v>-12</v>
      </c>
    </row>
    <row r="149" spans="2:6">
      <c r="B149" s="176" t="s">
        <v>329</v>
      </c>
      <c r="C149" s="176">
        <v>-13</v>
      </c>
    </row>
    <row r="152" spans="2:6">
      <c r="E152" s="5"/>
      <c r="F152" s="5"/>
    </row>
    <row r="153" spans="2:6">
      <c r="E153" s="5"/>
      <c r="F153" s="5"/>
    </row>
    <row r="154" spans="2:6">
      <c r="E154" s="5"/>
      <c r="F154" s="5"/>
    </row>
    <row r="155" spans="2:6">
      <c r="E155" s="5"/>
      <c r="F155" s="5"/>
    </row>
  </sheetData>
  <mergeCells count="17">
    <mergeCell ref="B103:C103"/>
    <mergeCell ref="B109:C109"/>
    <mergeCell ref="B115:C115"/>
    <mergeCell ref="N17:Q17"/>
    <mergeCell ref="B16:Q16"/>
    <mergeCell ref="B36:Q36"/>
    <mergeCell ref="N37:Q37"/>
    <mergeCell ref="B56:Q56"/>
    <mergeCell ref="N57:Q57"/>
    <mergeCell ref="B76:Q76"/>
    <mergeCell ref="N77:Q77"/>
    <mergeCell ref="F3:L9"/>
    <mergeCell ref="B97:C97"/>
    <mergeCell ref="B17:M17"/>
    <mergeCell ref="B37:M37"/>
    <mergeCell ref="B57:M57"/>
    <mergeCell ref="B77:M77"/>
  </mergeCells>
  <pageMargins left="0.7" right="0.7" top="0.75" bottom="0.75" header="0.3" footer="0.3"/>
  <pageSetup orientation="portrait"/>
  <ignoredErrors>
    <ignoredError sqref="M21 I29 M24 M27:M29" calculatedColumn="1"/>
  </ignoredErrors>
  <legacyDrawing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B2:E31"/>
  <sheetViews>
    <sheetView showGridLines="0" workbookViewId="0">
      <selection activeCell="D32" sqref="D32"/>
    </sheetView>
  </sheetViews>
  <sheetFormatPr defaultColWidth="8.85546875" defaultRowHeight="15"/>
  <cols>
    <col min="2" max="2" width="14.85546875" style="25" customWidth="1"/>
    <col min="3" max="3" width="16.28515625" customWidth="1"/>
    <col min="4" max="4" width="18.28515625" customWidth="1"/>
    <col min="5" max="5" width="80.5703125" customWidth="1"/>
  </cols>
  <sheetData>
    <row r="2" spans="2:5">
      <c r="B2" s="340" t="s">
        <v>72</v>
      </c>
      <c r="C2" s="341"/>
      <c r="D2" s="341"/>
      <c r="E2" s="342"/>
    </row>
    <row r="3" spans="2:5">
      <c r="B3" s="32" t="s">
        <v>74</v>
      </c>
      <c r="C3" s="33" t="s">
        <v>75</v>
      </c>
      <c r="D3" s="33" t="s">
        <v>76</v>
      </c>
      <c r="E3" s="22" t="s">
        <v>77</v>
      </c>
    </row>
    <row r="4" spans="2:5">
      <c r="B4" s="206">
        <v>40661</v>
      </c>
      <c r="C4" s="215" t="s">
        <v>38</v>
      </c>
      <c r="D4" s="207">
        <v>0.23</v>
      </c>
      <c r="E4" s="26" t="s">
        <v>73</v>
      </c>
    </row>
    <row r="5" spans="2:5" ht="30">
      <c r="B5" s="206">
        <v>40669</v>
      </c>
      <c r="C5" s="215" t="s">
        <v>38</v>
      </c>
      <c r="D5" s="207">
        <v>0.24</v>
      </c>
      <c r="E5" s="26" t="s">
        <v>92</v>
      </c>
    </row>
    <row r="6" spans="2:5">
      <c r="B6" s="206">
        <v>40681</v>
      </c>
      <c r="C6" s="215" t="s">
        <v>38</v>
      </c>
      <c r="D6" s="207">
        <v>0.25</v>
      </c>
      <c r="E6" s="129" t="s">
        <v>93</v>
      </c>
    </row>
    <row r="7" spans="2:5">
      <c r="B7" s="206">
        <v>40685</v>
      </c>
      <c r="C7" s="215" t="s">
        <v>38</v>
      </c>
      <c r="D7" s="207">
        <v>0.26</v>
      </c>
      <c r="E7" s="129" t="s">
        <v>100</v>
      </c>
    </row>
    <row r="8" spans="2:5">
      <c r="B8" s="208">
        <v>40685</v>
      </c>
      <c r="C8" s="205" t="s">
        <v>38</v>
      </c>
      <c r="D8" s="209">
        <v>0.27</v>
      </c>
      <c r="E8" s="130" t="s">
        <v>106</v>
      </c>
    </row>
    <row r="9" spans="2:5">
      <c r="B9" s="208">
        <v>40689</v>
      </c>
      <c r="C9" s="205" t="s">
        <v>38</v>
      </c>
      <c r="D9" s="209">
        <v>0.28000000000000003</v>
      </c>
      <c r="E9" s="130" t="s">
        <v>107</v>
      </c>
    </row>
    <row r="10" spans="2:5">
      <c r="B10" s="208">
        <v>40690</v>
      </c>
      <c r="C10" s="205" t="s">
        <v>108</v>
      </c>
      <c r="D10" s="209">
        <v>0.28999999999999998</v>
      </c>
      <c r="E10" s="130" t="s">
        <v>109</v>
      </c>
    </row>
    <row r="11" spans="2:5" s="41" customFormat="1">
      <c r="B11" s="206">
        <v>40693</v>
      </c>
      <c r="C11" s="215" t="s">
        <v>38</v>
      </c>
      <c r="D11" s="209">
        <v>0.3</v>
      </c>
      <c r="E11" s="26" t="s">
        <v>117</v>
      </c>
    </row>
    <row r="12" spans="2:5" s="68" customFormat="1">
      <c r="B12" s="210">
        <v>40697</v>
      </c>
      <c r="C12" s="214" t="s">
        <v>38</v>
      </c>
      <c r="D12" s="209">
        <v>0.31</v>
      </c>
      <c r="E12" s="131" t="s">
        <v>133</v>
      </c>
    </row>
    <row r="13" spans="2:5">
      <c r="B13" s="208">
        <v>40730</v>
      </c>
      <c r="C13" s="205" t="s">
        <v>38</v>
      </c>
      <c r="D13" s="205">
        <v>0.32</v>
      </c>
      <c r="E13" s="130" t="s">
        <v>134</v>
      </c>
    </row>
    <row r="14" spans="2:5">
      <c r="B14" s="211" t="s">
        <v>135</v>
      </c>
      <c r="C14" s="205" t="s">
        <v>38</v>
      </c>
      <c r="D14" s="205">
        <v>0.33</v>
      </c>
      <c r="E14" s="132" t="s">
        <v>136</v>
      </c>
    </row>
    <row r="15" spans="2:5">
      <c r="B15" s="211" t="s">
        <v>138</v>
      </c>
      <c r="C15" s="205" t="s">
        <v>38</v>
      </c>
      <c r="D15" s="205">
        <v>0.34</v>
      </c>
      <c r="E15" s="132" t="s">
        <v>139</v>
      </c>
    </row>
    <row r="16" spans="2:5">
      <c r="B16" s="212">
        <v>40798</v>
      </c>
      <c r="C16" s="205" t="s">
        <v>38</v>
      </c>
      <c r="D16" s="205">
        <v>0.35</v>
      </c>
      <c r="E16" s="132" t="s">
        <v>140</v>
      </c>
    </row>
    <row r="17" spans="2:5" ht="30">
      <c r="B17" s="208">
        <v>40886</v>
      </c>
      <c r="C17" s="205" t="s">
        <v>38</v>
      </c>
      <c r="D17" s="205">
        <v>0.36</v>
      </c>
      <c r="E17" s="130" t="s">
        <v>144</v>
      </c>
    </row>
    <row r="18" spans="2:5">
      <c r="B18" s="208">
        <v>40920</v>
      </c>
      <c r="C18" s="205" t="s">
        <v>38</v>
      </c>
      <c r="D18" s="205">
        <v>0.37</v>
      </c>
      <c r="E18" s="132" t="s">
        <v>166</v>
      </c>
    </row>
    <row r="19" spans="2:5" ht="30">
      <c r="B19" s="212">
        <v>40926</v>
      </c>
      <c r="C19" s="213" t="s">
        <v>38</v>
      </c>
      <c r="D19" s="205">
        <v>0.38</v>
      </c>
      <c r="E19" s="133" t="s">
        <v>169</v>
      </c>
    </row>
    <row r="20" spans="2:5">
      <c r="B20" s="212">
        <v>40946</v>
      </c>
      <c r="C20" s="213" t="s">
        <v>38</v>
      </c>
      <c r="D20" s="205">
        <v>0.39</v>
      </c>
      <c r="E20" s="134" t="s">
        <v>170</v>
      </c>
    </row>
    <row r="21" spans="2:5">
      <c r="B21" s="210">
        <v>40946</v>
      </c>
      <c r="C21" s="214" t="s">
        <v>38</v>
      </c>
      <c r="D21" s="209">
        <v>0.4</v>
      </c>
      <c r="E21" s="135" t="s">
        <v>171</v>
      </c>
    </row>
    <row r="22" spans="2:5">
      <c r="B22" s="212">
        <v>40946</v>
      </c>
      <c r="C22" s="213" t="s">
        <v>38</v>
      </c>
      <c r="D22" s="205">
        <v>0.41</v>
      </c>
      <c r="E22" s="134" t="s">
        <v>172</v>
      </c>
    </row>
    <row r="23" spans="2:5">
      <c r="B23" s="212">
        <v>40969</v>
      </c>
      <c r="C23" s="213" t="s">
        <v>38</v>
      </c>
      <c r="D23" s="205">
        <v>0.42</v>
      </c>
      <c r="E23" s="151" t="s">
        <v>175</v>
      </c>
    </row>
    <row r="24" spans="2:5">
      <c r="B24" s="212">
        <v>40970</v>
      </c>
      <c r="C24" s="213" t="s">
        <v>38</v>
      </c>
      <c r="D24" s="205">
        <v>0.43</v>
      </c>
      <c r="E24" s="134" t="s">
        <v>176</v>
      </c>
    </row>
    <row r="25" spans="2:5">
      <c r="B25" s="212">
        <v>40990</v>
      </c>
      <c r="C25" s="213" t="s">
        <v>38</v>
      </c>
      <c r="D25" s="205">
        <v>0.44</v>
      </c>
      <c r="E25" s="134" t="s">
        <v>180</v>
      </c>
    </row>
    <row r="26" spans="2:5">
      <c r="B26" s="210">
        <v>40996</v>
      </c>
      <c r="C26" s="215" t="s">
        <v>38</v>
      </c>
      <c r="D26" s="205">
        <v>0.45</v>
      </c>
      <c r="E26" s="175" t="s">
        <v>188</v>
      </c>
    </row>
    <row r="27" spans="2:5" ht="30">
      <c r="B27" s="212">
        <v>41015</v>
      </c>
      <c r="C27" s="213" t="s">
        <v>38</v>
      </c>
      <c r="D27" s="205">
        <v>0.46</v>
      </c>
      <c r="E27" s="204" t="s">
        <v>268</v>
      </c>
    </row>
    <row r="28" spans="2:5">
      <c r="B28" s="216">
        <v>41022</v>
      </c>
      <c r="C28" s="24" t="s">
        <v>38</v>
      </c>
      <c r="D28" s="24">
        <v>0.47</v>
      </c>
      <c r="E28" s="151" t="s">
        <v>301</v>
      </c>
    </row>
    <row r="29" spans="2:5">
      <c r="B29" s="349">
        <v>41082</v>
      </c>
      <c r="C29" s="24" t="s">
        <v>38</v>
      </c>
      <c r="D29" s="24">
        <v>0.48</v>
      </c>
      <c r="E29" s="151" t="s">
        <v>370</v>
      </c>
    </row>
    <row r="30" spans="2:5">
      <c r="B30" s="346"/>
      <c r="C30" s="347"/>
      <c r="D30" s="24"/>
      <c r="E30" s="348"/>
    </row>
    <row r="31" spans="2:5">
      <c r="B31" s="23">
        <f>SUBTOTAL(104,B4:B30)</f>
        <v>41082</v>
      </c>
      <c r="C31" s="40"/>
      <c r="D31" s="25" t="str">
        <f>SUBTOTAL(104,D4:D30) &amp; " PUBLIC BETA4 + TimeZone v5"</f>
        <v>0.48 PUBLIC BETA4 + TimeZone v5</v>
      </c>
      <c r="E31" s="40"/>
    </row>
  </sheetData>
  <mergeCells count="1">
    <mergeCell ref="B2:E2"/>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196</vt:i4>
      </vt:variant>
    </vt:vector>
  </HeadingPairs>
  <TitlesOfParts>
    <vt:vector size="202" baseType="lpstr">
      <vt:lpstr>Input</vt:lpstr>
      <vt:lpstr>Client Mix</vt:lpstr>
      <vt:lpstr>Data Tables</vt:lpstr>
      <vt:lpstr>Tools</vt:lpstr>
      <vt:lpstr>Scaling Tables</vt:lpstr>
      <vt:lpstr>Version Changes</vt:lpstr>
      <vt:lpstr>Afternoon_Peak_Duration__hours</vt:lpstr>
      <vt:lpstr>Afternoon_Peak_Time__24hr_clock</vt:lpstr>
      <vt:lpstr>Availability_Service</vt:lpstr>
      <vt:lpstr>Bandwidth_Headroom</vt:lpstr>
      <vt:lpstr>Base_OAB_Size</vt:lpstr>
      <vt:lpstr>ClienttoExchange_TZ</vt:lpstr>
      <vt:lpstr>Current_Version</vt:lpstr>
      <vt:lpstr>Exchange_Service</vt:lpstr>
      <vt:lpstr>Exchange_service_Type</vt:lpstr>
      <vt:lpstr>ExchangeToClient_TZ</vt:lpstr>
      <vt:lpstr>GAL_Changes_per_Day</vt:lpstr>
      <vt:lpstr>ListOfTimezones</vt:lpstr>
      <vt:lpstr>LogsGeneratedPerDay</vt:lpstr>
      <vt:lpstr>Max_Percent_Hour</vt:lpstr>
      <vt:lpstr>Meeting_Availability_Protocol</vt:lpstr>
      <vt:lpstr>Mobile_Device_Days_to_Sync</vt:lpstr>
      <vt:lpstr>Mobile_Device_Full_Syncs_Per_Month</vt:lpstr>
      <vt:lpstr>Model_TimeZone</vt:lpstr>
      <vt:lpstr>Morning_Peak_Duration__hours</vt:lpstr>
      <vt:lpstr>Morning_Peak_Time__24hr_clock</vt:lpstr>
      <vt:lpstr>OABSize</vt:lpstr>
      <vt:lpstr>Online_Archive_Enabled</vt:lpstr>
      <vt:lpstr>OST_Resync_Per_Month</vt:lpstr>
      <vt:lpstr>Outlook_2003__MAPI_Cached__TCP</vt:lpstr>
      <vt:lpstr>Outlook_2003__MAPI_Online__TCP</vt:lpstr>
      <vt:lpstr>Outlook_2003__OA_Cached__TCP</vt:lpstr>
      <vt:lpstr>Outlook_2007__MAPI_Cached__TCP</vt:lpstr>
      <vt:lpstr>Outlook_2007__MAPI_Online__TCP</vt:lpstr>
      <vt:lpstr>Outlook_2007__OA_Cached__TCP</vt:lpstr>
      <vt:lpstr>Outlook_2010__MAPI_Cached__TCP</vt:lpstr>
      <vt:lpstr>Outlook_2010__MAPI_Online__TCP</vt:lpstr>
      <vt:lpstr>Outlook_2010__OA_Cached__TCP</vt:lpstr>
      <vt:lpstr>Outlook_2011__EWS__TCP</vt:lpstr>
      <vt:lpstr>OWA_2007_TCP</vt:lpstr>
      <vt:lpstr>OWA_2010_TCP</vt:lpstr>
      <vt:lpstr>P1_Average_Meetings_Per_Mailbox_Per_Day</vt:lpstr>
      <vt:lpstr>P1_Avg_Mailbox_Size__GB</vt:lpstr>
      <vt:lpstr>P1_Avg_Msg_Size</vt:lpstr>
      <vt:lpstr>P1_Avg_Recipients_Per_Meeting</vt:lpstr>
      <vt:lpstr>P1_Ensure_OST_download_in_1_Working_Day</vt:lpstr>
      <vt:lpstr>P1_Messages_Sent_Per_Mailbox_Per_Day</vt:lpstr>
      <vt:lpstr>P1_MessagesReceived_Per_Mailbox_Per_Day</vt:lpstr>
      <vt:lpstr>P1_Min_OST_Throughput_Requirements</vt:lpstr>
      <vt:lpstr>P1_Mobile_Client_Attachment_Read</vt:lpstr>
      <vt:lpstr>P1_Outlook_2003__MAPI_Cached__Received</vt:lpstr>
      <vt:lpstr>P1_Outlook_2003__MAPI_Cached__Sent</vt:lpstr>
      <vt:lpstr>P1_Outlook_2003__MAPI_Online__Received</vt:lpstr>
      <vt:lpstr>P1_Outlook_2003__MAPI_Online__Sent</vt:lpstr>
      <vt:lpstr>P1_Outlook_2003__OA_Cached__Received</vt:lpstr>
      <vt:lpstr>P1_Outlook_2003__OA_Cached__Sent</vt:lpstr>
      <vt:lpstr>P1_Outlook_2007__MAPI_Cached__Received</vt:lpstr>
      <vt:lpstr>P1_Outlook_2007__MAPI_Cached__Sent</vt:lpstr>
      <vt:lpstr>P1_Outlook_2007__MAPI_Online__Received</vt:lpstr>
      <vt:lpstr>P1_Outlook_2007__MAPI_Online__Sent</vt:lpstr>
      <vt:lpstr>P1_Outlook_2007__OA_Cached__Received</vt:lpstr>
      <vt:lpstr>P1_Outlook_2007__OA_Cached__Sent</vt:lpstr>
      <vt:lpstr>P1_Outlook_2010__MAPI_Cached__Received</vt:lpstr>
      <vt:lpstr>P1_Outlook_2010__MAPI_Cached__Sent</vt:lpstr>
      <vt:lpstr>P1_Outlook_2010__MAPI_Online__Received</vt:lpstr>
      <vt:lpstr>P1_Outlook_2010__MAPI_Online__Sent</vt:lpstr>
      <vt:lpstr>P1_Outlook_2010__OA_Cached__Received</vt:lpstr>
      <vt:lpstr>P1_Outlook_2010__OA_Cached__Sent</vt:lpstr>
      <vt:lpstr>P1_Outlook_2011__EWS__Received</vt:lpstr>
      <vt:lpstr>P1_Outlook_2011__EWS__Sent</vt:lpstr>
      <vt:lpstr>P1_OWA_2007_Received</vt:lpstr>
      <vt:lpstr>P1_OWA_2007_Sent</vt:lpstr>
      <vt:lpstr>P1_OWA_2010_Received</vt:lpstr>
      <vt:lpstr>P1_OWA_2010_Sent</vt:lpstr>
      <vt:lpstr>P1_Web_Client_Online_Mode_Item_Read</vt:lpstr>
      <vt:lpstr>P1_Windows_Mobile_6.x_Received</vt:lpstr>
      <vt:lpstr>P1_Windows_Mobile_6.x_Sent</vt:lpstr>
      <vt:lpstr>P1_Windows_Phone_7.x_Received</vt:lpstr>
      <vt:lpstr>P1_Windows_Phone_7.x_Sent</vt:lpstr>
      <vt:lpstr>P2_Average_Meetings_Per_Mailbox_Per_Day</vt:lpstr>
      <vt:lpstr>P2_Avg_Mailbox_Size__GB</vt:lpstr>
      <vt:lpstr>P2_Avg_Msg_Size</vt:lpstr>
      <vt:lpstr>P2_Avg_Recipients_Per_Meeting</vt:lpstr>
      <vt:lpstr>P2_Ensure_OST_download_in_1_Working_Day</vt:lpstr>
      <vt:lpstr>P2_Messages_Sent_Per_Mailbox_Per_Day</vt:lpstr>
      <vt:lpstr>P2_MessagesReceived_Per_Mailbox_Per_Day</vt:lpstr>
      <vt:lpstr>P2_Min_OST_Throughput_Requirements</vt:lpstr>
      <vt:lpstr>P2_Mobile_Client_Attachment_Read</vt:lpstr>
      <vt:lpstr>P2_Outlook_2003__MAPI_Cached__Received</vt:lpstr>
      <vt:lpstr>P2_Outlook_2003__MAPI_Cached__Sent</vt:lpstr>
      <vt:lpstr>P2_Outlook_2003__MAPI_Online__Received</vt:lpstr>
      <vt:lpstr>P2_Outlook_2003__MAPI_Online__Sent</vt:lpstr>
      <vt:lpstr>P2_Outlook_2003__OA_Cached__Received</vt:lpstr>
      <vt:lpstr>P2_Outlook_2003__OA_Cached__Sent</vt:lpstr>
      <vt:lpstr>P2_Outlook_2007__MAPI_Cached__Received</vt:lpstr>
      <vt:lpstr>P2_Outlook_2007__MAPI_Cached__Sent</vt:lpstr>
      <vt:lpstr>P2_Outlook_2007__MAPI_Online__Received</vt:lpstr>
      <vt:lpstr>P2_Outlook_2007__MAPI_Online__Sent</vt:lpstr>
      <vt:lpstr>P2_Outlook_2007__OA_Cached__Received</vt:lpstr>
      <vt:lpstr>P2_Outlook_2007__OA_Cached__Sent</vt:lpstr>
      <vt:lpstr>P2_Outlook_2010__MAPI_Cached__Received</vt:lpstr>
      <vt:lpstr>P2_Outlook_2010__MAPI_Cached__Sent</vt:lpstr>
      <vt:lpstr>P2_Outlook_2010__MAPI_Online__Received</vt:lpstr>
      <vt:lpstr>P2_Outlook_2010__MAPI_Online__Sent</vt:lpstr>
      <vt:lpstr>P2_Outlook_2010__OA_Cached__Received</vt:lpstr>
      <vt:lpstr>P2_Outlook_2010__OA_Cached__Sent</vt:lpstr>
      <vt:lpstr>P2_Outlook_2011__EWS__Received</vt:lpstr>
      <vt:lpstr>P2_Outlook_2011__EWS__Sent</vt:lpstr>
      <vt:lpstr>P2_OWA_2007_Received</vt:lpstr>
      <vt:lpstr>P2_OWA_2007_Sent</vt:lpstr>
      <vt:lpstr>P2_OWA_2010_Received</vt:lpstr>
      <vt:lpstr>P2_OWA_2010_Sent</vt:lpstr>
      <vt:lpstr>P2_Web_Client_Online_Mode_Item_Read</vt:lpstr>
      <vt:lpstr>P2_Windows_Mobile_6.x_Received</vt:lpstr>
      <vt:lpstr>P2_Windows_Mobile_6.x_Sent</vt:lpstr>
      <vt:lpstr>P2_Windows_Phone_7.x_Received</vt:lpstr>
      <vt:lpstr>P2_Windows_Phone_7.x_Sent</vt:lpstr>
      <vt:lpstr>P3_Average_Meetings_Per_Mailbox_Per_Day</vt:lpstr>
      <vt:lpstr>P3_Avg_Mailbox_Size__GB</vt:lpstr>
      <vt:lpstr>P3_Avg_Msg_Size</vt:lpstr>
      <vt:lpstr>P3_Avg_Recipients_Per_Meeting</vt:lpstr>
      <vt:lpstr>P3_Ensure_OST_download_in_1_Working_Day</vt:lpstr>
      <vt:lpstr>P3_Messages_Sent_Per_Mailbox_Per_Day</vt:lpstr>
      <vt:lpstr>P3_MessagesReceived_Per_Mailbox_Per_Day</vt:lpstr>
      <vt:lpstr>P3_Min_OST_Throughput_Requirements</vt:lpstr>
      <vt:lpstr>P3_Mobile_Client_Attachment_Read</vt:lpstr>
      <vt:lpstr>P3_Outlook_2003__MAPI_Cached__Received</vt:lpstr>
      <vt:lpstr>P3_Outlook_2003__MAPI_Cached__Sent</vt:lpstr>
      <vt:lpstr>P3_Outlook_2003__MAPI_Online__Received</vt:lpstr>
      <vt:lpstr>P3_Outlook_2003__MAPI_Online__Sent</vt:lpstr>
      <vt:lpstr>P3_Outlook_2003__OA_Cached__Received</vt:lpstr>
      <vt:lpstr>P3_Outlook_2003__OA_Cached__Sent</vt:lpstr>
      <vt:lpstr>P3_Outlook_2007__MAPI_Cached__Received</vt:lpstr>
      <vt:lpstr>P3_Outlook_2007__MAPI_Cached__Sent</vt:lpstr>
      <vt:lpstr>P3_Outlook_2007__MAPI_Online__Received</vt:lpstr>
      <vt:lpstr>P3_Outlook_2007__MAPI_Online__Sent</vt:lpstr>
      <vt:lpstr>P3_Outlook_2007__OA_Cached__Received</vt:lpstr>
      <vt:lpstr>P3_Outlook_2007__OA_Cached__Sent</vt:lpstr>
      <vt:lpstr>P3_Outlook_2010__MAPI_Cached__Received</vt:lpstr>
      <vt:lpstr>P3_Outlook_2010__MAPI_Cached__Sent</vt:lpstr>
      <vt:lpstr>P3_Outlook_2010__MAPI_Online__Received</vt:lpstr>
      <vt:lpstr>P3_Outlook_2010__MAPI_Online__Sent</vt:lpstr>
      <vt:lpstr>P3_Outlook_2010__OA_Cached__Received</vt:lpstr>
      <vt:lpstr>P3_Outlook_2010__OA_Cached__Sent</vt:lpstr>
      <vt:lpstr>P3_Outlook_2011__EWS__Received</vt:lpstr>
      <vt:lpstr>P3_Outlook_2011__EWS__Sent</vt:lpstr>
      <vt:lpstr>P3_OWA_2007_Received</vt:lpstr>
      <vt:lpstr>P3_OWA_2007_Sent</vt:lpstr>
      <vt:lpstr>P3_OWA_2010_Received</vt:lpstr>
      <vt:lpstr>P3_OWA_2010_Sent</vt:lpstr>
      <vt:lpstr>P3_Web_Client_Online_Mode_Item_Read</vt:lpstr>
      <vt:lpstr>P3_Windows_Mobile_6.x_Received</vt:lpstr>
      <vt:lpstr>P3_Windows_Mobile_6.x_Sent</vt:lpstr>
      <vt:lpstr>P3_Windows_Phone_7.x_Received</vt:lpstr>
      <vt:lpstr>P3_Windows_Phone_7.x_Sent</vt:lpstr>
      <vt:lpstr>P4_Average_Meetings_Per_Mailbox_Per_Day</vt:lpstr>
      <vt:lpstr>P4_Avg_Mailbox_Size__GB</vt:lpstr>
      <vt:lpstr>P4_Avg_Msg_Size</vt:lpstr>
      <vt:lpstr>P4_Avg_Recipients_Per_Meeting</vt:lpstr>
      <vt:lpstr>P4_Ensure_OST_download_in_1_Working_Day</vt:lpstr>
      <vt:lpstr>P4_Messages_Sent_Per_Mailbox_Per_Day</vt:lpstr>
      <vt:lpstr>P4_MessagesReceived_Per_Mailbox_Per_Day</vt:lpstr>
      <vt:lpstr>P4_Min_OST_Throughput_Requirements</vt:lpstr>
      <vt:lpstr>P4_Mobile_Client_Attachment_Read</vt:lpstr>
      <vt:lpstr>P4_Outlook_2003__MAPI_Cached__Received</vt:lpstr>
      <vt:lpstr>P4_Outlook_2003__MAPI_Cached__Sent</vt:lpstr>
      <vt:lpstr>P4_Outlook_2003__MAPI_Online__Received</vt:lpstr>
      <vt:lpstr>P4_Outlook_2003__MAPI_Online__Sent</vt:lpstr>
      <vt:lpstr>P4_Outlook_2003__OA_Cached__Received</vt:lpstr>
      <vt:lpstr>P4_Outlook_2003__OA_Cached__Sent</vt:lpstr>
      <vt:lpstr>P4_Outlook_2007__MAPI_Cached__Received</vt:lpstr>
      <vt:lpstr>P4_Outlook_2007__MAPI_Cached__Sent</vt:lpstr>
      <vt:lpstr>P4_Outlook_2007__MAPI_Online__Received</vt:lpstr>
      <vt:lpstr>P4_Outlook_2007__MAPI_Online__Sent</vt:lpstr>
      <vt:lpstr>P4_Outlook_2007__OA_Cached__Received</vt:lpstr>
      <vt:lpstr>P4_Outlook_2007__OA_Cached__Sent</vt:lpstr>
      <vt:lpstr>P4_Outlook_2010__MAPI_Cached__Received</vt:lpstr>
      <vt:lpstr>P4_Outlook_2010__MAPI_Cached__Sent</vt:lpstr>
      <vt:lpstr>P4_Outlook_2010__MAPI_Online__Received</vt:lpstr>
      <vt:lpstr>P4_Outlook_2010__MAPI_Online__Sent</vt:lpstr>
      <vt:lpstr>P4_Outlook_2010__OA_Cached__Received</vt:lpstr>
      <vt:lpstr>P4_Outlook_2010__OA_Cached__Sent</vt:lpstr>
      <vt:lpstr>P4_Outlook_2011__EWS__Received</vt:lpstr>
      <vt:lpstr>P4_Outlook_2011__EWS__Sent</vt:lpstr>
      <vt:lpstr>P4_OWA_2007_Received</vt:lpstr>
      <vt:lpstr>P4_OWA_2007_Sent</vt:lpstr>
      <vt:lpstr>P4_OWA_2010_Received</vt:lpstr>
      <vt:lpstr>P4_OWA_2010_Sent</vt:lpstr>
      <vt:lpstr>P4_Web_Client_Online_Mode_Item_Read</vt:lpstr>
      <vt:lpstr>P4_Windows_Mobile_6.x_Received</vt:lpstr>
      <vt:lpstr>P4_Windows_Mobile_6.x_Sent</vt:lpstr>
      <vt:lpstr>P4_Windows_Phone_7.x_Received</vt:lpstr>
      <vt:lpstr>P4_Windows_Phone_7.x_Sent</vt:lpstr>
      <vt:lpstr>PeakHourPercentageUse</vt:lpstr>
      <vt:lpstr>Profile_Choices</vt:lpstr>
      <vt:lpstr>Public_Folders</vt:lpstr>
      <vt:lpstr>TimeZone</vt:lpstr>
      <vt:lpstr>TZCalibrationValue</vt:lpstr>
      <vt:lpstr>Version_of_Exchange_Server</vt:lpstr>
      <vt:lpstr>Windows_Mobile_6.x_TCP</vt:lpstr>
      <vt:lpstr>Windows_Phone_7.x_TCP</vt:lpstr>
      <vt:lpstr>Working_Day__Hours</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Johnson;Neil.Johnson@microsoft.com</dc:creator>
  <cp:lastModifiedBy>jonno</cp:lastModifiedBy>
  <dcterms:created xsi:type="dcterms:W3CDTF">2011-02-02T12:30:42Z</dcterms:created>
  <dcterms:modified xsi:type="dcterms:W3CDTF">2012-06-22T10:33:12Z</dcterms:modified>
</cp:coreProperties>
</file>