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siswauitmedu-my.sharepoint.com/personal/2024905559_isiswa_uitm_edu_my/Documents/Stock Market Research/Financial Modelling and Valuations/"/>
    </mc:Choice>
  </mc:AlternateContent>
  <xr:revisionPtr revIDLastSave="1293" documentId="8_{CFB19D24-D0D1-4226-AFA2-E5124E38E1BE}" xr6:coauthVersionLast="47" xr6:coauthVersionMax="47" xr10:uidLastSave="{045F2811-9E68-6C41-B6BA-BABCBED1DEDC}"/>
  <bookViews>
    <workbookView xWindow="-120" yWindow="-120" windowWidth="29040" windowHeight="15720" activeTab="9" xr2:uid="{A1383D07-A2C8-4252-BB02-DC9F7E5E2125}"/>
  </bookViews>
  <sheets>
    <sheet name="SDS" sheetId="1" r:id="rId1"/>
    <sheet name="SCIENTX" sheetId="5" r:id="rId2"/>
    <sheet name="LSH" sheetId="7" r:id="rId3"/>
    <sheet name="MFCB" sheetId="3" r:id="rId4"/>
    <sheet name="TAKAFUL" sheetId="8" r:id="rId5"/>
    <sheet name="Prinx (1809) " sheetId="6" r:id="rId6"/>
    <sheet name="CSPC" sheetId="9" r:id="rId7"/>
    <sheet name="China New Ed (2001)" sheetId="10" r:id="rId8"/>
    <sheet name="China Science Ed (1756)" sheetId="11" r:id="rId9"/>
    <sheet name="Sheet1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9" l="1"/>
  <c r="B34" i="9"/>
  <c r="M22" i="6"/>
  <c r="M23" i="6"/>
  <c r="H22" i="6"/>
  <c r="D27" i="3"/>
  <c r="E27" i="3"/>
  <c r="F27" i="3"/>
  <c r="G27" i="3"/>
  <c r="H27" i="3"/>
  <c r="I27" i="3"/>
  <c r="J27" i="3"/>
  <c r="K27" i="3"/>
  <c r="L27" i="3"/>
  <c r="M27" i="3"/>
  <c r="C27" i="3"/>
  <c r="D27" i="7"/>
  <c r="E27" i="7"/>
  <c r="F27" i="7"/>
  <c r="G27" i="7"/>
  <c r="H27" i="7"/>
  <c r="I27" i="7"/>
  <c r="J27" i="7"/>
  <c r="K27" i="7"/>
  <c r="L27" i="7"/>
  <c r="M27" i="7"/>
  <c r="C27" i="7"/>
  <c r="N27" i="1"/>
  <c r="D27" i="1"/>
  <c r="D29" i="1"/>
  <c r="E27" i="1"/>
  <c r="F27" i="1"/>
  <c r="G27" i="1"/>
  <c r="H27" i="1"/>
  <c r="I27" i="1"/>
  <c r="J27" i="1"/>
  <c r="K27" i="1"/>
  <c r="L27" i="1"/>
  <c r="C27" i="1"/>
  <c r="D27" i="8"/>
  <c r="E27" i="8"/>
  <c r="F27" i="8"/>
  <c r="G27" i="8"/>
  <c r="H27" i="8"/>
  <c r="I27" i="8"/>
  <c r="J27" i="8"/>
  <c r="K27" i="8"/>
  <c r="L27" i="8"/>
  <c r="M27" i="8"/>
  <c r="C27" i="8"/>
  <c r="C23" i="8"/>
  <c r="B48" i="5"/>
  <c r="C48" i="5"/>
  <c r="D48" i="5"/>
  <c r="E48" i="5"/>
  <c r="F48" i="5"/>
  <c r="G48" i="5"/>
  <c r="H48" i="5"/>
  <c r="I48" i="5"/>
  <c r="J48" i="5"/>
  <c r="K48" i="5"/>
  <c r="D28" i="5"/>
  <c r="E28" i="5"/>
  <c r="F28" i="5"/>
  <c r="G28" i="5"/>
  <c r="H28" i="5"/>
  <c r="I28" i="5"/>
  <c r="J28" i="5"/>
  <c r="K28" i="5"/>
  <c r="L28" i="5"/>
  <c r="M28" i="5"/>
  <c r="M31" i="5"/>
  <c r="C28" i="5"/>
  <c r="B39" i="1"/>
  <c r="M28" i="9"/>
  <c r="M30" i="9"/>
  <c r="L28" i="9"/>
  <c r="L30" i="9"/>
  <c r="K28" i="9"/>
  <c r="K30" i="9"/>
  <c r="J28" i="9"/>
  <c r="J30" i="9"/>
  <c r="I28" i="9"/>
  <c r="I30" i="9"/>
  <c r="H28" i="9"/>
  <c r="H30" i="9"/>
  <c r="G28" i="9"/>
  <c r="G30" i="9"/>
  <c r="F28" i="9"/>
  <c r="F30" i="9"/>
  <c r="E28" i="9"/>
  <c r="E30" i="9"/>
  <c r="D28" i="9"/>
  <c r="D30" i="9"/>
  <c r="C28" i="9"/>
  <c r="C30" i="9"/>
  <c r="Z24" i="6"/>
  <c r="Z25" i="6"/>
  <c r="AA25" i="6"/>
  <c r="AB25" i="6"/>
  <c r="AC25" i="6"/>
  <c r="AD25" i="6"/>
  <c r="AE25" i="6"/>
  <c r="AF25" i="6"/>
  <c r="AG25" i="6"/>
  <c r="AH25" i="6"/>
  <c r="AI25" i="6"/>
  <c r="AJ25" i="6"/>
  <c r="Y25" i="6"/>
  <c r="K22" i="6"/>
  <c r="H23" i="6"/>
  <c r="E22" i="6"/>
  <c r="E23" i="6"/>
  <c r="M25" i="6"/>
  <c r="AA27" i="6"/>
  <c r="AB27" i="6"/>
  <c r="AC27" i="6"/>
  <c r="AD27" i="6"/>
  <c r="AE27" i="6"/>
  <c r="AF27" i="6"/>
  <c r="AG27" i="6"/>
  <c r="AH27" i="6"/>
  <c r="AI27" i="6"/>
  <c r="AJ27" i="6"/>
  <c r="Z27" i="6"/>
  <c r="D23" i="6"/>
  <c r="F23" i="6"/>
  <c r="G23" i="6"/>
  <c r="I23" i="6"/>
  <c r="J23" i="6"/>
  <c r="K23" i="6"/>
  <c r="L23" i="6"/>
  <c r="C23" i="6"/>
  <c r="Y27" i="6"/>
  <c r="Y19" i="6"/>
  <c r="L21" i="6"/>
  <c r="X24" i="6"/>
  <c r="X20" i="6"/>
  <c r="S19" i="6"/>
  <c r="T19" i="6"/>
  <c r="U19" i="6"/>
  <c r="V19" i="6"/>
  <c r="V27" i="6"/>
  <c r="W19" i="6"/>
  <c r="W27" i="6"/>
  <c r="X19" i="6"/>
  <c r="X27" i="6"/>
  <c r="Y20" i="6"/>
  <c r="R19" i="6"/>
  <c r="U27" i="6"/>
  <c r="U23" i="6"/>
  <c r="V23" i="6"/>
  <c r="W23" i="6"/>
  <c r="X23" i="6"/>
  <c r="Y23" i="6"/>
  <c r="T23" i="6"/>
  <c r="P27" i="6"/>
  <c r="R23" i="6"/>
  <c r="S23" i="6"/>
  <c r="Q23" i="6"/>
  <c r="Q19" i="6"/>
  <c r="Q27" i="6"/>
  <c r="R27" i="6"/>
  <c r="S20" i="6"/>
  <c r="S24" i="6"/>
  <c r="T27" i="6"/>
  <c r="P19" i="6"/>
  <c r="D27" i="6"/>
  <c r="E27" i="6"/>
  <c r="F27" i="6"/>
  <c r="G27" i="6"/>
  <c r="H27" i="6"/>
  <c r="I27" i="6"/>
  <c r="J27" i="6"/>
  <c r="K27" i="6"/>
  <c r="L27" i="6"/>
  <c r="M27" i="6"/>
  <c r="C27" i="6"/>
  <c r="M21" i="6"/>
  <c r="M20" i="6"/>
  <c r="M18" i="6"/>
  <c r="Y24" i="6"/>
  <c r="X25" i="6"/>
  <c r="V20" i="6"/>
  <c r="V24" i="6"/>
  <c r="V25" i="6"/>
  <c r="Q20" i="6"/>
  <c r="Q24" i="6"/>
  <c r="Q25" i="6"/>
  <c r="S25" i="6"/>
  <c r="R20" i="6"/>
  <c r="R24" i="6"/>
  <c r="R25" i="6"/>
  <c r="W20" i="6"/>
  <c r="W24" i="6"/>
  <c r="W25" i="6"/>
  <c r="S27" i="6"/>
  <c r="U20" i="6"/>
  <c r="U24" i="6"/>
  <c r="U25" i="6"/>
  <c r="T20" i="6"/>
  <c r="T24" i="6"/>
  <c r="AA24" i="6"/>
  <c r="T25" i="6"/>
  <c r="M29" i="6"/>
  <c r="L29" i="6"/>
  <c r="K29" i="6"/>
  <c r="J29" i="6"/>
  <c r="I29" i="6"/>
  <c r="H29" i="6"/>
  <c r="G29" i="6"/>
  <c r="F29" i="6"/>
  <c r="E29" i="6"/>
  <c r="D29" i="6"/>
  <c r="C29" i="6"/>
  <c r="C18" i="6"/>
  <c r="D18" i="6"/>
  <c r="M29" i="8"/>
  <c r="L29" i="8"/>
  <c r="K29" i="8"/>
  <c r="J29" i="8"/>
  <c r="I29" i="8"/>
  <c r="H29" i="8"/>
  <c r="G29" i="8"/>
  <c r="F29" i="8"/>
  <c r="E29" i="8"/>
  <c r="D29" i="8"/>
  <c r="C29" i="8"/>
  <c r="C18" i="8"/>
  <c r="C20" i="8"/>
  <c r="C21" i="8"/>
  <c r="C25" i="8"/>
  <c r="M29" i="7"/>
  <c r="L29" i="7"/>
  <c r="K29" i="7"/>
  <c r="J29" i="7"/>
  <c r="I29" i="7"/>
  <c r="H29" i="7"/>
  <c r="G29" i="7"/>
  <c r="F29" i="7"/>
  <c r="E29" i="7"/>
  <c r="D29" i="7"/>
  <c r="C29" i="7"/>
  <c r="C18" i="7"/>
  <c r="C20" i="7"/>
  <c r="C21" i="7"/>
  <c r="C23" i="7"/>
  <c r="C25" i="7"/>
  <c r="M30" i="5"/>
  <c r="L30" i="5"/>
  <c r="K30" i="5"/>
  <c r="J30" i="5"/>
  <c r="I30" i="5"/>
  <c r="H30" i="5"/>
  <c r="G30" i="5"/>
  <c r="F30" i="5"/>
  <c r="E30" i="5"/>
  <c r="D30" i="5"/>
  <c r="C30" i="5"/>
  <c r="C19" i="5"/>
  <c r="C21" i="5"/>
  <c r="C22" i="5"/>
  <c r="C24" i="5"/>
  <c r="M29" i="3"/>
  <c r="AB24" i="6"/>
  <c r="C20" i="6"/>
  <c r="C21" i="6"/>
  <c r="C25" i="6"/>
  <c r="B44" i="6"/>
  <c r="D20" i="6"/>
  <c r="E18" i="6"/>
  <c r="C31" i="8"/>
  <c r="B44" i="8"/>
  <c r="B47" i="8"/>
  <c r="D18" i="8"/>
  <c r="C31" i="7"/>
  <c r="B44" i="7"/>
  <c r="D18" i="7"/>
  <c r="C26" i="5"/>
  <c r="C32" i="5"/>
  <c r="D19" i="5"/>
  <c r="AC24" i="6"/>
  <c r="B47" i="6"/>
  <c r="B46" i="6"/>
  <c r="C31" i="6"/>
  <c r="E20" i="6"/>
  <c r="F18" i="6"/>
  <c r="D25" i="6"/>
  <c r="C44" i="6"/>
  <c r="D21" i="6"/>
  <c r="B46" i="8"/>
  <c r="D20" i="8"/>
  <c r="E18" i="8"/>
  <c r="D20" i="7"/>
  <c r="E18" i="7"/>
  <c r="B46" i="7"/>
  <c r="B47" i="7"/>
  <c r="B45" i="5"/>
  <c r="D21" i="5"/>
  <c r="E19" i="5"/>
  <c r="B47" i="5"/>
  <c r="AD24" i="6"/>
  <c r="C47" i="6"/>
  <c r="D47" i="6"/>
  <c r="C46" i="6"/>
  <c r="C45" i="6"/>
  <c r="B48" i="6"/>
  <c r="B49" i="6"/>
  <c r="D31" i="6"/>
  <c r="G18" i="6"/>
  <c r="F20" i="6"/>
  <c r="E25" i="6"/>
  <c r="E21" i="6"/>
  <c r="F18" i="8"/>
  <c r="E20" i="8"/>
  <c r="D21" i="8"/>
  <c r="D23" i="8"/>
  <c r="D25" i="8"/>
  <c r="B48" i="8"/>
  <c r="B49" i="8"/>
  <c r="B48" i="7"/>
  <c r="B49" i="7"/>
  <c r="F18" i="7"/>
  <c r="E20" i="7"/>
  <c r="D21" i="7"/>
  <c r="D23" i="7"/>
  <c r="D25" i="7"/>
  <c r="B49" i="5"/>
  <c r="F19" i="5"/>
  <c r="E21" i="5"/>
  <c r="D24" i="5"/>
  <c r="D26" i="5"/>
  <c r="D22" i="5"/>
  <c r="C18" i="3"/>
  <c r="D18" i="3"/>
  <c r="E18" i="3"/>
  <c r="F18" i="3"/>
  <c r="G18" i="3"/>
  <c r="H18" i="3"/>
  <c r="I18" i="3"/>
  <c r="J18" i="3"/>
  <c r="K18" i="3"/>
  <c r="L18" i="3"/>
  <c r="L29" i="3"/>
  <c r="K29" i="3"/>
  <c r="J29" i="3"/>
  <c r="I29" i="3"/>
  <c r="H29" i="3"/>
  <c r="G29" i="3"/>
  <c r="F29" i="3"/>
  <c r="E29" i="3"/>
  <c r="D29" i="3"/>
  <c r="C29" i="3"/>
  <c r="C19" i="1"/>
  <c r="D19" i="1"/>
  <c r="AE24" i="6"/>
  <c r="F25" i="6"/>
  <c r="F21" i="6"/>
  <c r="E31" i="6"/>
  <c r="D44" i="6"/>
  <c r="D45" i="6"/>
  <c r="H18" i="6"/>
  <c r="G20" i="6"/>
  <c r="D31" i="8"/>
  <c r="C44" i="8"/>
  <c r="C47" i="8"/>
  <c r="E21" i="8"/>
  <c r="E23" i="8"/>
  <c r="E25" i="8"/>
  <c r="G18" i="8"/>
  <c r="F20" i="8"/>
  <c r="E21" i="7"/>
  <c r="E23" i="7"/>
  <c r="E25" i="7"/>
  <c r="D31" i="7"/>
  <c r="C44" i="7"/>
  <c r="F20" i="7"/>
  <c r="G18" i="7"/>
  <c r="D32" i="5"/>
  <c r="C45" i="5"/>
  <c r="E22" i="5"/>
  <c r="E24" i="5"/>
  <c r="E26" i="5"/>
  <c r="G19" i="5"/>
  <c r="F21" i="5"/>
  <c r="C20" i="3"/>
  <c r="C21" i="3"/>
  <c r="C23" i="3"/>
  <c r="C25" i="3"/>
  <c r="C31" i="3"/>
  <c r="D20" i="3"/>
  <c r="E19" i="1"/>
  <c r="D21" i="1"/>
  <c r="D22" i="1"/>
  <c r="C21" i="1"/>
  <c r="C22" i="1"/>
  <c r="C24" i="1"/>
  <c r="C26" i="1"/>
  <c r="N29" i="1"/>
  <c r="E29" i="1"/>
  <c r="F29" i="1"/>
  <c r="G29" i="1"/>
  <c r="H29" i="1"/>
  <c r="I29" i="1"/>
  <c r="J29" i="1"/>
  <c r="K29" i="1"/>
  <c r="L29" i="1"/>
  <c r="C29" i="1"/>
  <c r="AF24" i="6"/>
  <c r="G21" i="6"/>
  <c r="G25" i="6"/>
  <c r="I18" i="6"/>
  <c r="H20" i="6"/>
  <c r="D46" i="6"/>
  <c r="E44" i="6"/>
  <c r="E45" i="6"/>
  <c r="F31" i="6"/>
  <c r="B44" i="1"/>
  <c r="C31" i="1"/>
  <c r="C46" i="8"/>
  <c r="C45" i="8"/>
  <c r="F23" i="8"/>
  <c r="F25" i="8"/>
  <c r="F21" i="8"/>
  <c r="H18" i="8"/>
  <c r="G20" i="8"/>
  <c r="D44" i="8"/>
  <c r="D47" i="8"/>
  <c r="E31" i="8"/>
  <c r="C46" i="7"/>
  <c r="C45" i="7"/>
  <c r="F21" i="7"/>
  <c r="F23" i="7"/>
  <c r="F25" i="7"/>
  <c r="D44" i="7"/>
  <c r="E31" i="7"/>
  <c r="H18" i="7"/>
  <c r="G20" i="7"/>
  <c r="C47" i="5"/>
  <c r="C46" i="5"/>
  <c r="F22" i="5"/>
  <c r="F24" i="5"/>
  <c r="F26" i="5"/>
  <c r="H19" i="5"/>
  <c r="G21" i="5"/>
  <c r="E32" i="5"/>
  <c r="D45" i="5"/>
  <c r="B44" i="3"/>
  <c r="B47" i="3"/>
  <c r="D21" i="3"/>
  <c r="D23" i="3"/>
  <c r="D25" i="3"/>
  <c r="E20" i="3"/>
  <c r="F19" i="1"/>
  <c r="E21" i="1"/>
  <c r="E22" i="1"/>
  <c r="D24" i="1"/>
  <c r="D26" i="1"/>
  <c r="B46" i="1"/>
  <c r="B47" i="1"/>
  <c r="AG24" i="6"/>
  <c r="E47" i="6"/>
  <c r="E46" i="6"/>
  <c r="H21" i="6"/>
  <c r="H25" i="6"/>
  <c r="D48" i="6"/>
  <c r="D49" i="6"/>
  <c r="J18" i="6"/>
  <c r="I20" i="6"/>
  <c r="F44" i="6"/>
  <c r="F45" i="6"/>
  <c r="G31" i="6"/>
  <c r="C48" i="6"/>
  <c r="C49" i="6"/>
  <c r="C47" i="7"/>
  <c r="D46" i="7"/>
  <c r="D47" i="7"/>
  <c r="D31" i="1"/>
  <c r="C44" i="1"/>
  <c r="G23" i="8"/>
  <c r="G25" i="8"/>
  <c r="G21" i="8"/>
  <c r="D45" i="8"/>
  <c r="I18" i="8"/>
  <c r="H20" i="8"/>
  <c r="E44" i="8"/>
  <c r="E47" i="8"/>
  <c r="F31" i="8"/>
  <c r="E24" i="1"/>
  <c r="E26" i="1"/>
  <c r="G23" i="7"/>
  <c r="G25" i="7"/>
  <c r="G21" i="7"/>
  <c r="E44" i="7"/>
  <c r="F31" i="7"/>
  <c r="H20" i="7"/>
  <c r="I18" i="7"/>
  <c r="D45" i="7"/>
  <c r="D46" i="5"/>
  <c r="G24" i="5"/>
  <c r="G26" i="5"/>
  <c r="G22" i="5"/>
  <c r="H21" i="5"/>
  <c r="I19" i="5"/>
  <c r="E45" i="5"/>
  <c r="F32" i="5"/>
  <c r="D31" i="3"/>
  <c r="C44" i="3"/>
  <c r="C47" i="3"/>
  <c r="B46" i="3"/>
  <c r="E23" i="3"/>
  <c r="E25" i="3"/>
  <c r="E21" i="3"/>
  <c r="F20" i="3"/>
  <c r="G19" i="1"/>
  <c r="F21" i="1"/>
  <c r="F22" i="1"/>
  <c r="C45" i="1"/>
  <c r="C47" i="1"/>
  <c r="AH24" i="6"/>
  <c r="F47" i="6"/>
  <c r="C48" i="7"/>
  <c r="C49" i="7"/>
  <c r="I21" i="6"/>
  <c r="I25" i="6"/>
  <c r="G44" i="6"/>
  <c r="G45" i="6"/>
  <c r="H31" i="6"/>
  <c r="K18" i="6"/>
  <c r="J20" i="6"/>
  <c r="E31" i="1"/>
  <c r="D44" i="1"/>
  <c r="B48" i="1"/>
  <c r="C46" i="1"/>
  <c r="C48" i="1"/>
  <c r="F24" i="1"/>
  <c r="F26" i="1"/>
  <c r="H21" i="8"/>
  <c r="H23" i="8"/>
  <c r="H25" i="8"/>
  <c r="C49" i="8"/>
  <c r="C48" i="8"/>
  <c r="E45" i="8"/>
  <c r="J18" i="8"/>
  <c r="I20" i="8"/>
  <c r="D46" i="8"/>
  <c r="E46" i="8"/>
  <c r="G31" i="8"/>
  <c r="F44" i="8"/>
  <c r="F47" i="8"/>
  <c r="I20" i="7"/>
  <c r="J18" i="7"/>
  <c r="E45" i="7"/>
  <c r="E46" i="7"/>
  <c r="E47" i="7"/>
  <c r="D48" i="7"/>
  <c r="D49" i="7"/>
  <c r="H23" i="7"/>
  <c r="H25" i="7"/>
  <c r="H21" i="7"/>
  <c r="F44" i="7"/>
  <c r="G31" i="7"/>
  <c r="E46" i="5"/>
  <c r="C49" i="5"/>
  <c r="J19" i="5"/>
  <c r="I21" i="5"/>
  <c r="H24" i="5"/>
  <c r="H26" i="5"/>
  <c r="H22" i="5"/>
  <c r="F45" i="5"/>
  <c r="G32" i="5"/>
  <c r="D47" i="5"/>
  <c r="C46" i="3"/>
  <c r="E31" i="3"/>
  <c r="D44" i="3"/>
  <c r="D45" i="3"/>
  <c r="C45" i="3"/>
  <c r="F21" i="3"/>
  <c r="F23" i="3"/>
  <c r="F25" i="3"/>
  <c r="G20" i="3"/>
  <c r="H19" i="1"/>
  <c r="G21" i="1"/>
  <c r="G22" i="1"/>
  <c r="D47" i="1"/>
  <c r="D47" i="3"/>
  <c r="AI24" i="6"/>
  <c r="AJ24" i="6"/>
  <c r="G47" i="6"/>
  <c r="E49" i="6"/>
  <c r="E48" i="6"/>
  <c r="J21" i="6"/>
  <c r="J25" i="6"/>
  <c r="K20" i="6"/>
  <c r="L18" i="6"/>
  <c r="L20" i="6"/>
  <c r="F46" i="6"/>
  <c r="I31" i="6"/>
  <c r="H44" i="6"/>
  <c r="H45" i="6"/>
  <c r="E48" i="8"/>
  <c r="E44" i="1"/>
  <c r="E45" i="1"/>
  <c r="F31" i="1"/>
  <c r="D45" i="1"/>
  <c r="D46" i="1"/>
  <c r="G24" i="1"/>
  <c r="G26" i="1"/>
  <c r="F45" i="8"/>
  <c r="J20" i="8"/>
  <c r="K18" i="8"/>
  <c r="D48" i="8"/>
  <c r="D49" i="8"/>
  <c r="I23" i="8"/>
  <c r="I25" i="8"/>
  <c r="I21" i="8"/>
  <c r="G44" i="8"/>
  <c r="G47" i="8"/>
  <c r="H31" i="8"/>
  <c r="F46" i="7"/>
  <c r="F45" i="7"/>
  <c r="G44" i="7"/>
  <c r="H31" i="7"/>
  <c r="K18" i="7"/>
  <c r="J20" i="7"/>
  <c r="E48" i="7"/>
  <c r="E49" i="7"/>
  <c r="I23" i="7"/>
  <c r="I25" i="7"/>
  <c r="I21" i="7"/>
  <c r="D49" i="5"/>
  <c r="F46" i="5"/>
  <c r="I24" i="5"/>
  <c r="I26" i="5"/>
  <c r="I22" i="5"/>
  <c r="K19" i="5"/>
  <c r="J21" i="5"/>
  <c r="G45" i="5"/>
  <c r="H32" i="5"/>
  <c r="E47" i="5"/>
  <c r="D46" i="3"/>
  <c r="B48" i="3"/>
  <c r="B49" i="3"/>
  <c r="F31" i="3"/>
  <c r="E44" i="3"/>
  <c r="G23" i="3"/>
  <c r="G25" i="3"/>
  <c r="G21" i="3"/>
  <c r="H20" i="3"/>
  <c r="I19" i="1"/>
  <c r="H21" i="1"/>
  <c r="H22" i="1"/>
  <c r="E47" i="1"/>
  <c r="E47" i="3"/>
  <c r="H47" i="6"/>
  <c r="G46" i="6"/>
  <c r="E49" i="8"/>
  <c r="F46" i="8"/>
  <c r="F48" i="8"/>
  <c r="F49" i="6"/>
  <c r="F48" i="6"/>
  <c r="L25" i="6"/>
  <c r="K25" i="6"/>
  <c r="K21" i="6"/>
  <c r="I44" i="6"/>
  <c r="I45" i="6"/>
  <c r="J31" i="6"/>
  <c r="F47" i="7"/>
  <c r="F48" i="7"/>
  <c r="F44" i="1"/>
  <c r="G31" i="1"/>
  <c r="H24" i="1"/>
  <c r="H26" i="1"/>
  <c r="G45" i="8"/>
  <c r="H44" i="8"/>
  <c r="H47" i="8"/>
  <c r="I31" i="8"/>
  <c r="K20" i="8"/>
  <c r="L18" i="8"/>
  <c r="L20" i="8"/>
  <c r="J23" i="8"/>
  <c r="J25" i="8"/>
  <c r="J21" i="8"/>
  <c r="H44" i="7"/>
  <c r="I31" i="7"/>
  <c r="J21" i="7"/>
  <c r="J23" i="7"/>
  <c r="J25" i="7"/>
  <c r="L18" i="7"/>
  <c r="L20" i="7"/>
  <c r="K20" i="7"/>
  <c r="G45" i="7"/>
  <c r="E49" i="5"/>
  <c r="G46" i="5"/>
  <c r="J22" i="5"/>
  <c r="J24" i="5"/>
  <c r="J26" i="5"/>
  <c r="K21" i="5"/>
  <c r="L19" i="5"/>
  <c r="L21" i="5"/>
  <c r="H45" i="5"/>
  <c r="I32" i="5"/>
  <c r="F47" i="5"/>
  <c r="E46" i="1"/>
  <c r="F46" i="1"/>
  <c r="D48" i="1"/>
  <c r="C49" i="3"/>
  <c r="C48" i="3"/>
  <c r="F44" i="3"/>
  <c r="G31" i="3"/>
  <c r="D48" i="3"/>
  <c r="D49" i="3"/>
  <c r="E45" i="3"/>
  <c r="E46" i="3"/>
  <c r="I20" i="3"/>
  <c r="H21" i="3"/>
  <c r="H23" i="3"/>
  <c r="H25" i="3"/>
  <c r="J19" i="1"/>
  <c r="I21" i="1"/>
  <c r="I22" i="1"/>
  <c r="F47" i="1"/>
  <c r="F47" i="3"/>
  <c r="I47" i="6"/>
  <c r="K44" i="6"/>
  <c r="M30" i="6"/>
  <c r="M31" i="6"/>
  <c r="G48" i="6"/>
  <c r="H46" i="6"/>
  <c r="G49" i="6"/>
  <c r="G46" i="8"/>
  <c r="G48" i="8"/>
  <c r="F49" i="8"/>
  <c r="G46" i="7"/>
  <c r="G47" i="7"/>
  <c r="H46" i="7"/>
  <c r="F49" i="7"/>
  <c r="J44" i="6"/>
  <c r="J45" i="6"/>
  <c r="K31" i="6"/>
  <c r="L31" i="6"/>
  <c r="G44" i="1"/>
  <c r="G45" i="1"/>
  <c r="H31" i="1"/>
  <c r="F45" i="1"/>
  <c r="I44" i="8"/>
  <c r="I47" i="8"/>
  <c r="J31" i="8"/>
  <c r="K21" i="8"/>
  <c r="K23" i="8"/>
  <c r="K25" i="8"/>
  <c r="H45" i="8"/>
  <c r="L23" i="8"/>
  <c r="L25" i="8"/>
  <c r="L21" i="8"/>
  <c r="K21" i="7"/>
  <c r="K23" i="7"/>
  <c r="K25" i="7"/>
  <c r="L21" i="7"/>
  <c r="L23" i="7"/>
  <c r="L25" i="7"/>
  <c r="I44" i="7"/>
  <c r="J31" i="7"/>
  <c r="H45" i="7"/>
  <c r="F49" i="5"/>
  <c r="H46" i="5"/>
  <c r="L24" i="5"/>
  <c r="L26" i="5"/>
  <c r="L22" i="5"/>
  <c r="K24" i="5"/>
  <c r="K26" i="5"/>
  <c r="K22" i="5"/>
  <c r="I45" i="5"/>
  <c r="J32" i="5"/>
  <c r="G47" i="5"/>
  <c r="E48" i="1"/>
  <c r="H31" i="3"/>
  <c r="G44" i="3"/>
  <c r="G45" i="3"/>
  <c r="F45" i="3"/>
  <c r="J20" i="3"/>
  <c r="I21" i="3"/>
  <c r="I23" i="3"/>
  <c r="I25" i="3"/>
  <c r="I24" i="1"/>
  <c r="I26" i="1"/>
  <c r="K19" i="1"/>
  <c r="J21" i="1"/>
  <c r="J22" i="1"/>
  <c r="G46" i="1"/>
  <c r="J24" i="1"/>
  <c r="J26" i="1"/>
  <c r="J31" i="1"/>
  <c r="G47" i="1"/>
  <c r="H47" i="1"/>
  <c r="G47" i="3"/>
  <c r="J47" i="6"/>
  <c r="K47" i="6"/>
  <c r="K45" i="6"/>
  <c r="B53" i="6"/>
  <c r="H46" i="8"/>
  <c r="H49" i="8"/>
  <c r="G49" i="8"/>
  <c r="B33" i="6"/>
  <c r="I46" i="6"/>
  <c r="I44" i="1"/>
  <c r="H44" i="1"/>
  <c r="I31" i="1"/>
  <c r="M25" i="8"/>
  <c r="M30" i="8"/>
  <c r="M31" i="8"/>
  <c r="L31" i="8"/>
  <c r="K44" i="8"/>
  <c r="J44" i="8"/>
  <c r="J47" i="8"/>
  <c r="K47" i="8"/>
  <c r="K31" i="8"/>
  <c r="I45" i="8"/>
  <c r="H47" i="7"/>
  <c r="I46" i="7"/>
  <c r="I45" i="7"/>
  <c r="K44" i="7"/>
  <c r="M25" i="7"/>
  <c r="M30" i="7"/>
  <c r="M31" i="7"/>
  <c r="L31" i="7"/>
  <c r="J44" i="7"/>
  <c r="K31" i="7"/>
  <c r="G48" i="7"/>
  <c r="G49" i="7"/>
  <c r="F48" i="1"/>
  <c r="G49" i="5"/>
  <c r="I46" i="5"/>
  <c r="J45" i="5"/>
  <c r="K32" i="5"/>
  <c r="M26" i="5"/>
  <c r="M32" i="5"/>
  <c r="K45" i="5"/>
  <c r="B54" i="5"/>
  <c r="L32" i="5"/>
  <c r="H47" i="5"/>
  <c r="E48" i="3"/>
  <c r="F46" i="3"/>
  <c r="E49" i="3"/>
  <c r="H44" i="3"/>
  <c r="I31" i="3"/>
  <c r="K20" i="3"/>
  <c r="L20" i="3"/>
  <c r="J21" i="3"/>
  <c r="J23" i="3"/>
  <c r="J25" i="3"/>
  <c r="L19" i="1"/>
  <c r="L21" i="1"/>
  <c r="L22" i="1"/>
  <c r="K21" i="1"/>
  <c r="K22" i="1"/>
  <c r="B34" i="5"/>
  <c r="H46" i="1"/>
  <c r="G48" i="1"/>
  <c r="I47" i="1"/>
  <c r="H47" i="3"/>
  <c r="K24" i="1"/>
  <c r="K26" i="1"/>
  <c r="L24" i="1"/>
  <c r="L26" i="1"/>
  <c r="I46" i="8"/>
  <c r="I48" i="8"/>
  <c r="H48" i="8"/>
  <c r="H49" i="6"/>
  <c r="H48" i="6"/>
  <c r="I48" i="6"/>
  <c r="I49" i="6"/>
  <c r="J46" i="6"/>
  <c r="B33" i="7"/>
  <c r="B53" i="7"/>
  <c r="I47" i="7"/>
  <c r="I49" i="7"/>
  <c r="J44" i="1"/>
  <c r="J45" i="1"/>
  <c r="K31" i="1"/>
  <c r="H45" i="1"/>
  <c r="I45" i="1"/>
  <c r="K45" i="8"/>
  <c r="B53" i="8"/>
  <c r="J45" i="8"/>
  <c r="B33" i="8"/>
  <c r="K45" i="7"/>
  <c r="J45" i="7"/>
  <c r="H49" i="7"/>
  <c r="H48" i="7"/>
  <c r="H49" i="5"/>
  <c r="K46" i="5"/>
  <c r="J46" i="5"/>
  <c r="I47" i="5"/>
  <c r="F48" i="3"/>
  <c r="J31" i="3"/>
  <c r="I44" i="3"/>
  <c r="I45" i="3"/>
  <c r="H45" i="3"/>
  <c r="L21" i="3"/>
  <c r="L23" i="3"/>
  <c r="L25" i="3"/>
  <c r="K21" i="3"/>
  <c r="K23" i="3"/>
  <c r="K25" i="3"/>
  <c r="J47" i="1"/>
  <c r="I47" i="3"/>
  <c r="K46" i="6"/>
  <c r="J48" i="6"/>
  <c r="J49" i="6"/>
  <c r="J46" i="7"/>
  <c r="J47" i="7"/>
  <c r="I48" i="7"/>
  <c r="H48" i="1"/>
  <c r="I46" i="1"/>
  <c r="J46" i="1"/>
  <c r="N26" i="1"/>
  <c r="N30" i="1"/>
  <c r="N31" i="1"/>
  <c r="K44" i="1"/>
  <c r="L31" i="1"/>
  <c r="B33" i="1"/>
  <c r="J46" i="8"/>
  <c r="J48" i="8"/>
  <c r="I49" i="8"/>
  <c r="I49" i="5"/>
  <c r="J47" i="5"/>
  <c r="F49" i="3"/>
  <c r="G46" i="3"/>
  <c r="K31" i="3"/>
  <c r="J44" i="3"/>
  <c r="K44" i="3"/>
  <c r="L31" i="3"/>
  <c r="M25" i="3"/>
  <c r="M30" i="3"/>
  <c r="M31" i="3"/>
  <c r="K47" i="1"/>
  <c r="J47" i="3"/>
  <c r="K47" i="3"/>
  <c r="K48" i="6"/>
  <c r="K49" i="6"/>
  <c r="B52" i="6"/>
  <c r="B54" i="6"/>
  <c r="B55" i="6"/>
  <c r="E62" i="6"/>
  <c r="K46" i="7"/>
  <c r="K47" i="7"/>
  <c r="B52" i="7"/>
  <c r="B54" i="7"/>
  <c r="B55" i="7"/>
  <c r="B56" i="7"/>
  <c r="J49" i="7"/>
  <c r="J48" i="7"/>
  <c r="I48" i="1"/>
  <c r="K45" i="1"/>
  <c r="B52" i="1"/>
  <c r="B53" i="3"/>
  <c r="K46" i="8"/>
  <c r="K48" i="8"/>
  <c r="J49" i="8"/>
  <c r="J49" i="5"/>
  <c r="K47" i="5"/>
  <c r="B53" i="5"/>
  <c r="K45" i="3"/>
  <c r="G48" i="3"/>
  <c r="H46" i="3"/>
  <c r="G49" i="3"/>
  <c r="J45" i="3"/>
  <c r="B33" i="3"/>
  <c r="J48" i="1"/>
  <c r="K46" i="1"/>
  <c r="B51" i="1"/>
  <c r="B53" i="1"/>
  <c r="B54" i="1"/>
  <c r="B55" i="1"/>
  <c r="K49" i="7"/>
  <c r="K48" i="7"/>
  <c r="B56" i="6"/>
  <c r="E53" i="6"/>
  <c r="K49" i="8"/>
  <c r="B52" i="8"/>
  <c r="B54" i="8"/>
  <c r="B55" i="8"/>
  <c r="E62" i="7"/>
  <c r="E53" i="7"/>
  <c r="K49" i="5"/>
  <c r="B55" i="5"/>
  <c r="B56" i="5"/>
  <c r="H49" i="3"/>
  <c r="E62" i="8"/>
  <c r="B56" i="8"/>
  <c r="E53" i="8"/>
  <c r="I46" i="3"/>
  <c r="H48" i="3"/>
  <c r="K48" i="1"/>
  <c r="E61" i="1"/>
  <c r="E52" i="1"/>
  <c r="E63" i="5"/>
  <c r="B57" i="5"/>
  <c r="E54" i="5"/>
  <c r="J46" i="3"/>
  <c r="I49" i="3"/>
  <c r="I48" i="3"/>
  <c r="J49" i="3"/>
  <c r="K46" i="3"/>
  <c r="J48" i="3"/>
  <c r="B52" i="3"/>
  <c r="K49" i="3"/>
  <c r="K48" i="3"/>
  <c r="B54" i="3"/>
  <c r="B55" i="3"/>
  <c r="B56" i="3"/>
  <c r="E53" i="3"/>
  <c r="E62" i="3"/>
  <c r="C18" i="9"/>
  <c r="C19" i="9"/>
  <c r="C21" i="9"/>
  <c r="C22" i="9"/>
  <c r="D18" i="9"/>
  <c r="D19" i="9"/>
  <c r="E18" i="9"/>
  <c r="D21" i="9"/>
  <c r="D22" i="9"/>
  <c r="E19" i="9"/>
  <c r="C23" i="9"/>
  <c r="C24" i="9"/>
  <c r="C26" i="9"/>
  <c r="B48" i="9"/>
  <c r="C32" i="9"/>
  <c r="D23" i="9"/>
  <c r="D24" i="9"/>
  <c r="D26" i="9"/>
  <c r="E21" i="9"/>
  <c r="E22" i="9"/>
  <c r="F19" i="9"/>
  <c r="E23" i="9"/>
  <c r="E24" i="9"/>
  <c r="E26" i="9"/>
  <c r="G18" i="9"/>
  <c r="G19" i="9"/>
  <c r="F21" i="9"/>
  <c r="F22" i="9"/>
  <c r="D32" i="9"/>
  <c r="C48" i="9"/>
  <c r="B50" i="9"/>
  <c r="B51" i="9"/>
  <c r="E32" i="9"/>
  <c r="D48" i="9"/>
  <c r="B52" i="9"/>
  <c r="B53" i="9"/>
  <c r="C50" i="9"/>
  <c r="C49" i="9"/>
  <c r="C51" i="9"/>
  <c r="F23" i="9"/>
  <c r="F24" i="9"/>
  <c r="F26" i="9"/>
  <c r="G21" i="9"/>
  <c r="G22" i="9"/>
  <c r="H18" i="9"/>
  <c r="H19" i="9"/>
  <c r="I18" i="9"/>
  <c r="I19" i="9"/>
  <c r="H21" i="9"/>
  <c r="H22" i="9"/>
  <c r="C52" i="9"/>
  <c r="C53" i="9"/>
  <c r="G24" i="9"/>
  <c r="G26" i="9"/>
  <c r="G23" i="9"/>
  <c r="E48" i="9"/>
  <c r="F32" i="9"/>
  <c r="D51" i="9"/>
  <c r="D50" i="9"/>
  <c r="D49" i="9"/>
  <c r="I21" i="9"/>
  <c r="I22" i="9"/>
  <c r="J18" i="9"/>
  <c r="J19" i="9"/>
  <c r="F48" i="9"/>
  <c r="G32" i="9"/>
  <c r="D53" i="9"/>
  <c r="D52" i="9"/>
  <c r="E49" i="9"/>
  <c r="E51" i="9"/>
  <c r="E50" i="9"/>
  <c r="H23" i="9"/>
  <c r="H24" i="9"/>
  <c r="H26" i="9"/>
  <c r="H32" i="9"/>
  <c r="G48" i="9"/>
  <c r="J21" i="9"/>
  <c r="J22" i="9"/>
  <c r="K18" i="9"/>
  <c r="K19" i="9"/>
  <c r="E53" i="9"/>
  <c r="E52" i="9"/>
  <c r="I23" i="9"/>
  <c r="I24" i="9"/>
  <c r="I26" i="9"/>
  <c r="F51" i="9"/>
  <c r="F49" i="9"/>
  <c r="F50" i="9"/>
  <c r="L18" i="9"/>
  <c r="L19" i="9"/>
  <c r="K21" i="9"/>
  <c r="K22" i="9"/>
  <c r="F52" i="9"/>
  <c r="F53" i="9"/>
  <c r="I32" i="9"/>
  <c r="H48" i="9"/>
  <c r="J23" i="9"/>
  <c r="J24" i="9"/>
  <c r="J26" i="9"/>
  <c r="G51" i="9"/>
  <c r="G49" i="9"/>
  <c r="G50" i="9"/>
  <c r="M19" i="9"/>
  <c r="M21" i="9"/>
  <c r="M22" i="9"/>
  <c r="L21" i="9"/>
  <c r="L22" i="9"/>
  <c r="G52" i="9"/>
  <c r="G53" i="9"/>
  <c r="I48" i="9"/>
  <c r="J32" i="9"/>
  <c r="H49" i="9"/>
  <c r="H51" i="9"/>
  <c r="H50" i="9"/>
  <c r="K23" i="9"/>
  <c r="K24" i="9"/>
  <c r="K26" i="9"/>
  <c r="H52" i="9"/>
  <c r="H53" i="9"/>
  <c r="K32" i="9"/>
  <c r="J48" i="9"/>
  <c r="I49" i="9"/>
  <c r="I51" i="9"/>
  <c r="I50" i="9"/>
  <c r="L23" i="9"/>
  <c r="L24" i="9"/>
  <c r="L26" i="9"/>
  <c r="M23" i="9"/>
  <c r="M24" i="9"/>
  <c r="M26" i="9"/>
  <c r="M31" i="9"/>
  <c r="M32" i="9"/>
  <c r="L32" i="9"/>
  <c r="K48" i="9"/>
  <c r="I52" i="9"/>
  <c r="I53" i="9"/>
  <c r="J50" i="9"/>
  <c r="J51" i="9"/>
  <c r="J49" i="9"/>
  <c r="J53" i="9"/>
  <c r="J52" i="9"/>
  <c r="K49" i="9"/>
  <c r="K51" i="9"/>
  <c r="K50" i="9"/>
  <c r="B57" i="9"/>
  <c r="K52" i="9"/>
  <c r="K53" i="9"/>
  <c r="B56" i="9"/>
  <c r="B58" i="9"/>
  <c r="B59" i="9"/>
  <c r="B60" i="9"/>
  <c r="E57" i="9"/>
  <c r="E66" i="9"/>
</calcChain>
</file>

<file path=xl/sharedStrings.xml><?xml version="1.0" encoding="utf-8"?>
<sst xmlns="http://schemas.openxmlformats.org/spreadsheetml/2006/main" count="660" uniqueCount="132">
  <si>
    <t>SDS Group Berhad</t>
  </si>
  <si>
    <t>About The Company</t>
  </si>
  <si>
    <t>What are they selling?</t>
  </si>
  <si>
    <t>Bread, bakery products, café</t>
  </si>
  <si>
    <t>Main strengths</t>
  </si>
  <si>
    <t>Third largest bread maker, best bakery/café for B40s (like me), brand and reputation, scale</t>
  </si>
  <si>
    <t>Main weaknesses</t>
  </si>
  <si>
    <t>vulnurable to commodity prices, diseases, inflation</t>
  </si>
  <si>
    <t>Balance sheet</t>
  </si>
  <si>
    <t>Balance sheet is fine, debt is servicable by FCF</t>
  </si>
  <si>
    <t>Discounted Cash Flows Valuation Method</t>
  </si>
  <si>
    <t>Assumptions</t>
  </si>
  <si>
    <t>Justification</t>
  </si>
  <si>
    <t>Values</t>
  </si>
  <si>
    <t>Revenue Growth</t>
  </si>
  <si>
    <t>The company had previously faster average growth, SDS cafes are superior to other cafes, low end values are chosen.</t>
  </si>
  <si>
    <t>Market Capitalization</t>
  </si>
  <si>
    <t>Operating Margin</t>
  </si>
  <si>
    <t>The low average margin taken from annual reports, low end values are chosen.</t>
  </si>
  <si>
    <t>Discount Rate</t>
  </si>
  <si>
    <t>FCF to Earnings</t>
  </si>
  <si>
    <t>The sum of all free cash flows divided by the sum of all operating earnings compared with the average FCF to operating earnings, low end values are chosen.</t>
  </si>
  <si>
    <t>Terminal Growth</t>
  </si>
  <si>
    <t>Debt and interest payments</t>
  </si>
  <si>
    <t>Total debt divide by 10 years, no new debt issuances.</t>
  </si>
  <si>
    <t>Discount rate</t>
  </si>
  <si>
    <t>Reasonable rate of return demanded by investors.</t>
  </si>
  <si>
    <t>Discounted Cash Flows</t>
  </si>
  <si>
    <t>Base Year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</si>
  <si>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</si>
  <si>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</si>
  <si>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</si>
  <si>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</si>
  <si>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</si>
  <si>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</si>
  <si>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</si>
  <si>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</si>
  <si>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</si>
  <si>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</si>
  <si>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Terminal Year</t>
  </si>
  <si>
    <t>Revenue growth</t>
  </si>
  <si>
    <t>Revenue</t>
  </si>
  <si>
    <t>Operating margin</t>
  </si>
  <si>
    <t>Operating earnings</t>
  </si>
  <si>
    <t>Operating earnings After Tax</t>
  </si>
  <si>
    <t>FCF to earnings</t>
  </si>
  <si>
    <t>FCFF</t>
  </si>
  <si>
    <t>FCFE</t>
  </si>
  <si>
    <t>Terminal CF</t>
  </si>
  <si>
    <t>Period</t>
  </si>
  <si>
    <t>Discount factor</t>
  </si>
  <si>
    <t>Terminal Value</t>
  </si>
  <si>
    <t>DCF</t>
  </si>
  <si>
    <t>DTV</t>
  </si>
  <si>
    <t>Value</t>
  </si>
  <si>
    <t>Market cap</t>
  </si>
  <si>
    <t>Intrinsic value</t>
  </si>
  <si>
    <t>Market capitalization</t>
  </si>
  <si>
    <t>Required FCFE yield</t>
  </si>
  <si>
    <t>Required annual return, %</t>
  </si>
  <si>
    <t>Capital Gains and Cash Distribution</t>
  </si>
  <si>
    <t>2024</t>
  </si>
  <si>
    <t>Distributable free cash flow</t>
  </si>
  <si>
    <t>Free cash flow to equity growth</t>
  </si>
  <si>
    <t>Free cash flow to equity yield</t>
  </si>
  <si>
    <t>Cumulative market cap</t>
  </si>
  <si>
    <t>Capital gains</t>
  </si>
  <si>
    <t>Valuation Summary</t>
  </si>
  <si>
    <t>Market Cap and FCFE Yield Requirement Threshold</t>
  </si>
  <si>
    <t>Ending market cap</t>
  </si>
  <si>
    <t>Required Yield</t>
  </si>
  <si>
    <t>Market Cap</t>
  </si>
  <si>
    <t>Potential cash distribution</t>
  </si>
  <si>
    <t>Sum of profits</t>
  </si>
  <si>
    <t>CAGR</t>
  </si>
  <si>
    <t>Investable at market cap?</t>
  </si>
  <si>
    <t>Expected Annual Returns</t>
  </si>
  <si>
    <t>Scientex Berhad</t>
  </si>
  <si>
    <t>Plastic packaging, real estate</t>
  </si>
  <si>
    <t>Exceptional track record (double every 5 years), superb management, brand and reputation, scale</t>
  </si>
  <si>
    <t>Saturated industries, compressing margins</t>
  </si>
  <si>
    <t>The company had previously superb growth but slowing down, low end values are chosen.</t>
  </si>
  <si>
    <t>Total debt divided by 10 years, no new debt issuances.</t>
  </si>
  <si>
    <t>Terminal</t>
  </si>
  <si>
    <t>Debt settlement</t>
  </si>
  <si>
    <t>Required FCFE Yield</t>
  </si>
  <si>
    <t>Distributable Free Cash Flow</t>
  </si>
  <si>
    <t>Free Cash Flow to Equity Growth</t>
  </si>
  <si>
    <t>Free Cash Flow to Equity Yield</t>
  </si>
  <si>
    <t>Capital Gains</t>
  </si>
  <si>
    <t>Ending Market Cap</t>
  </si>
  <si>
    <t>Potential Cash Distribution</t>
  </si>
  <si>
    <t>Sum of Profits</t>
  </si>
  <si>
    <t>Investable?</t>
  </si>
  <si>
    <t>Lim Seong Hai Capital Berhad</t>
  </si>
  <si>
    <t>They sell homebuilding tools, do construction and real estate</t>
  </si>
  <si>
    <t>Superior margins, good track record</t>
  </si>
  <si>
    <t>Saturated industry, margins may erode</t>
  </si>
  <si>
    <t>Balance sheet is great, lots of cash, debt is servicable by FCF</t>
  </si>
  <si>
    <t>The company just got off IPO, relatively small, ease of scaling</t>
  </si>
  <si>
    <t>The low average margin taken from annual reports, low end values are chosen. Margins may erode.</t>
  </si>
  <si>
    <t>Discounted Free Cash Flow</t>
  </si>
  <si>
    <t>Growth Factor</t>
  </si>
  <si>
    <t>Mega First Corporation Berhad</t>
  </si>
  <si>
    <t>Servicing water dams, solar farms, packaging, limestone quarry</t>
  </si>
  <si>
    <t>Superb builders, superb management, brand and reputation, scale, energy mega project candidate</t>
  </si>
  <si>
    <t>Country risk, concentration risk</t>
  </si>
  <si>
    <t>The company had okay growth, I'm optimistic a mega project is coming soon.</t>
  </si>
  <si>
    <t>The low average margin taken from annual reports, low end values are chosen. Even 20% may be reasonable after Don Sahong.</t>
  </si>
  <si>
    <t>Takaful</t>
  </si>
  <si>
    <t>DCF Valuation</t>
  </si>
  <si>
    <t>Prinx Chengshan Holdings Ltd</t>
  </si>
  <si>
    <t>They sell 80% steel radial tires</t>
  </si>
  <si>
    <t>Cheap, dirty cheap rn</t>
  </si>
  <si>
    <t>Very saturated industry, slim margins, commodity price threat</t>
  </si>
  <si>
    <t>Operating CA</t>
  </si>
  <si>
    <t>Operating CL</t>
  </si>
  <si>
    <t>Net working capital</t>
  </si>
  <si>
    <t>NWC increase</t>
  </si>
  <si>
    <t>Reinvestments</t>
  </si>
  <si>
    <t>Fixed assets</t>
  </si>
  <si>
    <t>Change</t>
  </si>
  <si>
    <t>Net reinvestment</t>
  </si>
  <si>
    <t>% of total IC</t>
  </si>
  <si>
    <t>Invested capital</t>
  </si>
  <si>
    <t>CSPC Pharmaceuticals Group Ltd</t>
  </si>
  <si>
    <t>Intrinsic Value</t>
  </si>
  <si>
    <t>Innovative and generic drugs</t>
  </si>
  <si>
    <t>4th largest company in China, RnD leader</t>
  </si>
  <si>
    <t>Vulnurable to commoditization of drugs</t>
  </si>
  <si>
    <t>Stable</t>
  </si>
  <si>
    <t>Modified Rate of Return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</si>
</sst>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.00_-;\-* #,##0.00_-;_-* &quot;-&quot;??_-;_-@_-"/>
    <numFmt numFmtId="165" formatCode="#,##0;\(#,##0\);&quot;-&quot;"/>
    <numFmt numFmtId="166" formatCode="#,##0.00;\(#,##0.00\);&quot;-&quot;"/>
    <numFmt numFmtId="167" formatCode="_-* #,##0_-;\-* #,##0_-;_-* &quot;-&quot;??_-;_-@_-"/>
    <numFmt numFmtId="168" formatCode="#,##0.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2" fontId="0" fillId="0" borderId="0" xfId="0" applyNumberFormat="1"/>
    <xf numFmtId="2" fontId="0" fillId="0" borderId="0" xfId="2" applyNumberFormat="1" applyFont="1"/>
    <xf numFmtId="9" fontId="0" fillId="0" borderId="0" xfId="2" applyFont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165" fontId="0" fillId="0" borderId="0" xfId="0" applyNumberFormat="1"/>
    <xf numFmtId="10" fontId="0" fillId="0" borderId="0" xfId="2" applyNumberFormat="1" applyFont="1"/>
    <xf numFmtId="0" fontId="0" fillId="0" borderId="0" xfId="0" applyAlignment="1">
      <alignment vertical="center"/>
    </xf>
    <xf numFmtId="166" fontId="0" fillId="0" borderId="0" xfId="2" applyNumberFormat="1" applyFont="1"/>
    <xf numFmtId="165" fontId="0" fillId="0" borderId="0" xfId="0" applyNumberFormat="1" applyAlignment="1">
      <alignment vertical="center"/>
    </xf>
    <xf numFmtId="0" fontId="0" fillId="0" borderId="3" xfId="0" applyBorder="1"/>
    <xf numFmtId="10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10" fontId="0" fillId="0" borderId="6" xfId="0" applyNumberFormat="1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10" fontId="0" fillId="0" borderId="0" xfId="2" applyNumberFormat="1" applyFont="1" applyAlignment="1">
      <alignment vertical="center"/>
    </xf>
    <xf numFmtId="10" fontId="0" fillId="0" borderId="9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0" fontId="0" fillId="0" borderId="0" xfId="2" applyNumberFormat="1" applyFont="1" applyAlignment="1">
      <alignment horizontal="left"/>
    </xf>
    <xf numFmtId="10" fontId="0" fillId="0" borderId="2" xfId="2" applyNumberFormat="1" applyFont="1" applyBorder="1" applyAlignment="1">
      <alignment vertical="center" wrapText="1"/>
    </xf>
    <xf numFmtId="10" fontId="0" fillId="0" borderId="3" xfId="2" applyNumberFormat="1" applyFont="1" applyBorder="1" applyAlignment="1">
      <alignment vertical="center" wrapText="1"/>
    </xf>
    <xf numFmtId="10" fontId="0" fillId="0" borderId="12" xfId="2" applyNumberFormat="1" applyFont="1" applyBorder="1" applyAlignment="1">
      <alignment vertical="center" wrapText="1"/>
    </xf>
    <xf numFmtId="10" fontId="0" fillId="0" borderId="6" xfId="2" applyNumberFormat="1" applyFont="1" applyBorder="1" applyAlignment="1">
      <alignment vertical="center" wrapText="1"/>
    </xf>
    <xf numFmtId="10" fontId="0" fillId="0" borderId="0" xfId="2" applyNumberFormat="1" applyFont="1" applyBorder="1" applyAlignment="1">
      <alignment vertical="center" wrapText="1"/>
    </xf>
    <xf numFmtId="10" fontId="0" fillId="0" borderId="8" xfId="2" applyNumberFormat="1" applyFont="1" applyBorder="1" applyAlignment="1">
      <alignment vertical="center" wrapText="1"/>
    </xf>
    <xf numFmtId="165" fontId="0" fillId="0" borderId="0" xfId="2" applyNumberFormat="1" applyFont="1"/>
    <xf numFmtId="10" fontId="0" fillId="0" borderId="0" xfId="0" applyNumberFormat="1"/>
    <xf numFmtId="9" fontId="0" fillId="0" borderId="0" xfId="0" applyNumberFormat="1"/>
    <xf numFmtId="165" fontId="0" fillId="0" borderId="0" xfId="1" applyNumberFormat="1" applyFont="1" applyFill="1" applyBorder="1" applyAlignment="1">
      <alignment horizontal="right"/>
    </xf>
    <xf numFmtId="10" fontId="0" fillId="0" borderId="9" xfId="2" applyNumberFormat="1" applyFont="1" applyBorder="1" applyAlignment="1">
      <alignment vertical="center" wrapText="1"/>
    </xf>
    <xf numFmtId="10" fontId="0" fillId="0" borderId="1" xfId="2" applyNumberFormat="1" applyFont="1" applyBorder="1" applyAlignment="1">
      <alignment vertical="center" wrapText="1"/>
    </xf>
    <xf numFmtId="10" fontId="0" fillId="0" borderId="10" xfId="2" applyNumberFormat="1" applyFont="1" applyBorder="1" applyAlignment="1">
      <alignment vertical="center" wrapText="1"/>
    </xf>
    <xf numFmtId="2" fontId="0" fillId="0" borderId="13" xfId="0" applyNumberFormat="1" applyBorder="1"/>
    <xf numFmtId="165" fontId="0" fillId="0" borderId="0" xfId="1" applyNumberFormat="1" applyFont="1"/>
    <xf numFmtId="165" fontId="0" fillId="0" borderId="13" xfId="0" applyNumberFormat="1" applyBorder="1"/>
    <xf numFmtId="165" fontId="0" fillId="0" borderId="0" xfId="1" applyNumberFormat="1" applyFont="1" applyAlignment="1">
      <alignment horizontal="right"/>
    </xf>
    <xf numFmtId="10" fontId="0" fillId="0" borderId="7" xfId="2" applyNumberFormat="1" applyFont="1" applyBorder="1" applyAlignment="1">
      <alignment vertical="center" wrapText="1"/>
    </xf>
    <xf numFmtId="10" fontId="4" fillId="0" borderId="0" xfId="2" applyNumberFormat="1" applyFont="1"/>
    <xf numFmtId="9" fontId="4" fillId="0" borderId="0" xfId="2" applyFont="1"/>
    <xf numFmtId="165" fontId="4" fillId="0" borderId="0" xfId="0" applyNumberFormat="1" applyFont="1"/>
    <xf numFmtId="0" fontId="0" fillId="0" borderId="12" xfId="0" applyBorder="1" applyAlignment="1">
      <alignment vertical="center" wrapText="1"/>
    </xf>
    <xf numFmtId="165" fontId="0" fillId="0" borderId="13" xfId="1" applyNumberFormat="1" applyFont="1" applyBorder="1"/>
    <xf numFmtId="9" fontId="4" fillId="0" borderId="0" xfId="0" applyNumberFormat="1" applyFont="1"/>
    <xf numFmtId="165" fontId="5" fillId="0" borderId="0" xfId="0" applyNumberFormat="1" applyFont="1"/>
    <xf numFmtId="10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66" fontId="0" fillId="0" borderId="0" xfId="0" applyNumberFormat="1" applyAlignment="1">
      <alignment vertical="center"/>
    </xf>
    <xf numFmtId="0" fontId="0" fillId="0" borderId="14" xfId="0" applyBorder="1"/>
    <xf numFmtId="2" fontId="0" fillId="0" borderId="14" xfId="0" applyNumberFormat="1" applyBorder="1"/>
    <xf numFmtId="0" fontId="2" fillId="3" borderId="0" xfId="0" applyFont="1" applyFill="1" applyAlignment="1">
      <alignment horizontal="left" vertical="center"/>
    </xf>
    <xf numFmtId="2" fontId="0" fillId="0" borderId="13" xfId="1" applyNumberFormat="1" applyFont="1" applyBorder="1"/>
    <xf numFmtId="0" fontId="2" fillId="3" borderId="8" xfId="0" applyFont="1" applyFill="1" applyBorder="1" applyAlignment="1">
      <alignment horizontal="right" vertical="center"/>
    </xf>
    <xf numFmtId="167" fontId="0" fillId="0" borderId="8" xfId="1" applyNumberFormat="1" applyFont="1" applyBorder="1"/>
    <xf numFmtId="9" fontId="4" fillId="0" borderId="8" xfId="0" applyNumberFormat="1" applyFont="1" applyBorder="1"/>
    <xf numFmtId="2" fontId="0" fillId="0" borderId="8" xfId="1" applyNumberFormat="1" applyFont="1" applyBorder="1"/>
    <xf numFmtId="2" fontId="0" fillId="0" borderId="15" xfId="1" applyNumberFormat="1" applyFont="1" applyBorder="1"/>
    <xf numFmtId="9" fontId="4" fillId="0" borderId="8" xfId="2" applyFont="1" applyBorder="1"/>
    <xf numFmtId="2" fontId="0" fillId="0" borderId="8" xfId="0" applyNumberFormat="1" applyBorder="1"/>
    <xf numFmtId="2" fontId="0" fillId="0" borderId="15" xfId="0" applyNumberFormat="1" applyBorder="1"/>
    <xf numFmtId="10" fontId="0" fillId="0" borderId="16" xfId="2" applyNumberFormat="1" applyFont="1" applyBorder="1" applyAlignment="1">
      <alignment vertical="center"/>
    </xf>
    <xf numFmtId="2" fontId="4" fillId="0" borderId="8" xfId="0" applyNumberFormat="1" applyFont="1" applyBorder="1"/>
    <xf numFmtId="2" fontId="5" fillId="0" borderId="13" xfId="0" applyNumberFormat="1" applyFont="1" applyBorder="1"/>
    <xf numFmtId="2" fontId="5" fillId="0" borderId="15" xfId="0" applyNumberFormat="1" applyFont="1" applyBorder="1"/>
    <xf numFmtId="165" fontId="0" fillId="0" borderId="16" xfId="1" applyNumberFormat="1" applyFont="1" applyBorder="1" applyAlignment="1">
      <alignment horizontal="right"/>
    </xf>
    <xf numFmtId="165" fontId="0" fillId="0" borderId="14" xfId="1" applyNumberFormat="1" applyFont="1" applyBorder="1"/>
    <xf numFmtId="2" fontId="0" fillId="0" borderId="0" xfId="1" applyNumberFormat="1" applyFont="1" applyBorder="1"/>
    <xf numFmtId="10" fontId="0" fillId="0" borderId="16" xfId="2" applyNumberFormat="1" applyFont="1" applyBorder="1"/>
    <xf numFmtId="1" fontId="0" fillId="0" borderId="16" xfId="1" applyNumberFormat="1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2" fillId="3" borderId="6" xfId="0" applyFont="1" applyFill="1" applyBorder="1" applyAlignment="1">
      <alignment vertical="center"/>
    </xf>
    <xf numFmtId="165" fontId="0" fillId="0" borderId="8" xfId="0" applyNumberFormat="1" applyBorder="1"/>
    <xf numFmtId="10" fontId="0" fillId="0" borderId="8" xfId="2" applyNumberFormat="1" applyFont="1" applyBorder="1"/>
    <xf numFmtId="0" fontId="0" fillId="0" borderId="9" xfId="0" applyBorder="1" applyAlignment="1">
      <alignment vertical="center"/>
    </xf>
    <xf numFmtId="9" fontId="0" fillId="0" borderId="10" xfId="2" applyFont="1" applyBorder="1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right" vertical="center"/>
    </xf>
    <xf numFmtId="10" fontId="0" fillId="0" borderId="0" xfId="2" applyNumberFormat="1" applyFont="1" applyBorder="1"/>
    <xf numFmtId="0" fontId="0" fillId="0" borderId="6" xfId="0" applyBorder="1" applyAlignment="1">
      <alignment vertical="center"/>
    </xf>
    <xf numFmtId="9" fontId="0" fillId="0" borderId="0" xfId="2" applyFont="1" applyBorder="1"/>
    <xf numFmtId="9" fontId="0" fillId="0" borderId="1" xfId="2" applyFont="1" applyBorder="1"/>
    <xf numFmtId="167" fontId="0" fillId="0" borderId="0" xfId="1" applyNumberFormat="1" applyFont="1" applyBorder="1"/>
    <xf numFmtId="9" fontId="4" fillId="0" borderId="0" xfId="2" applyFont="1" applyBorder="1"/>
    <xf numFmtId="2" fontId="4" fillId="0" borderId="0" xfId="0" applyNumberFormat="1" applyFont="1"/>
    <xf numFmtId="2" fontId="0" fillId="0" borderId="0" xfId="2" applyNumberFormat="1" applyFont="1" applyBorder="1"/>
    <xf numFmtId="1" fontId="0" fillId="0" borderId="0" xfId="0" applyNumberFormat="1"/>
    <xf numFmtId="10" fontId="0" fillId="0" borderId="0" xfId="2" applyNumberFormat="1" applyFont="1" applyBorder="1" applyAlignment="1">
      <alignment horizontal="left"/>
    </xf>
    <xf numFmtId="10" fontId="4" fillId="0" borderId="0" xfId="2" applyNumberFormat="1" applyFont="1" applyBorder="1"/>
    <xf numFmtId="165" fontId="0" fillId="0" borderId="0" xfId="1" applyNumberFormat="1" applyFont="1" applyBorder="1"/>
    <xf numFmtId="165" fontId="5" fillId="0" borderId="8" xfId="0" applyNumberFormat="1" applyFont="1" applyBorder="1"/>
    <xf numFmtId="10" fontId="4" fillId="0" borderId="8" xfId="2" applyNumberFormat="1" applyFont="1" applyBorder="1"/>
    <xf numFmtId="9" fontId="4" fillId="0" borderId="10" xfId="2" applyFont="1" applyBorder="1"/>
    <xf numFmtId="0" fontId="0" fillId="0" borderId="0" xfId="0" applyAlignment="1">
      <alignment horizontal="left" indent="1"/>
    </xf>
    <xf numFmtId="167" fontId="0" fillId="0" borderId="0" xfId="1" applyNumberFormat="1" applyFont="1"/>
    <xf numFmtId="168" fontId="0" fillId="0" borderId="0" xfId="0" applyNumberFormat="1"/>
    <xf numFmtId="2" fontId="4" fillId="0" borderId="0" xfId="2" applyNumberFormat="1" applyFont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vertic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general" vertical="center" textRotation="0" wrapText="0" indent="0" justifyLastLine="0" shrinkToFit="0" readingOrder="0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numFmt numFmtId="165" formatCode="#,##0;\(#,##0\);&quot;-&quot;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ill>
        <patternFill>
          <bgColor theme="3" tint="0.24994659260841701"/>
        </patternFill>
      </fill>
    </dxf>
  </dxfs>
  <tableStyles count="1" defaultTableStyle="TableStyleMedium2" defaultPivotStyle="PivotStyleLight16">
    <tableStyle name="Secundus" pivot="0" count="1" xr9:uid="{1EA72E0A-A4B4-438E-947D-890EFF83FAA1}">
      <tableStyleElement type="headerRow" dxfId="2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AC864-73D1-456F-96EA-A750FF724262}" name="Table87" displayName="Table87" ref="A43:K48" totalsRowShown="0" headerRowDxfId="225" tableBorderDxfId="224">
  <autoFilter ref="A43:K48" xr:uid="{B96AC864-73D1-456F-96EA-A750FF7242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ED6528C-7207-4C00-89DB-E9019FB03E07}" name="Capital Gains and Cash Distribution" dataDxfId="223"/>
    <tableColumn id="2" xr3:uid="{27AC458B-5CD8-4795-80C6-1D40A01C33CF}" name="2024"/>
    <tableColumn id="3" xr3:uid="{650C32D1-BAB4-4287-9BBE-B472EBCA4BFB}" name="2025"/>
    <tableColumn id="4" xr3:uid="{C6AB3F29-94D1-42AE-B1EB-4736ADF330BA}" name="2026"/>
    <tableColumn id="5" xr3:uid="{7DCE795A-E955-4D18-82A1-A830C4F73E04}" name="2027"/>
    <tableColumn id="6" xr3:uid="{A8A898DF-D0BC-4854-9A6F-FC9AD2BF7075}" name="2028"/>
    <tableColumn id="7" xr3:uid="{1CB202BA-3D57-4D9D-BB6B-3DE63C0E7B1C}" name="2029"/>
    <tableColumn id="8" xr3:uid="{97A81C35-05E9-44CE-848A-E43EDA16A24C}" name="2030" dataDxfId="222"/>
    <tableColumn id="9" xr3:uid="{A05C900D-D139-4397-B151-FDD76B0CE67D}" name="2031" dataDxfId="221"/>
    <tableColumn id="10" xr3:uid="{C88445EB-D12D-4749-BBAB-D79B652689C5}" name="2032" dataDxfId="220"/>
    <tableColumn id="11" xr3:uid="{A62E6F5A-F570-4FB1-84EC-921AADE0E4FF}" name="2033" dataDxfId="219"/>
  </tableColumns>
  <tableStyleInfo name="Secundu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B134B5-9279-4590-AACE-66FF0C37AD53}" name="Table1921" displayName="Table1921" ref="A37:B41" totalsRowShown="0" headerRowDxfId="218">
  <autoFilter ref="A37:B41" xr:uid="{3CB134B5-9279-4590-AACE-66FF0C37AD53}">
    <filterColumn colId="0" hiddenButton="1"/>
    <filterColumn colId="1" hiddenButton="1"/>
  </autoFilter>
  <tableColumns count="2">
    <tableColumn id="1" xr3:uid="{E21B7360-9400-453F-884C-B8552FE1EBEE}" name="Assumptions"/>
    <tableColumn id="2" xr3:uid="{03AA370F-9A4C-4578-BAFE-5F3C22946859}" name="Values" dataDxfId="217" dataCellStyle="Percent"/>
  </tableColumns>
  <tableStyleInfo name="Secundu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AD2E32-7825-4836-9EEF-8F8EEDE7ED5D}" name="Table21" displayName="Table21" ref="A50:B55" totalsRowShown="0" tableBorderDxfId="216">
  <autoFilter ref="A50:B55" xr:uid="{80AD2E32-7825-4836-9EEF-8F8EEDE7ED5D}">
    <filterColumn colId="0" hiddenButton="1"/>
    <filterColumn colId="1" hiddenButton="1"/>
  </autoFilter>
  <tableColumns count="2">
    <tableColumn id="1" xr3:uid="{7C3384B7-7C2B-4D6A-8B05-8E7F20B5136C}" name="Valuation Summary" dataDxfId="215"/>
    <tableColumn id="2" xr3:uid="{5A6E79B4-B442-48B1-A67F-A86158BBBFDE}" name="Values" dataDxfId="214" dataCellStyle="Percent"/>
  </tableColumns>
  <tableStyleInfo name="Secundu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768B2F-87F6-4280-AD48-ABB7D6305F85}" name="Table22" displayName="Table22" ref="A17:N34" totalsRowShown="0" headerRowDxfId="213" tableBorderDxfId="212">
  <autoFilter ref="A17:N34" xr:uid="{5B768B2F-87F6-4280-AD48-ABB7D6305F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23D3D95-771B-43F6-8C7D-DA5BD6B0472F}" name="Discounted Cash Flows"/>
    <tableColumn id="2" xr3:uid="{9C1861CE-3CC3-42B8-A116-9E01CB73AB3B}" name="Base Year" dataDxfId="211"/>
    <tableColumn id="3" xr3:uid="{2A1B8A66-9D42-44BB-B5F2-85FDD8564735}" name="2025" dataDxfId="210"/>
    <tableColumn id="4" xr3:uid="{BC235C41-7CB7-4FBA-99F1-13B86941AD6D}" name="2026" dataDxfId="209"/>
    <tableColumn id="5" xr3:uid="{FC471EB6-A457-4BD5-B40A-279611C93325}" name="2027" dataDxfId="208"/>
    <tableColumn id="6" xr3:uid="{4AC1566B-0ECF-4E02-B1F3-F35F22FFF84F}" name="2028" dataDxfId="207"/>
    <tableColumn id="7" xr3:uid="{D5E4DD62-FD1D-438B-8A5B-E326904ACD28}" name="2029" dataDxfId="206"/>
    <tableColumn id="8" xr3:uid="{5B1A3382-C94E-4A59-B9D0-86DD96F3DF34}" name="2030" dataDxfId="205"/>
    <tableColumn id="9" xr3:uid="{8BB58A39-D350-459E-9CF4-DD988D109C79}" name="2031" dataDxfId="204"/>
    <tableColumn id="10" xr3:uid="{F599A3C9-00B2-4539-9829-F788C5257013}" name="2032" dataDxfId="203"/>
    <tableColumn id="11" xr3:uid="{247D6F96-2B44-401A-83F2-0003E7406B8E}" name="2033" dataDxfId="202"/>
    <tableColumn id="12" xr3:uid="{D3CCF2B6-1D87-4ECA-85C5-9B7F1088327A}" name="2034" dataDxfId="201"/>
    <tableColumn id="13" xr3:uid="{D1702B9B-1B57-4F6F-94A1-CE3C7F08BDD9}" name="Terminal Year" dataDxfId="200"/>
    <tableColumn id="15" xr3:uid="{5B5E536D-719C-4AE3-90B9-47198AEA7D50}" name="Values" dataDxfId="199"/>
  </tableColumns>
  <tableStyleInfo name="Secundu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F7DD582-CCA2-4DF2-89DE-5514DFEB9770}" name="Table192123" displayName="Table192123" ref="A10:B13" totalsRowShown="0" headerRowDxfId="198">
  <autoFilter ref="A10:B13" xr:uid="{BF7DD582-CCA2-4DF2-89DE-5514DFEB9770}">
    <filterColumn colId="0" hiddenButton="1"/>
    <filterColumn colId="1" hiddenButton="1"/>
  </autoFilter>
  <tableColumns count="2">
    <tableColumn id="1" xr3:uid="{75BA40E8-7B1D-4F59-B4AD-D59407630C8B}" name="Assumptions"/>
    <tableColumn id="2" xr3:uid="{2D907CB8-ECFD-4E5D-9A5C-B347C21DF8C4}" name="Values" dataDxfId="197" dataCellStyle="Percent"/>
  </tableColumns>
  <tableStyleInfo name="Secundu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65579A-5373-4B32-9315-EC259FFD4CF1}" name="Table87511" displayName="Table87511" ref="A44:K49" totalsRowShown="0" headerRowDxfId="196" tableBorderDxfId="195">
  <autoFilter ref="A44:K49" xr:uid="{B96AC864-73D1-456F-96EA-A750FF7242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47BD2A2-B040-4BFC-BFF1-9A9121942EA9}" name="Capital Gains and Cash Distribution" dataDxfId="194"/>
    <tableColumn id="2" xr3:uid="{3553B0F5-1814-40CE-8418-67E101A928CD}" name="2024"/>
    <tableColumn id="3" xr3:uid="{631FCF29-1A8A-43A2-A389-FF9CBA13196F}" name="2025"/>
    <tableColumn id="4" xr3:uid="{2A2BC110-E7C2-47DD-B800-FF8889420F9C}" name="2026"/>
    <tableColumn id="5" xr3:uid="{3872DE4A-3BF0-443E-9BE0-0A6BB0F0D7CA}" name="2027"/>
    <tableColumn id="6" xr3:uid="{03049040-6E74-410E-B17A-2C67968476A0}" name="2028"/>
    <tableColumn id="7" xr3:uid="{E64416E5-69DE-4D42-8840-29595F966E5C}" name="2029"/>
    <tableColumn id="8" xr3:uid="{E49BE5FF-88AC-4F9E-8BFB-04BBA258B466}" name="2030" dataDxfId="193"/>
    <tableColumn id="9" xr3:uid="{835F7DEF-1A2F-4297-B845-7530FB8C8334}" name="2031" dataDxfId="192"/>
    <tableColumn id="10" xr3:uid="{BD0ABD31-C577-4873-8862-7AA625C9A238}" name="2032" dataDxfId="191"/>
    <tableColumn id="11" xr3:uid="{EC9504BF-CE01-4542-AFCE-BE2A2175D7A4}" name="2033" dataDxfId="190"/>
  </tableColumns>
  <tableStyleInfo name="Secundu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56BE4E8-ABF1-4C51-93A7-B2110E91A5D2}" name="Table1921612" displayName="Table1921612" ref="A39:B42" totalsRowShown="0" headerRowDxfId="189">
  <autoFilter ref="A39:B42" xr:uid="{3CB134B5-9279-4590-AACE-66FF0C37AD53}">
    <filterColumn colId="0" hiddenButton="1"/>
    <filterColumn colId="1" hiddenButton="1"/>
  </autoFilter>
  <tableColumns count="2">
    <tableColumn id="1" xr3:uid="{E8447223-D342-461F-B08D-DB6ADFA1C5FF}" name="Assumptions"/>
    <tableColumn id="2" xr3:uid="{71DA6561-9866-4015-9425-A257F86B1297}" name="Values" dataDxfId="188" dataCellStyle="Percent"/>
  </tableColumns>
  <tableStyleInfo name="Secundu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183F31-FC78-4A8E-AB42-B4059A6B0EFF}" name="Table21713" displayName="Table21713" ref="A52:B57" totalsRowShown="0" tableBorderDxfId="187">
  <autoFilter ref="A52:B57" xr:uid="{80AD2E32-7825-4836-9EEF-8F8EEDE7ED5D}">
    <filterColumn colId="0" hiddenButton="1"/>
    <filterColumn colId="1" hiddenButton="1"/>
  </autoFilter>
  <tableColumns count="2">
    <tableColumn id="1" xr3:uid="{DE1852E5-9153-41B0-8C94-A67E76C4B008}" name="Valuation Summary" dataDxfId="186"/>
    <tableColumn id="2" xr3:uid="{B2BB2D79-9BD4-4829-AC0A-5D6CB9F9DF60}" name="Values" dataDxfId="185" dataCellStyle="Percent"/>
  </tableColumns>
  <tableStyleInfo name="Secundu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EB6936-707C-4FF6-99F1-CDE5FADF4D61}" name="Table9" displayName="Table9" ref="A17:M35" totalsRowShown="0" headerRowDxfId="184" tableBorderDxfId="183">
  <autoFilter ref="A17:M35" xr:uid="{FBEB6936-707C-4FF6-99F1-CDE5FADF4D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7FFEF26-FBAF-44A9-AFBE-D3E345A89055}" name="Discounted Cash Flows"/>
    <tableColumn id="2" xr3:uid="{CAF89B6D-C1C9-4A80-9B75-706C40E178D5}" name="Base Year" dataDxfId="182"/>
    <tableColumn id="3" xr3:uid="{AF7B9FE5-07B3-427E-8751-1EB1EBFF0FF9}" name="2025" dataDxfId="181"/>
    <tableColumn id="4" xr3:uid="{22174BED-D506-4371-9DB0-004B4C4C7688}" name="2026" dataDxfId="180"/>
    <tableColumn id="5" xr3:uid="{A9471224-DBA5-4BF8-ACD8-EA835B39F7CC}" name="2027" dataDxfId="179"/>
    <tableColumn id="6" xr3:uid="{73F2CF7E-C262-4DA4-B8DA-27DF206BF23C}" name="2028" dataDxfId="178"/>
    <tableColumn id="7" xr3:uid="{E7CC1D79-80AA-4B43-B81D-3DEA3F780351}" name="2029" dataDxfId="177"/>
    <tableColumn id="8" xr3:uid="{CF6BD2E2-1CCD-4E69-A78A-7BAFE1A2DF53}" name="2030" dataDxfId="176"/>
    <tableColumn id="9" xr3:uid="{29D99DED-EF0D-4ACE-BDF2-F04F45F80E97}" name="2031" dataDxfId="175"/>
    <tableColumn id="10" xr3:uid="{5748D442-3A8A-4E34-B2B2-EA80C290CE5B}" name="2032" dataDxfId="174"/>
    <tableColumn id="11" xr3:uid="{220A5AFE-3410-4E24-8922-45E1F5DD4B12}" name="2033" dataDxfId="173"/>
    <tableColumn id="12" xr3:uid="{89977C9C-27D1-4143-A77D-5636A5C07FE1}" name="2034" dataDxfId="172"/>
    <tableColumn id="13" xr3:uid="{07DB8025-1DDC-4522-84AF-44510B4DCA63}" name="Terminal" dataDxfId="171"/>
  </tableColumns>
  <tableStyleInfo name="Secundu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916DAAD-04E5-4DCC-8D26-0BA982D1E3D1}" name="Table19212324" displayName="Table19212324" ref="A10:B13" totalsRowShown="0" headerRowDxfId="170">
  <autoFilter ref="A10:B13" xr:uid="{4916DAAD-04E5-4DCC-8D26-0BA982D1E3D1}">
    <filterColumn colId="0" hiddenButton="1"/>
    <filterColumn colId="1" hiddenButton="1"/>
  </autoFilter>
  <tableColumns count="2">
    <tableColumn id="1" xr3:uid="{65E6C837-DF9E-4E38-9E2E-73231DA31A5B}" name="Assumptions"/>
    <tableColumn id="2" xr3:uid="{BEEF2E7A-DEED-49D4-93F2-6B74BB53E2D9}" name="Values" dataDxfId="169" dataCellStyle="Percent"/>
  </tableColumns>
  <tableStyleInfo name="Secundu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58625B-4364-47E9-8529-4EE13A707A33}" name="Table8751114" displayName="Table8751114" ref="A43:K49" totalsRowShown="0" headerRowDxfId="168">
  <autoFilter ref="A43:K49" xr:uid="{B96AC864-73D1-456F-96EA-A750FF7242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6D320B1-5DC8-4F8E-A956-919184EDFABC}" name="Capital Gains and Cash Distribution" dataDxfId="167"/>
    <tableColumn id="2" xr3:uid="{EDC58E44-EA49-474C-BAE4-53263D1F94D5}" name="2024"/>
    <tableColumn id="3" xr3:uid="{878D0617-62E0-444E-92C4-CE928823FA4C}" name="2025"/>
    <tableColumn id="4" xr3:uid="{1E355036-E0B9-4166-BC57-BC095D56044C}" name="2026"/>
    <tableColumn id="5" xr3:uid="{226E7393-E0DB-4B04-A895-962D784D6F80}" name="2027"/>
    <tableColumn id="6" xr3:uid="{C6F7BE43-66E5-44DD-AC22-6A18D3B137DF}" name="2028"/>
    <tableColumn id="7" xr3:uid="{2F13036D-CD26-4DAC-82FE-622FB3D632A9}" name="2029"/>
    <tableColumn id="8" xr3:uid="{B58FDD5E-992B-421C-8CFE-5ACC6836A6DF}" name="2030" dataDxfId="166"/>
    <tableColumn id="9" xr3:uid="{A53B933F-92D3-4679-AE30-A78A5F0789E9}" name="2031" dataDxfId="165"/>
    <tableColumn id="10" xr3:uid="{8E82F48B-2656-402D-B34A-0A9D0E858285}" name="2032" dataDxfId="164"/>
    <tableColumn id="11" xr3:uid="{C2E61955-99B7-4F99-B599-3BED14A81FE0}" name="2033" dataDxfId="163"/>
  </tableColumns>
  <tableStyleInfo name="Secundu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FB7B76-6232-4F17-890C-C41E7DC271E2}" name="Table192161215" displayName="Table192161215" ref="A38:B41" totalsRowShown="0" headerRowDxfId="162">
  <autoFilter ref="A38:B41" xr:uid="{3CB134B5-9279-4590-AACE-66FF0C37AD53}">
    <filterColumn colId="0" hiddenButton="1"/>
    <filterColumn colId="1" hiddenButton="1"/>
  </autoFilter>
  <tableColumns count="2">
    <tableColumn id="1" xr3:uid="{90C6BF8C-BAB5-46E8-9B33-8741FB65AFC1}" name="Assumptions"/>
    <tableColumn id="2" xr3:uid="{8CF5B810-7A3B-4690-AA29-D4EB44C42C7D}" name="Values" dataDxfId="161" dataCellStyle="Percent"/>
  </tableColumns>
  <tableStyleInfo name="Secundu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04100B1-6FF1-4246-B4B2-2B04C6DCE68A}" name="Table2171316" displayName="Table2171316" ref="A51:B56" totalsRowShown="0">
  <autoFilter ref="A51:B56" xr:uid="{80AD2E32-7825-4836-9EEF-8F8EEDE7ED5D}">
    <filterColumn colId="0" hiddenButton="1"/>
    <filterColumn colId="1" hiddenButton="1"/>
  </autoFilter>
  <tableColumns count="2">
    <tableColumn id="1" xr3:uid="{EE40C7BD-DDB1-4001-A7A2-B90D92E9AE19}" name="Valuation Summary" dataDxfId="160"/>
    <tableColumn id="2" xr3:uid="{A7B25325-67A3-4F60-BDEA-18EE9B764E33}" name="Values" dataDxfId="159" dataCellStyle="Percent"/>
  </tableColumns>
  <tableStyleInfo name="Secundu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6D69078-5006-416B-B33E-FD1A1B77F7E9}" name="Table25" displayName="Table25" ref="A16:M34" totalsRowShown="0" headerRowDxfId="158">
  <autoFilter ref="A16:M34" xr:uid="{F6D69078-5006-416B-B33E-FD1A1B77F7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96047FC-4A32-4FD7-9F8D-E0187D686472}" name="Discounted Free Cash Flow"/>
    <tableColumn id="2" xr3:uid="{E52AB6E6-E2AF-4873-80BF-B4EA43ABF976}" name="Base Year" dataDxfId="157"/>
    <tableColumn id="3" xr3:uid="{52BD2083-83E3-4F00-8855-482B932FA8CA}" name="2025" dataDxfId="156"/>
    <tableColumn id="4" xr3:uid="{79A9E242-1E36-4D8F-BAC0-B072FCCCD4CF}" name="2026" dataDxfId="155"/>
    <tableColumn id="5" xr3:uid="{066BBCCC-E9CA-4147-BE0C-8E5D9008155B}" name="2027" dataDxfId="154"/>
    <tableColumn id="6" xr3:uid="{E4E66F81-B361-476E-93E0-4E994272332E}" name="2028" dataDxfId="153"/>
    <tableColumn id="7" xr3:uid="{A85A1787-9DCF-4416-83DC-C31FB560146F}" name="2029" dataDxfId="152"/>
    <tableColumn id="8" xr3:uid="{E2FC5EB1-C5D3-422B-BC3A-04CDD7C43277}" name="2030" dataDxfId="151"/>
    <tableColumn id="9" xr3:uid="{A3CF91FF-E3B9-46BD-9661-AD5AFE4B52B4}" name="2031" dataDxfId="150"/>
    <tableColumn id="10" xr3:uid="{1FC74F92-E8E2-45FB-9749-02AF691A2825}" name="2032" dataDxfId="149"/>
    <tableColumn id="11" xr3:uid="{200E0DEB-26B9-4B29-8468-4EDC875919B7}" name="2033" dataDxfId="148"/>
    <tableColumn id="12" xr3:uid="{DB35FF41-A71A-48A2-AC50-6E461C85AC8F}" name="2034" dataDxfId="147"/>
    <tableColumn id="13" xr3:uid="{66008F4A-268E-4CEE-A4E6-7794DD83EAF4}" name="Terminal" dataDxfId="146"/>
  </tableColumns>
  <tableStyleInfo name="Secundu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757F08B-7962-4D50-B88E-06B56E987755}" name="Table192123242527" displayName="Table192123242527" ref="A10:B13" totalsRowShown="0" headerRowDxfId="145">
  <autoFilter ref="A10:B13" xr:uid="{9757F08B-7962-4D50-B88E-06B56E987755}">
    <filterColumn colId="0" hiddenButton="1"/>
    <filterColumn colId="1" hiddenButton="1"/>
  </autoFilter>
  <tableColumns count="2">
    <tableColumn id="1" xr3:uid="{6DD16373-AE5B-481F-95BD-095FCE32346C}" name="Assumptions"/>
    <tableColumn id="2" xr3:uid="{01785E1D-FB34-4786-9AF1-8FBFFDC5BFF8}" name="Values" dataDxfId="144" dataCellStyle="Percent"/>
  </tableColumns>
  <tableStyleInfo name="Secundu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201E5-C5B6-4D05-9AAF-8623D598B6D7}" name="Table875" displayName="Table875" ref="A43:K49" totalsRowShown="0" headerRowDxfId="143">
  <autoFilter ref="A43:K49" xr:uid="{B96AC864-73D1-456F-96EA-A750FF7242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27FEB24-CDCB-485B-8977-E0A8B3075A6B}" name="Capital Gains and Cash Distribution" dataDxfId="142"/>
    <tableColumn id="2" xr3:uid="{08E0DCF8-77DD-4CC2-A55B-8B420090B8BF}" name="2024"/>
    <tableColumn id="3" xr3:uid="{45A5053A-1067-4725-83CF-AAAF23E3FD5A}" name="2025"/>
    <tableColumn id="4" xr3:uid="{4EA085BB-C87F-416A-B26B-9EA0A02851C7}" name="2026"/>
    <tableColumn id="5" xr3:uid="{6C96AEB9-EF85-44BA-B239-81685EE0ECC0}" name="2027"/>
    <tableColumn id="6" xr3:uid="{9D8EC2DC-1FE7-4AF5-B968-07A8839975DB}" name="2028"/>
    <tableColumn id="7" xr3:uid="{A7B5A0B2-7C96-43D5-A894-3AC05734209B}" name="2029"/>
    <tableColumn id="8" xr3:uid="{9DFB4A01-6F4B-4613-9D14-E1D6A5546871}" name="2030" dataDxfId="141"/>
    <tableColumn id="9" xr3:uid="{25CD5862-EDFE-4852-B0CB-FE2B17E4CA3A}" name="2031" dataDxfId="140"/>
    <tableColumn id="10" xr3:uid="{F7A20650-7BF4-46E8-990B-CC72DB75EFE5}" name="2032" dataDxfId="139"/>
    <tableColumn id="11" xr3:uid="{94EA4FFD-3940-4C65-A9FF-3313D4BA55AC}" name="2033" dataDxfId="138"/>
  </tableColumns>
  <tableStyleInfo name="Secundu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6B4CBE-1B1C-4E99-B411-3D4E536D1CFC}" name="Table19216" displayName="Table19216" ref="A38:B41" totalsRowShown="0" headerRowDxfId="137">
  <autoFilter ref="A38:B41" xr:uid="{3CB134B5-9279-4590-AACE-66FF0C37AD53}">
    <filterColumn colId="0" hiddenButton="1"/>
    <filterColumn colId="1" hiddenButton="1"/>
  </autoFilter>
  <tableColumns count="2">
    <tableColumn id="1" xr3:uid="{F7D5A8B0-58D5-4C58-9130-40536CD3D9FC}" name="Assumptions"/>
    <tableColumn id="2" xr3:uid="{B3418509-EC71-417C-B9A8-59AD244C608E}" name="Values" dataDxfId="136" dataCellStyle="Percent"/>
  </tableColumns>
  <tableStyleInfo name="Secundu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F198C1-C09F-4ED0-9EF2-1C2A0E731BFA}" name="Table217" displayName="Table217" ref="A51:B56" totalsRowShown="0">
  <autoFilter ref="A51:B56" xr:uid="{80AD2E32-7825-4836-9EEF-8F8EEDE7ED5D}">
    <filterColumn colId="0" hiddenButton="1"/>
    <filterColumn colId="1" hiddenButton="1"/>
  </autoFilter>
  <tableColumns count="2">
    <tableColumn id="1" xr3:uid="{C1521513-35AE-4578-875A-ECC755799DD3}" name="Valuation Summary" dataDxfId="135"/>
    <tableColumn id="2" xr3:uid="{5E5C46C7-685B-4135-B9CB-FD2812237BD7}" name="Values" dataDxfId="134" dataCellStyle="Percent"/>
  </tableColumns>
  <tableStyleInfo name="Secundu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71D2CC3-5E6D-424D-9383-DCDF717FD5C9}" name="Table20" displayName="Table20" ref="A16:M34" totalsRowShown="0" headerRowDxfId="133">
  <autoFilter ref="A16:M34" xr:uid="{A71D2CC3-5E6D-424D-9383-DCDF717FD5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63D04032-0780-4667-A351-795DAFEA7AB4}" name="Discounted Cash Flows"/>
    <tableColumn id="2" xr3:uid="{22D5F304-3FE3-423D-8880-7C0977F5B619}" name="Base Year" dataDxfId="132"/>
    <tableColumn id="3" xr3:uid="{83E835B4-39C9-4E5F-B3DE-3A10B9D064E4}" name="2025" dataDxfId="131"/>
    <tableColumn id="4" xr3:uid="{6C9EAF30-0AFF-4B2B-9213-A349CF3B24A8}" name="2026" dataDxfId="130"/>
    <tableColumn id="5" xr3:uid="{C8BC9DE9-4966-460F-A3DD-F9FE3EA320A7}" name="2027" dataDxfId="129"/>
    <tableColumn id="6" xr3:uid="{815FBFD9-542B-41FF-9B2C-2652ED578CA3}" name="2028" dataDxfId="128"/>
    <tableColumn id="7" xr3:uid="{4B5AB8EC-66BE-430F-AAC3-E2350E6C2022}" name="2029" dataDxfId="127"/>
    <tableColumn id="8" xr3:uid="{062633B9-85AA-4729-B39F-966F4C983D51}" name="2030" dataDxfId="126"/>
    <tableColumn id="9" xr3:uid="{C8D49E48-86BF-4984-90C1-B08664846A4D}" name="2031" dataDxfId="125"/>
    <tableColumn id="10" xr3:uid="{0E73DA37-5570-4F97-A0A6-C057C19973C1}" name="2032" dataDxfId="124"/>
    <tableColumn id="11" xr3:uid="{4A9A6BC8-5F10-4C39-8D0C-5BABC500FC63}" name="2033" dataDxfId="123"/>
    <tableColumn id="12" xr3:uid="{7EAC4426-53DF-429B-BEF4-169E7D519644}" name="2034" dataDxfId="122"/>
    <tableColumn id="13" xr3:uid="{3D83A11C-53C1-4064-B980-AA957D86949F}" name="Terminal" dataDxfId="121"/>
  </tableColumns>
  <tableStyleInfo name="Secundu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1DE8CD3-BA79-45AE-AE1D-92A2DA3F3F3B}" name="Table1921232425" displayName="Table1921232425" ref="A10:B13" totalsRowShown="0" headerRowDxfId="120">
  <autoFilter ref="A10:B13" xr:uid="{71DE8CD3-BA79-45AE-AE1D-92A2DA3F3F3B}">
    <filterColumn colId="0" hiddenButton="1"/>
    <filterColumn colId="1" hiddenButton="1"/>
  </autoFilter>
  <tableColumns count="2">
    <tableColumn id="1" xr3:uid="{CEEFDBB9-6D00-47F9-A517-2EFEA5CB2102}" name="Assumptions"/>
    <tableColumn id="2" xr3:uid="{7519F915-DDF2-4729-8805-04E8022732DA}" name="Values" dataDxfId="119" dataCellStyle="Percent"/>
  </tableColumns>
  <tableStyleInfo name="Secundu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BDE03CB-13AB-4821-A681-30210F71CCA9}" name="Table875111417" displayName="Table875111417" ref="A43:K49" totalsRowShown="0" headerRowDxfId="118">
  <autoFilter ref="A43:K49" xr:uid="{B96AC864-73D1-456F-96EA-A750FF7242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53157DF-1AE3-4BA0-A730-D022B7EDDB57}" name="Capital Gains and Cash Distribution" dataDxfId="117"/>
    <tableColumn id="2" xr3:uid="{EE54BF1B-6857-48FD-94E4-B284A8F90FCF}" name="2024"/>
    <tableColumn id="3" xr3:uid="{55CFB49D-E018-42C5-9DDB-4A1D1AE844D3}" name="2025"/>
    <tableColumn id="4" xr3:uid="{2E192055-E9BB-47F2-A76F-8691CAAA6910}" name="2026"/>
    <tableColumn id="5" xr3:uid="{5B490749-4983-4DA2-BE7D-86C5F14CB8F4}" name="2027"/>
    <tableColumn id="6" xr3:uid="{50CBA8C2-AE58-491B-9765-AB33E6BEA311}" name="2028"/>
    <tableColumn id="7" xr3:uid="{2D917FA1-279A-4941-A4A1-46A859F64EE8}" name="2029"/>
    <tableColumn id="8" xr3:uid="{82601646-0105-429B-997B-6EC82C90BBCB}" name="2030" dataDxfId="116"/>
    <tableColumn id="9" xr3:uid="{15AFAC6B-C4A2-40C3-BD1E-79B2C605F0F6}" name="2031" dataDxfId="115"/>
    <tableColumn id="10" xr3:uid="{F74AA176-2E8C-4395-9043-15C8C17F36CD}" name="2032" dataDxfId="114"/>
    <tableColumn id="11" xr3:uid="{ADED9357-CDB4-4431-A9D4-B72FB28019B5}" name="2033" dataDxfId="113"/>
  </tableColumns>
  <tableStyleInfo name="Secundu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C079E1D-A1F9-4D1A-9FEB-0C75323826F5}" name="Table19216121518" displayName="Table19216121518" ref="A38:B41" totalsRowShown="0" headerRowDxfId="112">
  <autoFilter ref="A38:B41" xr:uid="{3CB134B5-9279-4590-AACE-66FF0C37AD53}">
    <filterColumn colId="0" hiddenButton="1"/>
    <filterColumn colId="1" hiddenButton="1"/>
  </autoFilter>
  <tableColumns count="2">
    <tableColumn id="1" xr3:uid="{BFD9F223-8D25-4CB2-B3B5-50129573A006}" name="Assumptions"/>
    <tableColumn id="2" xr3:uid="{2DCA873E-BB5D-4FF1-9D60-727BD624917B}" name="Values" dataDxfId="111" dataCellStyle="Percent"/>
  </tableColumns>
  <tableStyleInfo name="Secundu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416AC3C-EBEB-4B0D-BCD2-89BD6F76D310}" name="Table217131619" displayName="Table217131619" ref="A51:B56" totalsRowShown="0">
  <autoFilter ref="A51:B56" xr:uid="{80AD2E32-7825-4836-9EEF-8F8EEDE7ED5D}">
    <filterColumn colId="0" hiddenButton="1"/>
    <filterColumn colId="1" hiddenButton="1"/>
  </autoFilter>
  <tableColumns count="2">
    <tableColumn id="1" xr3:uid="{CA84D5D2-B14B-4EEF-A0DE-F5E0F1184CC8}" name="Valuation Summary" dataDxfId="110"/>
    <tableColumn id="2" xr3:uid="{74D5B40E-9D17-49CB-9453-C2C30A595E2D}" name="Values" dataDxfId="109" dataCellStyle="Percent"/>
  </tableColumns>
  <tableStyleInfo name="Secundu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DD7A16B-E25B-4F0B-8B3C-946355A8D15F}" name="Table19" displayName="Table19" ref="A16:M34" totalsRowShown="0" headerRowDxfId="108">
  <autoFilter ref="A16:M34" xr:uid="{9DD7A16B-E25B-4F0B-8B3C-946355A8D1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5E9B8D6-B5AB-464C-AEA3-2C677893EC58}" name="DCF Valuation"/>
    <tableColumn id="2" xr3:uid="{2C96438C-BC37-4FFF-B7AB-895C04F2F07F}" name="Base Year" dataDxfId="107"/>
    <tableColumn id="3" xr3:uid="{B93DC0AC-0951-422A-8944-D3B737A2E222}" name="2025" dataDxfId="106"/>
    <tableColumn id="4" xr3:uid="{4546BB5B-4E7B-4021-BB98-893C070E73B5}" name="2026" dataDxfId="105"/>
    <tableColumn id="5" xr3:uid="{EBAA636C-763E-4636-8C1C-F1B72310FD2E}" name="2027" dataDxfId="104"/>
    <tableColumn id="6" xr3:uid="{647F2B48-39A6-49BD-A805-A4B5CE613481}" name="2028" dataDxfId="103"/>
    <tableColumn id="7" xr3:uid="{410EBD69-23AE-402E-A07C-82AE352F5C26}" name="2029" dataDxfId="102"/>
    <tableColumn id="8" xr3:uid="{A6EAD549-F6A0-4568-ACF4-27FD54164190}" name="2030" dataDxfId="101"/>
    <tableColumn id="9" xr3:uid="{B896ACB2-0F7A-4BC0-9284-9D67FC7EA815}" name="2031" dataDxfId="100"/>
    <tableColumn id="10" xr3:uid="{6A1C1C6E-D212-41E7-9685-C83467BC8B12}" name="2032" dataDxfId="99"/>
    <tableColumn id="11" xr3:uid="{E8E66672-E41A-4F55-BACF-B78D2FA6420C}" name="2033" dataDxfId="98"/>
    <tableColumn id="12" xr3:uid="{19152B43-6930-487D-97A7-7058835F6CD1}" name="2034" dataDxfId="97"/>
    <tableColumn id="13" xr3:uid="{7FD967B7-63CD-4F30-B8E2-D4EAEFD29C48}" name="Terminal" dataDxfId="96"/>
  </tableColumns>
  <tableStyleInfo name="Secundu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875AAE3-31BC-442F-87E9-D2E3AA55C5AC}" name="Table19212324252728" displayName="Table19212324252728" ref="A10:B13" totalsRowShown="0" headerRowDxfId="95">
  <autoFilter ref="A10:B13" xr:uid="{7875AAE3-31BC-442F-87E9-D2E3AA55C5AC}">
    <filterColumn colId="0" hiddenButton="1"/>
    <filterColumn colId="1" hiddenButton="1"/>
  </autoFilter>
  <tableColumns count="2">
    <tableColumn id="1" xr3:uid="{12E3ACFC-A2C7-4619-8571-534B59F5B617}" name="Assumptions"/>
    <tableColumn id="2" xr3:uid="{038363D0-40A2-460A-B1F8-918E4BD53B1F}" name="Values" dataDxfId="94" dataCellStyle="Percent"/>
  </tableColumns>
  <tableStyleInfo name="Secundu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2DE48A9-0C47-4275-9C19-E0700614C397}" name="Table8751114178" displayName="Table8751114178" ref="A43:K49" totalsRowShown="0" headerRowDxfId="93">
  <autoFilter ref="A43:K49" xr:uid="{D2DE48A9-0C47-4275-9C19-E0700614C3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ACFCFA1-C0B4-44D0-8B1B-D71D5CC5AA7A}" name="Capital Gains and Cash Distribution" dataDxfId="92"/>
    <tableColumn id="2" xr3:uid="{5C3CCDFA-12C5-4BF9-BBC8-42FFC8087973}" name="2025"/>
    <tableColumn id="3" xr3:uid="{AE4E7208-10E9-4EB1-AE73-1A19884709E1}" name="2026"/>
    <tableColumn id="4" xr3:uid="{E8FDB496-341F-4687-AE9A-5362522EE1D7}" name="2027"/>
    <tableColumn id="5" xr3:uid="{5F84EB8D-D195-4C08-AA72-C949EFCE8BAA}" name="2028"/>
    <tableColumn id="6" xr3:uid="{4F47FE6F-5C7D-49C2-8F6D-A23ECE28F93E}" name="2029"/>
    <tableColumn id="7" xr3:uid="{3814491D-EB85-4427-91AE-9CEA435F638C}" name="2030"/>
    <tableColumn id="8" xr3:uid="{D789817E-AB13-40CE-9514-09D4517AD1C3}" name="2031" dataDxfId="91"/>
    <tableColumn id="9" xr3:uid="{D4C04222-DA1C-4B37-95AF-1D5664BFDF26}" name="2032" dataDxfId="90"/>
    <tableColumn id="10" xr3:uid="{744AF935-AA11-480F-B60B-A139D29D4184}" name="2033" dataDxfId="89"/>
    <tableColumn id="11" xr3:uid="{111B553D-1BE8-4F70-904C-7E483672C10F}" name="2034" dataDxfId="88"/>
  </tableColumns>
  <tableStyleInfo name="Secundu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54CD13-3E30-455D-A3CB-90EA9194D18C}" name="Table192161215189" displayName="Table192161215189" ref="A38:B41" totalsRowShown="0" headerRowDxfId="87">
  <autoFilter ref="A38:B41" xr:uid="{E954CD13-3E30-455D-A3CB-90EA9194D18C}">
    <filterColumn colId="0" hiddenButton="1"/>
    <filterColumn colId="1" hiddenButton="1"/>
  </autoFilter>
  <tableColumns count="2">
    <tableColumn id="1" xr3:uid="{A5628DF2-15D0-4874-B1AB-E021C8DA94E1}" name="Assumptions"/>
    <tableColumn id="2" xr3:uid="{7FF062B7-40DD-4D77-92E4-A4B8FB478D97}" name="Values" dataDxfId="86" dataCellStyle="Percent"/>
  </tableColumns>
  <tableStyleInfo name="Secundu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8F3DA67-453B-4C57-BA04-D114E9B67EBD}" name="Table21713161929" displayName="Table21713161929" ref="A51:B56" totalsRowShown="0">
  <autoFilter ref="A51:B56" xr:uid="{98F3DA67-453B-4C57-BA04-D114E9B67EBD}">
    <filterColumn colId="0" hiddenButton="1"/>
    <filterColumn colId="1" hiddenButton="1"/>
  </autoFilter>
  <tableColumns count="2">
    <tableColumn id="1" xr3:uid="{EA63D16D-3507-4F4E-8346-27C2E7CED842}" name="Valuation Summary" dataDxfId="85"/>
    <tableColumn id="2" xr3:uid="{44C334C2-4E3F-4826-BD3F-08E76E14C892}" name="Values" dataDxfId="84" dataCellStyle="Percent"/>
  </tableColumns>
  <tableStyleInfo name="Secundu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B3DA77-216B-42C7-AC75-368CE0B4CC5F}" name="Table1930" displayName="Table1930" ref="A16:M34" totalsRowShown="0" headerRowDxfId="83">
  <autoFilter ref="A16:M34" xr:uid="{BDB3DA77-216B-42C7-AC75-368CE0B4CC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E432EEB-E5A2-445B-B218-57F26A37C4A6}" name="DCF Valuation"/>
    <tableColumn id="2" xr3:uid="{18D280E0-A8C1-4E7E-A95B-0767EFF64B37}" name="Base Year" dataDxfId="82"/>
    <tableColumn id="3" xr3:uid="{C707A531-7032-4836-B4F2-BDDF68759046}" name="2025" dataDxfId="81"/>
    <tableColumn id="4" xr3:uid="{6D347D58-F28D-4894-9FFF-1F1D92412B21}" name="2026" dataDxfId="80"/>
    <tableColumn id="5" xr3:uid="{94F1487A-BC0D-46E1-A5A2-4283B6293359}" name="2027" dataDxfId="79"/>
    <tableColumn id="6" xr3:uid="{7D4DDC8C-A29D-4984-B859-5431FB2F38F4}" name="2028" dataDxfId="78"/>
    <tableColumn id="7" xr3:uid="{62B0BA0E-3C0E-46D5-A06F-A7958B3CC44E}" name="2029" dataDxfId="77"/>
    <tableColumn id="8" xr3:uid="{7D098B0D-9B0F-487D-8DE3-9F80902CB5FE}" name="2030" dataDxfId="76"/>
    <tableColumn id="9" xr3:uid="{FDA49CA1-1811-41CB-911F-269FE25782CE}" name="2031" dataDxfId="75"/>
    <tableColumn id="10" xr3:uid="{B65818DD-625A-44CD-AD3D-DEDB6523C5D4}" name="2032" dataDxfId="74"/>
    <tableColumn id="11" xr3:uid="{26FDD072-2913-4314-8E75-6AFEC54723A7}" name="2033" dataDxfId="73"/>
    <tableColumn id="12" xr3:uid="{27532DBC-A55C-4B54-B635-D0AD960F938A}" name="2034" dataDxfId="72"/>
    <tableColumn id="13" xr3:uid="{2E39097F-5FB2-4E4C-B033-438C9936F572}" name="Terminal" dataDxfId="71"/>
  </tableColumns>
  <tableStyleInfo name="Secundus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BDAB788-D6C9-40E2-8917-0827C3413724}" name="Table1921232425272831" displayName="Table1921232425272831" ref="A10:B13" totalsRowShown="0" headerRowDxfId="70">
  <autoFilter ref="A10:B13" xr:uid="{2BDAB788-D6C9-40E2-8917-0827C3413724}">
    <filterColumn colId="0" hiddenButton="1"/>
    <filterColumn colId="1" hiddenButton="1"/>
  </autoFilter>
  <tableColumns count="2">
    <tableColumn id="1" xr3:uid="{8C4A7852-3023-41A0-BDD0-C8499E47635A}" name="Assumptions"/>
    <tableColumn id="2" xr3:uid="{00D29ED0-AB2F-455A-97F0-EBA73B785ED4}" name="Values" dataDxfId="69" dataCellStyle="Percent"/>
  </tableColumns>
  <tableStyleInfo name="Secundus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88A2D8E-AC70-42C5-9B7F-AB06BD6B7318}" name="Table875111417832" displayName="Table875111417832" ref="A47:K53" totalsRowShown="0" headerRowDxfId="68">
  <autoFilter ref="A47:K53" xr:uid="{388A2D8E-AC70-42C5-9B7F-AB06BD6B73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45CDE4D-56BB-4FD0-AB8A-717ED409E850}" name="Capital Gains and Cash Distribution" dataDxfId="67"/>
    <tableColumn id="2" xr3:uid="{3C62E0B4-C72B-41BB-9D3F-2D3B7CE0902E}" name="2025"/>
    <tableColumn id="3" xr3:uid="{12879F98-703C-4DB6-B039-D728151296F6}" name="2026"/>
    <tableColumn id="4" xr3:uid="{BA13C28E-1ACB-497A-936D-B7141AE5775F}" name="2027"/>
    <tableColumn id="5" xr3:uid="{101663CD-039E-44B4-AC05-062C9D9BF8C8}" name="2028"/>
    <tableColumn id="6" xr3:uid="{A5F44B54-939E-4491-B41B-19B1D435A17C}" name="2029"/>
    <tableColumn id="7" xr3:uid="{BDE06755-0CBF-4B76-BC37-08BB513525B3}" name="2030"/>
    <tableColumn id="8" xr3:uid="{25547E8C-0ED6-4C98-B770-CB8B0CE0516D}" name="2031" dataDxfId="66"/>
    <tableColumn id="9" xr3:uid="{D06D3895-3EC9-43E0-A4F0-24A2ED67C66F}" name="2032" dataDxfId="65"/>
    <tableColumn id="10" xr3:uid="{4C162397-1949-46B3-9D86-6F1B45DF4928}" name="2033" dataDxfId="64"/>
    <tableColumn id="11" xr3:uid="{DEE831FE-A469-4B3B-800A-8BAD4A803519}" name="2034" dataDxfId="63"/>
  </tableColumns>
  <tableStyleInfo name="Secundus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B14F8AC-AB7A-4744-BC8B-A2B0B536E64D}" name="Table19216121518933" displayName="Table19216121518933" ref="A39:B43" totalsRowShown="0" headerRowDxfId="62">
  <autoFilter ref="A39:B43" xr:uid="{7B14F8AC-AB7A-4744-BC8B-A2B0B536E64D}">
    <filterColumn colId="0" hiddenButton="1"/>
    <filterColumn colId="1" hiddenButton="1"/>
  </autoFilter>
  <tableColumns count="2">
    <tableColumn id="1" xr3:uid="{A92BDA28-41DC-4D84-B387-AF444BC4F57D}" name="Assumptions"/>
    <tableColumn id="2" xr3:uid="{B003B1B1-48FF-4612-892F-69B5A579CB65}" name="Values" dataDxfId="61" dataCellStyle="Percent"/>
  </tableColumns>
  <tableStyleInfo name="Secundus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D379D67-8206-4068-A5E1-BB0F5FB28FA5}" name="Table2171316192934" displayName="Table2171316192934" ref="A55:B60" totalsRowShown="0">
  <autoFilter ref="A55:B60" xr:uid="{1D379D67-8206-4068-A5E1-BB0F5FB28FA5}">
    <filterColumn colId="0" hiddenButton="1"/>
    <filterColumn colId="1" hiddenButton="1"/>
  </autoFilter>
  <tableColumns count="2">
    <tableColumn id="1" xr3:uid="{CB15D5DF-538F-43A9-93AA-BDA410BDB867}" name="Valuation Summary" dataDxfId="60"/>
    <tableColumn id="2" xr3:uid="{B317C0A3-F29E-4DD5-BE68-BF9F8EEF9D30}" name="Values" dataDxfId="59" dataCellStyle="Percent"/>
  </tableColumns>
  <tableStyleInfo name="Secundus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D9F2B51-01DA-4FD0-B802-02DFAEDFD417}" name="Table193035" displayName="Table193035" ref="A16:M35" totalsRowShown="0" headerRowDxfId="58">
  <autoFilter ref="A16:M35" xr:uid="{FD9F2B51-01DA-4FD0-B802-02DFAEDFD4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3F3825B-DBEE-4F41-86BA-A7E26D38FE3D}" name="DCF Valuation"/>
    <tableColumn id="2" xr3:uid="{9D43F3A4-E152-4CD7-907B-2E824017D317}" name="Base Year" dataDxfId="57"/>
    <tableColumn id="3" xr3:uid="{82224A77-3853-48FD-A44A-C6777F24CBA2}" name="2025" dataDxfId="56"/>
    <tableColumn id="4" xr3:uid="{25DA9E48-01F7-4E64-B2ED-09CB3710E855}" name="2026" dataDxfId="55"/>
    <tableColumn id="5" xr3:uid="{4A624E05-5436-41C6-8AE2-2E74F7F97816}" name="2027" dataDxfId="54"/>
    <tableColumn id="6" xr3:uid="{26E946D7-4E87-4F4C-92C7-02D43A624A04}" name="2028" dataDxfId="53"/>
    <tableColumn id="7" xr3:uid="{BD5FBEC9-A270-4EA4-BE71-C5A078E3616A}" name="2029" dataDxfId="52"/>
    <tableColumn id="8" xr3:uid="{AF042CE0-2ECD-44A4-80F5-6BEED5756395}" name="2030" dataDxfId="51"/>
    <tableColumn id="9" xr3:uid="{12719934-D34A-432F-9C8D-A881F31CFCB1}" name="2031" dataDxfId="50"/>
    <tableColumn id="10" xr3:uid="{CFC93CEB-41BE-4ED2-8608-59015EB7A6F6}" name="2032" dataDxfId="49"/>
    <tableColumn id="11" xr3:uid="{9D69F7B9-5CA3-4A46-9969-5B0C11C77740}" name="2033" dataDxfId="48"/>
    <tableColumn id="12" xr3:uid="{B04E886B-EB07-43A8-AAD6-B58F0EF0F1EE}" name="2034" dataDxfId="47"/>
    <tableColumn id="13" xr3:uid="{25B5DA9E-FB61-432E-A657-9625BBC76959}" name="Terminal" dataDxfId="46"/>
  </tableColumns>
  <tableStyleInfo name="Secundus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4F86974-50E8-4108-B515-8F90797E1EBA}" name="Table192123242527283136" displayName="Table192123242527283136" ref="A10:B13" totalsRowShown="0" headerRowDxfId="45">
  <autoFilter ref="A10:B13" xr:uid="{14F86974-50E8-4108-B515-8F90797E1EBA}">
    <filterColumn colId="0" hiddenButton="1"/>
    <filterColumn colId="1" hiddenButton="1"/>
  </autoFilter>
  <tableColumns count="2">
    <tableColumn id="1" xr3:uid="{A155BD40-32D6-468A-BF93-522EDB9A76C5}" name="Assumptions"/>
    <tableColumn id="2" xr3:uid="{FA4CE845-9DD4-4802-A48E-C4202DE38C73}" name="Values" dataDxfId="44" dataCellStyle="Percent"/>
  </tableColumns>
  <tableStyleInfo name="Secundu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66C-C8AC-4467-8291-F597F066759D}">
  <sheetPr codeName="Sheet1"/>
  <dimension ref="A1:N67"/>
  <sheetViews>
    <sheetView showGridLines="0" topLeftCell="A27" workbookViewId="0">
      <selection activeCell="B55" sqref="B55"/>
    </sheetView>
  </sheetViews>
  <sheetFormatPr defaultRowHeight="15" x14ac:dyDescent="0.2"/>
  <cols>
    <col min="1" max="1" width="35.6484375" customWidth="1"/>
    <col min="2" max="29" width="15.73828125" customWidth="1"/>
  </cols>
  <sheetData>
    <row r="1" spans="1:14" x14ac:dyDescent="0.2">
      <c r="A1" s="112" t="s">
        <v>0</v>
      </c>
      <c r="B1" s="113"/>
      <c r="C1" s="11"/>
      <c r="D1" s="11"/>
      <c r="E1" s="11"/>
      <c r="F1" s="11"/>
      <c r="G1" s="76"/>
    </row>
    <row r="2" spans="1:14" x14ac:dyDescent="0.2">
      <c r="A2" s="110" t="s">
        <v>1</v>
      </c>
      <c r="B2" s="111"/>
      <c r="G2" s="77"/>
    </row>
    <row r="3" spans="1:14" x14ac:dyDescent="0.2">
      <c r="A3" s="78" t="s">
        <v>2</v>
      </c>
      <c r="B3" t="s">
        <v>3</v>
      </c>
      <c r="G3" s="77"/>
    </row>
    <row r="4" spans="1:14" x14ac:dyDescent="0.2">
      <c r="A4" s="78" t="s">
        <v>4</v>
      </c>
      <c r="B4" t="s">
        <v>5</v>
      </c>
      <c r="G4" s="77"/>
    </row>
    <row r="5" spans="1:14" x14ac:dyDescent="0.2">
      <c r="A5" s="78" t="s">
        <v>6</v>
      </c>
      <c r="B5" t="s">
        <v>7</v>
      </c>
      <c r="G5" s="77"/>
    </row>
    <row r="6" spans="1:14" x14ac:dyDescent="0.2">
      <c r="A6" s="79" t="s">
        <v>8</v>
      </c>
      <c r="B6" s="80" t="s">
        <v>9</v>
      </c>
      <c r="C6" s="80"/>
      <c r="D6" s="80"/>
      <c r="E6" s="80"/>
      <c r="F6" s="80"/>
      <c r="G6" s="81"/>
    </row>
    <row r="9" spans="1:14" x14ac:dyDescent="0.2">
      <c r="A9" s="119" t="s">
        <v>10</v>
      </c>
      <c r="B9" s="120"/>
      <c r="D9" s="87" t="s">
        <v>11</v>
      </c>
      <c r="E9" s="88"/>
      <c r="F9" s="89" t="s">
        <v>12</v>
      </c>
      <c r="G9" s="88"/>
      <c r="H9" s="88"/>
      <c r="I9" s="88"/>
      <c r="J9" s="88"/>
      <c r="K9" s="88"/>
      <c r="L9" s="88"/>
      <c r="M9" s="88"/>
      <c r="N9" s="90"/>
    </row>
    <row r="10" spans="1:14" x14ac:dyDescent="0.2">
      <c r="A10" s="82" t="s">
        <v>11</v>
      </c>
      <c r="B10" s="59" t="s">
        <v>13</v>
      </c>
      <c r="D10" s="78" t="s">
        <v>14</v>
      </c>
      <c r="E10" s="6"/>
      <c r="F10" t="s">
        <v>15</v>
      </c>
      <c r="N10" s="77"/>
    </row>
    <row r="11" spans="1:14" x14ac:dyDescent="0.2">
      <c r="A11" s="78" t="s">
        <v>16</v>
      </c>
      <c r="B11" s="83">
        <v>355</v>
      </c>
      <c r="D11" s="78" t="s">
        <v>17</v>
      </c>
      <c r="E11" s="91"/>
      <c r="F11" t="s">
        <v>18</v>
      </c>
      <c r="N11" s="77"/>
    </row>
    <row r="12" spans="1:14" x14ac:dyDescent="0.2">
      <c r="A12" s="78" t="s">
        <v>19</v>
      </c>
      <c r="B12" s="84">
        <v>0.1</v>
      </c>
      <c r="D12" s="92" t="s">
        <v>20</v>
      </c>
      <c r="E12" s="93"/>
      <c r="F12" t="s">
        <v>21</v>
      </c>
      <c r="N12" s="77"/>
    </row>
    <row r="13" spans="1:14" x14ac:dyDescent="0.2">
      <c r="A13" s="85" t="s">
        <v>22</v>
      </c>
      <c r="B13" s="86">
        <v>0.03</v>
      </c>
      <c r="D13" s="92" t="s">
        <v>23</v>
      </c>
      <c r="E13" s="93"/>
      <c r="F13" t="s">
        <v>24</v>
      </c>
      <c r="N13" s="77"/>
    </row>
    <row r="14" spans="1:14" x14ac:dyDescent="0.2">
      <c r="A14" s="8"/>
      <c r="B14" s="3"/>
      <c r="D14" s="85" t="s">
        <v>25</v>
      </c>
      <c r="E14" s="94"/>
      <c r="F14" s="80" t="s">
        <v>26</v>
      </c>
      <c r="G14" s="80"/>
      <c r="H14" s="80"/>
      <c r="I14" s="80"/>
      <c r="J14" s="80"/>
      <c r="K14" s="80"/>
      <c r="L14" s="80"/>
      <c r="M14" s="80"/>
      <c r="N14" s="81"/>
    </row>
    <row r="15" spans="1:14" x14ac:dyDescent="0.2">
      <c r="A15" s="8"/>
      <c r="B15" s="3"/>
    </row>
    <row r="17" spans="1:14" x14ac:dyDescent="0.2">
      <c r="A17" s="57" t="s">
        <v>27</v>
      </c>
      <c r="B17" s="57" t="s">
        <v>28</v>
      </c>
      <c r="C17" s="5" t="s">
        <v>29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37</v>
      </c>
      <c r="L17" s="59" t="s">
        <v>38</v>
      </c>
      <c r="M17" s="5" t="s">
        <v>39</v>
      </c>
      <c r="N17" s="5" t="s">
        <v>13</v>
      </c>
    </row>
    <row r="18" spans="1:14" ht="15.95" customHeight="1" x14ac:dyDescent="0.2">
      <c r="A18" t="s">
        <v>40</v>
      </c>
      <c r="C18" s="47">
        <v>0.1</v>
      </c>
      <c r="D18" s="47">
        <v>0.1</v>
      </c>
      <c r="E18" s="47">
        <v>0.1</v>
      </c>
      <c r="F18" s="47">
        <v>0.1</v>
      </c>
      <c r="G18" s="47">
        <v>0.1</v>
      </c>
      <c r="H18" s="47">
        <v>0.1</v>
      </c>
      <c r="I18" s="47">
        <v>0.1</v>
      </c>
      <c r="J18" s="47">
        <v>0.1</v>
      </c>
      <c r="K18" s="47">
        <v>0.1</v>
      </c>
      <c r="L18" s="61">
        <v>0.1</v>
      </c>
      <c r="N18" s="1"/>
    </row>
    <row r="19" spans="1:14" ht="15.95" customHeight="1" x14ac:dyDescent="0.2">
      <c r="A19" t="s">
        <v>41</v>
      </c>
      <c r="B19">
        <v>345.67</v>
      </c>
      <c r="C19" s="95">
        <f>B19*(1+0.08)</f>
        <v>373.32360000000006</v>
      </c>
      <c r="D19" s="95">
        <f t="shared" ref="D19:L19" si="0">C19*(1+0.08)</f>
        <v>403.1894880000001</v>
      </c>
      <c r="E19" s="95">
        <f t="shared" si="0"/>
        <v>435.44464704000012</v>
      </c>
      <c r="F19" s="95">
        <f t="shared" si="0"/>
        <v>470.28021880320017</v>
      </c>
      <c r="G19" s="95">
        <f t="shared" si="0"/>
        <v>507.90263630745619</v>
      </c>
      <c r="H19" s="95">
        <f t="shared" si="0"/>
        <v>548.53484721205268</v>
      </c>
      <c r="I19" s="95">
        <f t="shared" si="0"/>
        <v>592.41763498901696</v>
      </c>
      <c r="J19" s="95">
        <f t="shared" si="0"/>
        <v>639.81104578813836</v>
      </c>
      <c r="K19" s="95">
        <f t="shared" si="0"/>
        <v>690.99592945118945</v>
      </c>
      <c r="L19" s="60">
        <f t="shared" si="0"/>
        <v>746.27560380728471</v>
      </c>
      <c r="N19" s="1"/>
    </row>
    <row r="20" spans="1:14" ht="15.95" customHeight="1" x14ac:dyDescent="0.2">
      <c r="A20" t="s">
        <v>42</v>
      </c>
      <c r="C20" s="47">
        <v>0.1</v>
      </c>
      <c r="D20" s="47">
        <v>0.1</v>
      </c>
      <c r="E20" s="47">
        <v>0.1</v>
      </c>
      <c r="F20" s="47">
        <v>0.1</v>
      </c>
      <c r="G20" s="47">
        <v>0.1</v>
      </c>
      <c r="H20" s="47">
        <v>0.1</v>
      </c>
      <c r="I20" s="47">
        <v>0.1</v>
      </c>
      <c r="J20" s="47">
        <v>0.1</v>
      </c>
      <c r="K20" s="47">
        <v>0.1</v>
      </c>
      <c r="L20" s="61">
        <v>0.1</v>
      </c>
      <c r="N20" s="1"/>
    </row>
    <row r="21" spans="1:14" ht="15.95" customHeight="1" x14ac:dyDescent="0.2">
      <c r="A21" t="s">
        <v>43</v>
      </c>
      <c r="B21" s="1">
        <v>33.28</v>
      </c>
      <c r="C21" s="73">
        <f>C19*C20</f>
        <v>37.332360000000008</v>
      </c>
      <c r="D21" s="73">
        <f t="shared" ref="D21:L21" si="1">D19*D20</f>
        <v>40.318948800000015</v>
      </c>
      <c r="E21" s="73">
        <f t="shared" si="1"/>
        <v>43.544464704000013</v>
      </c>
      <c r="F21" s="73">
        <f t="shared" si="1"/>
        <v>47.028021880320019</v>
      </c>
      <c r="G21" s="73">
        <f t="shared" si="1"/>
        <v>50.790263630745621</v>
      </c>
      <c r="H21" s="73">
        <f t="shared" si="1"/>
        <v>54.85348472120527</v>
      </c>
      <c r="I21" s="73">
        <f t="shared" si="1"/>
        <v>59.241763498901697</v>
      </c>
      <c r="J21" s="73">
        <f t="shared" si="1"/>
        <v>63.981104578813841</v>
      </c>
      <c r="K21" s="73">
        <f t="shared" si="1"/>
        <v>69.099592945118943</v>
      </c>
      <c r="L21" s="62">
        <f t="shared" si="1"/>
        <v>74.627560380728468</v>
      </c>
      <c r="M21" s="1"/>
      <c r="N21" s="1"/>
    </row>
    <row r="22" spans="1:14" ht="15.95" customHeight="1" thickBot="1" x14ac:dyDescent="0.25">
      <c r="A22" t="s">
        <v>44</v>
      </c>
      <c r="B22" s="1"/>
      <c r="C22" s="58">
        <f>C21*(1-0.24)</f>
        <v>28.372593600000005</v>
      </c>
      <c r="D22" s="58">
        <f t="shared" ref="D22:L22" si="2">D21*(1-0.24)</f>
        <v>30.64240108800001</v>
      </c>
      <c r="E22" s="58">
        <f t="shared" si="2"/>
        <v>33.093793175040012</v>
      </c>
      <c r="F22" s="58">
        <f t="shared" si="2"/>
        <v>35.741296629043212</v>
      </c>
      <c r="G22" s="58">
        <f t="shared" si="2"/>
        <v>38.600600359366673</v>
      </c>
      <c r="H22" s="58">
        <f t="shared" si="2"/>
        <v>41.688648388116007</v>
      </c>
      <c r="I22" s="58">
        <f t="shared" si="2"/>
        <v>45.023740259165294</v>
      </c>
      <c r="J22" s="58">
        <f t="shared" si="2"/>
        <v>48.625639479898517</v>
      </c>
      <c r="K22" s="58">
        <f t="shared" si="2"/>
        <v>52.515690638290394</v>
      </c>
      <c r="L22" s="63">
        <f t="shared" si="2"/>
        <v>56.716945889353639</v>
      </c>
      <c r="M22" s="1"/>
      <c r="N22" s="1"/>
    </row>
    <row r="23" spans="1:14" ht="15.95" customHeight="1" thickTop="1" x14ac:dyDescent="0.2">
      <c r="A23" t="s">
        <v>45</v>
      </c>
      <c r="B23" s="1"/>
      <c r="C23" s="96">
        <v>0.6</v>
      </c>
      <c r="D23" s="96">
        <v>0.6</v>
      </c>
      <c r="E23" s="96">
        <v>0.6</v>
      </c>
      <c r="F23" s="96">
        <v>0.6</v>
      </c>
      <c r="G23" s="96">
        <v>0.6</v>
      </c>
      <c r="H23" s="96">
        <v>0.6</v>
      </c>
      <c r="I23" s="96">
        <v>0.6</v>
      </c>
      <c r="J23" s="96">
        <v>0.6</v>
      </c>
      <c r="K23" s="96">
        <v>0.6</v>
      </c>
      <c r="L23" s="64">
        <v>0.6</v>
      </c>
      <c r="M23" s="1"/>
      <c r="N23" s="1"/>
    </row>
    <row r="24" spans="1:14" ht="15.95" customHeight="1" x14ac:dyDescent="0.2">
      <c r="A24" t="s">
        <v>46</v>
      </c>
      <c r="B24" s="1"/>
      <c r="C24" s="1">
        <f>C22*C23</f>
        <v>17.023556160000002</v>
      </c>
      <c r="D24" s="1">
        <f t="shared" ref="D24:L24" si="3">D21*D23</f>
        <v>24.191369280000007</v>
      </c>
      <c r="E24" s="1">
        <f t="shared" si="3"/>
        <v>26.126678822400006</v>
      </c>
      <c r="F24" s="1">
        <f t="shared" si="3"/>
        <v>28.216813128192012</v>
      </c>
      <c r="G24" s="1">
        <f t="shared" si="3"/>
        <v>30.474158178447372</v>
      </c>
      <c r="H24" s="1">
        <f t="shared" si="3"/>
        <v>32.912090832723159</v>
      </c>
      <c r="I24" s="1">
        <f t="shared" si="3"/>
        <v>35.54505809934102</v>
      </c>
      <c r="J24" s="1">
        <f t="shared" si="3"/>
        <v>38.388662747288301</v>
      </c>
      <c r="K24" s="1">
        <f t="shared" si="3"/>
        <v>41.459755767071364</v>
      </c>
      <c r="L24" s="65">
        <f t="shared" si="3"/>
        <v>44.776536228437081</v>
      </c>
      <c r="M24" s="1"/>
      <c r="N24" s="1"/>
    </row>
    <row r="25" spans="1:14" ht="15.95" customHeight="1" x14ac:dyDescent="0.2">
      <c r="A25" t="s">
        <v>23</v>
      </c>
      <c r="B25" s="1"/>
      <c r="C25" s="97">
        <v>2</v>
      </c>
      <c r="D25" s="97">
        <v>2</v>
      </c>
      <c r="E25" s="97">
        <v>2</v>
      </c>
      <c r="F25" s="97">
        <v>2</v>
      </c>
      <c r="G25" s="97">
        <v>2</v>
      </c>
      <c r="H25" s="97">
        <v>2</v>
      </c>
      <c r="I25" s="97">
        <v>2</v>
      </c>
      <c r="J25" s="97">
        <v>2</v>
      </c>
      <c r="K25" s="97">
        <v>2</v>
      </c>
      <c r="L25" s="68">
        <v>2</v>
      </c>
      <c r="M25" s="1"/>
      <c r="N25" s="1"/>
    </row>
    <row r="26" spans="1:14" ht="15.95" customHeight="1" thickBot="1" x14ac:dyDescent="0.25">
      <c r="A26" t="s">
        <v>47</v>
      </c>
      <c r="B26" s="1"/>
      <c r="C26" s="69">
        <f>C24-C25</f>
        <v>15.023556160000002</v>
      </c>
      <c r="D26" s="69">
        <f t="shared" ref="D26:L26" si="4">D24-D25</f>
        <v>22.191369280000007</v>
      </c>
      <c r="E26" s="69">
        <f t="shared" si="4"/>
        <v>24.126678822400006</v>
      </c>
      <c r="F26" s="69">
        <f t="shared" si="4"/>
        <v>26.216813128192012</v>
      </c>
      <c r="G26" s="69">
        <f t="shared" si="4"/>
        <v>28.474158178447372</v>
      </c>
      <c r="H26" s="69">
        <f t="shared" si="4"/>
        <v>30.912090832723159</v>
      </c>
      <c r="I26" s="69">
        <f t="shared" si="4"/>
        <v>33.54505809934102</v>
      </c>
      <c r="J26" s="69">
        <f t="shared" si="4"/>
        <v>36.388662747288301</v>
      </c>
      <c r="K26" s="69">
        <f t="shared" si="4"/>
        <v>39.459755767071364</v>
      </c>
      <c r="L26" s="70">
        <f t="shared" si="4"/>
        <v>42.776536228437081</v>
      </c>
      <c r="M26" s="1" t="s">
        <v>48</v>
      </c>
      <c r="N26" s="1">
        <f>L26*(1+0.08)</f>
        <v>46.198659126712052</v>
      </c>
    </row>
    <row r="27" spans="1:14" ht="15.95" customHeight="1" thickTop="1" x14ac:dyDescent="0.2">
      <c r="A27" t="s">
        <v>25</v>
      </c>
      <c r="B27" s="98"/>
      <c r="C27" s="96">
        <f>$B$12</f>
        <v>0.1</v>
      </c>
      <c r="D27" s="96">
        <f t="shared" ref="D27:L27" si="5">$B$12</f>
        <v>0.1</v>
      </c>
      <c r="E27" s="96">
        <f t="shared" si="5"/>
        <v>0.1</v>
      </c>
      <c r="F27" s="96">
        <f t="shared" si="5"/>
        <v>0.1</v>
      </c>
      <c r="G27" s="96">
        <f t="shared" si="5"/>
        <v>0.1</v>
      </c>
      <c r="H27" s="96">
        <f t="shared" si="5"/>
        <v>0.1</v>
      </c>
      <c r="I27" s="96">
        <f t="shared" si="5"/>
        <v>0.1</v>
      </c>
      <c r="J27" s="96">
        <f t="shared" si="5"/>
        <v>0.1</v>
      </c>
      <c r="K27" s="96">
        <f t="shared" si="5"/>
        <v>0.1</v>
      </c>
      <c r="L27" s="96">
        <f t="shared" si="5"/>
        <v>0.1</v>
      </c>
      <c r="M27" s="98" t="s">
        <v>25</v>
      </c>
      <c r="N27" s="98">
        <f>B12</f>
        <v>0.1</v>
      </c>
    </row>
    <row r="28" spans="1:14" ht="15.95" customHeight="1" x14ac:dyDescent="0.2">
      <c r="A28" t="s">
        <v>49</v>
      </c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65">
        <v>10</v>
      </c>
      <c r="M28" s="1" t="s">
        <v>49</v>
      </c>
      <c r="N28" s="1">
        <v>10</v>
      </c>
    </row>
    <row r="29" spans="1:14" ht="15.95" customHeight="1" x14ac:dyDescent="0.2">
      <c r="A29" t="s">
        <v>50</v>
      </c>
      <c r="B29" s="1"/>
      <c r="C29" s="1">
        <f>1/(1+C27)^C28</f>
        <v>0.90909090909090906</v>
      </c>
      <c r="D29" s="1">
        <f>1/(1+D27)^D28</f>
        <v>0.82644628099173545</v>
      </c>
      <c r="E29" s="1">
        <f t="shared" ref="E29:N29" si="6">1/(1+E27)^E28</f>
        <v>0.75131480090157754</v>
      </c>
      <c r="F29" s="1">
        <f t="shared" si="6"/>
        <v>0.68301345536507052</v>
      </c>
      <c r="G29" s="1">
        <f t="shared" si="6"/>
        <v>0.62092132305915493</v>
      </c>
      <c r="H29" s="1">
        <f t="shared" si="6"/>
        <v>0.56447393005377722</v>
      </c>
      <c r="I29" s="1">
        <f t="shared" si="6"/>
        <v>0.51315811823070645</v>
      </c>
      <c r="J29" s="1">
        <f t="shared" si="6"/>
        <v>0.46650738020973315</v>
      </c>
      <c r="K29" s="1">
        <f t="shared" si="6"/>
        <v>0.42409761837248466</v>
      </c>
      <c r="L29" s="65">
        <f t="shared" si="6"/>
        <v>0.38554328942953148</v>
      </c>
      <c r="M29" s="1" t="s">
        <v>50</v>
      </c>
      <c r="N29" s="1">
        <f t="shared" si="6"/>
        <v>0.38554328942953148</v>
      </c>
    </row>
    <row r="30" spans="1:14" ht="15.9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65"/>
      <c r="M30" s="1" t="s">
        <v>51</v>
      </c>
      <c r="N30" s="1">
        <f>N26/(N27-0.03)</f>
        <v>659.98084466731495</v>
      </c>
    </row>
    <row r="31" spans="1:14" ht="15.95" customHeight="1" thickBot="1" x14ac:dyDescent="0.25">
      <c r="A31" t="s">
        <v>52</v>
      </c>
      <c r="B31" s="1"/>
      <c r="C31" s="37">
        <f>C26*C29</f>
        <v>13.657778327272728</v>
      </c>
      <c r="D31" s="37">
        <f t="shared" ref="D31:L31" si="7">D26*D29</f>
        <v>18.339974611570252</v>
      </c>
      <c r="E31" s="37">
        <f t="shared" si="7"/>
        <v>18.126730895867766</v>
      </c>
      <c r="F31" s="37">
        <f t="shared" si="7"/>
        <v>17.906436123346769</v>
      </c>
      <c r="G31" s="37">
        <f t="shared" si="7"/>
        <v>17.680211969157199</v>
      </c>
      <c r="H31" s="37">
        <f t="shared" si="7"/>
        <v>17.449069398526582</v>
      </c>
      <c r="I31" s="37">
        <f t="shared" si="7"/>
        <v>17.213918890197554</v>
      </c>
      <c r="J31" s="37">
        <f t="shared" si="7"/>
        <v>16.975579727572978</v>
      </c>
      <c r="K31" s="37">
        <f t="shared" si="7"/>
        <v>16.734788442374882</v>
      </c>
      <c r="L31" s="66">
        <f t="shared" si="7"/>
        <v>16.492206487913155</v>
      </c>
      <c r="M31" s="1" t="s">
        <v>53</v>
      </c>
      <c r="N31" s="37">
        <f>N30*N29</f>
        <v>254.45118581351727</v>
      </c>
    </row>
    <row r="32" spans="1:14" ht="15.95" customHeight="1" thickTop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65"/>
      <c r="M32" s="1"/>
      <c r="N32" s="1"/>
    </row>
    <row r="33" spans="1:14" ht="15.95" customHeight="1" thickBot="1" x14ac:dyDescent="0.25">
      <c r="A33" t="s">
        <v>54</v>
      </c>
      <c r="B33" s="75">
        <f>SUM(C31:L31,N31)</f>
        <v>425.02788068731718</v>
      </c>
      <c r="C33" s="1"/>
      <c r="D33" s="1"/>
      <c r="E33" s="1"/>
      <c r="F33" s="1"/>
      <c r="G33" s="1"/>
      <c r="H33" s="1"/>
      <c r="I33" s="1"/>
      <c r="J33" s="1"/>
      <c r="K33" s="1"/>
      <c r="L33" s="65"/>
      <c r="M33" s="1"/>
      <c r="N33" s="1"/>
    </row>
    <row r="34" spans="1:14" ht="15.95" customHeight="1" thickTop="1" x14ac:dyDescent="0.2">
      <c r="A34" t="s">
        <v>55</v>
      </c>
      <c r="B34" s="99">
        <v>355.01</v>
      </c>
      <c r="C34" s="1"/>
      <c r="D34" s="1"/>
      <c r="E34" s="1"/>
      <c r="F34" s="1"/>
      <c r="G34" s="1"/>
      <c r="H34" s="1"/>
      <c r="I34" s="1"/>
      <c r="J34" s="1"/>
      <c r="K34" s="1"/>
      <c r="L34" s="65"/>
      <c r="M34" s="1"/>
      <c r="N34" s="1"/>
    </row>
    <row r="35" spans="1:14" ht="15.95" customHeight="1" x14ac:dyDescent="0.2"/>
    <row r="36" spans="1:14" ht="15.95" customHeight="1" x14ac:dyDescent="0.2">
      <c r="A36" s="111" t="s">
        <v>131</v>
      </c>
      <c r="B36" s="111"/>
    </row>
    <row r="37" spans="1:14" ht="15.95" customHeight="1" x14ac:dyDescent="0.2">
      <c r="A37" s="82" t="s">
        <v>11</v>
      </c>
      <c r="B37" s="59" t="s">
        <v>13</v>
      </c>
    </row>
    <row r="38" spans="1:14" ht="15.95" customHeight="1" x14ac:dyDescent="0.2">
      <c r="A38" s="78" t="s">
        <v>56</v>
      </c>
      <c r="B38" s="83">
        <v>285.25246484368745</v>
      </c>
    </row>
    <row r="39" spans="1:14" ht="15.95" customHeight="1" x14ac:dyDescent="0.2">
      <c r="A39" s="78" t="s">
        <v>57</v>
      </c>
      <c r="B39" s="83">
        <f>B34</f>
        <v>355.01</v>
      </c>
    </row>
    <row r="40" spans="1:14" ht="15.95" customHeight="1" x14ac:dyDescent="0.2">
      <c r="A40" s="78" t="s">
        <v>58</v>
      </c>
      <c r="B40" s="84">
        <v>0.05</v>
      </c>
    </row>
    <row r="41" spans="1:14" ht="15.95" customHeight="1" x14ac:dyDescent="0.2">
      <c r="A41" s="85" t="s">
        <v>59</v>
      </c>
      <c r="B41" s="86">
        <v>0.1</v>
      </c>
    </row>
    <row r="42" spans="1:14" ht="15.95" customHeight="1" x14ac:dyDescent="0.2">
      <c r="B42" s="7"/>
    </row>
    <row r="43" spans="1:14" ht="15.95" customHeight="1" x14ac:dyDescent="0.2">
      <c r="A43" s="4" t="s">
        <v>60</v>
      </c>
      <c r="B43" s="5" t="s">
        <v>61</v>
      </c>
      <c r="C43" s="5" t="s">
        <v>29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37</v>
      </c>
    </row>
    <row r="44" spans="1:14" ht="15.95" customHeight="1" x14ac:dyDescent="0.2">
      <c r="A44" s="8" t="s">
        <v>62</v>
      </c>
      <c r="B44" s="1">
        <f>C26</f>
        <v>15.023556160000002</v>
      </c>
      <c r="C44" s="1">
        <f>D26</f>
        <v>22.191369280000007</v>
      </c>
      <c r="D44" s="1">
        <f>E26</f>
        <v>24.126678822400006</v>
      </c>
      <c r="E44" s="1">
        <f>F26</f>
        <v>26.216813128192012</v>
      </c>
      <c r="F44" s="1">
        <f>G26</f>
        <v>28.474158178447372</v>
      </c>
      <c r="G44" s="1">
        <f>H26</f>
        <v>30.912090832723159</v>
      </c>
      <c r="H44" s="1">
        <f>I26</f>
        <v>33.54505809934102</v>
      </c>
      <c r="I44" s="1">
        <f>J26</f>
        <v>36.388662747288301</v>
      </c>
      <c r="J44" s="1">
        <f>K26</f>
        <v>39.459755767071364</v>
      </c>
      <c r="K44" s="1">
        <f>L26</f>
        <v>42.776536228437081</v>
      </c>
    </row>
    <row r="45" spans="1:14" ht="15.95" customHeight="1" x14ac:dyDescent="0.2">
      <c r="A45" s="8" t="s">
        <v>63</v>
      </c>
      <c r="B45" s="93">
        <v>0.1</v>
      </c>
      <c r="C45" s="93">
        <f>(C44-B44)/B44</f>
        <v>0.47710495728595886</v>
      </c>
      <c r="D45" s="93">
        <f>(D44-C44)/C44</f>
        <v>8.7210010251336692E-2</v>
      </c>
      <c r="E45" s="93">
        <f t="shared" ref="E45:J45" si="8">(E44-D44)/D44</f>
        <v>8.6631662864905229E-2</v>
      </c>
      <c r="F45" s="93">
        <f t="shared" si="8"/>
        <v>8.610295382652533E-2</v>
      </c>
      <c r="G45" s="93">
        <f>(G44-F44)/F44</f>
        <v>8.5619130124840861E-2</v>
      </c>
      <c r="H45" s="93">
        <f t="shared" si="8"/>
        <v>8.5175968227637136E-2</v>
      </c>
      <c r="I45" s="93">
        <f t="shared" si="8"/>
        <v>8.4769704065683002E-2</v>
      </c>
      <c r="J45" s="93">
        <f t="shared" si="8"/>
        <v>8.4396973890224172E-2</v>
      </c>
      <c r="K45" s="93">
        <f>(K44-J44)/J44</f>
        <v>8.4054764072653623E-2</v>
      </c>
    </row>
    <row r="46" spans="1:14" ht="15.95" customHeight="1" x14ac:dyDescent="0.2">
      <c r="A46" s="8" t="s">
        <v>64</v>
      </c>
      <c r="B46" s="91">
        <f>B44/B38</f>
        <v>5.2667577011937847E-2</v>
      </c>
      <c r="C46" s="91">
        <f>C44/B47</f>
        <v>6.250913855947722E-2</v>
      </c>
      <c r="D46" s="91">
        <f>D44/C47</f>
        <v>5.4360500512566835E-2</v>
      </c>
      <c r="E46" s="91">
        <f t="shared" ref="E46:K46" si="9">E44/D47</f>
        <v>5.4331583143245266E-2</v>
      </c>
      <c r="F46" s="91">
        <f>F44/E47</f>
        <v>5.4305147691326265E-2</v>
      </c>
      <c r="G46" s="91">
        <f t="shared" si="9"/>
        <v>5.4280956506242053E-2</v>
      </c>
      <c r="H46" s="91">
        <f>H44/G47</f>
        <v>5.4258798411381856E-2</v>
      </c>
      <c r="I46" s="91">
        <f t="shared" si="9"/>
        <v>5.4238485203284149E-2</v>
      </c>
      <c r="J46" s="91">
        <f t="shared" si="9"/>
        <v>5.4219848694511213E-2</v>
      </c>
      <c r="K46" s="91">
        <f t="shared" si="9"/>
        <v>5.420273820363268E-2</v>
      </c>
      <c r="M46" s="7"/>
    </row>
    <row r="47" spans="1:14" ht="15.95" customHeight="1" x14ac:dyDescent="0.2">
      <c r="A47" s="8" t="s">
        <v>65</v>
      </c>
      <c r="B47" s="6">
        <f>IF(B44/B40&lt;B39,B39,B44/B40)</f>
        <v>355.01</v>
      </c>
      <c r="C47" s="6">
        <f>IF(C44/$B$40&lt;B47,B47,C44/$B$40)</f>
        <v>443.82738560000013</v>
      </c>
      <c r="D47" s="6">
        <f t="shared" ref="D47:K47" si="10">IF(D44/$B$40&lt;C47,C47,D44/$B$40)</f>
        <v>482.53357644800008</v>
      </c>
      <c r="E47" s="6">
        <f t="shared" si="10"/>
        <v>524.33626256384025</v>
      </c>
      <c r="F47" s="6">
        <f t="shared" si="10"/>
        <v>569.48316356894736</v>
      </c>
      <c r="G47" s="6">
        <f t="shared" si="10"/>
        <v>618.24181665446315</v>
      </c>
      <c r="H47" s="6">
        <f t="shared" si="10"/>
        <v>670.9011619868204</v>
      </c>
      <c r="I47" s="6">
        <f t="shared" si="10"/>
        <v>727.77325494576598</v>
      </c>
      <c r="J47" s="6">
        <f t="shared" si="10"/>
        <v>789.19511534142725</v>
      </c>
      <c r="K47" s="6">
        <f t="shared" si="10"/>
        <v>855.53072456874156</v>
      </c>
    </row>
    <row r="48" spans="1:14" ht="15.95" customHeight="1" x14ac:dyDescent="0.2">
      <c r="A48" s="8" t="s">
        <v>66</v>
      </c>
      <c r="B48" s="93">
        <f>(B47-B38)/B38</f>
        <v>0.24454665166360001</v>
      </c>
      <c r="C48" s="93">
        <f>(C47-B47)/B47</f>
        <v>0.25018277118954435</v>
      </c>
      <c r="D48" s="93">
        <f>(D47-C47)/C47</f>
        <v>8.7210010251336637E-2</v>
      </c>
      <c r="E48" s="93">
        <f t="shared" ref="E48:J48" si="11">(E47-D47)/D47</f>
        <v>8.6631662864905354E-2</v>
      </c>
      <c r="F48" s="93">
        <f t="shared" si="11"/>
        <v>8.6102953826525164E-2</v>
      </c>
      <c r="G48" s="93">
        <f t="shared" si="11"/>
        <v>8.5619130124840959E-2</v>
      </c>
      <c r="H48" s="93">
        <f t="shared" si="11"/>
        <v>8.5175968227637192E-2</v>
      </c>
      <c r="I48" s="93">
        <f t="shared" si="11"/>
        <v>8.4769704065682946E-2</v>
      </c>
      <c r="J48" s="93">
        <f t="shared" si="11"/>
        <v>8.4396973890224172E-2</v>
      </c>
      <c r="K48" s="93">
        <f>(K47-J47)/J47</f>
        <v>8.4054764072653596E-2</v>
      </c>
    </row>
    <row r="49" spans="1:11" ht="15.95" customHeight="1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5.95" customHeight="1" x14ac:dyDescent="0.2">
      <c r="A50" s="4" t="s">
        <v>67</v>
      </c>
      <c r="B50" s="5" t="s">
        <v>13</v>
      </c>
      <c r="D50" s="121" t="s">
        <v>68</v>
      </c>
      <c r="E50" s="121"/>
      <c r="F50" s="121"/>
      <c r="G50" s="121"/>
      <c r="H50" s="121"/>
      <c r="I50" s="121"/>
      <c r="J50" s="121"/>
    </row>
    <row r="51" spans="1:11" ht="15.95" customHeight="1" x14ac:dyDescent="0.2">
      <c r="A51" s="8" t="s">
        <v>69</v>
      </c>
      <c r="B51" s="10">
        <f>K47</f>
        <v>855.53072456874156</v>
      </c>
      <c r="D51" s="114" t="s">
        <v>70</v>
      </c>
      <c r="E51" s="11"/>
      <c r="F51" s="117" t="s">
        <v>71</v>
      </c>
      <c r="G51" s="117"/>
      <c r="H51" s="117"/>
      <c r="I51" s="117"/>
      <c r="J51" s="118"/>
    </row>
    <row r="52" spans="1:11" ht="15.95" customHeight="1" x14ac:dyDescent="0.2">
      <c r="A52" s="8" t="s">
        <v>72</v>
      </c>
      <c r="B52" s="10">
        <f>SUM(B44:K44)</f>
        <v>299.1146792439003</v>
      </c>
      <c r="D52" s="115"/>
      <c r="E52" s="12" t="str">
        <f>B55</f>
        <v>Investable</v>
      </c>
      <c r="F52" s="13">
        <v>300</v>
      </c>
      <c r="G52" s="13">
        <v>325</v>
      </c>
      <c r="H52" s="13">
        <v>355</v>
      </c>
      <c r="I52" s="13">
        <v>375</v>
      </c>
      <c r="J52" s="14">
        <v>400</v>
      </c>
    </row>
    <row r="53" spans="1:11" ht="15.95" customHeight="1" x14ac:dyDescent="0.2">
      <c r="A53" s="8" t="s">
        <v>73</v>
      </c>
      <c r="B53" s="10">
        <f>SUM(B51:B52)</f>
        <v>1154.6454038126419</v>
      </c>
      <c r="D53" s="115"/>
      <c r="E53" s="15">
        <v>0.04</v>
      </c>
      <c r="F53" s="16" t="str">
        <f t="dataTable" ref="F53:J57" dt2D="1" dtr="1" r1="B38" r2="B40"/>
        <v>Investable</v>
      </c>
      <c r="G53" s="17" t="str">
        <v>Investable</v>
      </c>
      <c r="H53" s="17" t="str">
        <v>Investable</v>
      </c>
      <c r="I53" s="17" t="str">
        <v>Investable</v>
      </c>
      <c r="J53" s="18" t="str">
        <v>Investable</v>
      </c>
    </row>
    <row r="54" spans="1:11" ht="15.95" customHeight="1" thickBot="1" x14ac:dyDescent="0.25">
      <c r="A54" s="8" t="s">
        <v>74</v>
      </c>
      <c r="B54" s="74">
        <f>POWER(B53/B39, 1/10)-1</f>
        <v>0.12517689219665362</v>
      </c>
      <c r="D54" s="115"/>
      <c r="E54" s="15">
        <v>0.05</v>
      </c>
      <c r="F54" s="17" t="str">
        <v>Investable</v>
      </c>
      <c r="G54" s="17" t="str">
        <v>Investable</v>
      </c>
      <c r="H54" s="17" t="str">
        <v>Investable</v>
      </c>
      <c r="I54" s="17" t="str">
        <v>Investable</v>
      </c>
      <c r="J54" s="18" t="str">
        <v>Investable</v>
      </c>
    </row>
    <row r="55" spans="1:11" ht="15.95" customHeight="1" thickTop="1" x14ac:dyDescent="0.2">
      <c r="A55" s="8" t="s">
        <v>75</v>
      </c>
      <c r="B55" s="100" t="str">
        <f>IF(B54&gt;B41,"Investable", "Not Worth It")</f>
        <v>Investable</v>
      </c>
      <c r="D55" s="115"/>
      <c r="E55" s="15">
        <v>0.06</v>
      </c>
      <c r="F55" s="17" t="str">
        <v>Investable</v>
      </c>
      <c r="G55" s="17" t="str">
        <v>Investable</v>
      </c>
      <c r="H55" s="17" t="str">
        <v>Investable</v>
      </c>
      <c r="I55" s="17" t="str">
        <v>Investable</v>
      </c>
      <c r="J55" s="18" t="str">
        <v>Investable</v>
      </c>
    </row>
    <row r="56" spans="1:11" x14ac:dyDescent="0.2">
      <c r="D56" s="115"/>
      <c r="E56" s="15">
        <v>7.0000000000000007E-2</v>
      </c>
      <c r="F56" s="17" t="str">
        <v>Not Worth It</v>
      </c>
      <c r="G56" s="17" t="str">
        <v>Not Worth It</v>
      </c>
      <c r="H56" s="17" t="str">
        <v>Not Worth It</v>
      </c>
      <c r="I56" s="17" t="str">
        <v>Not Worth It</v>
      </c>
      <c r="J56" s="18" t="str">
        <v>Not Worth It</v>
      </c>
    </row>
    <row r="57" spans="1:11" x14ac:dyDescent="0.2">
      <c r="A57" s="8"/>
      <c r="B57" s="7"/>
      <c r="D57" s="116"/>
      <c r="E57" s="20">
        <v>0.08</v>
      </c>
      <c r="F57" s="21" t="str">
        <v>Not Worth It</v>
      </c>
      <c r="G57" s="21" t="str">
        <v>Not Worth It</v>
      </c>
      <c r="H57" s="21" t="str">
        <v>Not Worth It</v>
      </c>
      <c r="I57" s="21" t="str">
        <v>Not Worth It</v>
      </c>
      <c r="J57" s="22" t="str">
        <v>Not Worth It</v>
      </c>
    </row>
    <row r="58" spans="1:11" x14ac:dyDescent="0.2">
      <c r="A58" s="8"/>
      <c r="B58" s="7"/>
    </row>
    <row r="59" spans="1:11" x14ac:dyDescent="0.2">
      <c r="A59" s="8"/>
      <c r="B59" s="7"/>
      <c r="D59" s="122" t="s">
        <v>76</v>
      </c>
      <c r="E59" s="123"/>
      <c r="F59" s="123"/>
      <c r="G59" s="123"/>
      <c r="H59" s="123"/>
      <c r="I59" s="123"/>
      <c r="J59" s="124"/>
    </row>
    <row r="60" spans="1:11" x14ac:dyDescent="0.2">
      <c r="D60" s="114" t="s">
        <v>70</v>
      </c>
      <c r="E60" s="11"/>
      <c r="F60" s="117" t="s">
        <v>71</v>
      </c>
      <c r="G60" s="117"/>
      <c r="H60" s="117"/>
      <c r="I60" s="117"/>
      <c r="J60" s="118"/>
    </row>
    <row r="61" spans="1:11" x14ac:dyDescent="0.2">
      <c r="D61" s="115"/>
      <c r="E61" s="12">
        <f>B54</f>
        <v>0.12517689219665362</v>
      </c>
      <c r="F61" s="13">
        <v>300</v>
      </c>
      <c r="G61" s="13">
        <v>325</v>
      </c>
      <c r="H61" s="13">
        <v>355</v>
      </c>
      <c r="I61" s="13">
        <v>375</v>
      </c>
      <c r="J61" s="14">
        <v>400</v>
      </c>
    </row>
    <row r="62" spans="1:11" x14ac:dyDescent="0.2">
      <c r="D62" s="115"/>
      <c r="E62" s="15">
        <v>0.04</v>
      </c>
      <c r="F62" s="24">
        <f t="dataTable" ref="F62:J66" dt2D="1" dtr="1" r1="B38" r2="B40" ca="1"/>
        <v>0.14446183024640646</v>
      </c>
      <c r="G62" s="25">
        <v>0.14446183024640646</v>
      </c>
      <c r="H62" s="25">
        <v>0.14446183024640646</v>
      </c>
      <c r="I62" s="25">
        <v>0.14446183024640646</v>
      </c>
      <c r="J62" s="41">
        <v>0.14446183024640646</v>
      </c>
      <c r="K62" s="6"/>
    </row>
    <row r="63" spans="1:11" x14ac:dyDescent="0.2">
      <c r="D63" s="115"/>
      <c r="E63" s="15">
        <v>0.05</v>
      </c>
      <c r="F63" s="27">
        <v>0.12517689219665362</v>
      </c>
      <c r="G63" s="28">
        <v>0.12517689219665362</v>
      </c>
      <c r="H63" s="28">
        <v>0.12517689219665362</v>
      </c>
      <c r="I63" s="28">
        <v>0.12517689219665362</v>
      </c>
      <c r="J63" s="29">
        <v>0.12517689219665362</v>
      </c>
    </row>
    <row r="64" spans="1:11" x14ac:dyDescent="0.2">
      <c r="C64" s="7"/>
      <c r="D64" s="115"/>
      <c r="E64" s="15">
        <v>0.06</v>
      </c>
      <c r="F64" s="27">
        <v>0.11044342380634431</v>
      </c>
      <c r="G64" s="28">
        <v>0.11044342380634431</v>
      </c>
      <c r="H64" s="28">
        <v>0.11044342380634431</v>
      </c>
      <c r="I64" s="28">
        <v>0.11044342380634431</v>
      </c>
      <c r="J64" s="29">
        <v>0.11044342380634431</v>
      </c>
      <c r="K64" s="30"/>
    </row>
    <row r="65" spans="3:11" x14ac:dyDescent="0.2">
      <c r="C65" s="31"/>
      <c r="D65" s="115"/>
      <c r="E65" s="15">
        <v>7.0000000000000007E-2</v>
      </c>
      <c r="F65" s="27">
        <v>9.8727535825779533E-2</v>
      </c>
      <c r="G65" s="28">
        <v>9.8727535825779533E-2</v>
      </c>
      <c r="H65" s="28">
        <v>9.8727535825779533E-2</v>
      </c>
      <c r="I65" s="28">
        <v>9.8727535825779533E-2</v>
      </c>
      <c r="J65" s="29">
        <v>9.8727535825779533E-2</v>
      </c>
      <c r="K65" s="6"/>
    </row>
    <row r="66" spans="3:11" x14ac:dyDescent="0.2">
      <c r="C66" s="32"/>
      <c r="D66" s="116"/>
      <c r="E66" s="20">
        <v>0.08</v>
      </c>
      <c r="F66" s="34">
        <v>8.9138835840741004E-2</v>
      </c>
      <c r="G66" s="35">
        <v>8.9138835840741004E-2</v>
      </c>
      <c r="H66" s="35">
        <v>8.9138835840741004E-2</v>
      </c>
      <c r="I66" s="35">
        <v>8.9138835840741004E-2</v>
      </c>
      <c r="J66" s="36">
        <v>8.9138835840741004E-2</v>
      </c>
      <c r="K66" s="6"/>
    </row>
    <row r="67" spans="3:11" x14ac:dyDescent="0.2">
      <c r="C67" s="33"/>
      <c r="K67" s="33"/>
    </row>
  </sheetData>
  <mergeCells count="10">
    <mergeCell ref="A2:B2"/>
    <mergeCell ref="A1:B1"/>
    <mergeCell ref="D60:D66"/>
    <mergeCell ref="F60:J60"/>
    <mergeCell ref="A9:B9"/>
    <mergeCell ref="A36:B36"/>
    <mergeCell ref="D50:J50"/>
    <mergeCell ref="D51:D57"/>
    <mergeCell ref="F51:J51"/>
    <mergeCell ref="D59:J59"/>
  </mergeCells>
  <conditionalFormatting sqref="B55">
    <cfRule type="containsText" dxfId="43" priority="1" operator="containsText" text="Not Worth It">
      <formula>NOT(ISERROR(SEARCH("Not Worth It",B55)))</formula>
    </cfRule>
    <cfRule type="containsText" dxfId="42" priority="2" operator="containsText" text="Investable">
      <formula>NOT(ISERROR(SEARCH("Investable",B55)))</formula>
    </cfRule>
  </conditionalFormatting>
  <conditionalFormatting sqref="F53:J57">
    <cfRule type="containsText" dxfId="41" priority="8" operator="containsText" text="Not Worth It">
      <formula>NOT(ISERROR(SEARCH("Not Worth It",F53)))</formula>
    </cfRule>
    <cfRule type="containsText" dxfId="40" priority="9" operator="containsText" text="Investable">
      <formula>NOT(ISERROR(SEARCH("Investable",F53)))</formula>
    </cfRule>
  </conditionalFormatting>
  <conditionalFormatting sqref="F62:J66">
    <cfRule type="cellIs" dxfId="39" priority="4" operator="lessThan">
      <formula>0.1</formula>
    </cfRule>
    <cfRule type="cellIs" dxfId="38" priority="5" operator="greaterThan">
      <formula>0.1</formula>
    </cfRule>
    <cfRule type="containsText" dxfId="37" priority="6" operator="containsText" text="Not Worth It">
      <formula>NOT(ISERROR(SEARCH("Not Worth It",F62)))</formula>
    </cfRule>
    <cfRule type="containsText" dxfId="36" priority="7" operator="containsText" text="Investable">
      <formula>NOT(ISERROR(SEARCH("Investable",F62)))</formula>
    </cfRule>
  </conditionalFormatting>
  <dataValidations count="1">
    <dataValidation type="list" allowBlank="1" showInputMessage="1" showErrorMessage="1" sqref="B41" xr:uid="{2043B45A-85B8-4E5A-8EAA-D6579A4C6027}">
      <formula1>"10%,15%"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5F35-926E-4545-B6ED-40A76A783785}">
  <sheetPr codeName="Sheet2"/>
  <dimension ref="A1:N68"/>
  <sheetViews>
    <sheetView showGridLines="0" topLeftCell="A10" workbookViewId="0">
      <selection activeCell="B13" sqref="B13"/>
    </sheetView>
  </sheetViews>
  <sheetFormatPr defaultRowHeight="15" x14ac:dyDescent="0.2"/>
  <cols>
    <col min="1" max="1" width="35.6484375" customWidth="1"/>
    <col min="2" max="29" width="15.73828125" customWidth="1"/>
  </cols>
  <sheetData>
    <row r="1" spans="1:14" x14ac:dyDescent="0.2">
      <c r="A1" s="112" t="s">
        <v>77</v>
      </c>
      <c r="B1" s="113"/>
      <c r="C1" s="11"/>
      <c r="D1" s="11"/>
      <c r="E1" s="11"/>
      <c r="F1" s="11"/>
      <c r="G1" s="76"/>
    </row>
    <row r="2" spans="1:14" x14ac:dyDescent="0.2">
      <c r="A2" s="110" t="s">
        <v>1</v>
      </c>
      <c r="B2" s="111"/>
      <c r="G2" s="77"/>
    </row>
    <row r="3" spans="1:14" x14ac:dyDescent="0.2">
      <c r="A3" s="78" t="s">
        <v>2</v>
      </c>
      <c r="B3" t="s">
        <v>78</v>
      </c>
      <c r="G3" s="77"/>
    </row>
    <row r="4" spans="1:14" x14ac:dyDescent="0.2">
      <c r="A4" s="78" t="s">
        <v>4</v>
      </c>
      <c r="B4" t="s">
        <v>79</v>
      </c>
      <c r="G4" s="77"/>
    </row>
    <row r="5" spans="1:14" x14ac:dyDescent="0.2">
      <c r="A5" s="78" t="s">
        <v>6</v>
      </c>
      <c r="B5" t="s">
        <v>80</v>
      </c>
      <c r="G5" s="77"/>
    </row>
    <row r="6" spans="1:14" x14ac:dyDescent="0.2">
      <c r="A6" s="79" t="s">
        <v>8</v>
      </c>
      <c r="B6" s="80" t="s">
        <v>9</v>
      </c>
      <c r="C6" s="80"/>
      <c r="D6" s="80"/>
      <c r="E6" s="80"/>
      <c r="F6" s="80"/>
      <c r="G6" s="81"/>
    </row>
    <row r="9" spans="1:14" x14ac:dyDescent="0.2">
      <c r="A9" s="119" t="s">
        <v>10</v>
      </c>
      <c r="B9" s="120"/>
    </row>
    <row r="10" spans="1:14" x14ac:dyDescent="0.2">
      <c r="A10" s="82" t="s">
        <v>11</v>
      </c>
      <c r="B10" s="59" t="s">
        <v>13</v>
      </c>
      <c r="D10" s="87" t="s">
        <v>11</v>
      </c>
      <c r="E10" s="88"/>
      <c r="F10" s="89" t="s">
        <v>12</v>
      </c>
      <c r="G10" s="88"/>
      <c r="H10" s="88"/>
      <c r="I10" s="88"/>
      <c r="J10" s="88"/>
      <c r="K10" s="88"/>
      <c r="L10" s="88"/>
      <c r="M10" s="88"/>
      <c r="N10" s="90"/>
    </row>
    <row r="11" spans="1:14" x14ac:dyDescent="0.2">
      <c r="A11" s="78" t="s">
        <v>16</v>
      </c>
      <c r="B11" s="83">
        <v>5170</v>
      </c>
      <c r="D11" s="78" t="s">
        <v>14</v>
      </c>
      <c r="E11" s="6"/>
      <c r="F11" t="s">
        <v>81</v>
      </c>
      <c r="N11" s="77"/>
    </row>
    <row r="12" spans="1:14" x14ac:dyDescent="0.2">
      <c r="A12" s="78" t="s">
        <v>19</v>
      </c>
      <c r="B12" s="84">
        <v>0.1</v>
      </c>
      <c r="D12" s="78" t="s">
        <v>17</v>
      </c>
      <c r="E12" s="91"/>
      <c r="F12" t="s">
        <v>18</v>
      </c>
      <c r="N12" s="77"/>
    </row>
    <row r="13" spans="1:14" x14ac:dyDescent="0.2">
      <c r="A13" s="85" t="s">
        <v>22</v>
      </c>
      <c r="B13" s="86">
        <v>0.03</v>
      </c>
      <c r="D13" s="92" t="s">
        <v>20</v>
      </c>
      <c r="E13" s="93"/>
      <c r="F13" t="s">
        <v>21</v>
      </c>
      <c r="N13" s="77"/>
    </row>
    <row r="14" spans="1:14" x14ac:dyDescent="0.2">
      <c r="A14" s="8"/>
      <c r="B14" s="3"/>
      <c r="D14" s="92" t="s">
        <v>23</v>
      </c>
      <c r="E14" s="93"/>
      <c r="F14" t="s">
        <v>82</v>
      </c>
      <c r="N14" s="77"/>
    </row>
    <row r="15" spans="1:14" x14ac:dyDescent="0.2">
      <c r="A15" s="8"/>
      <c r="B15" s="3"/>
      <c r="D15" s="85" t="s">
        <v>25</v>
      </c>
      <c r="E15" s="94"/>
      <c r="F15" s="80" t="s">
        <v>26</v>
      </c>
      <c r="G15" s="80"/>
      <c r="H15" s="80"/>
      <c r="I15" s="80"/>
      <c r="J15" s="80"/>
      <c r="K15" s="80"/>
      <c r="L15" s="80"/>
      <c r="M15" s="80"/>
      <c r="N15" s="81"/>
    </row>
    <row r="16" spans="1:14" x14ac:dyDescent="0.2">
      <c r="A16" s="8"/>
      <c r="B16" s="3"/>
      <c r="D16" s="8"/>
      <c r="E16" s="93"/>
    </row>
    <row r="17" spans="1:14" x14ac:dyDescent="0.2">
      <c r="A17" s="4" t="s">
        <v>27</v>
      </c>
      <c r="B17" s="4" t="s">
        <v>28</v>
      </c>
      <c r="C17" s="5" t="s">
        <v>29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37</v>
      </c>
      <c r="L17" s="5" t="s">
        <v>38</v>
      </c>
      <c r="M17" s="4" t="s">
        <v>83</v>
      </c>
    </row>
    <row r="18" spans="1:14" x14ac:dyDescent="0.2">
      <c r="A18" t="s">
        <v>40</v>
      </c>
      <c r="C18" s="101">
        <v>0.1</v>
      </c>
      <c r="D18" s="101">
        <v>0.1</v>
      </c>
      <c r="E18" s="101">
        <v>0.1</v>
      </c>
      <c r="F18" s="101">
        <v>0.1</v>
      </c>
      <c r="G18" s="101">
        <v>0.1</v>
      </c>
      <c r="H18" s="101">
        <v>0.1</v>
      </c>
      <c r="I18" s="101">
        <v>0.1</v>
      </c>
      <c r="J18" s="101">
        <v>0.11</v>
      </c>
      <c r="K18" s="101">
        <v>0.11</v>
      </c>
      <c r="L18" s="101">
        <v>0.11</v>
      </c>
    </row>
    <row r="19" spans="1:14" ht="15.95" customHeight="1" x14ac:dyDescent="0.2">
      <c r="A19" t="s">
        <v>41</v>
      </c>
      <c r="B19" s="102">
        <v>4480</v>
      </c>
      <c r="C19" s="102">
        <f>B19*(1+C18)</f>
        <v>4928</v>
      </c>
      <c r="D19" s="102">
        <f t="shared" ref="D19:L19" si="0">C19*(1+D18)</f>
        <v>5420.8</v>
      </c>
      <c r="E19" s="102">
        <f t="shared" si="0"/>
        <v>5962.880000000001</v>
      </c>
      <c r="F19" s="102">
        <f t="shared" si="0"/>
        <v>6559.1680000000015</v>
      </c>
      <c r="G19" s="102">
        <f t="shared" si="0"/>
        <v>7215.0848000000024</v>
      </c>
      <c r="H19" s="102">
        <f t="shared" si="0"/>
        <v>7936.5932800000037</v>
      </c>
      <c r="I19" s="102">
        <f t="shared" si="0"/>
        <v>8730.2526080000043</v>
      </c>
      <c r="J19" s="102">
        <f t="shared" si="0"/>
        <v>9690.5803948800058</v>
      </c>
      <c r="K19" s="102">
        <f t="shared" si="0"/>
        <v>10756.544238316807</v>
      </c>
      <c r="L19" s="102">
        <f t="shared" si="0"/>
        <v>11939.764104531656</v>
      </c>
    </row>
    <row r="20" spans="1:14" ht="15.95" customHeight="1" x14ac:dyDescent="0.2">
      <c r="A20" t="s">
        <v>42</v>
      </c>
      <c r="C20" s="47">
        <v>0.15</v>
      </c>
      <c r="D20" s="47">
        <v>0.15</v>
      </c>
      <c r="E20" s="47">
        <v>0.15</v>
      </c>
      <c r="F20" s="47">
        <v>0.15</v>
      </c>
      <c r="G20" s="47">
        <v>0.15</v>
      </c>
      <c r="H20" s="47">
        <v>0.15</v>
      </c>
      <c r="I20" s="47">
        <v>0.15</v>
      </c>
      <c r="J20" s="47">
        <v>0.15</v>
      </c>
      <c r="K20" s="47">
        <v>0.15</v>
      </c>
      <c r="L20" s="47">
        <v>0.15</v>
      </c>
    </row>
    <row r="21" spans="1:14" ht="15.95" customHeight="1" x14ac:dyDescent="0.2">
      <c r="A21" t="s">
        <v>43</v>
      </c>
      <c r="B21" s="102">
        <v>33.28</v>
      </c>
      <c r="C21" s="102">
        <f>C19*C20</f>
        <v>739.19999999999993</v>
      </c>
      <c r="D21" s="102">
        <f t="shared" ref="D21:L21" si="1">D19*D20</f>
        <v>813.12</v>
      </c>
      <c r="E21" s="102">
        <f t="shared" si="1"/>
        <v>894.43200000000013</v>
      </c>
      <c r="F21" s="102">
        <f t="shared" si="1"/>
        <v>983.87520000000018</v>
      </c>
      <c r="G21" s="102">
        <f t="shared" si="1"/>
        <v>1082.2627200000004</v>
      </c>
      <c r="H21" s="102">
        <f t="shared" si="1"/>
        <v>1190.4889920000005</v>
      </c>
      <c r="I21" s="102">
        <f t="shared" si="1"/>
        <v>1309.5378912000006</v>
      </c>
      <c r="J21" s="102">
        <f t="shared" si="1"/>
        <v>1453.5870592320009</v>
      </c>
      <c r="K21" s="102">
        <f t="shared" si="1"/>
        <v>1613.4816357475208</v>
      </c>
      <c r="L21" s="102">
        <f t="shared" si="1"/>
        <v>1790.9646156797482</v>
      </c>
      <c r="M21" s="1"/>
      <c r="N21" s="1"/>
    </row>
    <row r="22" spans="1:14" ht="15.95" customHeight="1" x14ac:dyDescent="0.2">
      <c r="A22" t="s">
        <v>44</v>
      </c>
      <c r="B22" s="6"/>
      <c r="C22" s="102">
        <f>C21*(1-0.24)</f>
        <v>561.79199999999992</v>
      </c>
      <c r="D22" s="102">
        <f t="shared" ref="D22:L22" si="2">D21*(1-0.24)</f>
        <v>617.97120000000007</v>
      </c>
      <c r="E22" s="102">
        <f t="shared" si="2"/>
        <v>679.76832000000013</v>
      </c>
      <c r="F22" s="102">
        <f t="shared" si="2"/>
        <v>747.74515200000019</v>
      </c>
      <c r="G22" s="102">
        <f t="shared" si="2"/>
        <v>822.5196672000003</v>
      </c>
      <c r="H22" s="102">
        <f t="shared" si="2"/>
        <v>904.77163392000034</v>
      </c>
      <c r="I22" s="102">
        <f t="shared" si="2"/>
        <v>995.24879731200042</v>
      </c>
      <c r="J22" s="102">
        <f t="shared" si="2"/>
        <v>1104.7261650163207</v>
      </c>
      <c r="K22" s="102">
        <f t="shared" si="2"/>
        <v>1226.2460431681159</v>
      </c>
      <c r="L22" s="102">
        <f t="shared" si="2"/>
        <v>1361.1331079166087</v>
      </c>
      <c r="M22" s="1"/>
      <c r="N22" s="1"/>
    </row>
    <row r="23" spans="1:14" ht="15.95" customHeight="1" x14ac:dyDescent="0.2">
      <c r="A23" t="s">
        <v>45</v>
      </c>
      <c r="B23" s="1"/>
      <c r="C23" s="96">
        <v>0.5</v>
      </c>
      <c r="D23" s="96">
        <v>0.5</v>
      </c>
      <c r="E23" s="96">
        <v>0.5</v>
      </c>
      <c r="F23" s="96">
        <v>0.5</v>
      </c>
      <c r="G23" s="96">
        <v>0.5</v>
      </c>
      <c r="H23" s="96">
        <v>0.5</v>
      </c>
      <c r="I23" s="96">
        <v>0.5</v>
      </c>
      <c r="J23" s="96">
        <v>0.5</v>
      </c>
      <c r="K23" s="96">
        <v>0.5</v>
      </c>
      <c r="L23" s="96">
        <v>0.5</v>
      </c>
      <c r="M23" s="1"/>
      <c r="N23" s="1"/>
    </row>
    <row r="24" spans="1:14" ht="15.95" customHeight="1" x14ac:dyDescent="0.2">
      <c r="A24" t="s">
        <v>46</v>
      </c>
      <c r="B24" s="1"/>
      <c r="C24" s="6">
        <f>C22*C23</f>
        <v>280.89599999999996</v>
      </c>
      <c r="D24" s="6">
        <f t="shared" ref="D24:L24" si="3">D21*D23</f>
        <v>406.56</v>
      </c>
      <c r="E24" s="6">
        <f t="shared" si="3"/>
        <v>447.21600000000007</v>
      </c>
      <c r="F24" s="6">
        <f t="shared" si="3"/>
        <v>491.93760000000009</v>
      </c>
      <c r="G24" s="6">
        <f t="shared" si="3"/>
        <v>541.1313600000002</v>
      </c>
      <c r="H24" s="6">
        <f t="shared" si="3"/>
        <v>595.24449600000025</v>
      </c>
      <c r="I24" s="6">
        <f t="shared" si="3"/>
        <v>654.76894560000028</v>
      </c>
      <c r="J24" s="6">
        <f t="shared" si="3"/>
        <v>726.79352961600046</v>
      </c>
      <c r="K24" s="6">
        <f t="shared" si="3"/>
        <v>806.74081787376042</v>
      </c>
      <c r="L24" s="6">
        <f t="shared" si="3"/>
        <v>895.48230783987412</v>
      </c>
    </row>
    <row r="25" spans="1:14" ht="15.95" customHeight="1" x14ac:dyDescent="0.2">
      <c r="A25" t="s">
        <v>84</v>
      </c>
      <c r="B25" s="1"/>
      <c r="C25" s="44">
        <v>110</v>
      </c>
      <c r="D25" s="44">
        <v>110</v>
      </c>
      <c r="E25" s="44">
        <v>110</v>
      </c>
      <c r="F25" s="44">
        <v>110</v>
      </c>
      <c r="G25" s="44">
        <v>110</v>
      </c>
      <c r="H25" s="44">
        <v>110</v>
      </c>
      <c r="I25" s="44">
        <v>110</v>
      </c>
      <c r="J25" s="44">
        <v>110</v>
      </c>
      <c r="K25" s="44">
        <v>110</v>
      </c>
      <c r="L25" s="44">
        <v>110</v>
      </c>
    </row>
    <row r="26" spans="1:14" ht="15.95" customHeight="1" thickBot="1" x14ac:dyDescent="0.25">
      <c r="A26" t="s">
        <v>47</v>
      </c>
      <c r="B26" s="1"/>
      <c r="C26" s="39">
        <f>C24-C25</f>
        <v>170.89599999999996</v>
      </c>
      <c r="D26" s="39">
        <f>D24-D25</f>
        <v>296.56</v>
      </c>
      <c r="E26" s="39">
        <f t="shared" ref="E26:L26" si="4">E24-E25</f>
        <v>337.21600000000007</v>
      </c>
      <c r="F26" s="39">
        <f t="shared" si="4"/>
        <v>381.93760000000009</v>
      </c>
      <c r="G26" s="39">
        <f t="shared" si="4"/>
        <v>431.1313600000002</v>
      </c>
      <c r="H26" s="39">
        <f t="shared" si="4"/>
        <v>485.24449600000025</v>
      </c>
      <c r="I26" s="39">
        <f t="shared" si="4"/>
        <v>544.76894560000028</v>
      </c>
      <c r="J26" s="39">
        <f t="shared" si="4"/>
        <v>616.79352961600046</v>
      </c>
      <c r="K26" s="39">
        <f t="shared" si="4"/>
        <v>696.74081787376042</v>
      </c>
      <c r="L26" s="39">
        <f t="shared" si="4"/>
        <v>785.48230783987412</v>
      </c>
      <c r="M26" s="46">
        <f>L26*(1+0.1)</f>
        <v>864.03053862386162</v>
      </c>
    </row>
    <row r="27" spans="1:14" ht="15.95" customHeight="1" thickTop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ht="15.95" customHeight="1" x14ac:dyDescent="0.2">
      <c r="A28" t="s">
        <v>25</v>
      </c>
      <c r="B28" s="98"/>
      <c r="C28" s="96">
        <f>$B$12</f>
        <v>0.1</v>
      </c>
      <c r="D28" s="96">
        <f t="shared" ref="D28:M28" si="5">$B$12</f>
        <v>0.1</v>
      </c>
      <c r="E28" s="96">
        <f t="shared" si="5"/>
        <v>0.1</v>
      </c>
      <c r="F28" s="96">
        <f t="shared" si="5"/>
        <v>0.1</v>
      </c>
      <c r="G28" s="96">
        <f t="shared" si="5"/>
        <v>0.1</v>
      </c>
      <c r="H28" s="96">
        <f t="shared" si="5"/>
        <v>0.1</v>
      </c>
      <c r="I28" s="96">
        <f t="shared" si="5"/>
        <v>0.1</v>
      </c>
      <c r="J28" s="96">
        <f t="shared" si="5"/>
        <v>0.1</v>
      </c>
      <c r="K28" s="96">
        <f t="shared" si="5"/>
        <v>0.1</v>
      </c>
      <c r="L28" s="96">
        <f t="shared" si="5"/>
        <v>0.1</v>
      </c>
      <c r="M28" s="96">
        <f t="shared" si="5"/>
        <v>0.1</v>
      </c>
    </row>
    <row r="29" spans="1:14" ht="15.95" customHeight="1" x14ac:dyDescent="0.2">
      <c r="A29" t="s">
        <v>49</v>
      </c>
      <c r="B29" s="1"/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10</v>
      </c>
    </row>
    <row r="30" spans="1:14" ht="15.95" customHeight="1" x14ac:dyDescent="0.2">
      <c r="A30" t="s">
        <v>50</v>
      </c>
      <c r="B30" s="1"/>
      <c r="C30" s="1">
        <f>1/(1+C28)^C29</f>
        <v>0.90909090909090906</v>
      </c>
      <c r="D30" s="1">
        <f t="shared" ref="D30:L30" si="6">1/(1+D28)^D29</f>
        <v>0.82644628099173545</v>
      </c>
      <c r="E30" s="1">
        <f t="shared" si="6"/>
        <v>0.75131480090157754</v>
      </c>
      <c r="F30" s="1">
        <f t="shared" si="6"/>
        <v>0.68301345536507052</v>
      </c>
      <c r="G30" s="1">
        <f t="shared" si="6"/>
        <v>0.62092132305915493</v>
      </c>
      <c r="H30" s="1">
        <f t="shared" si="6"/>
        <v>0.56447393005377722</v>
      </c>
      <c r="I30" s="1">
        <f t="shared" si="6"/>
        <v>0.51315811823070645</v>
      </c>
      <c r="J30" s="1">
        <f t="shared" si="6"/>
        <v>0.46650738020973315</v>
      </c>
      <c r="K30" s="1">
        <f t="shared" si="6"/>
        <v>0.42409761837248466</v>
      </c>
      <c r="L30" s="1">
        <f t="shared" si="6"/>
        <v>0.38554328942953148</v>
      </c>
      <c r="M30" s="1">
        <f>1/(1+M28)^M29</f>
        <v>0.38554328942953148</v>
      </c>
    </row>
    <row r="31" spans="1:14" ht="15.9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02">
        <f>M26/(M28-B13)</f>
        <v>12343.293408912308</v>
      </c>
    </row>
    <row r="32" spans="1:14" ht="15.95" customHeight="1" thickBot="1" x14ac:dyDescent="0.25">
      <c r="A32" t="s">
        <v>52</v>
      </c>
      <c r="B32" s="1"/>
      <c r="C32" s="39">
        <f>C26*C30</f>
        <v>155.35999999999996</v>
      </c>
      <c r="D32" s="39">
        <f t="shared" ref="D32:L32" si="7">D26*D30</f>
        <v>245.09090909090907</v>
      </c>
      <c r="E32" s="39">
        <f t="shared" si="7"/>
        <v>253.35537190082641</v>
      </c>
      <c r="F32" s="39">
        <f t="shared" si="7"/>
        <v>260.86851990984223</v>
      </c>
      <c r="G32" s="39">
        <f t="shared" si="7"/>
        <v>267.69865446349297</v>
      </c>
      <c r="H32" s="39">
        <f t="shared" si="7"/>
        <v>273.90786769408453</v>
      </c>
      <c r="I32" s="39">
        <f t="shared" si="7"/>
        <v>279.55260699462224</v>
      </c>
      <c r="J32" s="39">
        <f t="shared" si="7"/>
        <v>287.73873363147482</v>
      </c>
      <c r="K32" s="39">
        <f t="shared" si="7"/>
        <v>295.48612148315891</v>
      </c>
      <c r="L32" s="39">
        <f t="shared" si="7"/>
        <v>302.83743275328493</v>
      </c>
      <c r="M32" s="46">
        <f>M31*M30</f>
        <v>4758.8739432659058</v>
      </c>
    </row>
    <row r="33" spans="1:14" ht="15.95" customHeight="1" thickTop="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95" customHeight="1" thickBot="1" x14ac:dyDescent="0.25">
      <c r="A34" t="s">
        <v>54</v>
      </c>
      <c r="B34" s="71">
        <f>SUM(C32:L32,M32)</f>
        <v>7380.7701611876018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95" customHeight="1" thickTop="1" x14ac:dyDescent="0.2">
      <c r="A35" t="s">
        <v>55</v>
      </c>
      <c r="B35" s="102">
        <v>4860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9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95" customHeight="1" x14ac:dyDescent="0.2"/>
    <row r="38" spans="1:14" ht="15.95" customHeight="1" x14ac:dyDescent="0.2">
      <c r="A38" s="111" t="s">
        <v>131</v>
      </c>
      <c r="B38" s="111"/>
    </row>
    <row r="39" spans="1:14" ht="15.95" customHeight="1" x14ac:dyDescent="0.2">
      <c r="A39" s="82" t="s">
        <v>11</v>
      </c>
      <c r="B39" s="59" t="s">
        <v>13</v>
      </c>
    </row>
    <row r="40" spans="1:14" ht="15.95" customHeight="1" x14ac:dyDescent="0.2">
      <c r="A40" s="78" t="s">
        <v>16</v>
      </c>
      <c r="B40" s="103">
        <v>4860</v>
      </c>
    </row>
    <row r="41" spans="1:14" ht="15.95" customHeight="1" x14ac:dyDescent="0.2">
      <c r="A41" s="78" t="s">
        <v>85</v>
      </c>
      <c r="B41" s="104">
        <v>0.05</v>
      </c>
    </row>
    <row r="42" spans="1:14" ht="15.95" customHeight="1" x14ac:dyDescent="0.2">
      <c r="A42" s="85" t="s">
        <v>59</v>
      </c>
      <c r="B42" s="105">
        <v>0.15</v>
      </c>
    </row>
    <row r="43" spans="1:14" ht="15.95" customHeight="1" x14ac:dyDescent="0.2">
      <c r="B43" s="7"/>
    </row>
    <row r="44" spans="1:14" ht="15.95" customHeight="1" x14ac:dyDescent="0.2">
      <c r="A44" s="4" t="s">
        <v>60</v>
      </c>
      <c r="B44" s="5" t="s">
        <v>61</v>
      </c>
      <c r="C44" s="5" t="s">
        <v>29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37</v>
      </c>
    </row>
    <row r="45" spans="1:14" ht="15.95" customHeight="1" x14ac:dyDescent="0.2">
      <c r="A45" s="8" t="s">
        <v>86</v>
      </c>
      <c r="B45" s="1">
        <f>C26</f>
        <v>170.89599999999996</v>
      </c>
      <c r="C45" s="1">
        <f t="shared" ref="C45:K45" si="8">D26</f>
        <v>296.56</v>
      </c>
      <c r="D45" s="1">
        <f t="shared" si="8"/>
        <v>337.21600000000007</v>
      </c>
      <c r="E45" s="1">
        <f t="shared" si="8"/>
        <v>381.93760000000009</v>
      </c>
      <c r="F45" s="1">
        <f t="shared" si="8"/>
        <v>431.1313600000002</v>
      </c>
      <c r="G45" s="1">
        <f t="shared" si="8"/>
        <v>485.24449600000025</v>
      </c>
      <c r="H45" s="1">
        <f t="shared" si="8"/>
        <v>544.76894560000028</v>
      </c>
      <c r="I45" s="1">
        <f t="shared" si="8"/>
        <v>616.79352961600046</v>
      </c>
      <c r="J45" s="1">
        <f t="shared" si="8"/>
        <v>696.74081787376042</v>
      </c>
      <c r="K45" s="1">
        <f t="shared" si="8"/>
        <v>785.48230783987412</v>
      </c>
    </row>
    <row r="46" spans="1:14" ht="15.95" customHeight="1" x14ac:dyDescent="0.2">
      <c r="A46" s="8" t="s">
        <v>87</v>
      </c>
      <c r="B46" s="93">
        <v>0.1</v>
      </c>
      <c r="C46" s="93">
        <f>(C45-B45)/B45</f>
        <v>0.73532440782698294</v>
      </c>
      <c r="D46" s="93">
        <f>(D45-C45)/C45</f>
        <v>0.137091988130564</v>
      </c>
      <c r="E46" s="93">
        <f t="shared" ref="E46:J46" si="9">(E45-D45)/D45</f>
        <v>0.13262004175365349</v>
      </c>
      <c r="F46" s="93">
        <f t="shared" si="9"/>
        <v>0.12880051610524887</v>
      </c>
      <c r="G46" s="93">
        <f>(G45-F45)/F45</f>
        <v>0.12551426553614664</v>
      </c>
      <c r="H46" s="93">
        <f t="shared" si="9"/>
        <v>0.12266898458545317</v>
      </c>
      <c r="I46" s="93">
        <f t="shared" si="9"/>
        <v>0.13221125138965731</v>
      </c>
      <c r="J46" s="93">
        <f t="shared" si="9"/>
        <v>0.12961758581924984</v>
      </c>
      <c r="K46" s="93">
        <f>(K45-J45)/J45</f>
        <v>0.12736657260432302</v>
      </c>
    </row>
    <row r="47" spans="1:14" ht="15.95" customHeight="1" x14ac:dyDescent="0.2">
      <c r="A47" s="8" t="s">
        <v>88</v>
      </c>
      <c r="B47" s="91">
        <f>B45/B40</f>
        <v>3.5163786008230447E-2</v>
      </c>
      <c r="C47" s="91">
        <f>C45/B48</f>
        <v>6.1020576131687244E-2</v>
      </c>
      <c r="D47" s="91">
        <f>D45/C48</f>
        <v>5.6854599406528206E-2</v>
      </c>
      <c r="E47" s="91">
        <f t="shared" ref="E47:K47" si="10">E45/D48</f>
        <v>5.663100208768268E-2</v>
      </c>
      <c r="F47" s="91">
        <f>F45/E48</f>
        <v>5.6440025805262445E-2</v>
      </c>
      <c r="G47" s="91">
        <f t="shared" si="10"/>
        <v>5.6275713276807339E-2</v>
      </c>
      <c r="H47" s="91">
        <f>H45/G48</f>
        <v>5.6133449229272658E-2</v>
      </c>
      <c r="I47" s="91">
        <f t="shared" si="10"/>
        <v>5.6610562569482867E-2</v>
      </c>
      <c r="J47" s="91">
        <f t="shared" si="10"/>
        <v>5.6480879290962495E-2</v>
      </c>
      <c r="K47" s="91">
        <f t="shared" si="10"/>
        <v>5.6368328630216159E-2</v>
      </c>
    </row>
    <row r="48" spans="1:14" ht="15.95" customHeight="1" x14ac:dyDescent="0.2">
      <c r="A48" s="8" t="s">
        <v>65</v>
      </c>
      <c r="B48" s="6">
        <f>IF(B45/B41&lt;B40,B40,B45/B41)</f>
        <v>4860</v>
      </c>
      <c r="C48" s="6">
        <f>IF(C45/$B$41&lt;B48,B48,C45/$B$41)</f>
        <v>5931.2</v>
      </c>
      <c r="D48" s="6">
        <f t="shared" ref="D48:K48" si="11">IF(D45/$B$41&lt;C48,C48,D45/$B$41)</f>
        <v>6744.3200000000006</v>
      </c>
      <c r="E48" s="6">
        <f t="shared" si="11"/>
        <v>7638.7520000000013</v>
      </c>
      <c r="F48" s="6">
        <f t="shared" si="11"/>
        <v>8622.6272000000026</v>
      </c>
      <c r="G48" s="6">
        <f t="shared" si="11"/>
        <v>9704.8899200000051</v>
      </c>
      <c r="H48" s="6">
        <f t="shared" si="11"/>
        <v>10895.378912000006</v>
      </c>
      <c r="I48" s="6">
        <f t="shared" si="11"/>
        <v>12335.870592320009</v>
      </c>
      <c r="J48" s="6">
        <f t="shared" si="11"/>
        <v>13934.816357475207</v>
      </c>
      <c r="K48" s="6">
        <f t="shared" si="11"/>
        <v>15709.646156797482</v>
      </c>
    </row>
    <row r="49" spans="1:11" ht="15.95" customHeight="1" x14ac:dyDescent="0.2">
      <c r="A49" s="8" t="s">
        <v>89</v>
      </c>
      <c r="B49" s="93">
        <f>(B48-B40)/B40</f>
        <v>0</v>
      </c>
      <c r="C49" s="93">
        <f>(C48-B48)/B48</f>
        <v>0.22041152263374481</v>
      </c>
      <c r="D49" s="93">
        <f>(D48-C48)/C48</f>
        <v>0.13709198813056395</v>
      </c>
      <c r="E49" s="93">
        <f t="shared" ref="E49:J49" si="12">(E48-D48)/D48</f>
        <v>0.13262004175365352</v>
      </c>
      <c r="F49" s="93">
        <f t="shared" si="12"/>
        <v>0.12880051610524876</v>
      </c>
      <c r="G49" s="93">
        <f t="shared" si="12"/>
        <v>0.12551426553614681</v>
      </c>
      <c r="H49" s="93">
        <f t="shared" si="12"/>
        <v>0.12266898458545317</v>
      </c>
      <c r="I49" s="93">
        <f t="shared" si="12"/>
        <v>0.13221125138965725</v>
      </c>
      <c r="J49" s="93">
        <f t="shared" si="12"/>
        <v>0.12961758581924979</v>
      </c>
      <c r="K49" s="93">
        <f>(K48-J48)/J48</f>
        <v>0.1273665726043231</v>
      </c>
    </row>
    <row r="50" spans="1:11" ht="15.95" customHeight="1" x14ac:dyDescent="0.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5.95" customHeight="1" x14ac:dyDescent="0.2"/>
    <row r="52" spans="1:11" ht="15.95" customHeight="1" x14ac:dyDescent="0.2">
      <c r="A52" s="4" t="s">
        <v>67</v>
      </c>
      <c r="B52" s="5" t="s">
        <v>13</v>
      </c>
      <c r="D52" s="121" t="s">
        <v>68</v>
      </c>
      <c r="E52" s="121"/>
      <c r="F52" s="121"/>
      <c r="G52" s="121"/>
      <c r="H52" s="121"/>
      <c r="I52" s="121"/>
      <c r="J52" s="121"/>
    </row>
    <row r="53" spans="1:11" ht="15.95" customHeight="1" x14ac:dyDescent="0.2">
      <c r="A53" s="8" t="s">
        <v>90</v>
      </c>
      <c r="B53" s="10">
        <f>K48</f>
        <v>15709.646156797482</v>
      </c>
      <c r="D53" s="114" t="s">
        <v>70</v>
      </c>
      <c r="E53" s="11"/>
      <c r="F53" s="117" t="s">
        <v>71</v>
      </c>
      <c r="G53" s="117"/>
      <c r="H53" s="117"/>
      <c r="I53" s="117"/>
      <c r="J53" s="118"/>
    </row>
    <row r="54" spans="1:11" ht="15.95" customHeight="1" x14ac:dyDescent="0.2">
      <c r="A54" s="8" t="s">
        <v>91</v>
      </c>
      <c r="B54" s="10">
        <f>SUM(B45:K45)</f>
        <v>4746.771056929636</v>
      </c>
      <c r="D54" s="115"/>
      <c r="E54" s="12" t="str">
        <f>B57</f>
        <v>Investable</v>
      </c>
      <c r="F54" s="13">
        <v>4500</v>
      </c>
      <c r="G54" s="13">
        <v>4750</v>
      </c>
      <c r="H54" s="13">
        <v>5000</v>
      </c>
      <c r="I54" s="13">
        <v>5250</v>
      </c>
      <c r="J54" s="14">
        <v>5500</v>
      </c>
    </row>
    <row r="55" spans="1:11" ht="15.95" customHeight="1" x14ac:dyDescent="0.2">
      <c r="A55" s="8" t="s">
        <v>92</v>
      </c>
      <c r="B55" s="10">
        <f>SUM(B53:B54)</f>
        <v>20456.417213727116</v>
      </c>
      <c r="D55" s="115"/>
      <c r="E55" s="15">
        <v>0.05</v>
      </c>
      <c r="F55" s="49" t="str">
        <f t="dataTable" ref="F55:J59" dt2D="1" dtr="1" r1="B40" r2="B41"/>
        <v>Investable</v>
      </c>
      <c r="G55" s="50" t="str">
        <v>Investable</v>
      </c>
      <c r="H55" s="50" t="str">
        <v>Investable</v>
      </c>
      <c r="I55" s="50" t="str">
        <v>Not Worth It</v>
      </c>
      <c r="J55" s="51" t="str">
        <v>Not Worth It</v>
      </c>
    </row>
    <row r="56" spans="1:11" ht="15.95" customHeight="1" thickBot="1" x14ac:dyDescent="0.25">
      <c r="A56" s="8" t="s">
        <v>74</v>
      </c>
      <c r="B56" s="67">
        <f>POWER(B55/B40, 1/10)-1</f>
        <v>0.1545675052894222</v>
      </c>
      <c r="D56" s="115"/>
      <c r="E56" s="15">
        <v>0.06</v>
      </c>
      <c r="F56" s="52" t="str">
        <v>Not Worth It</v>
      </c>
      <c r="G56" s="17" t="str">
        <v>Not Worth It</v>
      </c>
      <c r="H56" s="17" t="str">
        <v>Not Worth It</v>
      </c>
      <c r="I56" s="17" t="str">
        <v>Not Worth It</v>
      </c>
      <c r="J56" s="18" t="str">
        <v>Not Worth It</v>
      </c>
    </row>
    <row r="57" spans="1:11" ht="15.75" thickTop="1" x14ac:dyDescent="0.2">
      <c r="A57" s="8" t="s">
        <v>93</v>
      </c>
      <c r="B57" s="100" t="str">
        <f>IF(B56&gt;B42,"Investable", "Not Worth It")</f>
        <v>Investable</v>
      </c>
      <c r="D57" s="115"/>
      <c r="E57" s="15">
        <v>7.0000000000000007E-2</v>
      </c>
      <c r="F57" s="52" t="str">
        <v>Not Worth It</v>
      </c>
      <c r="G57" s="17" t="str">
        <v>Not Worth It</v>
      </c>
      <c r="H57" s="17" t="str">
        <v>Not Worth It</v>
      </c>
      <c r="I57" s="17" t="str">
        <v>Not Worth It</v>
      </c>
      <c r="J57" s="18" t="str">
        <v>Not Worth It</v>
      </c>
    </row>
    <row r="58" spans="1:11" x14ac:dyDescent="0.2">
      <c r="A58" s="8"/>
      <c r="B58" s="7"/>
      <c r="D58" s="115"/>
      <c r="E58" s="15">
        <v>0.08</v>
      </c>
      <c r="F58" s="52" t="str">
        <v>Not Worth It</v>
      </c>
      <c r="G58" s="17" t="str">
        <v>Not Worth It</v>
      </c>
      <c r="H58" s="17" t="str">
        <v>Not Worth It</v>
      </c>
      <c r="I58" s="17" t="str">
        <v>Not Worth It</v>
      </c>
      <c r="J58" s="18" t="str">
        <v>Not Worth It</v>
      </c>
    </row>
    <row r="59" spans="1:11" x14ac:dyDescent="0.2">
      <c r="A59" s="8"/>
      <c r="B59" s="10"/>
      <c r="D59" s="116"/>
      <c r="E59" s="20">
        <v>0.09</v>
      </c>
      <c r="F59" s="53" t="str">
        <v>Not Worth It</v>
      </c>
      <c r="G59" s="21" t="str">
        <v>Not Worth It</v>
      </c>
      <c r="H59" s="21" t="str">
        <v>Not Worth It</v>
      </c>
      <c r="I59" s="21" t="str">
        <v>Not Worth It</v>
      </c>
      <c r="J59" s="22" t="str">
        <v>Not Worth It</v>
      </c>
    </row>
    <row r="60" spans="1:11" x14ac:dyDescent="0.2">
      <c r="A60" s="8"/>
      <c r="B60" s="10"/>
    </row>
    <row r="61" spans="1:11" x14ac:dyDescent="0.2">
      <c r="A61" s="8"/>
      <c r="B61" s="19"/>
      <c r="D61" s="122" t="s">
        <v>76</v>
      </c>
      <c r="E61" s="123"/>
      <c r="F61" s="123"/>
      <c r="G61" s="123"/>
      <c r="H61" s="123"/>
      <c r="I61" s="123"/>
      <c r="J61" s="124"/>
    </row>
    <row r="62" spans="1:11" x14ac:dyDescent="0.2">
      <c r="A62" s="8"/>
      <c r="B62" s="7"/>
      <c r="D62" s="114" t="s">
        <v>70</v>
      </c>
      <c r="E62" s="11"/>
      <c r="F62" s="117" t="s">
        <v>71</v>
      </c>
      <c r="G62" s="117"/>
      <c r="H62" s="117"/>
      <c r="I62" s="117"/>
      <c r="J62" s="118"/>
    </row>
    <row r="63" spans="1:11" x14ac:dyDescent="0.2">
      <c r="A63" s="8"/>
      <c r="B63" s="7"/>
      <c r="D63" s="115"/>
      <c r="E63" s="12">
        <f>B56</f>
        <v>0.1545675052894222</v>
      </c>
      <c r="F63" s="13">
        <v>4500</v>
      </c>
      <c r="G63" s="13">
        <v>4750</v>
      </c>
      <c r="H63" s="13">
        <v>5000</v>
      </c>
      <c r="I63" s="13">
        <v>5250</v>
      </c>
      <c r="J63" s="14">
        <v>5500</v>
      </c>
      <c r="K63" s="6"/>
    </row>
    <row r="64" spans="1:11" x14ac:dyDescent="0.2">
      <c r="D64" s="115"/>
      <c r="E64" s="15">
        <v>0.05</v>
      </c>
      <c r="F64" s="24">
        <f t="dataTable" ref="F64:J68" dt2D="1" dtr="1" r1="B40" r2="B41" ca="1"/>
        <v>0.16348745742913429</v>
      </c>
      <c r="G64" s="25">
        <v>0.15721377934859015</v>
      </c>
      <c r="H64" s="25">
        <v>0.15129324580751136</v>
      </c>
      <c r="I64" s="25">
        <v>0.14568974805510515</v>
      </c>
      <c r="J64" s="41">
        <v>0.14037237535841629</v>
      </c>
    </row>
    <row r="65" spans="3:11" x14ac:dyDescent="0.2">
      <c r="C65" s="7"/>
      <c r="D65" s="115"/>
      <c r="E65" s="15">
        <v>0.06</v>
      </c>
      <c r="F65" s="27">
        <v>0.14766123454096358</v>
      </c>
      <c r="G65" s="28">
        <v>0.14147289354505865</v>
      </c>
      <c r="H65" s="28">
        <v>0.13563289347500262</v>
      </c>
      <c r="I65" s="28">
        <v>0.1301056167457082</v>
      </c>
      <c r="J65" s="29">
        <v>0.12486057308440324</v>
      </c>
      <c r="K65" s="30"/>
    </row>
    <row r="66" spans="3:11" x14ac:dyDescent="0.2">
      <c r="C66" s="31"/>
      <c r="D66" s="115"/>
      <c r="E66" s="15">
        <v>7.0000000000000007E-2</v>
      </c>
      <c r="F66" s="27">
        <v>0.13502037195750427</v>
      </c>
      <c r="G66" s="28">
        <v>0.12890019216265292</v>
      </c>
      <c r="H66" s="28">
        <v>0.12312451650833123</v>
      </c>
      <c r="I66" s="28">
        <v>0.11765811971772688</v>
      </c>
      <c r="J66" s="29">
        <v>0.11247084735179325</v>
      </c>
      <c r="K66" s="6"/>
    </row>
    <row r="67" spans="3:11" x14ac:dyDescent="0.2">
      <c r="C67" s="32"/>
      <c r="D67" s="115"/>
      <c r="E67" s="15">
        <v>0.08</v>
      </c>
      <c r="F67" s="27">
        <v>0.1246326605967083</v>
      </c>
      <c r="G67" s="28">
        <v>0.11856849271385062</v>
      </c>
      <c r="H67" s="28">
        <v>0.11284567606813622</v>
      </c>
      <c r="I67" s="28">
        <v>0.10742930776463866</v>
      </c>
      <c r="J67" s="29">
        <v>0.10228950933786796</v>
      </c>
      <c r="K67" s="6"/>
    </row>
    <row r="68" spans="3:11" x14ac:dyDescent="0.2">
      <c r="C68" s="33"/>
      <c r="D68" s="116"/>
      <c r="E68" s="20">
        <v>0.09</v>
      </c>
      <c r="F68" s="34">
        <v>0.11591094777471933</v>
      </c>
      <c r="G68" s="35">
        <v>0.10989380851963637</v>
      </c>
      <c r="H68" s="35">
        <v>0.10421537326623387</v>
      </c>
      <c r="I68" s="35">
        <v>9.8841009797324908E-2</v>
      </c>
      <c r="J68" s="36">
        <v>9.3741071359874972E-2</v>
      </c>
      <c r="K68" s="33"/>
    </row>
  </sheetData>
  <mergeCells count="10">
    <mergeCell ref="A1:B1"/>
    <mergeCell ref="A2:B2"/>
    <mergeCell ref="A9:B9"/>
    <mergeCell ref="D62:D68"/>
    <mergeCell ref="F62:J62"/>
    <mergeCell ref="A38:B38"/>
    <mergeCell ref="D52:J52"/>
    <mergeCell ref="D53:D59"/>
    <mergeCell ref="F53:J53"/>
    <mergeCell ref="D61:J61"/>
  </mergeCells>
  <conditionalFormatting sqref="B57">
    <cfRule type="containsText" dxfId="35" priority="3" operator="containsText" text="Not Worth It">
      <formula>NOT(ISERROR(SEARCH("Not Worth It",B57)))</formula>
    </cfRule>
    <cfRule type="containsText" dxfId="34" priority="4" operator="containsText" text="Investable">
      <formula>NOT(ISERROR(SEARCH("Investable",B57)))</formula>
    </cfRule>
  </conditionalFormatting>
  <conditionalFormatting sqref="F55:J59">
    <cfRule type="containsText" dxfId="33" priority="5" operator="containsText" text="Not Worth It">
      <formula>NOT(ISERROR(SEARCH("Not Worth It",F55)))</formula>
    </cfRule>
    <cfRule type="containsText" dxfId="32" priority="6" operator="containsText" text="Investable">
      <formula>NOT(ISERROR(SEARCH("Investable",F55)))</formula>
    </cfRule>
  </conditionalFormatting>
  <conditionalFormatting sqref="F64:J68">
    <cfRule type="cellIs" dxfId="31" priority="1" operator="lessThan">
      <formula>$B$42</formula>
    </cfRule>
    <cfRule type="cellIs" dxfId="30" priority="2" operator="greaterThan">
      <formula>$B$42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3F13-3C04-4AE4-A894-7FC07FD00765}">
  <sheetPr codeName="Sheet3"/>
  <dimension ref="A1:N67"/>
  <sheetViews>
    <sheetView showGridLines="0" topLeftCell="A21" workbookViewId="0">
      <selection activeCell="B13" sqref="B13"/>
    </sheetView>
  </sheetViews>
  <sheetFormatPr defaultRowHeight="15" x14ac:dyDescent="0.2"/>
  <cols>
    <col min="1" max="1" width="35.6484375" customWidth="1"/>
    <col min="2" max="29" width="15.73828125" customWidth="1"/>
  </cols>
  <sheetData>
    <row r="1" spans="1:14" x14ac:dyDescent="0.2">
      <c r="A1" s="125" t="s">
        <v>94</v>
      </c>
      <c r="B1" s="125"/>
    </row>
    <row r="2" spans="1:14" x14ac:dyDescent="0.2">
      <c r="A2" s="111" t="s">
        <v>1</v>
      </c>
      <c r="B2" s="111"/>
    </row>
    <row r="3" spans="1:14" x14ac:dyDescent="0.2">
      <c r="A3" t="s">
        <v>2</v>
      </c>
      <c r="B3" t="s">
        <v>95</v>
      </c>
    </row>
    <row r="4" spans="1:14" x14ac:dyDescent="0.2">
      <c r="A4" t="s">
        <v>4</v>
      </c>
      <c r="B4" t="s">
        <v>96</v>
      </c>
    </row>
    <row r="5" spans="1:14" x14ac:dyDescent="0.2">
      <c r="A5" t="s">
        <v>6</v>
      </c>
      <c r="B5" t="s">
        <v>97</v>
      </c>
    </row>
    <row r="6" spans="1:14" x14ac:dyDescent="0.2">
      <c r="A6" t="s">
        <v>8</v>
      </c>
      <c r="B6" t="s">
        <v>98</v>
      </c>
    </row>
    <row r="9" spans="1:14" x14ac:dyDescent="0.2">
      <c r="A9" s="111" t="s">
        <v>10</v>
      </c>
      <c r="B9" s="111"/>
    </row>
    <row r="10" spans="1:14" x14ac:dyDescent="0.2">
      <c r="A10" s="4" t="s">
        <v>11</v>
      </c>
      <c r="B10" s="5" t="s">
        <v>13</v>
      </c>
      <c r="D10" s="4" t="s">
        <v>11</v>
      </c>
      <c r="E10" s="5"/>
      <c r="F10" s="57" t="s">
        <v>12</v>
      </c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t="s">
        <v>16</v>
      </c>
      <c r="B11" s="6">
        <v>5170</v>
      </c>
      <c r="D11" t="s">
        <v>14</v>
      </c>
      <c r="E11" s="6"/>
      <c r="F11" t="s">
        <v>99</v>
      </c>
    </row>
    <row r="12" spans="1:14" x14ac:dyDescent="0.2">
      <c r="A12" t="s">
        <v>19</v>
      </c>
      <c r="B12" s="7">
        <v>0.1</v>
      </c>
      <c r="D12" t="s">
        <v>17</v>
      </c>
      <c r="E12" s="7"/>
      <c r="F12" t="s">
        <v>100</v>
      </c>
    </row>
    <row r="13" spans="1:14" x14ac:dyDescent="0.2">
      <c r="A13" s="8" t="s">
        <v>22</v>
      </c>
      <c r="B13" s="3">
        <v>0.03</v>
      </c>
      <c r="D13" s="8" t="s">
        <v>20</v>
      </c>
      <c r="E13" s="3"/>
      <c r="F13" t="s">
        <v>21</v>
      </c>
    </row>
    <row r="14" spans="1:14" x14ac:dyDescent="0.2">
      <c r="A14" s="8"/>
      <c r="B14" s="3"/>
      <c r="D14" s="8" t="s">
        <v>23</v>
      </c>
      <c r="E14" s="3"/>
      <c r="F14" t="s">
        <v>82</v>
      </c>
    </row>
    <row r="15" spans="1:14" x14ac:dyDescent="0.2">
      <c r="A15" s="8"/>
      <c r="B15" s="3"/>
      <c r="D15" s="8" t="s">
        <v>25</v>
      </c>
      <c r="E15" s="3"/>
      <c r="F15" t="s">
        <v>26</v>
      </c>
    </row>
    <row r="16" spans="1:14" x14ac:dyDescent="0.2">
      <c r="A16" s="4" t="s">
        <v>101</v>
      </c>
      <c r="B16" s="4" t="s">
        <v>28</v>
      </c>
      <c r="C16" s="5" t="s">
        <v>29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4" t="s">
        <v>83</v>
      </c>
    </row>
    <row r="17" spans="1:14" x14ac:dyDescent="0.2">
      <c r="A17" t="s">
        <v>40</v>
      </c>
      <c r="C17" s="42">
        <v>0.1</v>
      </c>
      <c r="D17" s="42">
        <v>0.1</v>
      </c>
      <c r="E17" s="42">
        <v>0.1</v>
      </c>
      <c r="F17" s="42">
        <v>0.1</v>
      </c>
      <c r="G17" s="42">
        <v>0.1</v>
      </c>
      <c r="H17" s="42">
        <v>0.1</v>
      </c>
      <c r="I17" s="42">
        <v>0.1</v>
      </c>
      <c r="J17" s="42">
        <v>0.1</v>
      </c>
      <c r="K17" s="42">
        <v>0.1</v>
      </c>
      <c r="L17" s="42">
        <v>0.1</v>
      </c>
    </row>
    <row r="18" spans="1:14" ht="15.95" customHeight="1" x14ac:dyDescent="0.2">
      <c r="A18" t="s">
        <v>41</v>
      </c>
      <c r="B18" s="38">
        <v>361</v>
      </c>
      <c r="C18" s="38">
        <f>B18*(1+C17)</f>
        <v>397.1</v>
      </c>
      <c r="D18" s="38">
        <f t="shared" ref="D18:L18" si="0">C18*(1+D17)</f>
        <v>436.81000000000006</v>
      </c>
      <c r="E18" s="38">
        <f t="shared" si="0"/>
        <v>480.4910000000001</v>
      </c>
      <c r="F18" s="38">
        <f t="shared" si="0"/>
        <v>528.54010000000017</v>
      </c>
      <c r="G18" s="38">
        <f t="shared" si="0"/>
        <v>581.39411000000018</v>
      </c>
      <c r="H18" s="38">
        <f t="shared" si="0"/>
        <v>639.53352100000029</v>
      </c>
      <c r="I18" s="38">
        <f t="shared" si="0"/>
        <v>703.48687310000037</v>
      </c>
      <c r="J18" s="38">
        <f t="shared" si="0"/>
        <v>773.83556041000043</v>
      </c>
      <c r="K18" s="38">
        <f t="shared" si="0"/>
        <v>851.21911645100056</v>
      </c>
      <c r="L18" s="38">
        <f t="shared" si="0"/>
        <v>936.34102809610067</v>
      </c>
    </row>
    <row r="19" spans="1:14" ht="15.95" customHeight="1" x14ac:dyDescent="0.2">
      <c r="A19" t="s">
        <v>42</v>
      </c>
      <c r="C19" s="47">
        <v>0.25</v>
      </c>
      <c r="D19" s="47">
        <v>0.25</v>
      </c>
      <c r="E19" s="47">
        <v>0.25</v>
      </c>
      <c r="F19" s="47">
        <v>0.25</v>
      </c>
      <c r="G19" s="47">
        <v>0.25</v>
      </c>
      <c r="H19" s="47">
        <v>0.25</v>
      </c>
      <c r="I19" s="47">
        <v>0.25</v>
      </c>
      <c r="J19" s="47">
        <v>0.25</v>
      </c>
      <c r="K19" s="47">
        <v>0.25</v>
      </c>
      <c r="L19" s="47">
        <v>0.25</v>
      </c>
    </row>
    <row r="20" spans="1:14" ht="15.95" customHeight="1" x14ac:dyDescent="0.2">
      <c r="A20" t="s">
        <v>43</v>
      </c>
      <c r="B20" s="38">
        <v>33.28</v>
      </c>
      <c r="C20" s="38">
        <f>C18*C19</f>
        <v>99.275000000000006</v>
      </c>
      <c r="D20" s="38">
        <f t="shared" ref="D20:L20" si="1">D18*D19</f>
        <v>109.20250000000001</v>
      </c>
      <c r="E20" s="38">
        <f t="shared" si="1"/>
        <v>120.12275000000002</v>
      </c>
      <c r="F20" s="38">
        <f t="shared" si="1"/>
        <v>132.13502500000004</v>
      </c>
      <c r="G20" s="38">
        <f t="shared" si="1"/>
        <v>145.34852750000005</v>
      </c>
      <c r="H20" s="38">
        <f t="shared" si="1"/>
        <v>159.88338025000007</v>
      </c>
      <c r="I20" s="38">
        <f t="shared" si="1"/>
        <v>175.87171827500009</v>
      </c>
      <c r="J20" s="38">
        <f t="shared" si="1"/>
        <v>193.45889010250011</v>
      </c>
      <c r="K20" s="38">
        <f t="shared" si="1"/>
        <v>212.80477911275014</v>
      </c>
      <c r="L20" s="38">
        <f t="shared" si="1"/>
        <v>234.08525702402517</v>
      </c>
      <c r="M20" s="1"/>
      <c r="N20" s="1"/>
    </row>
    <row r="21" spans="1:14" ht="15.95" customHeight="1" x14ac:dyDescent="0.2">
      <c r="A21" t="s">
        <v>44</v>
      </c>
      <c r="B21" s="6"/>
      <c r="C21" s="38">
        <f>C20*(1-0.24)</f>
        <v>75.449000000000012</v>
      </c>
      <c r="D21" s="38">
        <f t="shared" ref="D21:L21" si="2">D20*(1-0.24)</f>
        <v>82.993900000000011</v>
      </c>
      <c r="E21" s="38">
        <f t="shared" si="2"/>
        <v>91.293290000000013</v>
      </c>
      <c r="F21" s="38">
        <f t="shared" si="2"/>
        <v>100.42261900000003</v>
      </c>
      <c r="G21" s="38">
        <f t="shared" si="2"/>
        <v>110.46488090000004</v>
      </c>
      <c r="H21" s="38">
        <f t="shared" si="2"/>
        <v>121.51136899000005</v>
      </c>
      <c r="I21" s="38">
        <f t="shared" si="2"/>
        <v>133.66250588900007</v>
      </c>
      <c r="J21" s="38">
        <f t="shared" si="2"/>
        <v>147.02875647790009</v>
      </c>
      <c r="K21" s="38">
        <f t="shared" si="2"/>
        <v>161.73163212569011</v>
      </c>
      <c r="L21" s="38">
        <f t="shared" si="2"/>
        <v>177.90479533825913</v>
      </c>
      <c r="M21" s="1"/>
      <c r="N21" s="1"/>
    </row>
    <row r="22" spans="1:14" ht="15.95" customHeight="1" x14ac:dyDescent="0.2">
      <c r="A22" t="s">
        <v>45</v>
      </c>
      <c r="B22" s="1"/>
      <c r="C22" s="43">
        <v>0.5</v>
      </c>
      <c r="D22" s="43">
        <v>0.5</v>
      </c>
      <c r="E22" s="43">
        <v>0.5</v>
      </c>
      <c r="F22" s="43">
        <v>0.5</v>
      </c>
      <c r="G22" s="43">
        <v>0.5</v>
      </c>
      <c r="H22" s="43">
        <v>0.5</v>
      </c>
      <c r="I22" s="43">
        <v>0.5</v>
      </c>
      <c r="J22" s="43">
        <v>0.5</v>
      </c>
      <c r="K22" s="43">
        <v>0.5</v>
      </c>
      <c r="L22" s="43">
        <v>0.5</v>
      </c>
      <c r="M22" s="1"/>
      <c r="N22" s="1"/>
    </row>
    <row r="23" spans="1:14" ht="15.95" customHeight="1" x14ac:dyDescent="0.2">
      <c r="A23" t="s">
        <v>46</v>
      </c>
      <c r="B23" s="1"/>
      <c r="C23" s="6">
        <f>C21*C22</f>
        <v>37.724500000000006</v>
      </c>
      <c r="D23" s="6">
        <f t="shared" ref="D23:L23" si="3">D20*D22</f>
        <v>54.601250000000007</v>
      </c>
      <c r="E23" s="6">
        <f t="shared" si="3"/>
        <v>60.061375000000012</v>
      </c>
      <c r="F23" s="6">
        <f t="shared" si="3"/>
        <v>66.067512500000021</v>
      </c>
      <c r="G23" s="6">
        <f t="shared" si="3"/>
        <v>72.674263750000023</v>
      </c>
      <c r="H23" s="6">
        <f t="shared" si="3"/>
        <v>79.941690125000036</v>
      </c>
      <c r="I23" s="6">
        <f t="shared" si="3"/>
        <v>87.935859137500046</v>
      </c>
      <c r="J23" s="6">
        <f t="shared" si="3"/>
        <v>96.729445051250053</v>
      </c>
      <c r="K23" s="6">
        <f t="shared" si="3"/>
        <v>106.40238955637507</v>
      </c>
      <c r="L23" s="6">
        <f t="shared" si="3"/>
        <v>117.04262851201258</v>
      </c>
    </row>
    <row r="24" spans="1:14" ht="15.95" customHeight="1" x14ac:dyDescent="0.2">
      <c r="A24" t="s">
        <v>84</v>
      </c>
      <c r="B24" s="1"/>
      <c r="C24" s="44">
        <v>4.5</v>
      </c>
      <c r="D24" s="44">
        <v>4.5</v>
      </c>
      <c r="E24" s="44">
        <v>4.5</v>
      </c>
      <c r="F24" s="44">
        <v>4.5</v>
      </c>
      <c r="G24" s="44">
        <v>4.5</v>
      </c>
      <c r="H24" s="44">
        <v>4.5</v>
      </c>
      <c r="I24" s="44">
        <v>4.5</v>
      </c>
      <c r="J24" s="44">
        <v>4.5</v>
      </c>
      <c r="K24" s="44">
        <v>4.5</v>
      </c>
      <c r="L24" s="44">
        <v>4.5</v>
      </c>
    </row>
    <row r="25" spans="1:14" ht="15.95" customHeight="1" thickBot="1" x14ac:dyDescent="0.25">
      <c r="A25" t="s">
        <v>47</v>
      </c>
      <c r="B25" s="1"/>
      <c r="C25" s="39">
        <f>C23-C24</f>
        <v>33.224500000000006</v>
      </c>
      <c r="D25" s="39">
        <f>D23-D24</f>
        <v>50.101250000000007</v>
      </c>
      <c r="E25" s="39">
        <f t="shared" ref="E25:L25" si="4">E23-E24</f>
        <v>55.561375000000012</v>
      </c>
      <c r="F25" s="39">
        <f t="shared" si="4"/>
        <v>61.567512500000021</v>
      </c>
      <c r="G25" s="39">
        <f t="shared" si="4"/>
        <v>68.174263750000023</v>
      </c>
      <c r="H25" s="39">
        <f t="shared" si="4"/>
        <v>75.441690125000036</v>
      </c>
      <c r="I25" s="39">
        <f t="shared" si="4"/>
        <v>83.435859137500046</v>
      </c>
      <c r="J25" s="39">
        <f t="shared" si="4"/>
        <v>92.229445051250053</v>
      </c>
      <c r="K25" s="39">
        <f t="shared" si="4"/>
        <v>101.90238955637507</v>
      </c>
      <c r="L25" s="39">
        <f t="shared" si="4"/>
        <v>112.54262851201258</v>
      </c>
      <c r="M25" s="38">
        <f>L25*(1+0.1)</f>
        <v>123.79689136321386</v>
      </c>
    </row>
    <row r="26" spans="1:14" ht="15.95" customHeight="1" thickTop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4" ht="15.95" customHeight="1" x14ac:dyDescent="0.2">
      <c r="A27" t="s">
        <v>25</v>
      </c>
      <c r="B27" s="2"/>
      <c r="C27" s="43">
        <f>$B$12</f>
        <v>0.1</v>
      </c>
      <c r="D27" s="43">
        <f t="shared" ref="D27:M27" si="5">$B$12</f>
        <v>0.1</v>
      </c>
      <c r="E27" s="43">
        <f t="shared" si="5"/>
        <v>0.1</v>
      </c>
      <c r="F27" s="43">
        <f t="shared" si="5"/>
        <v>0.1</v>
      </c>
      <c r="G27" s="43">
        <f t="shared" si="5"/>
        <v>0.1</v>
      </c>
      <c r="H27" s="43">
        <f t="shared" si="5"/>
        <v>0.1</v>
      </c>
      <c r="I27" s="43">
        <f t="shared" si="5"/>
        <v>0.1</v>
      </c>
      <c r="J27" s="43">
        <f t="shared" si="5"/>
        <v>0.1</v>
      </c>
      <c r="K27" s="43">
        <f t="shared" si="5"/>
        <v>0.1</v>
      </c>
      <c r="L27" s="43">
        <f t="shared" si="5"/>
        <v>0.1</v>
      </c>
      <c r="M27" s="43">
        <f t="shared" si="5"/>
        <v>0.1</v>
      </c>
    </row>
    <row r="28" spans="1:14" ht="15.95" customHeight="1" x14ac:dyDescent="0.2">
      <c r="A28" t="s">
        <v>49</v>
      </c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10</v>
      </c>
    </row>
    <row r="29" spans="1:14" ht="15.95" customHeight="1" x14ac:dyDescent="0.2">
      <c r="A29" t="s">
        <v>50</v>
      </c>
      <c r="B29" s="1"/>
      <c r="C29" s="1">
        <f>1/(1+C27)^C28</f>
        <v>0.90909090909090906</v>
      </c>
      <c r="D29" s="1">
        <f t="shared" ref="D29:L29" si="6">1/(1+D27)^D28</f>
        <v>0.82644628099173545</v>
      </c>
      <c r="E29" s="1">
        <f t="shared" si="6"/>
        <v>0.75131480090157754</v>
      </c>
      <c r="F29" s="1">
        <f t="shared" si="6"/>
        <v>0.68301345536507052</v>
      </c>
      <c r="G29" s="1">
        <f t="shared" si="6"/>
        <v>0.62092132305915493</v>
      </c>
      <c r="H29" s="1">
        <f t="shared" si="6"/>
        <v>0.56447393005377722</v>
      </c>
      <c r="I29" s="1">
        <f t="shared" si="6"/>
        <v>0.51315811823070645</v>
      </c>
      <c r="J29" s="1">
        <f t="shared" si="6"/>
        <v>0.46650738020973315</v>
      </c>
      <c r="K29" s="1">
        <f t="shared" si="6"/>
        <v>0.42409761837248466</v>
      </c>
      <c r="L29" s="1">
        <f t="shared" si="6"/>
        <v>0.38554328942953148</v>
      </c>
      <c r="M29" s="1">
        <f>1/(1+M27)^M28</f>
        <v>0.38554328942953148</v>
      </c>
    </row>
    <row r="30" spans="1:14" ht="15.9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8">
        <f>M25/(M27-0.03)</f>
        <v>1768.5270194744835</v>
      </c>
    </row>
    <row r="31" spans="1:14" ht="15.95" customHeight="1" thickBot="1" x14ac:dyDescent="0.25">
      <c r="A31" t="s">
        <v>52</v>
      </c>
      <c r="B31" s="1"/>
      <c r="C31" s="39">
        <f>C25*C29</f>
        <v>30.204090909090915</v>
      </c>
      <c r="D31" s="39">
        <f t="shared" ref="D31:L31" si="7">D25*D29</f>
        <v>41.405991735537192</v>
      </c>
      <c r="E31" s="39">
        <f t="shared" si="7"/>
        <v>41.744083395942894</v>
      </c>
      <c r="F31" s="39">
        <f t="shared" si="7"/>
        <v>42.051439450857188</v>
      </c>
      <c r="G31" s="39">
        <f t="shared" si="7"/>
        <v>42.330854046233796</v>
      </c>
      <c r="H31" s="39">
        <f t="shared" si="7"/>
        <v>42.584867314758007</v>
      </c>
      <c r="I31" s="39">
        <f t="shared" si="7"/>
        <v>42.815788467961816</v>
      </c>
      <c r="J31" s="39">
        <f t="shared" si="7"/>
        <v>43.025716789056197</v>
      </c>
      <c r="K31" s="39">
        <f t="shared" si="7"/>
        <v>43.216560717323823</v>
      </c>
      <c r="L31" s="39">
        <f t="shared" si="7"/>
        <v>43.390055197567108</v>
      </c>
      <c r="M31" s="46">
        <f>M30*M29</f>
        <v>681.84372453319747</v>
      </c>
    </row>
    <row r="32" spans="1:14" ht="15.95" customHeight="1" thickTop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95" customHeight="1" thickBot="1" x14ac:dyDescent="0.25">
      <c r="A33" t="s">
        <v>54</v>
      </c>
      <c r="B33" s="71">
        <f>SUM(C31:L31,M31)</f>
        <v>1094.6131725575265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95" customHeight="1" thickTop="1" thickBot="1" x14ac:dyDescent="0.25">
      <c r="A34" s="55" t="s">
        <v>55</v>
      </c>
      <c r="B34" s="72">
        <v>855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1"/>
    </row>
    <row r="35" spans="1:14" ht="15.9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95" customHeight="1" x14ac:dyDescent="0.2"/>
    <row r="37" spans="1:14" ht="15.95" customHeight="1" x14ac:dyDescent="0.2">
      <c r="A37" s="111" t="s">
        <v>131</v>
      </c>
      <c r="B37" s="111"/>
    </row>
    <row r="38" spans="1:14" ht="15.95" customHeight="1" x14ac:dyDescent="0.2">
      <c r="A38" s="4" t="s">
        <v>11</v>
      </c>
      <c r="B38" s="5" t="s">
        <v>13</v>
      </c>
    </row>
    <row r="39" spans="1:14" ht="15.95" customHeight="1" x14ac:dyDescent="0.2">
      <c r="A39" t="s">
        <v>16</v>
      </c>
      <c r="B39" s="48">
        <v>855</v>
      </c>
    </row>
    <row r="40" spans="1:14" ht="15.95" customHeight="1" x14ac:dyDescent="0.2">
      <c r="A40" t="s">
        <v>85</v>
      </c>
      <c r="B40" s="42">
        <v>0.05</v>
      </c>
    </row>
    <row r="41" spans="1:14" ht="15.95" customHeight="1" x14ac:dyDescent="0.2">
      <c r="A41" s="8" t="s">
        <v>59</v>
      </c>
      <c r="B41" s="43">
        <v>0.15</v>
      </c>
    </row>
    <row r="42" spans="1:14" ht="15.95" customHeight="1" x14ac:dyDescent="0.2">
      <c r="B42" s="7"/>
    </row>
    <row r="43" spans="1:14" ht="15.95" customHeight="1" x14ac:dyDescent="0.2">
      <c r="A43" s="4" t="s">
        <v>60</v>
      </c>
      <c r="B43" s="5" t="s">
        <v>61</v>
      </c>
      <c r="C43" s="5" t="s">
        <v>29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37</v>
      </c>
    </row>
    <row r="44" spans="1:14" ht="15.95" customHeight="1" x14ac:dyDescent="0.2">
      <c r="A44" s="8" t="s">
        <v>86</v>
      </c>
      <c r="B44" s="1">
        <f>C25</f>
        <v>33.224500000000006</v>
      </c>
      <c r="C44" s="1">
        <f t="shared" ref="C44:K44" si="8">D25</f>
        <v>50.101250000000007</v>
      </c>
      <c r="D44" s="1">
        <f t="shared" si="8"/>
        <v>55.561375000000012</v>
      </c>
      <c r="E44" s="1">
        <f t="shared" si="8"/>
        <v>61.567512500000021</v>
      </c>
      <c r="F44" s="1">
        <f t="shared" si="8"/>
        <v>68.174263750000023</v>
      </c>
      <c r="G44" s="1">
        <f t="shared" si="8"/>
        <v>75.441690125000036</v>
      </c>
      <c r="H44" s="1">
        <f t="shared" si="8"/>
        <v>83.435859137500046</v>
      </c>
      <c r="I44" s="1">
        <f t="shared" si="8"/>
        <v>92.229445051250053</v>
      </c>
      <c r="J44" s="1">
        <f t="shared" si="8"/>
        <v>101.90238955637507</v>
      </c>
      <c r="K44" s="1">
        <f t="shared" si="8"/>
        <v>112.54262851201258</v>
      </c>
    </row>
    <row r="45" spans="1:14" ht="15.95" customHeight="1" x14ac:dyDescent="0.2">
      <c r="A45" s="8" t="s">
        <v>87</v>
      </c>
      <c r="B45" s="3">
        <v>0.1</v>
      </c>
      <c r="C45" s="3">
        <f>(C44-B44)/B44</f>
        <v>0.50796099264097272</v>
      </c>
      <c r="D45" s="3">
        <f>(D44-C44)/C44</f>
        <v>0.10898181183104222</v>
      </c>
      <c r="E45" s="3">
        <f t="shared" ref="E45:J45" si="9">(E44-D44)/D44</f>
        <v>0.10809915161386857</v>
      </c>
      <c r="F45" s="3">
        <f t="shared" si="9"/>
        <v>0.10730904955758933</v>
      </c>
      <c r="G45" s="3">
        <f>(G44-F44)/F44</f>
        <v>0.10660073135003253</v>
      </c>
      <c r="H45" s="3">
        <f t="shared" si="9"/>
        <v>0.10596487166783242</v>
      </c>
      <c r="I45" s="3">
        <f t="shared" si="9"/>
        <v>0.10539336449162003</v>
      </c>
      <c r="J45" s="3">
        <f t="shared" si="9"/>
        <v>0.10487913593917816</v>
      </c>
      <c r="K45" s="3">
        <f>(K44-J44)/J44</f>
        <v>0.10441599065496944</v>
      </c>
    </row>
    <row r="46" spans="1:14" ht="15.95" customHeight="1" x14ac:dyDescent="0.2">
      <c r="A46" s="8" t="s">
        <v>88</v>
      </c>
      <c r="B46" s="7">
        <f>B44/B39</f>
        <v>3.8859064327485385E-2</v>
      </c>
      <c r="C46" s="7">
        <f>C44/B47</f>
        <v>5.8597953216374281E-2</v>
      </c>
      <c r="D46" s="7">
        <f>D44/C47</f>
        <v>4.3093995563953769E-2</v>
      </c>
      <c r="E46" s="7">
        <f t="shared" ref="E46:K46" si="10">E44/D47</f>
        <v>4.7752419924068985E-2</v>
      </c>
      <c r="F46" s="7">
        <f>F44/E47</f>
        <v>5.2876686720195722E-2</v>
      </c>
      <c r="G46" s="7">
        <f t="shared" si="10"/>
        <v>5.2842862811708601E-2</v>
      </c>
      <c r="H46" s="7">
        <f>H44/G47</f>
        <v>5.2812498973151399E-2</v>
      </c>
      <c r="I46" s="7">
        <f t="shared" si="10"/>
        <v>5.2785208122483294E-2</v>
      </c>
      <c r="J46" s="7">
        <f t="shared" si="10"/>
        <v>5.2760652464710144E-2</v>
      </c>
      <c r="K46" s="7">
        <f t="shared" si="10"/>
        <v>5.273853615661276E-2</v>
      </c>
    </row>
    <row r="47" spans="1:14" ht="15.95" customHeight="1" x14ac:dyDescent="0.2">
      <c r="A47" s="8" t="s">
        <v>65</v>
      </c>
      <c r="B47" s="6">
        <f>IF(B46&lt;B40,B39,B39*(1+B45))</f>
        <v>855</v>
      </c>
      <c r="C47" s="6">
        <f>IF(C46&lt;$B$40,B47,B47*(1+C45))</f>
        <v>1289.3066487080316</v>
      </c>
      <c r="D47" s="6">
        <f t="shared" ref="D47:K47" si="11">IF(D46&lt;$B$40,C47,C47*(1+D45))</f>
        <v>1289.3066487080316</v>
      </c>
      <c r="E47" s="6">
        <f t="shared" si="11"/>
        <v>1289.3066487080316</v>
      </c>
      <c r="F47" s="6">
        <f t="shared" si="11"/>
        <v>1427.6609197691712</v>
      </c>
      <c r="G47" s="6">
        <f t="shared" si="11"/>
        <v>1579.8506179364249</v>
      </c>
      <c r="H47" s="6">
        <f t="shared" si="11"/>
        <v>1747.2592859204037</v>
      </c>
      <c r="I47" s="6">
        <f t="shared" si="11"/>
        <v>1931.4088207027805</v>
      </c>
      <c r="J47" s="6">
        <f t="shared" si="11"/>
        <v>2133.9733089633951</v>
      </c>
      <c r="K47" s="6">
        <f t="shared" si="11"/>
        <v>2356.7942460500713</v>
      </c>
    </row>
    <row r="48" spans="1:14" ht="15.95" customHeight="1" x14ac:dyDescent="0.2">
      <c r="A48" s="8" t="s">
        <v>89</v>
      </c>
      <c r="B48" s="3">
        <f>(B47-B39)/B39</f>
        <v>0</v>
      </c>
      <c r="C48" s="3">
        <f>(C47-B47)/B47</f>
        <v>0.50796099264097261</v>
      </c>
      <c r="D48" s="3">
        <f>(D47-C47)/C47</f>
        <v>0</v>
      </c>
      <c r="E48" s="3">
        <f t="shared" ref="E48:J48" si="12">(E47-D47)/D47</f>
        <v>0</v>
      </c>
      <c r="F48" s="3">
        <f t="shared" si="12"/>
        <v>0.10730904955758933</v>
      </c>
      <c r="G48" s="3">
        <f t="shared" si="12"/>
        <v>0.10660073135003249</v>
      </c>
      <c r="H48" s="3">
        <f t="shared" si="12"/>
        <v>0.10596487166783231</v>
      </c>
      <c r="I48" s="3">
        <f t="shared" si="12"/>
        <v>0.10539336449162001</v>
      </c>
      <c r="J48" s="3">
        <f t="shared" si="12"/>
        <v>0.10487913593917808</v>
      </c>
      <c r="K48" s="3">
        <f>(K47-J47)/J47</f>
        <v>0.10441599065496948</v>
      </c>
    </row>
    <row r="49" spans="1:11" ht="15.95" customHeight="1" x14ac:dyDescent="0.2">
      <c r="A49" s="8" t="s">
        <v>102</v>
      </c>
      <c r="B49" s="9">
        <f>B47/B39</f>
        <v>1</v>
      </c>
      <c r="C49" s="9">
        <f t="shared" ref="C49:K49" si="13">(C47-B47)/B47+1</f>
        <v>1.5079609926409727</v>
      </c>
      <c r="D49" s="9">
        <f t="shared" si="13"/>
        <v>1</v>
      </c>
      <c r="E49" s="9">
        <f t="shared" si="13"/>
        <v>1</v>
      </c>
      <c r="F49" s="9">
        <f t="shared" si="13"/>
        <v>1.1073090495575892</v>
      </c>
      <c r="G49" s="9">
        <f t="shared" si="13"/>
        <v>1.1066007313500326</v>
      </c>
      <c r="H49" s="9">
        <f t="shared" si="13"/>
        <v>1.1059648716678323</v>
      </c>
      <c r="I49" s="9">
        <f t="shared" si="13"/>
        <v>1.1053933644916201</v>
      </c>
      <c r="J49" s="9">
        <f t="shared" si="13"/>
        <v>1.1048791359391781</v>
      </c>
      <c r="K49" s="9">
        <f t="shared" si="13"/>
        <v>1.1044159906549695</v>
      </c>
    </row>
    <row r="50" spans="1:11" ht="15.95" customHeight="1" x14ac:dyDescent="0.2"/>
    <row r="51" spans="1:11" ht="15.95" customHeight="1" x14ac:dyDescent="0.2">
      <c r="A51" s="4" t="s">
        <v>67</v>
      </c>
      <c r="B51" s="5" t="s">
        <v>13</v>
      </c>
      <c r="D51" s="121" t="s">
        <v>68</v>
      </c>
      <c r="E51" s="121"/>
      <c r="F51" s="121"/>
      <c r="G51" s="121"/>
      <c r="H51" s="121"/>
      <c r="I51" s="121"/>
      <c r="J51" s="121"/>
    </row>
    <row r="52" spans="1:11" ht="15.95" customHeight="1" x14ac:dyDescent="0.2">
      <c r="A52" s="8" t="s">
        <v>90</v>
      </c>
      <c r="B52" s="10">
        <f>K47</f>
        <v>2356.7942460500713</v>
      </c>
      <c r="D52" s="114" t="s">
        <v>70</v>
      </c>
      <c r="E52" s="11"/>
      <c r="F52" s="117" t="s">
        <v>71</v>
      </c>
      <c r="G52" s="117"/>
      <c r="H52" s="117"/>
      <c r="I52" s="117"/>
      <c r="J52" s="118"/>
    </row>
    <row r="53" spans="1:11" ht="15.95" customHeight="1" x14ac:dyDescent="0.2">
      <c r="A53" s="8" t="s">
        <v>91</v>
      </c>
      <c r="B53" s="10">
        <f>SUM(B44:K44)</f>
        <v>734.18091363213784</v>
      </c>
      <c r="D53" s="115"/>
      <c r="E53" s="12" t="str">
        <f>B56</f>
        <v>Not Worth It</v>
      </c>
      <c r="F53" s="13">
        <v>800</v>
      </c>
      <c r="G53" s="13">
        <v>825</v>
      </c>
      <c r="H53" s="13">
        <v>855</v>
      </c>
      <c r="I53" s="13">
        <v>900</v>
      </c>
      <c r="J53" s="14">
        <v>925</v>
      </c>
    </row>
    <row r="54" spans="1:11" ht="15.95" customHeight="1" x14ac:dyDescent="0.2">
      <c r="A54" s="8" t="s">
        <v>92</v>
      </c>
      <c r="B54" s="10">
        <f>SUM(B52:B53)</f>
        <v>3090.9751596822089</v>
      </c>
      <c r="D54" s="115"/>
      <c r="E54" s="15">
        <v>0.05</v>
      </c>
      <c r="F54" s="49" t="str">
        <f t="dataTable" ref="F54:J58" dt2D="1" dtr="1" r1="B39" r2="B40" ca="1"/>
        <v>Not Worth It</v>
      </c>
      <c r="G54" s="50" t="str">
        <v>Not Worth It</v>
      </c>
      <c r="H54" s="50" t="str">
        <v>Not Worth It</v>
      </c>
      <c r="I54" s="50" t="str">
        <v>Not Worth It</v>
      </c>
      <c r="J54" s="51" t="str">
        <v>Not Worth It</v>
      </c>
    </row>
    <row r="55" spans="1:11" ht="15.95" customHeight="1" thickBot="1" x14ac:dyDescent="0.25">
      <c r="A55" s="8" t="s">
        <v>74</v>
      </c>
      <c r="B55" s="67">
        <f>POWER(B54/B39, 1/10)-1</f>
        <v>0.13713739077567122</v>
      </c>
      <c r="D55" s="115"/>
      <c r="E55" s="15">
        <v>0.06</v>
      </c>
      <c r="F55" s="52" t="str">
        <v>Not Worth It</v>
      </c>
      <c r="G55" s="17" t="str">
        <v>Not Worth It</v>
      </c>
      <c r="H55" s="17" t="str">
        <v>Not Worth It</v>
      </c>
      <c r="I55" s="17" t="str">
        <v>Not Worth It</v>
      </c>
      <c r="J55" s="18" t="str">
        <v>Not Worth It</v>
      </c>
    </row>
    <row r="56" spans="1:11" ht="15.75" thickTop="1" x14ac:dyDescent="0.2">
      <c r="A56" s="8" t="s">
        <v>93</v>
      </c>
      <c r="B56" s="23" t="str">
        <f>IF(B55&gt;B41,"Investable", "Not Worth It")</f>
        <v>Not Worth It</v>
      </c>
      <c r="D56" s="115"/>
      <c r="E56" s="15">
        <v>7.0000000000000007E-2</v>
      </c>
      <c r="F56" s="52" t="str">
        <v>Not Worth It</v>
      </c>
      <c r="G56" s="17" t="str">
        <v>Not Worth It</v>
      </c>
      <c r="H56" s="17" t="str">
        <v>Not Worth It</v>
      </c>
      <c r="I56" s="17" t="str">
        <v>Not Worth It</v>
      </c>
      <c r="J56" s="18" t="str">
        <v>Not Worth It</v>
      </c>
    </row>
    <row r="57" spans="1:11" x14ac:dyDescent="0.2">
      <c r="A57" s="8"/>
      <c r="B57" s="7"/>
      <c r="D57" s="115"/>
      <c r="E57" s="15">
        <v>0.08</v>
      </c>
      <c r="F57" s="52" t="str">
        <v>Not Worth It</v>
      </c>
      <c r="G57" s="17" t="str">
        <v>Not Worth It</v>
      </c>
      <c r="H57" s="17" t="str">
        <v>Not Worth It</v>
      </c>
      <c r="I57" s="17" t="str">
        <v>Not Worth It</v>
      </c>
      <c r="J57" s="18" t="str">
        <v>Not Worth It</v>
      </c>
    </row>
    <row r="58" spans="1:11" x14ac:dyDescent="0.2">
      <c r="A58" s="8"/>
      <c r="B58" s="48"/>
      <c r="D58" s="116"/>
      <c r="E58" s="20">
        <v>0.09</v>
      </c>
      <c r="F58" s="53" t="str">
        <v>Not Worth It</v>
      </c>
      <c r="G58" s="21" t="str">
        <v>Not Worth It</v>
      </c>
      <c r="H58" s="21" t="str">
        <v>Not Worth It</v>
      </c>
      <c r="I58" s="21" t="str">
        <v>Not Worth It</v>
      </c>
      <c r="J58" s="22" t="str">
        <v>Not Worth It</v>
      </c>
    </row>
    <row r="59" spans="1:11" x14ac:dyDescent="0.2">
      <c r="A59" s="8"/>
      <c r="B59" s="10"/>
    </row>
    <row r="60" spans="1:11" x14ac:dyDescent="0.2">
      <c r="A60" s="8"/>
      <c r="B60" s="19"/>
      <c r="D60" s="122" t="s">
        <v>76</v>
      </c>
      <c r="E60" s="123"/>
      <c r="F60" s="123"/>
      <c r="G60" s="123"/>
      <c r="H60" s="123"/>
      <c r="I60" s="123"/>
      <c r="J60" s="124"/>
    </row>
    <row r="61" spans="1:11" x14ac:dyDescent="0.2">
      <c r="A61" s="8"/>
      <c r="B61" s="7"/>
      <c r="D61" s="114" t="s">
        <v>70</v>
      </c>
      <c r="E61" s="11"/>
      <c r="F61" s="117" t="s">
        <v>71</v>
      </c>
      <c r="G61" s="117"/>
      <c r="H61" s="117"/>
      <c r="I61" s="117"/>
      <c r="J61" s="118"/>
    </row>
    <row r="62" spans="1:11" x14ac:dyDescent="0.2">
      <c r="A62" s="8"/>
      <c r="B62" s="7"/>
      <c r="D62" s="115"/>
      <c r="E62" s="12">
        <f>B55</f>
        <v>0.13713739077567122</v>
      </c>
      <c r="F62" s="13">
        <v>800</v>
      </c>
      <c r="G62" s="13">
        <v>825</v>
      </c>
      <c r="H62" s="13">
        <v>855</v>
      </c>
      <c r="I62" s="13">
        <v>900</v>
      </c>
      <c r="J62" s="14">
        <v>925</v>
      </c>
      <c r="K62" s="6"/>
    </row>
    <row r="63" spans="1:11" x14ac:dyDescent="0.2">
      <c r="D63" s="115"/>
      <c r="E63" s="15">
        <v>0.05</v>
      </c>
      <c r="F63" s="24">
        <f t="dataTable" ref="F63:J67" dt2D="1" dtr="1" r1="B39" r2="B40"/>
        <v>0.14789704737334652</v>
      </c>
      <c r="G63" s="25">
        <v>0.1381157666777928</v>
      </c>
      <c r="H63" s="25">
        <v>0.13713739077567122</v>
      </c>
      <c r="I63" s="25">
        <v>0.13577963127344428</v>
      </c>
      <c r="J63" s="41">
        <v>0.12623216447521268</v>
      </c>
    </row>
    <row r="64" spans="1:11" x14ac:dyDescent="0.2">
      <c r="C64" s="7"/>
      <c r="D64" s="115"/>
      <c r="E64" s="15">
        <v>0.06</v>
      </c>
      <c r="F64" s="27">
        <v>0.13041584981505094</v>
      </c>
      <c r="G64" s="28">
        <v>0.12948975477957103</v>
      </c>
      <c r="H64" s="28">
        <v>0.11996922619813222</v>
      </c>
      <c r="I64" s="28">
        <v>0.11841085857736999</v>
      </c>
      <c r="J64" s="29">
        <v>0.109329824346726</v>
      </c>
      <c r="K64" s="30"/>
    </row>
    <row r="65" spans="3:11" x14ac:dyDescent="0.2">
      <c r="C65" s="31"/>
      <c r="D65" s="115"/>
      <c r="E65" s="15">
        <v>7.0000000000000007E-2</v>
      </c>
      <c r="F65" s="27">
        <v>0.11399483383894338</v>
      </c>
      <c r="G65" s="28">
        <v>0.11293776249472431</v>
      </c>
      <c r="H65" s="28">
        <v>0.11174000554681895</v>
      </c>
      <c r="I65" s="28">
        <v>0.10210101788517667</v>
      </c>
      <c r="J65" s="29">
        <v>0.10117844299493695</v>
      </c>
      <c r="K65" s="6"/>
    </row>
    <row r="66" spans="3:11" x14ac:dyDescent="0.2">
      <c r="C66" s="32"/>
      <c r="D66" s="115"/>
      <c r="E66" s="15">
        <v>0.08</v>
      </c>
      <c r="F66" s="27">
        <v>0.10627986122364352</v>
      </c>
      <c r="G66" s="28">
        <v>0.10515421531613089</v>
      </c>
      <c r="H66" s="28">
        <v>9.6373947388347592E-2</v>
      </c>
      <c r="I66" s="28">
        <v>9.4483581669335237E-2</v>
      </c>
      <c r="J66" s="29">
        <v>9.3501316177940108E-2</v>
      </c>
      <c r="K66" s="6"/>
    </row>
    <row r="67" spans="3:11" x14ac:dyDescent="0.2">
      <c r="C67" s="33"/>
      <c r="D67" s="116"/>
      <c r="E67" s="20">
        <v>0.09</v>
      </c>
      <c r="F67" s="34">
        <v>9.8926221976801898E-2</v>
      </c>
      <c r="G67" s="35">
        <v>9.7730561905742253E-2</v>
      </c>
      <c r="H67" s="35">
        <v>8.9219848978608685E-2</v>
      </c>
      <c r="I67" s="35">
        <v>8.7213697085995356E-2</v>
      </c>
      <c r="J67" s="36">
        <v>8.6170421092300664E-2</v>
      </c>
      <c r="K67" s="33"/>
    </row>
  </sheetData>
  <mergeCells count="10">
    <mergeCell ref="A1:B1"/>
    <mergeCell ref="A2:B2"/>
    <mergeCell ref="A9:B9"/>
    <mergeCell ref="D61:D67"/>
    <mergeCell ref="F61:J61"/>
    <mergeCell ref="A37:B37"/>
    <mergeCell ref="D51:J51"/>
    <mergeCell ref="D52:D58"/>
    <mergeCell ref="F52:J52"/>
    <mergeCell ref="D60:J60"/>
  </mergeCells>
  <conditionalFormatting sqref="B56">
    <cfRule type="containsText" dxfId="29" priority="3" operator="containsText" text="Not Worth It">
      <formula>NOT(ISERROR(SEARCH("Not Worth It",B56)))</formula>
    </cfRule>
    <cfRule type="containsText" dxfId="28" priority="4" operator="containsText" text="Investable">
      <formula>NOT(ISERROR(SEARCH("Investable",B56)))</formula>
    </cfRule>
  </conditionalFormatting>
  <conditionalFormatting sqref="F54:J58">
    <cfRule type="containsText" dxfId="27" priority="5" operator="containsText" text="Not Worth It">
      <formula>NOT(ISERROR(SEARCH("Not Worth It",F54)))</formula>
    </cfRule>
    <cfRule type="containsText" dxfId="26" priority="6" operator="containsText" text="Investable">
      <formula>NOT(ISERROR(SEARCH("Investable",F54)))</formula>
    </cfRule>
  </conditionalFormatting>
  <conditionalFormatting sqref="F63:J67">
    <cfRule type="cellIs" dxfId="25" priority="1" operator="lessThan">
      <formula>$B$41</formula>
    </cfRule>
    <cfRule type="cellIs" dxfId="24" priority="2" operator="greaterThan">
      <formula>$B$41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4A1F-7430-400B-BE82-0502A56F305A}">
  <sheetPr codeName="Sheet4"/>
  <dimension ref="A1:N67"/>
  <sheetViews>
    <sheetView showGridLines="0" topLeftCell="A18" workbookViewId="0">
      <selection activeCell="C14" sqref="C14"/>
    </sheetView>
  </sheetViews>
  <sheetFormatPr defaultRowHeight="15" x14ac:dyDescent="0.2"/>
  <cols>
    <col min="1" max="1" width="35.6484375" customWidth="1"/>
    <col min="2" max="29" width="15.73828125" customWidth="1"/>
  </cols>
  <sheetData>
    <row r="1" spans="1:14" x14ac:dyDescent="0.2">
      <c r="A1" s="125" t="s">
        <v>103</v>
      </c>
      <c r="B1" s="125"/>
    </row>
    <row r="2" spans="1:14" x14ac:dyDescent="0.2">
      <c r="A2" s="111" t="s">
        <v>1</v>
      </c>
      <c r="B2" s="111"/>
    </row>
    <row r="3" spans="1:14" x14ac:dyDescent="0.2">
      <c r="A3" t="s">
        <v>2</v>
      </c>
      <c r="B3" t="s">
        <v>104</v>
      </c>
    </row>
    <row r="4" spans="1:14" x14ac:dyDescent="0.2">
      <c r="A4" t="s">
        <v>4</v>
      </c>
      <c r="B4" t="s">
        <v>105</v>
      </c>
    </row>
    <row r="5" spans="1:14" x14ac:dyDescent="0.2">
      <c r="A5" t="s">
        <v>6</v>
      </c>
      <c r="B5" t="s">
        <v>106</v>
      </c>
    </row>
    <row r="6" spans="1:14" x14ac:dyDescent="0.2">
      <c r="A6" t="s">
        <v>8</v>
      </c>
      <c r="B6" t="s">
        <v>9</v>
      </c>
    </row>
    <row r="9" spans="1:14" x14ac:dyDescent="0.2">
      <c r="A9" s="111" t="s">
        <v>10</v>
      </c>
      <c r="B9" s="111"/>
    </row>
    <row r="10" spans="1:14" x14ac:dyDescent="0.2">
      <c r="A10" s="4" t="s">
        <v>11</v>
      </c>
      <c r="B10" s="5" t="s">
        <v>13</v>
      </c>
      <c r="D10" s="4" t="s">
        <v>11</v>
      </c>
      <c r="E10" s="5"/>
      <c r="F10" s="57" t="s">
        <v>12</v>
      </c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t="s">
        <v>16</v>
      </c>
      <c r="B11" s="6">
        <v>5170</v>
      </c>
      <c r="D11" t="s">
        <v>14</v>
      </c>
      <c r="E11" s="6"/>
      <c r="F11" t="s">
        <v>107</v>
      </c>
    </row>
    <row r="12" spans="1:14" x14ac:dyDescent="0.2">
      <c r="A12" t="s">
        <v>19</v>
      </c>
      <c r="B12" s="7">
        <v>0.1</v>
      </c>
      <c r="D12" t="s">
        <v>17</v>
      </c>
      <c r="E12" s="7"/>
      <c r="F12" t="s">
        <v>108</v>
      </c>
    </row>
    <row r="13" spans="1:14" x14ac:dyDescent="0.2">
      <c r="A13" s="8" t="s">
        <v>22</v>
      </c>
      <c r="B13" s="3">
        <v>0.03</v>
      </c>
      <c r="D13" s="8" t="s">
        <v>20</v>
      </c>
      <c r="E13" s="3"/>
      <c r="F13" t="s">
        <v>21</v>
      </c>
    </row>
    <row r="14" spans="1:14" x14ac:dyDescent="0.2">
      <c r="A14" s="8"/>
      <c r="B14" s="3"/>
      <c r="D14" s="8" t="s">
        <v>23</v>
      </c>
      <c r="E14" s="3"/>
      <c r="F14" t="s">
        <v>82</v>
      </c>
    </row>
    <row r="15" spans="1:14" x14ac:dyDescent="0.2">
      <c r="A15" s="8"/>
      <c r="B15" s="3"/>
      <c r="D15" s="8" t="s">
        <v>25</v>
      </c>
      <c r="E15" s="3"/>
      <c r="F15" t="s">
        <v>26</v>
      </c>
    </row>
    <row r="16" spans="1:14" x14ac:dyDescent="0.2">
      <c r="A16" s="57" t="s">
        <v>27</v>
      </c>
      <c r="B16" s="5" t="s">
        <v>28</v>
      </c>
      <c r="C16" s="5" t="s">
        <v>29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83</v>
      </c>
    </row>
    <row r="17" spans="1:14" x14ac:dyDescent="0.2">
      <c r="A17" t="s">
        <v>40</v>
      </c>
      <c r="C17" s="42">
        <v>0.09</v>
      </c>
      <c r="D17" s="42">
        <v>0.09</v>
      </c>
      <c r="E17" s="42">
        <v>0.09</v>
      </c>
      <c r="F17" s="42">
        <v>0.09</v>
      </c>
      <c r="G17" s="42">
        <v>0.09</v>
      </c>
      <c r="H17" s="42">
        <v>0.09</v>
      </c>
      <c r="I17" s="42">
        <v>0.09</v>
      </c>
      <c r="J17" s="42">
        <v>0.1</v>
      </c>
      <c r="K17" s="42">
        <v>0.1</v>
      </c>
      <c r="L17" s="42">
        <v>0.1</v>
      </c>
    </row>
    <row r="18" spans="1:14" ht="15.95" customHeight="1" x14ac:dyDescent="0.2">
      <c r="A18" t="s">
        <v>41</v>
      </c>
      <c r="B18" s="38">
        <v>1741</v>
      </c>
      <c r="C18" s="38">
        <f>B18*(1+C17)</f>
        <v>1897.69</v>
      </c>
      <c r="D18" s="38">
        <f t="shared" ref="D18:L18" si="0">C18*(1+D17)</f>
        <v>2068.4821000000002</v>
      </c>
      <c r="E18" s="38">
        <f t="shared" si="0"/>
        <v>2254.6454890000005</v>
      </c>
      <c r="F18" s="38">
        <f t="shared" si="0"/>
        <v>2457.5635830100005</v>
      </c>
      <c r="G18" s="38">
        <f t="shared" si="0"/>
        <v>2678.7443054809005</v>
      </c>
      <c r="H18" s="38">
        <f t="shared" si="0"/>
        <v>2919.8312929741819</v>
      </c>
      <c r="I18" s="38">
        <f t="shared" si="0"/>
        <v>3182.6161093418586</v>
      </c>
      <c r="J18" s="38">
        <f t="shared" si="0"/>
        <v>3500.8777202760448</v>
      </c>
      <c r="K18" s="38">
        <f t="shared" si="0"/>
        <v>3850.9654923036496</v>
      </c>
      <c r="L18" s="38">
        <f t="shared" si="0"/>
        <v>4236.0620415340145</v>
      </c>
    </row>
    <row r="19" spans="1:14" ht="15.95" customHeight="1" x14ac:dyDescent="0.2">
      <c r="A19" t="s">
        <v>42</v>
      </c>
      <c r="C19" s="47">
        <v>0.3</v>
      </c>
      <c r="D19" s="47">
        <v>0.3</v>
      </c>
      <c r="E19" s="47">
        <v>0.3</v>
      </c>
      <c r="F19" s="47">
        <v>0.3</v>
      </c>
      <c r="G19" s="47">
        <v>0.3</v>
      </c>
      <c r="H19" s="47">
        <v>0.3</v>
      </c>
      <c r="I19" s="47">
        <v>0.3</v>
      </c>
      <c r="J19" s="47">
        <v>0.3</v>
      </c>
      <c r="K19" s="47">
        <v>0.3</v>
      </c>
      <c r="L19" s="47">
        <v>0.3</v>
      </c>
    </row>
    <row r="20" spans="1:14" ht="15.95" customHeight="1" x14ac:dyDescent="0.2">
      <c r="A20" t="s">
        <v>43</v>
      </c>
      <c r="B20" s="38">
        <v>33.28</v>
      </c>
      <c r="C20" s="38">
        <f>C18*C19</f>
        <v>569.30700000000002</v>
      </c>
      <c r="D20" s="38">
        <f t="shared" ref="D20:L20" si="1">D18*D19</f>
        <v>620.54462999999998</v>
      </c>
      <c r="E20" s="38">
        <f t="shared" si="1"/>
        <v>676.39364670000009</v>
      </c>
      <c r="F20" s="38">
        <f t="shared" si="1"/>
        <v>737.26907490300016</v>
      </c>
      <c r="G20" s="38">
        <f t="shared" si="1"/>
        <v>803.62329164427013</v>
      </c>
      <c r="H20" s="38">
        <f t="shared" si="1"/>
        <v>875.94938789225455</v>
      </c>
      <c r="I20" s="38">
        <f t="shared" si="1"/>
        <v>954.7848328025575</v>
      </c>
      <c r="J20" s="38">
        <f t="shared" si="1"/>
        <v>1050.2633160828134</v>
      </c>
      <c r="K20" s="38">
        <f t="shared" si="1"/>
        <v>1155.2896476910948</v>
      </c>
      <c r="L20" s="38">
        <f t="shared" si="1"/>
        <v>1270.8186124602043</v>
      </c>
      <c r="M20" s="1"/>
      <c r="N20" s="1"/>
    </row>
    <row r="21" spans="1:14" ht="15.95" customHeight="1" x14ac:dyDescent="0.2">
      <c r="A21" t="s">
        <v>44</v>
      </c>
      <c r="B21" s="6"/>
      <c r="C21" s="38">
        <f>C20*(1-0.24)</f>
        <v>432.67331999999999</v>
      </c>
      <c r="D21" s="38">
        <f t="shared" ref="D21:L21" si="2">D20*(1-0.24)</f>
        <v>471.61391879999996</v>
      </c>
      <c r="E21" s="38">
        <f t="shared" si="2"/>
        <v>514.05917149200002</v>
      </c>
      <c r="F21" s="38">
        <f t="shared" si="2"/>
        <v>560.32449692628018</v>
      </c>
      <c r="G21" s="38">
        <f t="shared" si="2"/>
        <v>610.75370164964534</v>
      </c>
      <c r="H21" s="38">
        <f t="shared" si="2"/>
        <v>665.72153479811345</v>
      </c>
      <c r="I21" s="38">
        <f t="shared" si="2"/>
        <v>725.63647292994369</v>
      </c>
      <c r="J21" s="38">
        <f t="shared" si="2"/>
        <v>798.20012022293815</v>
      </c>
      <c r="K21" s="38">
        <f t="shared" si="2"/>
        <v>878.02013224523205</v>
      </c>
      <c r="L21" s="38">
        <f t="shared" si="2"/>
        <v>965.82214546975536</v>
      </c>
      <c r="M21" s="1"/>
      <c r="N21" s="1"/>
    </row>
    <row r="22" spans="1:14" ht="15.95" customHeight="1" x14ac:dyDescent="0.2">
      <c r="A22" t="s">
        <v>45</v>
      </c>
      <c r="B22" s="1"/>
      <c r="C22" s="43">
        <v>0.5</v>
      </c>
      <c r="D22" s="43">
        <v>0.5</v>
      </c>
      <c r="E22" s="43">
        <v>0.5</v>
      </c>
      <c r="F22" s="43">
        <v>0.5</v>
      </c>
      <c r="G22" s="43">
        <v>0.5</v>
      </c>
      <c r="H22" s="43">
        <v>0.5</v>
      </c>
      <c r="I22" s="43">
        <v>0.5</v>
      </c>
      <c r="J22" s="43">
        <v>0.5</v>
      </c>
      <c r="K22" s="43">
        <v>0.5</v>
      </c>
      <c r="L22" s="43">
        <v>0.5</v>
      </c>
      <c r="M22" s="1"/>
      <c r="N22" s="1"/>
    </row>
    <row r="23" spans="1:14" ht="15.95" customHeight="1" x14ac:dyDescent="0.2">
      <c r="A23" t="s">
        <v>46</v>
      </c>
      <c r="B23" s="1"/>
      <c r="C23" s="6">
        <f>C21*C22</f>
        <v>216.33665999999999</v>
      </c>
      <c r="D23" s="6">
        <f t="shared" ref="D23:L23" si="3">D20*D22</f>
        <v>310.27231499999999</v>
      </c>
      <c r="E23" s="6">
        <f t="shared" si="3"/>
        <v>338.19682335000005</v>
      </c>
      <c r="F23" s="6">
        <f t="shared" si="3"/>
        <v>368.63453745150008</v>
      </c>
      <c r="G23" s="6">
        <f t="shared" si="3"/>
        <v>401.81164582213506</v>
      </c>
      <c r="H23" s="6">
        <f t="shared" si="3"/>
        <v>437.97469394612727</v>
      </c>
      <c r="I23" s="6">
        <f t="shared" si="3"/>
        <v>477.39241640127875</v>
      </c>
      <c r="J23" s="6">
        <f t="shared" si="3"/>
        <v>525.13165804140669</v>
      </c>
      <c r="K23" s="6">
        <f t="shared" si="3"/>
        <v>577.64482384554742</v>
      </c>
      <c r="L23" s="6">
        <f t="shared" si="3"/>
        <v>635.40930623010217</v>
      </c>
    </row>
    <row r="24" spans="1:14" ht="15.95" customHeight="1" x14ac:dyDescent="0.2">
      <c r="A24" t="s">
        <v>84</v>
      </c>
      <c r="B24" s="1"/>
      <c r="C24" s="6">
        <v>115.8</v>
      </c>
      <c r="D24" s="6">
        <v>115.8</v>
      </c>
      <c r="E24" s="6">
        <v>115.8</v>
      </c>
      <c r="F24" s="6">
        <v>115.8</v>
      </c>
      <c r="G24" s="6">
        <v>115.8</v>
      </c>
      <c r="H24" s="6">
        <v>115.8</v>
      </c>
      <c r="I24" s="6">
        <v>115.8</v>
      </c>
      <c r="J24" s="6">
        <v>115.8</v>
      </c>
      <c r="K24" s="6">
        <v>115.8</v>
      </c>
      <c r="L24" s="6">
        <v>115.8</v>
      </c>
    </row>
    <row r="25" spans="1:14" ht="15.95" customHeight="1" thickBot="1" x14ac:dyDescent="0.25">
      <c r="A25" t="s">
        <v>47</v>
      </c>
      <c r="B25" s="1"/>
      <c r="C25" s="39">
        <f>C23-C24</f>
        <v>100.53666</v>
      </c>
      <c r="D25" s="39">
        <f>D23-D24</f>
        <v>194.47231499999998</v>
      </c>
      <c r="E25" s="39">
        <f t="shared" ref="E25:L25" si="4">E23-E24</f>
        <v>222.39682335000003</v>
      </c>
      <c r="F25" s="39">
        <f t="shared" si="4"/>
        <v>252.83453745150007</v>
      </c>
      <c r="G25" s="39">
        <f t="shared" si="4"/>
        <v>286.01164582213505</v>
      </c>
      <c r="H25" s="39">
        <f t="shared" si="4"/>
        <v>322.17469394612726</v>
      </c>
      <c r="I25" s="39">
        <f t="shared" si="4"/>
        <v>361.59241640127874</v>
      </c>
      <c r="J25" s="39">
        <f t="shared" si="4"/>
        <v>409.33165804140668</v>
      </c>
      <c r="K25" s="39">
        <f t="shared" si="4"/>
        <v>461.84482384554741</v>
      </c>
      <c r="L25" s="39">
        <f t="shared" si="4"/>
        <v>519.60930623010222</v>
      </c>
      <c r="M25" s="39">
        <f>L25*(1+0.1)</f>
        <v>571.57023685311253</v>
      </c>
    </row>
    <row r="26" spans="1:14" ht="15.95" customHeight="1" thickTop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4" ht="15.95" customHeight="1" x14ac:dyDescent="0.2">
      <c r="A27" t="s">
        <v>25</v>
      </c>
      <c r="B27" s="2"/>
      <c r="C27" s="43">
        <f>$B$12</f>
        <v>0.1</v>
      </c>
      <c r="D27" s="43">
        <f t="shared" ref="D27:M27" si="5">$B$12</f>
        <v>0.1</v>
      </c>
      <c r="E27" s="43">
        <f t="shared" si="5"/>
        <v>0.1</v>
      </c>
      <c r="F27" s="43">
        <f t="shared" si="5"/>
        <v>0.1</v>
      </c>
      <c r="G27" s="43">
        <f t="shared" si="5"/>
        <v>0.1</v>
      </c>
      <c r="H27" s="43">
        <f t="shared" si="5"/>
        <v>0.1</v>
      </c>
      <c r="I27" s="43">
        <f t="shared" si="5"/>
        <v>0.1</v>
      </c>
      <c r="J27" s="43">
        <f t="shared" si="5"/>
        <v>0.1</v>
      </c>
      <c r="K27" s="43">
        <f t="shared" si="5"/>
        <v>0.1</v>
      </c>
      <c r="L27" s="43">
        <f t="shared" si="5"/>
        <v>0.1</v>
      </c>
      <c r="M27" s="43">
        <f t="shared" si="5"/>
        <v>0.1</v>
      </c>
    </row>
    <row r="28" spans="1:14" ht="15.95" customHeight="1" x14ac:dyDescent="0.2">
      <c r="A28" t="s">
        <v>49</v>
      </c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10</v>
      </c>
    </row>
    <row r="29" spans="1:14" ht="15.95" customHeight="1" x14ac:dyDescent="0.2">
      <c r="A29" t="s">
        <v>50</v>
      </c>
      <c r="B29" s="1"/>
      <c r="C29" s="1">
        <f>1/(1+C27)^C28</f>
        <v>0.90909090909090906</v>
      </c>
      <c r="D29" s="1">
        <f t="shared" ref="D29:L29" si="6">1/(1+D27)^D28</f>
        <v>0.82644628099173545</v>
      </c>
      <c r="E29" s="1">
        <f t="shared" si="6"/>
        <v>0.75131480090157754</v>
      </c>
      <c r="F29" s="1">
        <f t="shared" si="6"/>
        <v>0.68301345536507052</v>
      </c>
      <c r="G29" s="1">
        <f t="shared" si="6"/>
        <v>0.62092132305915493</v>
      </c>
      <c r="H29" s="1">
        <f t="shared" si="6"/>
        <v>0.56447393005377722</v>
      </c>
      <c r="I29" s="1">
        <f t="shared" si="6"/>
        <v>0.51315811823070645</v>
      </c>
      <c r="J29" s="1">
        <f t="shared" si="6"/>
        <v>0.46650738020973315</v>
      </c>
      <c r="K29" s="1">
        <f t="shared" si="6"/>
        <v>0.42409761837248466</v>
      </c>
      <c r="L29" s="1">
        <f t="shared" si="6"/>
        <v>0.38554328942953148</v>
      </c>
      <c r="M29" s="1">
        <f>1/(1+M27)^M28</f>
        <v>0.38554328942953148</v>
      </c>
    </row>
    <row r="30" spans="1:14" ht="15.9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8">
        <f>M25/(M27-0.03)</f>
        <v>8165.2890979016065</v>
      </c>
    </row>
    <row r="31" spans="1:14" ht="15.95" customHeight="1" thickBot="1" x14ac:dyDescent="0.25">
      <c r="A31" t="s">
        <v>52</v>
      </c>
      <c r="B31" s="1"/>
      <c r="C31" s="39">
        <f>C25*C29</f>
        <v>91.396963636363637</v>
      </c>
      <c r="D31" s="39">
        <f t="shared" ref="D31:L31" si="7">D25*D29</f>
        <v>160.72092148760328</v>
      </c>
      <c r="E31" s="39">
        <f t="shared" si="7"/>
        <v>167.09002505634859</v>
      </c>
      <c r="F31" s="39">
        <f t="shared" si="7"/>
        <v>172.6893910603784</v>
      </c>
      <c r="G31" s="39">
        <f t="shared" si="7"/>
        <v>177.59072953420653</v>
      </c>
      <c r="H31" s="39">
        <f t="shared" si="7"/>
        <v>181.85921565564331</v>
      </c>
      <c r="I31" s="39">
        <f t="shared" si="7"/>
        <v>185.55408396697425</v>
      </c>
      <c r="J31" s="39">
        <f t="shared" si="7"/>
        <v>190.95623942980299</v>
      </c>
      <c r="K31" s="39">
        <f t="shared" si="7"/>
        <v>195.86728985055638</v>
      </c>
      <c r="L31" s="39">
        <f t="shared" si="7"/>
        <v>200.33188114215037</v>
      </c>
      <c r="M31" s="46">
        <f>M30*M29</f>
        <v>3148.0724179480771</v>
      </c>
    </row>
    <row r="32" spans="1:14" ht="15.95" customHeight="1" thickTop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95" customHeight="1" x14ac:dyDescent="0.2">
      <c r="A33" t="s">
        <v>54</v>
      </c>
      <c r="B33" s="40">
        <f>SUM(C31:L31,M31)</f>
        <v>4872.1291587681044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95" customHeight="1" thickBot="1" x14ac:dyDescent="0.25">
      <c r="A34" s="55" t="s">
        <v>55</v>
      </c>
      <c r="B34" s="72">
        <v>3210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1"/>
    </row>
    <row r="35" spans="1:14" ht="15.9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95" customHeight="1" x14ac:dyDescent="0.2"/>
    <row r="37" spans="1:14" ht="15.95" customHeight="1" x14ac:dyDescent="0.2">
      <c r="A37" s="111" t="s">
        <v>131</v>
      </c>
      <c r="B37" s="111"/>
    </row>
    <row r="38" spans="1:14" ht="15.95" customHeight="1" x14ac:dyDescent="0.2">
      <c r="A38" s="4" t="s">
        <v>11</v>
      </c>
      <c r="B38" s="5" t="s">
        <v>13</v>
      </c>
    </row>
    <row r="39" spans="1:14" ht="15.95" customHeight="1" x14ac:dyDescent="0.2">
      <c r="A39" t="s">
        <v>16</v>
      </c>
      <c r="B39" s="48">
        <v>3430</v>
      </c>
    </row>
    <row r="40" spans="1:14" ht="15.95" customHeight="1" x14ac:dyDescent="0.2">
      <c r="A40" t="s">
        <v>85</v>
      </c>
      <c r="B40" s="42">
        <v>0.05</v>
      </c>
    </row>
    <row r="41" spans="1:14" ht="15.95" customHeight="1" x14ac:dyDescent="0.2">
      <c r="A41" s="8" t="s">
        <v>59</v>
      </c>
      <c r="B41" s="43">
        <v>0.1</v>
      </c>
    </row>
    <row r="42" spans="1:14" ht="15.95" customHeight="1" x14ac:dyDescent="0.2">
      <c r="B42" s="7"/>
    </row>
    <row r="43" spans="1:14" ht="15.95" customHeight="1" x14ac:dyDescent="0.2">
      <c r="A43" s="4" t="s">
        <v>60</v>
      </c>
      <c r="B43" s="5" t="s">
        <v>61</v>
      </c>
      <c r="C43" s="5" t="s">
        <v>29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37</v>
      </c>
    </row>
    <row r="44" spans="1:14" ht="15.95" customHeight="1" x14ac:dyDescent="0.2">
      <c r="A44" s="8" t="s">
        <v>86</v>
      </c>
      <c r="B44" s="1">
        <f>C25</f>
        <v>100.53666</v>
      </c>
      <c r="C44" s="1">
        <f t="shared" ref="C44:K44" si="8">D25</f>
        <v>194.47231499999998</v>
      </c>
      <c r="D44" s="1">
        <f t="shared" si="8"/>
        <v>222.39682335000003</v>
      </c>
      <c r="E44" s="1">
        <f t="shared" si="8"/>
        <v>252.83453745150007</v>
      </c>
      <c r="F44" s="1">
        <f t="shared" si="8"/>
        <v>286.01164582213505</v>
      </c>
      <c r="G44" s="1">
        <f t="shared" si="8"/>
        <v>322.17469394612726</v>
      </c>
      <c r="H44" s="1">
        <f t="shared" si="8"/>
        <v>361.59241640127874</v>
      </c>
      <c r="I44" s="1">
        <f t="shared" si="8"/>
        <v>409.33165804140668</v>
      </c>
      <c r="J44" s="1">
        <f t="shared" si="8"/>
        <v>461.84482384554741</v>
      </c>
      <c r="K44" s="1">
        <f t="shared" si="8"/>
        <v>519.60930623010222</v>
      </c>
    </row>
    <row r="45" spans="1:14" ht="15.95" customHeight="1" x14ac:dyDescent="0.2">
      <c r="A45" s="8" t="s">
        <v>87</v>
      </c>
      <c r="B45" s="3">
        <v>0.1</v>
      </c>
      <c r="C45" s="3">
        <f>(C44-B44)/B44</f>
        <v>0.93434230856684497</v>
      </c>
      <c r="D45" s="3">
        <f>(D44-C44)/C44</f>
        <v>0.14359117568996932</v>
      </c>
      <c r="E45" s="3">
        <f t="shared" ref="E45:J45" si="9">(E44-D44)/D44</f>
        <v>0.13686218014723289</v>
      </c>
      <c r="F45" s="3">
        <f t="shared" si="9"/>
        <v>0.13122063427350852</v>
      </c>
      <c r="G45" s="3">
        <f>(G44-F44)/F44</f>
        <v>0.12643907565386792</v>
      </c>
      <c r="H45" s="3">
        <f t="shared" si="9"/>
        <v>0.12234890944520536</v>
      </c>
      <c r="I45" s="3">
        <f t="shared" si="9"/>
        <v>0.13202500792259181</v>
      </c>
      <c r="J45" s="3">
        <f t="shared" si="9"/>
        <v>0.12829001806361301</v>
      </c>
      <c r="K45" s="3">
        <f>(K44-J44)/J44</f>
        <v>0.12507335668196795</v>
      </c>
    </row>
    <row r="46" spans="1:14" ht="15.95" customHeight="1" x14ac:dyDescent="0.2">
      <c r="A46" s="8" t="s">
        <v>88</v>
      </c>
      <c r="B46" s="7">
        <f>B44/B39</f>
        <v>2.9310979591836733E-2</v>
      </c>
      <c r="C46" s="7">
        <f>C44/B47</f>
        <v>5.6697467930029145E-2</v>
      </c>
      <c r="D46" s="7">
        <f>D44/C47</f>
        <v>5.7179558784498465E-2</v>
      </c>
      <c r="E46" s="7">
        <f t="shared" ref="E46:K46" si="10">E44/D47</f>
        <v>5.6843109007361649E-2</v>
      </c>
      <c r="F46" s="7">
        <f>F44/E47</f>
        <v>5.6561031713675429E-2</v>
      </c>
      <c r="G46" s="7">
        <f t="shared" si="10"/>
        <v>5.6321953782693397E-2</v>
      </c>
      <c r="H46" s="7">
        <f>H44/G47</f>
        <v>5.6117445472260268E-2</v>
      </c>
      <c r="I46" s="7">
        <f t="shared" si="10"/>
        <v>5.6601250396129593E-2</v>
      </c>
      <c r="J46" s="7">
        <f t="shared" si="10"/>
        <v>5.6414500903180655E-2</v>
      </c>
      <c r="K46" s="7">
        <f t="shared" si="10"/>
        <v>5.6253667834098402E-2</v>
      </c>
    </row>
    <row r="47" spans="1:14" ht="15.95" customHeight="1" x14ac:dyDescent="0.2">
      <c r="A47" s="8" t="s">
        <v>65</v>
      </c>
      <c r="B47" s="6">
        <f>IF(B44/B40&lt;B39,B39,B44/B40)</f>
        <v>3430</v>
      </c>
      <c r="C47" s="6">
        <f>IF(C44/$B$40&lt;B47,B47,C44/$B$40)</f>
        <v>3889.4462999999996</v>
      </c>
      <c r="D47" s="6">
        <f t="shared" ref="D47:K47" si="11">IF(D44/$B$40&lt;C47,C47,D44/$B$40)</f>
        <v>4447.9364670000004</v>
      </c>
      <c r="E47" s="6">
        <f t="shared" si="11"/>
        <v>5056.6907490300009</v>
      </c>
      <c r="F47" s="6">
        <f t="shared" si="11"/>
        <v>5720.232916442701</v>
      </c>
      <c r="G47" s="6">
        <f t="shared" si="11"/>
        <v>6443.4938789225453</v>
      </c>
      <c r="H47" s="6">
        <f t="shared" si="11"/>
        <v>7231.8483280255741</v>
      </c>
      <c r="I47" s="6">
        <f t="shared" si="11"/>
        <v>8186.6331608281334</v>
      </c>
      <c r="J47" s="6">
        <f t="shared" si="11"/>
        <v>9236.896476910948</v>
      </c>
      <c r="K47" s="6">
        <f t="shared" si="11"/>
        <v>10392.186124602043</v>
      </c>
    </row>
    <row r="48" spans="1:14" ht="15.95" customHeight="1" x14ac:dyDescent="0.2">
      <c r="A48" s="8" t="s">
        <v>89</v>
      </c>
      <c r="B48" s="3">
        <f>(B47-B39)/B39</f>
        <v>0</v>
      </c>
      <c r="C48" s="3">
        <f>(C47-B47)/B47</f>
        <v>0.13394935860058296</v>
      </c>
      <c r="D48" s="3">
        <f>(D47-C47)/C47</f>
        <v>0.14359117568996926</v>
      </c>
      <c r="E48" s="3">
        <f t="shared" ref="E48:J48" si="12">(E47-D47)/D47</f>
        <v>0.13686218014723284</v>
      </c>
      <c r="F48" s="3">
        <f t="shared" si="12"/>
        <v>0.13122063427350861</v>
      </c>
      <c r="G48" s="3">
        <f t="shared" si="12"/>
        <v>0.12643907565386792</v>
      </c>
      <c r="H48" s="3">
        <f t="shared" si="12"/>
        <v>0.12234890944520525</v>
      </c>
      <c r="I48" s="3">
        <f t="shared" si="12"/>
        <v>0.13202500792259189</v>
      </c>
      <c r="J48" s="3">
        <f t="shared" si="12"/>
        <v>0.12829001806361301</v>
      </c>
      <c r="K48" s="3">
        <f>(K47-J47)/J47</f>
        <v>0.1250733566819679</v>
      </c>
    </row>
    <row r="49" spans="1:11" ht="15.95" customHeight="1" x14ac:dyDescent="0.2">
      <c r="A49" s="8" t="s">
        <v>102</v>
      </c>
      <c r="B49" s="9">
        <f>B47/B39</f>
        <v>1</v>
      </c>
      <c r="C49" s="9">
        <f t="shared" ref="C49:K49" si="13">(C47-B47)/B47+1</f>
        <v>1.1339493586005829</v>
      </c>
      <c r="D49" s="9">
        <f t="shared" si="13"/>
        <v>1.1435911756899693</v>
      </c>
      <c r="E49" s="9">
        <f t="shared" si="13"/>
        <v>1.1368621801472329</v>
      </c>
      <c r="F49" s="9">
        <f t="shared" si="13"/>
        <v>1.1312206342735087</v>
      </c>
      <c r="G49" s="9">
        <f t="shared" si="13"/>
        <v>1.126439075653868</v>
      </c>
      <c r="H49" s="9">
        <f t="shared" si="13"/>
        <v>1.1223489094452053</v>
      </c>
      <c r="I49" s="9">
        <f t="shared" si="13"/>
        <v>1.132025007922592</v>
      </c>
      <c r="J49" s="9">
        <f t="shared" si="13"/>
        <v>1.1282900180636131</v>
      </c>
      <c r="K49" s="9">
        <f t="shared" si="13"/>
        <v>1.125073356681968</v>
      </c>
    </row>
    <row r="50" spans="1:11" ht="15.95" customHeight="1" x14ac:dyDescent="0.2"/>
    <row r="51" spans="1:11" ht="15.95" customHeight="1" x14ac:dyDescent="0.2">
      <c r="A51" s="4" t="s">
        <v>67</v>
      </c>
      <c r="B51" s="5" t="s">
        <v>13</v>
      </c>
      <c r="D51" s="121" t="s">
        <v>68</v>
      </c>
      <c r="E51" s="121"/>
      <c r="F51" s="121"/>
      <c r="G51" s="121"/>
      <c r="H51" s="121"/>
      <c r="I51" s="121"/>
      <c r="J51" s="121"/>
    </row>
    <row r="52" spans="1:11" ht="15.95" customHeight="1" x14ac:dyDescent="0.2">
      <c r="A52" s="8" t="s">
        <v>90</v>
      </c>
      <c r="B52" s="10">
        <f>K47</f>
        <v>10392.186124602043</v>
      </c>
      <c r="D52" s="114" t="s">
        <v>70</v>
      </c>
      <c r="E52" s="11"/>
      <c r="F52" s="117" t="s">
        <v>71</v>
      </c>
      <c r="G52" s="117"/>
      <c r="H52" s="117"/>
      <c r="I52" s="117"/>
      <c r="J52" s="118"/>
    </row>
    <row r="53" spans="1:11" ht="15.95" customHeight="1" thickBot="1" x14ac:dyDescent="0.25">
      <c r="A53" s="8" t="s">
        <v>91</v>
      </c>
      <c r="B53" s="10">
        <f>SUM(B44:K44)</f>
        <v>3130.8048800880979</v>
      </c>
      <c r="D53" s="115"/>
      <c r="E53" s="12" t="str">
        <f>B56</f>
        <v>Investable</v>
      </c>
      <c r="F53" s="13">
        <v>2750</v>
      </c>
      <c r="G53" s="13">
        <v>3000</v>
      </c>
      <c r="H53" s="13">
        <v>3340</v>
      </c>
      <c r="I53" s="13">
        <v>3500</v>
      </c>
      <c r="J53" s="14">
        <v>3750</v>
      </c>
    </row>
    <row r="54" spans="1:11" ht="15.95" customHeight="1" thickBot="1" x14ac:dyDescent="0.25">
      <c r="A54" s="8" t="s">
        <v>92</v>
      </c>
      <c r="B54" s="10">
        <f>SUM(B52:B53)</f>
        <v>13522.991004690142</v>
      </c>
      <c r="D54" s="115"/>
      <c r="E54" s="15">
        <v>0.05</v>
      </c>
      <c r="F54" s="16" t="str">
        <f t="dataTable" ref="F54:J58" dt2D="1" dtr="1" r1="B39" r2="B40"/>
        <v>Investable</v>
      </c>
      <c r="G54" s="17" t="str">
        <v>Investable</v>
      </c>
      <c r="H54" s="17" t="str">
        <v>Investable</v>
      </c>
      <c r="I54" s="17" t="str">
        <v>Investable</v>
      </c>
      <c r="J54" s="45" t="str">
        <v>Investable</v>
      </c>
    </row>
    <row r="55" spans="1:11" ht="15.95" customHeight="1" x14ac:dyDescent="0.2">
      <c r="A55" s="8" t="s">
        <v>74</v>
      </c>
      <c r="B55" s="19">
        <f>POWER(B54/B39, 1/10)-1</f>
        <v>0.14703815348536042</v>
      </c>
      <c r="D55" s="115"/>
      <c r="E55" s="15">
        <v>0.06</v>
      </c>
      <c r="F55" s="17" t="str">
        <v>Investable</v>
      </c>
      <c r="G55" s="17" t="str">
        <v>Investable</v>
      </c>
      <c r="H55" s="17" t="str">
        <v>Investable</v>
      </c>
      <c r="I55" s="17" t="str">
        <v>Investable</v>
      </c>
      <c r="J55" s="18" t="str">
        <v>Investable</v>
      </c>
    </row>
    <row r="56" spans="1:11" x14ac:dyDescent="0.2">
      <c r="A56" s="8" t="s">
        <v>93</v>
      </c>
      <c r="B56" s="23" t="str">
        <f>IF(B55&gt;B41,"Investable", "Not Worth It")</f>
        <v>Investable</v>
      </c>
      <c r="D56" s="115"/>
      <c r="E56" s="15">
        <v>7.0000000000000007E-2</v>
      </c>
      <c r="F56" s="17" t="str">
        <v>Investable</v>
      </c>
      <c r="G56" s="17" t="str">
        <v>Investable</v>
      </c>
      <c r="H56" s="17" t="str">
        <v>Investable</v>
      </c>
      <c r="I56" s="17" t="str">
        <v>Investable</v>
      </c>
      <c r="J56" s="18" t="str">
        <v>Investable</v>
      </c>
    </row>
    <row r="57" spans="1:11" x14ac:dyDescent="0.2">
      <c r="A57" s="8"/>
      <c r="B57" s="7"/>
      <c r="D57" s="115"/>
      <c r="E57" s="15">
        <v>0.08</v>
      </c>
      <c r="F57" s="17" t="str">
        <v>Investable</v>
      </c>
      <c r="G57" s="17" t="str">
        <v>Investable</v>
      </c>
      <c r="H57" s="17" t="str">
        <v>Investable</v>
      </c>
      <c r="I57" s="17" t="str">
        <v>Investable</v>
      </c>
      <c r="J57" s="18" t="str">
        <v>Not Worth It</v>
      </c>
    </row>
    <row r="58" spans="1:11" x14ac:dyDescent="0.2">
      <c r="A58" s="8"/>
      <c r="B58" s="10"/>
      <c r="D58" s="116"/>
      <c r="E58" s="20">
        <v>0.09</v>
      </c>
      <c r="F58" s="21" t="str">
        <v>Investable</v>
      </c>
      <c r="G58" s="21" t="str">
        <v>Investable</v>
      </c>
      <c r="H58" s="21" t="str">
        <v>Investable</v>
      </c>
      <c r="I58" s="21" t="str">
        <v>Not Worth It</v>
      </c>
      <c r="J58" s="22" t="str">
        <v>Not Worth It</v>
      </c>
    </row>
    <row r="59" spans="1:11" x14ac:dyDescent="0.2">
      <c r="A59" s="8"/>
      <c r="B59" s="10"/>
    </row>
    <row r="60" spans="1:11" x14ac:dyDescent="0.2">
      <c r="A60" s="8"/>
      <c r="B60" s="19"/>
      <c r="D60" s="122" t="s">
        <v>76</v>
      </c>
      <c r="E60" s="123"/>
      <c r="F60" s="123"/>
      <c r="G60" s="123"/>
      <c r="H60" s="123"/>
      <c r="I60" s="123"/>
      <c r="J60" s="124"/>
    </row>
    <row r="61" spans="1:11" x14ac:dyDescent="0.2">
      <c r="A61" s="8"/>
      <c r="B61" s="7"/>
      <c r="D61" s="114" t="s">
        <v>70</v>
      </c>
      <c r="E61" s="11"/>
      <c r="F61" s="117" t="s">
        <v>71</v>
      </c>
      <c r="G61" s="117"/>
      <c r="H61" s="117"/>
      <c r="I61" s="117"/>
      <c r="J61" s="118"/>
    </row>
    <row r="62" spans="1:11" ht="15.75" thickBot="1" x14ac:dyDescent="0.25">
      <c r="A62" s="8"/>
      <c r="B62" s="7"/>
      <c r="D62" s="115"/>
      <c r="E62" s="12">
        <f>B55</f>
        <v>0.14703815348536042</v>
      </c>
      <c r="F62" s="13">
        <v>2750</v>
      </c>
      <c r="G62" s="13">
        <v>3000</v>
      </c>
      <c r="H62" s="13">
        <v>3340</v>
      </c>
      <c r="I62" s="13">
        <v>3500</v>
      </c>
      <c r="J62" s="14">
        <v>3750</v>
      </c>
      <c r="K62" s="6"/>
    </row>
    <row r="63" spans="1:11" ht="15.75" thickBot="1" x14ac:dyDescent="0.25">
      <c r="D63" s="115"/>
      <c r="E63" s="15">
        <v>0.05</v>
      </c>
      <c r="F63" s="24">
        <f t="dataTable" ref="F63:J67" dt2D="1" dtr="1" r1="B39" r2="B40" ca="1"/>
        <v>0.17266511712401456</v>
      </c>
      <c r="G63" s="25">
        <v>0.16250585911278481</v>
      </c>
      <c r="H63" s="25">
        <v>0.15009212369966174</v>
      </c>
      <c r="I63" s="25">
        <v>0.14472316511468009</v>
      </c>
      <c r="J63" s="26">
        <v>0.13685257324954136</v>
      </c>
    </row>
    <row r="64" spans="1:11" x14ac:dyDescent="0.2">
      <c r="C64" s="7"/>
      <c r="D64" s="115"/>
      <c r="E64" s="15">
        <v>0.06</v>
      </c>
      <c r="F64" s="27">
        <v>0.15670242790852362</v>
      </c>
      <c r="G64" s="28">
        <v>0.14668146093701639</v>
      </c>
      <c r="H64" s="28">
        <v>0.13443670522449946</v>
      </c>
      <c r="I64" s="28">
        <v>0.12914083060530768</v>
      </c>
      <c r="J64" s="29">
        <v>0.12137737573098639</v>
      </c>
      <c r="K64" s="30"/>
    </row>
    <row r="65" spans="3:11" x14ac:dyDescent="0.2">
      <c r="C65" s="31"/>
      <c r="D65" s="115"/>
      <c r="E65" s="15">
        <v>7.0000000000000007E-2</v>
      </c>
      <c r="F65" s="27">
        <v>0.14395145729998271</v>
      </c>
      <c r="G65" s="28">
        <v>0.13404095698977025</v>
      </c>
      <c r="H65" s="28">
        <v>0.12193118199176745</v>
      </c>
      <c r="I65" s="28">
        <v>0.11669368672753033</v>
      </c>
      <c r="J65" s="29">
        <v>0.10901581271007821</v>
      </c>
      <c r="K65" s="6"/>
    </row>
    <row r="66" spans="3:11" x14ac:dyDescent="0.2">
      <c r="C66" s="32"/>
      <c r="D66" s="115"/>
      <c r="E66" s="15">
        <v>0.08</v>
      </c>
      <c r="F66" s="27">
        <v>0.1334724295550398</v>
      </c>
      <c r="G66" s="28">
        <v>0.12365271317368576</v>
      </c>
      <c r="H66" s="28">
        <v>0.11165386829197343</v>
      </c>
      <c r="I66" s="28">
        <v>0.10646435046404967</v>
      </c>
      <c r="J66" s="29">
        <v>9.885680867471569E-2</v>
      </c>
      <c r="K66" s="6"/>
    </row>
    <row r="67" spans="3:11" x14ac:dyDescent="0.2">
      <c r="C67" s="33"/>
      <c r="D67" s="116"/>
      <c r="E67" s="20">
        <v>0.09</v>
      </c>
      <c r="F67" s="34">
        <v>0.12467340153237449</v>
      </c>
      <c r="G67" s="35">
        <v>0.11492991458312796</v>
      </c>
      <c r="H67" s="35">
        <v>0.10302421548035201</v>
      </c>
      <c r="I67" s="35">
        <v>9.787498333702116E-2</v>
      </c>
      <c r="J67" s="36">
        <v>9.0326498099609021E-2</v>
      </c>
      <c r="K67" s="33"/>
    </row>
  </sheetData>
  <mergeCells count="10">
    <mergeCell ref="A1:B1"/>
    <mergeCell ref="A2:B2"/>
    <mergeCell ref="A9:B9"/>
    <mergeCell ref="D61:D67"/>
    <mergeCell ref="F61:J61"/>
    <mergeCell ref="A37:B37"/>
    <mergeCell ref="D51:J51"/>
    <mergeCell ref="D52:D58"/>
    <mergeCell ref="F52:J52"/>
    <mergeCell ref="D60:J60"/>
  </mergeCells>
  <conditionalFormatting sqref="B56">
    <cfRule type="containsText" dxfId="23" priority="3" operator="containsText" text="Not Worth It">
      <formula>NOT(ISERROR(SEARCH("Not Worth It",B56)))</formula>
    </cfRule>
    <cfRule type="containsText" dxfId="22" priority="4" operator="containsText" text="Investable">
      <formula>NOT(ISERROR(SEARCH("Investable",B56)))</formula>
    </cfRule>
  </conditionalFormatting>
  <conditionalFormatting sqref="F54:J58">
    <cfRule type="containsText" dxfId="21" priority="9" operator="containsText" text="Not Worth It">
      <formula>NOT(ISERROR(SEARCH("Not Worth It",F54)))</formula>
    </cfRule>
    <cfRule type="containsText" dxfId="20" priority="10" operator="containsText" text="Investable">
      <formula>NOT(ISERROR(SEARCH("Investable",F54)))</formula>
    </cfRule>
  </conditionalFormatting>
  <conditionalFormatting sqref="F63:J67">
    <cfRule type="cellIs" dxfId="19" priority="1" operator="lessThan">
      <formula>$B$41</formula>
    </cfRule>
    <cfRule type="cellIs" dxfId="18" priority="2" operator="greaterThan">
      <formula>$B$41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791B-C503-4D46-897E-EB10CBD07DD8}">
  <sheetPr codeName="Sheet5"/>
  <dimension ref="A1:O67"/>
  <sheetViews>
    <sheetView showGridLines="0" topLeftCell="A33" workbookViewId="0">
      <selection activeCell="A37" sqref="A37:B37"/>
    </sheetView>
  </sheetViews>
  <sheetFormatPr defaultRowHeight="15" x14ac:dyDescent="0.2"/>
  <cols>
    <col min="1" max="1" width="35.6484375" customWidth="1"/>
    <col min="2" max="29" width="15.73828125" customWidth="1"/>
  </cols>
  <sheetData>
    <row r="1" spans="1:14" x14ac:dyDescent="0.2">
      <c r="A1" s="125" t="s">
        <v>109</v>
      </c>
      <c r="B1" s="125"/>
    </row>
    <row r="2" spans="1:14" x14ac:dyDescent="0.2">
      <c r="A2" s="111" t="s">
        <v>1</v>
      </c>
      <c r="B2" s="111"/>
    </row>
    <row r="3" spans="1:14" x14ac:dyDescent="0.2">
      <c r="A3" t="s">
        <v>2</v>
      </c>
      <c r="B3" t="s">
        <v>95</v>
      </c>
    </row>
    <row r="4" spans="1:14" x14ac:dyDescent="0.2">
      <c r="A4" t="s">
        <v>4</v>
      </c>
      <c r="B4" t="s">
        <v>96</v>
      </c>
    </row>
    <row r="5" spans="1:14" x14ac:dyDescent="0.2">
      <c r="A5" t="s">
        <v>6</v>
      </c>
      <c r="B5" t="s">
        <v>97</v>
      </c>
    </row>
    <row r="6" spans="1:14" x14ac:dyDescent="0.2">
      <c r="A6" t="s">
        <v>8</v>
      </c>
      <c r="B6" t="s">
        <v>98</v>
      </c>
    </row>
    <row r="9" spans="1:14" x14ac:dyDescent="0.2">
      <c r="A9" s="111" t="s">
        <v>10</v>
      </c>
      <c r="B9" s="111"/>
      <c r="D9" s="4" t="s">
        <v>11</v>
      </c>
      <c r="E9" s="5"/>
      <c r="F9" s="57" t="s">
        <v>12</v>
      </c>
      <c r="G9" s="5"/>
      <c r="H9" s="5"/>
      <c r="I9" s="5"/>
      <c r="J9" s="5"/>
      <c r="K9" s="5"/>
      <c r="L9" s="5"/>
      <c r="M9" s="5"/>
      <c r="N9" s="5"/>
    </row>
    <row r="10" spans="1:14" x14ac:dyDescent="0.2">
      <c r="A10" s="4" t="s">
        <v>11</v>
      </c>
      <c r="B10" s="5" t="s">
        <v>13</v>
      </c>
      <c r="D10" t="s">
        <v>14</v>
      </c>
      <c r="E10" s="6"/>
      <c r="F10" t="s">
        <v>99</v>
      </c>
    </row>
    <row r="11" spans="1:14" x14ac:dyDescent="0.2">
      <c r="A11" t="s">
        <v>16</v>
      </c>
      <c r="B11" s="6">
        <v>5170</v>
      </c>
      <c r="D11" t="s">
        <v>17</v>
      </c>
      <c r="E11" s="7"/>
      <c r="F11" t="s">
        <v>100</v>
      </c>
    </row>
    <row r="12" spans="1:14" x14ac:dyDescent="0.2">
      <c r="A12" t="s">
        <v>19</v>
      </c>
      <c r="B12" s="7">
        <v>0.15</v>
      </c>
      <c r="D12" s="8" t="s">
        <v>20</v>
      </c>
      <c r="E12" s="3"/>
      <c r="F12" t="s">
        <v>21</v>
      </c>
    </row>
    <row r="13" spans="1:14" x14ac:dyDescent="0.2">
      <c r="A13" s="8" t="s">
        <v>22</v>
      </c>
      <c r="B13" s="3">
        <v>0.03</v>
      </c>
      <c r="D13" s="8" t="s">
        <v>23</v>
      </c>
      <c r="E13" s="3"/>
      <c r="F13" t="s">
        <v>82</v>
      </c>
    </row>
    <row r="14" spans="1:14" x14ac:dyDescent="0.2">
      <c r="A14" s="8"/>
      <c r="B14" s="3"/>
      <c r="D14" s="8" t="s">
        <v>25</v>
      </c>
      <c r="E14" s="3"/>
      <c r="F14" t="s">
        <v>26</v>
      </c>
    </row>
    <row r="15" spans="1:14" x14ac:dyDescent="0.2">
      <c r="A15" s="8"/>
      <c r="B15" s="3"/>
    </row>
    <row r="16" spans="1:14" x14ac:dyDescent="0.2">
      <c r="A16" s="4" t="s">
        <v>110</v>
      </c>
      <c r="B16" s="4" t="s">
        <v>28</v>
      </c>
      <c r="C16" s="5" t="s">
        <v>29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4" t="s">
        <v>83</v>
      </c>
    </row>
    <row r="17" spans="1:15" x14ac:dyDescent="0.2">
      <c r="A17" t="s">
        <v>40</v>
      </c>
      <c r="C17" s="42">
        <v>7.4999999999999997E-2</v>
      </c>
      <c r="D17" s="42">
        <v>7.4999999999999997E-2</v>
      </c>
      <c r="E17" s="42">
        <v>7.4999999999999997E-2</v>
      </c>
      <c r="F17" s="42">
        <v>7.4999999999999997E-2</v>
      </c>
      <c r="G17" s="42">
        <v>7.4999999999999997E-2</v>
      </c>
      <c r="H17" s="42">
        <v>7.4999999999999997E-2</v>
      </c>
      <c r="I17" s="42">
        <v>7.4999999999999997E-2</v>
      </c>
      <c r="J17" s="42">
        <v>7.4999999999999997E-2</v>
      </c>
      <c r="K17" s="42">
        <v>7.4999999999999997E-2</v>
      </c>
      <c r="L17" s="42">
        <v>7.4999999999999997E-2</v>
      </c>
      <c r="O17" s="38"/>
    </row>
    <row r="18" spans="1:15" ht="15.95" customHeight="1" x14ac:dyDescent="0.2">
      <c r="A18" t="s">
        <v>41</v>
      </c>
      <c r="B18" s="38">
        <v>4140</v>
      </c>
      <c r="C18" s="38">
        <f>B18*(1+C17)</f>
        <v>4450.5</v>
      </c>
      <c r="D18" s="38">
        <f t="shared" ref="D18:L18" si="0">C18*(1+D17)</f>
        <v>4784.2874999999995</v>
      </c>
      <c r="E18" s="38">
        <f t="shared" si="0"/>
        <v>5143.1090624999988</v>
      </c>
      <c r="F18" s="38">
        <f t="shared" si="0"/>
        <v>5528.8422421874984</v>
      </c>
      <c r="G18" s="38">
        <f t="shared" si="0"/>
        <v>5943.5054103515604</v>
      </c>
      <c r="H18" s="38">
        <f t="shared" si="0"/>
        <v>6389.2683161279274</v>
      </c>
      <c r="I18" s="38">
        <f t="shared" si="0"/>
        <v>6868.4634398375219</v>
      </c>
      <c r="J18" s="38">
        <f t="shared" si="0"/>
        <v>7383.5981978253358</v>
      </c>
      <c r="K18" s="38">
        <f t="shared" si="0"/>
        <v>7937.3680626622354</v>
      </c>
      <c r="L18" s="38">
        <f t="shared" si="0"/>
        <v>8532.6706673619028</v>
      </c>
    </row>
    <row r="19" spans="1:15" ht="15.95" customHeight="1" x14ac:dyDescent="0.2">
      <c r="A19" t="s">
        <v>42</v>
      </c>
      <c r="C19" s="47">
        <v>0.15</v>
      </c>
      <c r="D19" s="47">
        <v>0.15</v>
      </c>
      <c r="E19" s="47">
        <v>0.15</v>
      </c>
      <c r="F19" s="47">
        <v>0.15</v>
      </c>
      <c r="G19" s="47">
        <v>0.15</v>
      </c>
      <c r="H19" s="47">
        <v>0.15</v>
      </c>
      <c r="I19" s="47">
        <v>0.15</v>
      </c>
      <c r="J19" s="47">
        <v>0.15</v>
      </c>
      <c r="K19" s="47">
        <v>0.15</v>
      </c>
      <c r="L19" s="47">
        <v>0.15</v>
      </c>
      <c r="O19" s="38"/>
    </row>
    <row r="20" spans="1:15" ht="15.95" customHeight="1" x14ac:dyDescent="0.2">
      <c r="A20" t="s">
        <v>43</v>
      </c>
      <c r="B20" s="38"/>
      <c r="C20" s="38">
        <f>C18*C19</f>
        <v>667.57499999999993</v>
      </c>
      <c r="D20" s="38">
        <f t="shared" ref="D20:L20" si="1">D18*D19</f>
        <v>717.64312499999994</v>
      </c>
      <c r="E20" s="38">
        <f t="shared" si="1"/>
        <v>771.4663593749998</v>
      </c>
      <c r="F20" s="38">
        <f t="shared" si="1"/>
        <v>829.32633632812474</v>
      </c>
      <c r="G20" s="38">
        <f t="shared" si="1"/>
        <v>891.52581155273401</v>
      </c>
      <c r="H20" s="38">
        <f t="shared" si="1"/>
        <v>958.39024741918911</v>
      </c>
      <c r="I20" s="38">
        <f t="shared" si="1"/>
        <v>1030.2695159756283</v>
      </c>
      <c r="J20" s="38">
        <f t="shared" si="1"/>
        <v>1107.5397296738004</v>
      </c>
      <c r="K20" s="38">
        <f t="shared" si="1"/>
        <v>1190.6052093993353</v>
      </c>
      <c r="L20" s="38">
        <f t="shared" si="1"/>
        <v>1279.9006001042853</v>
      </c>
      <c r="M20" s="1"/>
      <c r="N20" s="1"/>
      <c r="O20" s="3"/>
    </row>
    <row r="21" spans="1:15" ht="15.95" customHeight="1" x14ac:dyDescent="0.2">
      <c r="A21" t="s">
        <v>44</v>
      </c>
      <c r="B21" s="6"/>
      <c r="C21" s="38">
        <f>C20*(1-0.24)</f>
        <v>507.35699999999997</v>
      </c>
      <c r="D21" s="38">
        <f t="shared" ref="D21:L21" si="2">D20*(1-0.24)</f>
        <v>545.40877499999999</v>
      </c>
      <c r="E21" s="38">
        <f t="shared" si="2"/>
        <v>586.31443312499982</v>
      </c>
      <c r="F21" s="38">
        <f t="shared" si="2"/>
        <v>630.28801560937484</v>
      </c>
      <c r="G21" s="38">
        <f t="shared" si="2"/>
        <v>677.55961678007782</v>
      </c>
      <c r="H21" s="38">
        <f t="shared" si="2"/>
        <v>728.37658803858369</v>
      </c>
      <c r="I21" s="38">
        <f t="shared" si="2"/>
        <v>783.00483214147755</v>
      </c>
      <c r="J21" s="38">
        <f t="shared" si="2"/>
        <v>841.73019455208828</v>
      </c>
      <c r="K21" s="38">
        <f t="shared" si="2"/>
        <v>904.85995914349485</v>
      </c>
      <c r="L21" s="38">
        <f t="shared" si="2"/>
        <v>972.72445607925681</v>
      </c>
      <c r="M21" s="1"/>
      <c r="N21" s="1"/>
    </row>
    <row r="22" spans="1:15" ht="15.95" customHeight="1" x14ac:dyDescent="0.2">
      <c r="A22" t="s">
        <v>45</v>
      </c>
      <c r="B22" s="1"/>
      <c r="C22" s="43">
        <v>0.4</v>
      </c>
      <c r="D22" s="43">
        <v>0.4</v>
      </c>
      <c r="E22" s="43">
        <v>0.4</v>
      </c>
      <c r="F22" s="43">
        <v>0.4</v>
      </c>
      <c r="G22" s="43">
        <v>0.4</v>
      </c>
      <c r="H22" s="43">
        <v>0.4</v>
      </c>
      <c r="I22" s="43">
        <v>0.4</v>
      </c>
      <c r="J22" s="43">
        <v>0.4</v>
      </c>
      <c r="K22" s="43">
        <v>0.4</v>
      </c>
      <c r="L22" s="43">
        <v>0.4</v>
      </c>
      <c r="M22" s="1"/>
      <c r="N22" s="1"/>
    </row>
    <row r="23" spans="1:15" ht="15.95" customHeight="1" x14ac:dyDescent="0.2">
      <c r="A23" t="s">
        <v>46</v>
      </c>
      <c r="B23" s="1"/>
      <c r="C23" s="6">
        <f>C21*C22</f>
        <v>202.94280000000001</v>
      </c>
      <c r="D23" s="6">
        <f t="shared" ref="D23:L23" si="3">D20*D22</f>
        <v>287.05725000000001</v>
      </c>
      <c r="E23" s="6">
        <f t="shared" si="3"/>
        <v>308.58654374999992</v>
      </c>
      <c r="F23" s="6">
        <f t="shared" si="3"/>
        <v>331.73053453124993</v>
      </c>
      <c r="G23" s="6">
        <f t="shared" si="3"/>
        <v>356.61032462109364</v>
      </c>
      <c r="H23" s="6">
        <f t="shared" si="3"/>
        <v>383.35609896767568</v>
      </c>
      <c r="I23" s="6">
        <f t="shared" si="3"/>
        <v>412.10780639025137</v>
      </c>
      <c r="J23" s="6">
        <f t="shared" si="3"/>
        <v>443.01589186952015</v>
      </c>
      <c r="K23" s="6">
        <f t="shared" si="3"/>
        <v>476.24208375973416</v>
      </c>
      <c r="L23" s="6">
        <f t="shared" si="3"/>
        <v>511.96024004171414</v>
      </c>
    </row>
    <row r="24" spans="1:15" ht="15.95" customHeight="1" x14ac:dyDescent="0.2">
      <c r="A24" t="s">
        <v>84</v>
      </c>
      <c r="B24" s="1"/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</row>
    <row r="25" spans="1:15" ht="15.95" customHeight="1" thickBot="1" x14ac:dyDescent="0.25">
      <c r="A25" t="s">
        <v>47</v>
      </c>
      <c r="B25" s="1"/>
      <c r="C25" s="39">
        <f>C23-C24</f>
        <v>202.94280000000001</v>
      </c>
      <c r="D25" s="39">
        <f>D23-D24</f>
        <v>287.05725000000001</v>
      </c>
      <c r="E25" s="39">
        <f t="shared" ref="E25:L25" si="4">E23-E24</f>
        <v>308.58654374999992</v>
      </c>
      <c r="F25" s="39">
        <f t="shared" si="4"/>
        <v>331.73053453124993</v>
      </c>
      <c r="G25" s="39">
        <f t="shared" si="4"/>
        <v>356.61032462109364</v>
      </c>
      <c r="H25" s="39">
        <f t="shared" si="4"/>
        <v>383.35609896767568</v>
      </c>
      <c r="I25" s="39">
        <f t="shared" si="4"/>
        <v>412.10780639025137</v>
      </c>
      <c r="J25" s="39">
        <f t="shared" si="4"/>
        <v>443.01589186952015</v>
      </c>
      <c r="K25" s="39">
        <f t="shared" si="4"/>
        <v>476.24208375973416</v>
      </c>
      <c r="L25" s="39">
        <f t="shared" si="4"/>
        <v>511.96024004171414</v>
      </c>
      <c r="M25" s="46">
        <f>L25*(1+0.1)</f>
        <v>563.15626404588556</v>
      </c>
    </row>
    <row r="26" spans="1:15" ht="15.95" customHeight="1" thickTop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ht="15.95" customHeight="1" x14ac:dyDescent="0.2">
      <c r="A27" t="s">
        <v>25</v>
      </c>
      <c r="B27" s="2"/>
      <c r="C27" s="43">
        <f>$B$12</f>
        <v>0.15</v>
      </c>
      <c r="D27" s="43">
        <f t="shared" ref="D27:M27" si="5">$B$12</f>
        <v>0.15</v>
      </c>
      <c r="E27" s="43">
        <f t="shared" si="5"/>
        <v>0.15</v>
      </c>
      <c r="F27" s="43">
        <f t="shared" si="5"/>
        <v>0.15</v>
      </c>
      <c r="G27" s="43">
        <f t="shared" si="5"/>
        <v>0.15</v>
      </c>
      <c r="H27" s="43">
        <f t="shared" si="5"/>
        <v>0.15</v>
      </c>
      <c r="I27" s="43">
        <f t="shared" si="5"/>
        <v>0.15</v>
      </c>
      <c r="J27" s="43">
        <f t="shared" si="5"/>
        <v>0.15</v>
      </c>
      <c r="K27" s="43">
        <f t="shared" si="5"/>
        <v>0.15</v>
      </c>
      <c r="L27" s="43">
        <f t="shared" si="5"/>
        <v>0.15</v>
      </c>
      <c r="M27" s="43">
        <f t="shared" si="5"/>
        <v>0.15</v>
      </c>
    </row>
    <row r="28" spans="1:15" ht="15.95" customHeight="1" x14ac:dyDescent="0.2">
      <c r="A28" t="s">
        <v>49</v>
      </c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10</v>
      </c>
    </row>
    <row r="29" spans="1:15" ht="15.95" customHeight="1" x14ac:dyDescent="0.2">
      <c r="A29" t="s">
        <v>50</v>
      </c>
      <c r="B29" s="1"/>
      <c r="C29" s="1">
        <f>1/(1+C27)^C28</f>
        <v>0.86956521739130443</v>
      </c>
      <c r="D29" s="1">
        <f t="shared" ref="D29:L29" si="6">1/(1+D27)^D28</f>
        <v>0.7561436672967865</v>
      </c>
      <c r="E29" s="1">
        <f t="shared" si="6"/>
        <v>0.65751623243198831</v>
      </c>
      <c r="F29" s="1">
        <f t="shared" si="6"/>
        <v>0.57175324559303342</v>
      </c>
      <c r="G29" s="1">
        <f t="shared" si="6"/>
        <v>0.49717673529828987</v>
      </c>
      <c r="H29" s="1">
        <f t="shared" si="6"/>
        <v>0.43232759591155645</v>
      </c>
      <c r="I29" s="1">
        <f t="shared" si="6"/>
        <v>0.37593703992309269</v>
      </c>
      <c r="J29" s="1">
        <f t="shared" si="6"/>
        <v>0.32690177384616753</v>
      </c>
      <c r="K29" s="1">
        <f t="shared" si="6"/>
        <v>0.28426241204014574</v>
      </c>
      <c r="L29" s="1">
        <f t="shared" si="6"/>
        <v>0.24718470612186585</v>
      </c>
      <c r="M29" s="1">
        <f>1/(1+M27)^M28</f>
        <v>0.24718470612186585</v>
      </c>
    </row>
    <row r="30" spans="1:15" ht="15.9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8">
        <f>M25/(M27-0.03)</f>
        <v>4692.9688670490468</v>
      </c>
    </row>
    <row r="31" spans="1:15" ht="15.95" customHeight="1" thickBot="1" x14ac:dyDescent="0.25">
      <c r="A31" t="s">
        <v>52</v>
      </c>
      <c r="B31" s="1"/>
      <c r="C31" s="39">
        <f>C25*C29</f>
        <v>176.47200000000001</v>
      </c>
      <c r="D31" s="39">
        <f t="shared" ref="D31:L31" si="7">D25*D29</f>
        <v>217.05652173913049</v>
      </c>
      <c r="E31" s="39">
        <f t="shared" si="7"/>
        <v>202.90066162570886</v>
      </c>
      <c r="F31" s="39">
        <f t="shared" si="7"/>
        <v>189.668009780554</v>
      </c>
      <c r="G31" s="39">
        <f t="shared" si="7"/>
        <v>177.29835696877871</v>
      </c>
      <c r="H31" s="39">
        <f t="shared" si="7"/>
        <v>165.73542064472792</v>
      </c>
      <c r="I31" s="39">
        <f t="shared" si="7"/>
        <v>154.92658886355008</v>
      </c>
      <c r="J31" s="39">
        <f t="shared" si="7"/>
        <v>144.8226808941881</v>
      </c>
      <c r="K31" s="39">
        <f t="shared" si="7"/>
        <v>135.37772344456715</v>
      </c>
      <c r="L31" s="39">
        <f t="shared" si="7"/>
        <v>126.54874148079101</v>
      </c>
      <c r="M31" s="46">
        <f>M30*M29</f>
        <v>1160.0301302405844</v>
      </c>
    </row>
    <row r="32" spans="1:15" ht="15.95" customHeight="1" thickTop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95" customHeight="1" thickBot="1" x14ac:dyDescent="0.25">
      <c r="A33" t="s">
        <v>54</v>
      </c>
      <c r="B33" s="71">
        <f>SUM(C31:L31,M31)</f>
        <v>2850.8368356825804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95" customHeight="1" thickTop="1" thickBot="1" x14ac:dyDescent="0.25">
      <c r="A34" s="55" t="s">
        <v>55</v>
      </c>
      <c r="B34" s="72">
        <v>2780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1"/>
    </row>
    <row r="35" spans="1:14" ht="15.9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95" customHeight="1" x14ac:dyDescent="0.2"/>
    <row r="37" spans="1:14" ht="15.95" customHeight="1" x14ac:dyDescent="0.2">
      <c r="A37" s="111" t="s">
        <v>131</v>
      </c>
      <c r="B37" s="111"/>
    </row>
    <row r="38" spans="1:14" ht="15.95" customHeight="1" x14ac:dyDescent="0.2">
      <c r="A38" s="4" t="s">
        <v>11</v>
      </c>
      <c r="B38" s="5" t="s">
        <v>13</v>
      </c>
    </row>
    <row r="39" spans="1:14" ht="15.95" customHeight="1" x14ac:dyDescent="0.2">
      <c r="A39" t="s">
        <v>16</v>
      </c>
      <c r="B39" s="48">
        <v>2780</v>
      </c>
    </row>
    <row r="40" spans="1:14" ht="15.95" customHeight="1" x14ac:dyDescent="0.2">
      <c r="A40" t="s">
        <v>85</v>
      </c>
      <c r="B40" s="42">
        <v>0.05</v>
      </c>
    </row>
    <row r="41" spans="1:14" ht="15.95" customHeight="1" x14ac:dyDescent="0.2">
      <c r="A41" s="8" t="s">
        <v>59</v>
      </c>
      <c r="B41" s="43">
        <v>0.1</v>
      </c>
    </row>
    <row r="42" spans="1:14" ht="15.95" customHeight="1" x14ac:dyDescent="0.2">
      <c r="B42" s="7"/>
    </row>
    <row r="43" spans="1:14" ht="15.95" customHeight="1" x14ac:dyDescent="0.2">
      <c r="A43" s="4" t="s">
        <v>60</v>
      </c>
      <c r="B43" s="5" t="s">
        <v>61</v>
      </c>
      <c r="C43" s="5" t="s">
        <v>29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37</v>
      </c>
    </row>
    <row r="44" spans="1:14" ht="15.95" customHeight="1" x14ac:dyDescent="0.2">
      <c r="A44" s="8" t="s">
        <v>86</v>
      </c>
      <c r="B44" s="1">
        <f>C25</f>
        <v>202.94280000000001</v>
      </c>
      <c r="C44" s="1">
        <f t="shared" ref="C44:K44" si="8">D25</f>
        <v>287.05725000000001</v>
      </c>
      <c r="D44" s="1">
        <f t="shared" si="8"/>
        <v>308.58654374999992</v>
      </c>
      <c r="E44" s="1">
        <f t="shared" si="8"/>
        <v>331.73053453124993</v>
      </c>
      <c r="F44" s="1">
        <f t="shared" si="8"/>
        <v>356.61032462109364</v>
      </c>
      <c r="G44" s="1">
        <f t="shared" si="8"/>
        <v>383.35609896767568</v>
      </c>
      <c r="H44" s="1">
        <f t="shared" si="8"/>
        <v>412.10780639025137</v>
      </c>
      <c r="I44" s="1">
        <f t="shared" si="8"/>
        <v>443.01589186952015</v>
      </c>
      <c r="J44" s="1">
        <f t="shared" si="8"/>
        <v>476.24208375973416</v>
      </c>
      <c r="K44" s="1">
        <f t="shared" si="8"/>
        <v>511.96024004171414</v>
      </c>
    </row>
    <row r="45" spans="1:14" ht="15.95" customHeight="1" x14ac:dyDescent="0.2">
      <c r="A45" s="8" t="s">
        <v>87</v>
      </c>
      <c r="B45" s="3">
        <v>0.1</v>
      </c>
      <c r="C45" s="3">
        <f>(C44-B44)/B44</f>
        <v>0.41447368421052633</v>
      </c>
      <c r="D45" s="3">
        <f>(D44-C44)/C44</f>
        <v>7.4999999999999678E-2</v>
      </c>
      <c r="E45" s="3">
        <f t="shared" ref="E45:J45" si="9">(E44-D44)/D44</f>
        <v>7.5000000000000053E-2</v>
      </c>
      <c r="F45" s="3">
        <f t="shared" si="9"/>
        <v>7.4999999999999886E-2</v>
      </c>
      <c r="G45" s="3">
        <f>(G44-F44)/F44</f>
        <v>7.5000000000000039E-2</v>
      </c>
      <c r="H45" s="3">
        <f t="shared" si="9"/>
        <v>7.5000000000000039E-2</v>
      </c>
      <c r="I45" s="3">
        <f t="shared" si="9"/>
        <v>7.4999999999999817E-2</v>
      </c>
      <c r="J45" s="3">
        <f t="shared" si="9"/>
        <v>7.4999999999999997E-2</v>
      </c>
      <c r="K45" s="3">
        <f>(K44-J44)/J44</f>
        <v>7.4999999999999845E-2</v>
      </c>
    </row>
    <row r="46" spans="1:14" ht="15.95" customHeight="1" x14ac:dyDescent="0.2">
      <c r="A46" s="8" t="s">
        <v>88</v>
      </c>
      <c r="B46" s="7">
        <f>B44/B39</f>
        <v>7.3001007194244613E-2</v>
      </c>
      <c r="C46" s="7">
        <f>C44/B47</f>
        <v>7.0723684210526327E-2</v>
      </c>
      <c r="D46" s="7">
        <f>D44/C47</f>
        <v>5.3749999999999992E-2</v>
      </c>
      <c r="E46" s="7">
        <f t="shared" ref="E46:K46" si="10">E44/D47</f>
        <v>5.3750000000000006E-2</v>
      </c>
      <c r="F46" s="7">
        <f>F44/E47</f>
        <v>5.3749999999999999E-2</v>
      </c>
      <c r="G46" s="7">
        <f t="shared" si="10"/>
        <v>5.3750000000000006E-2</v>
      </c>
      <c r="H46" s="7">
        <f>H44/G47</f>
        <v>5.3750000000000006E-2</v>
      </c>
      <c r="I46" s="7">
        <f t="shared" si="10"/>
        <v>5.3749999999999992E-2</v>
      </c>
      <c r="J46" s="7">
        <f t="shared" si="10"/>
        <v>5.3749999999999999E-2</v>
      </c>
      <c r="K46" s="7">
        <f t="shared" si="10"/>
        <v>5.3749999999999999E-2</v>
      </c>
    </row>
    <row r="47" spans="1:14" ht="15.95" customHeight="1" x14ac:dyDescent="0.2">
      <c r="A47" s="8" t="s">
        <v>65</v>
      </c>
      <c r="B47" s="6">
        <f>IF(B44/B40&lt;B39,B39,B44/B40)</f>
        <v>4058.8559999999998</v>
      </c>
      <c r="C47" s="6">
        <f>IF(C44/$B$40&lt;B47,B47,C44/$B$40)</f>
        <v>5741.1449999999995</v>
      </c>
      <c r="D47" s="6">
        <f t="shared" ref="D47:K47" si="11">IF(D44/$B$40&lt;C47,C47,D44/$B$40)</f>
        <v>6171.7308749999984</v>
      </c>
      <c r="E47" s="6">
        <f t="shared" si="11"/>
        <v>6634.6106906249979</v>
      </c>
      <c r="F47" s="6">
        <f t="shared" si="11"/>
        <v>7132.2064924218721</v>
      </c>
      <c r="G47" s="6">
        <f t="shared" si="11"/>
        <v>7667.1219793535129</v>
      </c>
      <c r="H47" s="6">
        <f t="shared" si="11"/>
        <v>8242.1561278050267</v>
      </c>
      <c r="I47" s="6">
        <f t="shared" si="11"/>
        <v>8860.3178373904029</v>
      </c>
      <c r="J47" s="6">
        <f t="shared" si="11"/>
        <v>9524.8416751946825</v>
      </c>
      <c r="K47" s="6">
        <f t="shared" si="11"/>
        <v>10239.204800834283</v>
      </c>
    </row>
    <row r="48" spans="1:14" ht="15.95" customHeight="1" x14ac:dyDescent="0.2">
      <c r="A48" s="8" t="s">
        <v>89</v>
      </c>
      <c r="B48" s="3">
        <f>(B47-B39)/B39</f>
        <v>0.46002014388489199</v>
      </c>
      <c r="C48" s="3">
        <f>(C47-B47)/B47</f>
        <v>0.41447368421052627</v>
      </c>
      <c r="D48" s="3">
        <f>(D47-C47)/C47</f>
        <v>7.4999999999999803E-2</v>
      </c>
      <c r="E48" s="3">
        <f t="shared" ref="E48:J48" si="12">(E47-D47)/D47</f>
        <v>7.4999999999999942E-2</v>
      </c>
      <c r="F48" s="3">
        <f t="shared" si="12"/>
        <v>7.49999999999999E-2</v>
      </c>
      <c r="G48" s="3">
        <f t="shared" si="12"/>
        <v>7.5000000000000053E-2</v>
      </c>
      <c r="H48" s="3">
        <f t="shared" si="12"/>
        <v>7.5000000000000053E-2</v>
      </c>
      <c r="I48" s="3">
        <f t="shared" si="12"/>
        <v>7.49999999999999E-2</v>
      </c>
      <c r="J48" s="3">
        <f t="shared" si="12"/>
        <v>7.4999999999999928E-2</v>
      </c>
      <c r="K48" s="3">
        <f>(K47-J47)/J47</f>
        <v>7.49999999999999E-2</v>
      </c>
    </row>
    <row r="49" spans="1:11" ht="15.95" customHeight="1" x14ac:dyDescent="0.2">
      <c r="A49" s="8" t="s">
        <v>102</v>
      </c>
      <c r="B49" s="9">
        <f>B47/B39</f>
        <v>1.4600201438848921</v>
      </c>
      <c r="C49" s="9">
        <f t="shared" ref="C49:K49" si="13">(C47-B47)/B47+1</f>
        <v>1.4144736842105263</v>
      </c>
      <c r="D49" s="9">
        <f t="shared" si="13"/>
        <v>1.0749999999999997</v>
      </c>
      <c r="E49" s="9">
        <f t="shared" si="13"/>
        <v>1.075</v>
      </c>
      <c r="F49" s="9">
        <f t="shared" si="13"/>
        <v>1.075</v>
      </c>
      <c r="G49" s="9">
        <f t="shared" si="13"/>
        <v>1.075</v>
      </c>
      <c r="H49" s="9">
        <f t="shared" si="13"/>
        <v>1.075</v>
      </c>
      <c r="I49" s="9">
        <f t="shared" si="13"/>
        <v>1.075</v>
      </c>
      <c r="J49" s="9">
        <f t="shared" si="13"/>
        <v>1.075</v>
      </c>
      <c r="K49" s="9">
        <f t="shared" si="13"/>
        <v>1.075</v>
      </c>
    </row>
    <row r="50" spans="1:11" ht="15.95" customHeight="1" x14ac:dyDescent="0.2"/>
    <row r="51" spans="1:11" ht="15.95" customHeight="1" x14ac:dyDescent="0.2">
      <c r="A51" s="4" t="s">
        <v>67</v>
      </c>
      <c r="B51" s="5" t="s">
        <v>13</v>
      </c>
      <c r="D51" s="121" t="s">
        <v>68</v>
      </c>
      <c r="E51" s="121"/>
      <c r="F51" s="121"/>
      <c r="G51" s="121"/>
      <c r="H51" s="121"/>
      <c r="I51" s="121"/>
      <c r="J51" s="121"/>
    </row>
    <row r="52" spans="1:11" ht="15.95" customHeight="1" x14ac:dyDescent="0.2">
      <c r="A52" s="8" t="s">
        <v>90</v>
      </c>
      <c r="B52" s="10">
        <f>K47</f>
        <v>10239.204800834283</v>
      </c>
      <c r="D52" s="114" t="s">
        <v>70</v>
      </c>
      <c r="E52" s="11"/>
      <c r="F52" s="117" t="s">
        <v>71</v>
      </c>
      <c r="G52" s="117"/>
      <c r="H52" s="117"/>
      <c r="I52" s="117"/>
      <c r="J52" s="118"/>
    </row>
    <row r="53" spans="1:11" ht="15.95" customHeight="1" x14ac:dyDescent="0.2">
      <c r="A53" s="8" t="s">
        <v>91</v>
      </c>
      <c r="B53" s="10">
        <f>SUM(B44:K44)</f>
        <v>3713.6095739312391</v>
      </c>
      <c r="D53" s="115"/>
      <c r="E53" s="12" t="str">
        <f>B56</f>
        <v>Investable</v>
      </c>
      <c r="F53" s="13">
        <v>2250</v>
      </c>
      <c r="G53" s="13">
        <v>2500</v>
      </c>
      <c r="H53" s="13">
        <v>2780</v>
      </c>
      <c r="I53" s="13">
        <v>3000</v>
      </c>
      <c r="J53" s="14">
        <v>3250</v>
      </c>
    </row>
    <row r="54" spans="1:11" ht="15.95" customHeight="1" x14ac:dyDescent="0.2">
      <c r="A54" s="8" t="s">
        <v>92</v>
      </c>
      <c r="B54" s="10">
        <f>SUM(B52:B53)</f>
        <v>13952.814374765521</v>
      </c>
      <c r="D54" s="115"/>
      <c r="E54" s="15">
        <v>0.05</v>
      </c>
      <c r="F54" s="49" t="str">
        <f t="dataTable" ref="F54:J58" dt2D="1" dtr="1" r1="B39" r2="B40" ca="1"/>
        <v>Investable</v>
      </c>
      <c r="G54" s="50" t="str">
        <v>Investable</v>
      </c>
      <c r="H54" s="50" t="str">
        <v>Investable</v>
      </c>
      <c r="I54" s="50" t="str">
        <v>Investable</v>
      </c>
      <c r="J54" s="51" t="str">
        <v>Investable</v>
      </c>
    </row>
    <row r="55" spans="1:11" ht="15.95" customHeight="1" thickBot="1" x14ac:dyDescent="0.25">
      <c r="A55" s="8" t="s">
        <v>74</v>
      </c>
      <c r="B55" s="67">
        <f>POWER(B54/B39, 1/10)-1</f>
        <v>0.17506448947684605</v>
      </c>
      <c r="D55" s="115"/>
      <c r="E55" s="15">
        <v>0.06</v>
      </c>
      <c r="F55" s="52" t="str">
        <v>Investable</v>
      </c>
      <c r="G55" s="17" t="str">
        <v>Investable</v>
      </c>
      <c r="H55" s="17" t="str">
        <v>Investable</v>
      </c>
      <c r="I55" s="17" t="str">
        <v>Investable</v>
      </c>
      <c r="J55" s="18" t="str">
        <v>Investable</v>
      </c>
    </row>
    <row r="56" spans="1:11" ht="15.75" thickTop="1" x14ac:dyDescent="0.2">
      <c r="A56" s="8" t="s">
        <v>93</v>
      </c>
      <c r="B56" s="23" t="str">
        <f>IF(B55&gt;B41,"Investable", "Not Worth It")</f>
        <v>Investable</v>
      </c>
      <c r="D56" s="115"/>
      <c r="E56" s="15">
        <v>7.0000000000000007E-2</v>
      </c>
      <c r="F56" s="52" t="str">
        <v>Investable</v>
      </c>
      <c r="G56" s="17" t="str">
        <v>Investable</v>
      </c>
      <c r="H56" s="17" t="str">
        <v>Investable</v>
      </c>
      <c r="I56" s="17" t="str">
        <v>Investable</v>
      </c>
      <c r="J56" s="18" t="str">
        <v>Investable</v>
      </c>
    </row>
    <row r="57" spans="1:11" x14ac:dyDescent="0.2">
      <c r="A57" s="8"/>
      <c r="B57" s="7"/>
      <c r="D57" s="115"/>
      <c r="E57" s="15">
        <v>0.08</v>
      </c>
      <c r="F57" s="52" t="str">
        <v>Investable</v>
      </c>
      <c r="G57" s="17" t="str">
        <v>Investable</v>
      </c>
      <c r="H57" s="17" t="str">
        <v>Investable</v>
      </c>
      <c r="I57" s="17" t="str">
        <v>Investable</v>
      </c>
      <c r="J57" s="18" t="str">
        <v>Investable</v>
      </c>
    </row>
    <row r="58" spans="1:11" x14ac:dyDescent="0.2">
      <c r="A58" s="8"/>
      <c r="B58" s="48"/>
      <c r="D58" s="116"/>
      <c r="E58" s="20">
        <v>0.09</v>
      </c>
      <c r="F58" s="53" t="str">
        <v>Investable</v>
      </c>
      <c r="G58" s="21" t="str">
        <v>Investable</v>
      </c>
      <c r="H58" s="21" t="str">
        <v>Investable</v>
      </c>
      <c r="I58" s="21" t="str">
        <v>Investable</v>
      </c>
      <c r="J58" s="22" t="str">
        <v>Investable</v>
      </c>
    </row>
    <row r="59" spans="1:11" x14ac:dyDescent="0.2">
      <c r="A59" s="8"/>
      <c r="B59" s="10"/>
    </row>
    <row r="60" spans="1:11" x14ac:dyDescent="0.2">
      <c r="A60" s="8"/>
      <c r="B60" s="19"/>
      <c r="D60" s="122" t="s">
        <v>76</v>
      </c>
      <c r="E60" s="123"/>
      <c r="F60" s="123"/>
      <c r="G60" s="123"/>
      <c r="H60" s="123"/>
      <c r="I60" s="123"/>
      <c r="J60" s="124"/>
    </row>
    <row r="61" spans="1:11" x14ac:dyDescent="0.2">
      <c r="A61" s="8"/>
      <c r="B61" s="54"/>
      <c r="D61" s="114" t="s">
        <v>70</v>
      </c>
      <c r="E61" s="11"/>
      <c r="F61" s="117" t="s">
        <v>71</v>
      </c>
      <c r="G61" s="117"/>
      <c r="H61" s="117"/>
      <c r="I61" s="117"/>
      <c r="J61" s="118"/>
    </row>
    <row r="62" spans="1:11" x14ac:dyDescent="0.2">
      <c r="A62" s="8"/>
      <c r="B62" s="7"/>
      <c r="D62" s="115"/>
      <c r="E62" s="12">
        <f>B55</f>
        <v>0.17506448947684605</v>
      </c>
      <c r="F62" s="13">
        <v>2250</v>
      </c>
      <c r="G62" s="13">
        <v>2500</v>
      </c>
      <c r="H62" s="13">
        <v>2780</v>
      </c>
      <c r="I62" s="13">
        <v>3000</v>
      </c>
      <c r="J62" s="14">
        <v>3250</v>
      </c>
      <c r="K62" s="6"/>
    </row>
    <row r="63" spans="1:11" x14ac:dyDescent="0.2">
      <c r="D63" s="115"/>
      <c r="E63" s="15">
        <v>0.05</v>
      </c>
      <c r="F63" s="24">
        <f t="dataTable" ref="F63:J67" dt2D="1" dtr="1" r1="B39" r2="B40"/>
        <v>0.2001842682733761</v>
      </c>
      <c r="G63" s="25">
        <v>0.18760544685263936</v>
      </c>
      <c r="H63" s="25">
        <v>0.17506448947684605</v>
      </c>
      <c r="I63" s="25">
        <v>0.16614903216632304</v>
      </c>
      <c r="J63" s="41">
        <v>0.15685211670853927</v>
      </c>
    </row>
    <row r="64" spans="1:11" x14ac:dyDescent="0.2">
      <c r="C64" s="7"/>
      <c r="D64" s="115"/>
      <c r="E64" s="15">
        <v>0.06</v>
      </c>
      <c r="F64" s="27">
        <v>0.18462847484287104</v>
      </c>
      <c r="G64" s="28">
        <v>0.17221268967647685</v>
      </c>
      <c r="H64" s="28">
        <v>0.15983427779266801</v>
      </c>
      <c r="I64" s="28">
        <v>0.15103437524813135</v>
      </c>
      <c r="J64" s="29">
        <v>0.14185795870057749</v>
      </c>
      <c r="K64" s="30"/>
    </row>
    <row r="65" spans="3:11" x14ac:dyDescent="0.2">
      <c r="C65" s="31"/>
      <c r="D65" s="115"/>
      <c r="E65" s="15">
        <v>7.0000000000000007E-2</v>
      </c>
      <c r="F65" s="27">
        <v>0.17227303317103426</v>
      </c>
      <c r="G65" s="28">
        <v>0.1599867421985508</v>
      </c>
      <c r="H65" s="28">
        <v>0.14773743471267631</v>
      </c>
      <c r="I65" s="28">
        <v>0.13902931341847746</v>
      </c>
      <c r="J65" s="29">
        <v>0.12994860508815598</v>
      </c>
      <c r="K65" s="6"/>
    </row>
    <row r="66" spans="3:11" x14ac:dyDescent="0.2">
      <c r="C66" s="32"/>
      <c r="D66" s="115"/>
      <c r="E66" s="15">
        <v>0.08</v>
      </c>
      <c r="F66" s="27">
        <v>0.16217153036655274</v>
      </c>
      <c r="G66" s="28">
        <v>0.14999111063669224</v>
      </c>
      <c r="H66" s="28">
        <v>0.13784735570591389</v>
      </c>
      <c r="I66" s="28">
        <v>0.12921427248662254</v>
      </c>
      <c r="J66" s="29">
        <v>0.12021181282198712</v>
      </c>
      <c r="K66" s="6"/>
    </row>
    <row r="67" spans="3:11" x14ac:dyDescent="0.2">
      <c r="C67" s="33"/>
      <c r="D67" s="116"/>
      <c r="E67" s="20">
        <v>0.09</v>
      </c>
      <c r="F67" s="34">
        <v>0.15372959923924401</v>
      </c>
      <c r="G67" s="35">
        <v>0.14163765720976973</v>
      </c>
      <c r="H67" s="35">
        <v>0.12958211364889149</v>
      </c>
      <c r="I67" s="35">
        <v>0.12101174053051844</v>
      </c>
      <c r="J67" s="36">
        <v>0.1120746740909615</v>
      </c>
      <c r="K67" s="33"/>
    </row>
  </sheetData>
  <mergeCells count="10">
    <mergeCell ref="A1:B1"/>
    <mergeCell ref="A2:B2"/>
    <mergeCell ref="A9:B9"/>
    <mergeCell ref="D61:D67"/>
    <mergeCell ref="F61:J61"/>
    <mergeCell ref="A37:B37"/>
    <mergeCell ref="D51:J51"/>
    <mergeCell ref="D52:D58"/>
    <mergeCell ref="F52:J52"/>
    <mergeCell ref="D60:J60"/>
  </mergeCells>
  <conditionalFormatting sqref="B56">
    <cfRule type="containsText" dxfId="17" priority="3" operator="containsText" text="Not Worth It">
      <formula>NOT(ISERROR(SEARCH("Not Worth It",B56)))</formula>
    </cfRule>
    <cfRule type="containsText" dxfId="16" priority="4" operator="containsText" text="Investable">
      <formula>NOT(ISERROR(SEARCH("Investable",B56)))</formula>
    </cfRule>
  </conditionalFormatting>
  <conditionalFormatting sqref="F54:J58">
    <cfRule type="containsText" dxfId="15" priority="5" operator="containsText" text="Not Worth It">
      <formula>NOT(ISERROR(SEARCH("Not Worth It",F54)))</formula>
    </cfRule>
    <cfRule type="containsText" dxfId="14" priority="6" operator="containsText" text="Investable">
      <formula>NOT(ISERROR(SEARCH("Investable",F54)))</formula>
    </cfRule>
  </conditionalFormatting>
  <conditionalFormatting sqref="F63:J67">
    <cfRule type="cellIs" dxfId="13" priority="1" operator="lessThan">
      <formula>$B$41</formula>
    </cfRule>
    <cfRule type="cellIs" dxfId="12" priority="2" operator="greaterThan">
      <formula>$B$41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3C44-C483-4568-AB08-B835B8398903}">
  <sheetPr codeName="Sheet6"/>
  <dimension ref="A1:AJ100"/>
  <sheetViews>
    <sheetView showGridLines="0" topLeftCell="A26" workbookViewId="0">
      <selection activeCell="B42" sqref="B42"/>
    </sheetView>
  </sheetViews>
  <sheetFormatPr defaultRowHeight="15" x14ac:dyDescent="0.2"/>
  <cols>
    <col min="1" max="1" width="35.6484375" customWidth="1"/>
    <col min="2" max="36" width="15.73828125" customWidth="1"/>
  </cols>
  <sheetData>
    <row r="1" spans="1:35" ht="15.95" customHeight="1" x14ac:dyDescent="0.2">
      <c r="A1" s="125" t="s">
        <v>111</v>
      </c>
      <c r="B1" s="125"/>
    </row>
    <row r="2" spans="1:35" ht="15.95" customHeight="1" x14ac:dyDescent="0.2">
      <c r="A2" s="111" t="s">
        <v>1</v>
      </c>
      <c r="B2" s="111"/>
    </row>
    <row r="3" spans="1:35" ht="15.95" customHeight="1" x14ac:dyDescent="0.2">
      <c r="A3" t="s">
        <v>2</v>
      </c>
      <c r="B3" t="s">
        <v>112</v>
      </c>
    </row>
    <row r="4" spans="1:35" ht="15.95" customHeight="1" x14ac:dyDescent="0.2">
      <c r="A4" t="s">
        <v>4</v>
      </c>
      <c r="B4" t="s">
        <v>113</v>
      </c>
    </row>
    <row r="5" spans="1:35" ht="15.95" customHeight="1" x14ac:dyDescent="0.2">
      <c r="A5" t="s">
        <v>6</v>
      </c>
      <c r="B5" t="s">
        <v>114</v>
      </c>
    </row>
    <row r="6" spans="1:35" ht="15.95" customHeight="1" x14ac:dyDescent="0.2">
      <c r="A6" t="s">
        <v>8</v>
      </c>
    </row>
    <row r="7" spans="1:35" ht="15.95" customHeight="1" x14ac:dyDescent="0.2"/>
    <row r="8" spans="1:35" ht="15.95" customHeight="1" x14ac:dyDescent="0.2"/>
    <row r="9" spans="1:35" ht="15.95" customHeight="1" x14ac:dyDescent="0.2">
      <c r="A9" s="111" t="s">
        <v>10</v>
      </c>
      <c r="B9" s="111"/>
      <c r="D9" s="4" t="s">
        <v>11</v>
      </c>
      <c r="E9" s="5"/>
      <c r="F9" s="57" t="s">
        <v>12</v>
      </c>
      <c r="G9" s="5"/>
      <c r="H9" s="5"/>
      <c r="I9" s="5"/>
      <c r="J9" s="5"/>
      <c r="K9" s="5"/>
      <c r="L9" s="5"/>
      <c r="M9" s="5"/>
      <c r="N9" s="5"/>
    </row>
    <row r="10" spans="1:35" ht="15.95" customHeight="1" x14ac:dyDescent="0.2">
      <c r="A10" s="4" t="s">
        <v>11</v>
      </c>
      <c r="B10" s="5" t="s">
        <v>13</v>
      </c>
      <c r="D10" t="s">
        <v>14</v>
      </c>
      <c r="E10" s="6"/>
      <c r="F10" t="s">
        <v>99</v>
      </c>
    </row>
    <row r="11" spans="1:35" ht="15.95" customHeight="1" x14ac:dyDescent="0.2">
      <c r="A11" t="s">
        <v>16</v>
      </c>
      <c r="B11" s="6">
        <v>4390</v>
      </c>
      <c r="D11" t="s">
        <v>17</v>
      </c>
      <c r="E11" s="7"/>
      <c r="F11" t="s">
        <v>100</v>
      </c>
    </row>
    <row r="12" spans="1:35" ht="15.95" customHeight="1" x14ac:dyDescent="0.2">
      <c r="A12" t="s">
        <v>19</v>
      </c>
      <c r="B12" s="7">
        <v>0.1</v>
      </c>
      <c r="D12" s="8" t="s">
        <v>20</v>
      </c>
      <c r="E12" s="3"/>
      <c r="F12" t="s">
        <v>21</v>
      </c>
    </row>
    <row r="13" spans="1:35" ht="15.95" customHeight="1" x14ac:dyDescent="0.2">
      <c r="A13" s="8" t="s">
        <v>22</v>
      </c>
      <c r="B13" s="3">
        <v>0.03</v>
      </c>
      <c r="D13" s="8" t="s">
        <v>23</v>
      </c>
      <c r="E13" s="3"/>
      <c r="F13" t="s">
        <v>82</v>
      </c>
    </row>
    <row r="14" spans="1:35" ht="15.95" customHeight="1" x14ac:dyDescent="0.2">
      <c r="A14" s="8"/>
      <c r="B14" s="3"/>
      <c r="D14" s="8" t="s">
        <v>25</v>
      </c>
      <c r="E14" s="3"/>
      <c r="F14" t="s">
        <v>26</v>
      </c>
    </row>
    <row r="15" spans="1:35" ht="15.95" customHeight="1" x14ac:dyDescent="0.2">
      <c r="A15" s="8"/>
      <c r="B15" s="3"/>
    </row>
    <row r="16" spans="1:35" ht="15.95" customHeight="1" x14ac:dyDescent="0.2">
      <c r="A16" s="4" t="s">
        <v>110</v>
      </c>
      <c r="B16" s="4" t="s">
        <v>28</v>
      </c>
      <c r="C16" s="5" t="s">
        <v>29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83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  <c r="X16">
        <v>2023</v>
      </c>
      <c r="Y16">
        <v>2024</v>
      </c>
      <c r="Z16">
        <v>2025</v>
      </c>
      <c r="AA16">
        <v>2026</v>
      </c>
      <c r="AB16">
        <v>2027</v>
      </c>
      <c r="AC16">
        <v>2028</v>
      </c>
      <c r="AD16">
        <v>2029</v>
      </c>
      <c r="AE16">
        <v>2030</v>
      </c>
      <c r="AF16">
        <v>2031</v>
      </c>
      <c r="AG16">
        <v>2032</v>
      </c>
      <c r="AH16">
        <v>2033</v>
      </c>
      <c r="AI16">
        <v>2034</v>
      </c>
    </row>
    <row r="17" spans="1:36" ht="15.95" customHeight="1" x14ac:dyDescent="0.2">
      <c r="A17" t="s">
        <v>40</v>
      </c>
      <c r="C17" s="42">
        <v>7.4999999999999997E-2</v>
      </c>
      <c r="D17" s="42">
        <v>7.4999999999999997E-2</v>
      </c>
      <c r="E17" s="42">
        <v>7.4999999999999997E-2</v>
      </c>
      <c r="F17" s="42">
        <v>7.4999999999999997E-2</v>
      </c>
      <c r="G17" s="42">
        <v>7.4999999999999997E-2</v>
      </c>
      <c r="H17" s="42">
        <v>7.4999999999999997E-2</v>
      </c>
      <c r="I17" s="42">
        <v>7.4999999999999997E-2</v>
      </c>
      <c r="J17" s="42">
        <v>7.4999999999999997E-2</v>
      </c>
      <c r="K17" s="42">
        <v>7.4999999999999997E-2</v>
      </c>
      <c r="L17" s="42">
        <v>7.4999999999999997E-2</v>
      </c>
      <c r="M17" s="42">
        <v>0.05</v>
      </c>
      <c r="O17" t="s">
        <v>115</v>
      </c>
      <c r="P17" s="38">
        <v>1390157</v>
      </c>
      <c r="Q17" s="38">
        <v>1544990</v>
      </c>
      <c r="R17" s="38">
        <v>1831091</v>
      </c>
      <c r="S17" s="38">
        <v>1823621</v>
      </c>
      <c r="T17" s="38">
        <v>2058872</v>
      </c>
      <c r="U17" s="38">
        <v>2729346</v>
      </c>
      <c r="V17" s="38">
        <v>3332691</v>
      </c>
      <c r="W17" s="38">
        <v>3244005</v>
      </c>
      <c r="X17" s="38">
        <v>4394043</v>
      </c>
      <c r="Y17" s="38">
        <v>4795553</v>
      </c>
    </row>
    <row r="18" spans="1:36" ht="15.95" customHeight="1" x14ac:dyDescent="0.2">
      <c r="A18" t="s">
        <v>41</v>
      </c>
      <c r="B18" s="38">
        <v>10974</v>
      </c>
      <c r="C18" s="38">
        <f>B18*(1+C17)</f>
        <v>11797.05</v>
      </c>
      <c r="D18" s="38">
        <f t="shared" ref="D18:M18" si="0">C18*(1+D17)</f>
        <v>12681.828749999999</v>
      </c>
      <c r="E18" s="38">
        <f t="shared" si="0"/>
        <v>13632.965906249998</v>
      </c>
      <c r="F18" s="38">
        <f t="shared" si="0"/>
        <v>14655.438349218746</v>
      </c>
      <c r="G18" s="38">
        <f t="shared" si="0"/>
        <v>15754.596225410152</v>
      </c>
      <c r="H18" s="38">
        <f t="shared" si="0"/>
        <v>16936.190942315912</v>
      </c>
      <c r="I18" s="38">
        <f t="shared" si="0"/>
        <v>18206.405262989603</v>
      </c>
      <c r="J18" s="38">
        <f t="shared" si="0"/>
        <v>19571.885657713821</v>
      </c>
      <c r="K18" s="38">
        <f t="shared" si="0"/>
        <v>21039.777082042358</v>
      </c>
      <c r="L18" s="38">
        <f t="shared" si="0"/>
        <v>22617.760363195532</v>
      </c>
      <c r="M18" s="38">
        <f t="shared" si="0"/>
        <v>23748.64838135531</v>
      </c>
      <c r="O18" t="s">
        <v>116</v>
      </c>
      <c r="P18" s="38">
        <v>1465965</v>
      </c>
      <c r="Q18" s="38">
        <v>1413136</v>
      </c>
      <c r="R18" s="38">
        <v>1667706</v>
      </c>
      <c r="S18" s="38">
        <v>1808100</v>
      </c>
      <c r="T18" s="38">
        <v>1965014</v>
      </c>
      <c r="U18" s="38">
        <v>2909727</v>
      </c>
      <c r="V18" s="38">
        <v>3171627</v>
      </c>
      <c r="W18" s="38">
        <v>3233630</v>
      </c>
      <c r="X18" s="38">
        <v>3808456</v>
      </c>
      <c r="Y18" s="38">
        <v>3564558</v>
      </c>
    </row>
    <row r="19" spans="1:36" ht="15.95" customHeight="1" x14ac:dyDescent="0.2">
      <c r="A19" t="s">
        <v>42</v>
      </c>
      <c r="C19" s="47">
        <v>0.1</v>
      </c>
      <c r="D19" s="47">
        <v>0.1</v>
      </c>
      <c r="E19" s="47">
        <v>0.04</v>
      </c>
      <c r="F19" s="47">
        <v>0.1</v>
      </c>
      <c r="G19" s="47">
        <v>0.1</v>
      </c>
      <c r="H19" s="47">
        <v>0.04</v>
      </c>
      <c r="I19" s="47">
        <v>0.1</v>
      </c>
      <c r="J19" s="47">
        <v>0.1</v>
      </c>
      <c r="K19" s="47">
        <v>0.04</v>
      </c>
      <c r="L19" s="47">
        <v>0.1</v>
      </c>
      <c r="M19" s="47">
        <v>0.05</v>
      </c>
      <c r="O19" t="s">
        <v>117</v>
      </c>
      <c r="P19" s="38">
        <f>P17-P18</f>
        <v>-75808</v>
      </c>
      <c r="Q19" s="38">
        <f t="shared" ref="Q19" si="1">Q17-Q18</f>
        <v>131854</v>
      </c>
      <c r="R19" s="38">
        <f>R17-R18</f>
        <v>163385</v>
      </c>
      <c r="S19" s="38">
        <f t="shared" ref="S19:X19" si="2">S17-S18</f>
        <v>15521</v>
      </c>
      <c r="T19" s="38">
        <f t="shared" si="2"/>
        <v>93858</v>
      </c>
      <c r="U19" s="38">
        <f t="shared" si="2"/>
        <v>-180381</v>
      </c>
      <c r="V19" s="38">
        <f t="shared" si="2"/>
        <v>161064</v>
      </c>
      <c r="W19" s="38">
        <f t="shared" si="2"/>
        <v>10375</v>
      </c>
      <c r="X19" s="38">
        <f t="shared" si="2"/>
        <v>585587</v>
      </c>
      <c r="Y19" s="38">
        <f>Y17-Y18</f>
        <v>1230995</v>
      </c>
    </row>
    <row r="20" spans="1:36" ht="15.95" customHeight="1" x14ac:dyDescent="0.2">
      <c r="A20" t="s">
        <v>43</v>
      </c>
      <c r="B20" s="38"/>
      <c r="C20" s="38">
        <f>C18*C19</f>
        <v>1179.7049999999999</v>
      </c>
      <c r="D20" s="38">
        <f t="shared" ref="D20:M20" si="3">D18*D19</f>
        <v>1268.182875</v>
      </c>
      <c r="E20" s="38">
        <f t="shared" si="3"/>
        <v>545.31863624999994</v>
      </c>
      <c r="F20" s="38">
        <f t="shared" si="3"/>
        <v>1465.5438349218748</v>
      </c>
      <c r="G20" s="38">
        <f t="shared" si="3"/>
        <v>1575.4596225410153</v>
      </c>
      <c r="H20" s="38">
        <f t="shared" si="3"/>
        <v>677.44763769263648</v>
      </c>
      <c r="I20" s="38">
        <f t="shared" si="3"/>
        <v>1820.6405262989604</v>
      </c>
      <c r="J20" s="38">
        <f t="shared" si="3"/>
        <v>1957.1885657713822</v>
      </c>
      <c r="K20" s="38">
        <f t="shared" si="3"/>
        <v>841.5910832816943</v>
      </c>
      <c r="L20" s="38">
        <f t="shared" si="3"/>
        <v>2261.7760363195534</v>
      </c>
      <c r="M20" s="38">
        <f t="shared" si="3"/>
        <v>1187.4324190677655</v>
      </c>
      <c r="N20" s="1"/>
      <c r="O20" t="s">
        <v>118</v>
      </c>
      <c r="P20" s="38"/>
      <c r="Q20" s="38">
        <f>Q19-P19</f>
        <v>207662</v>
      </c>
      <c r="R20" s="38">
        <f t="shared" ref="R20:W20" si="4">R19-Q19</f>
        <v>31531</v>
      </c>
      <c r="S20" s="38">
        <f t="shared" si="4"/>
        <v>-147864</v>
      </c>
      <c r="T20" s="38">
        <f t="shared" si="4"/>
        <v>78337</v>
      </c>
      <c r="U20" s="38">
        <f t="shared" si="4"/>
        <v>-274239</v>
      </c>
      <c r="V20" s="38">
        <f t="shared" si="4"/>
        <v>341445</v>
      </c>
      <c r="W20" s="38">
        <f t="shared" si="4"/>
        <v>-150689</v>
      </c>
      <c r="X20" s="38">
        <f>X19-W19</f>
        <v>575212</v>
      </c>
      <c r="Y20" s="38">
        <f>Y19-X19</f>
        <v>645408</v>
      </c>
    </row>
    <row r="21" spans="1:36" ht="15.95" customHeight="1" x14ac:dyDescent="0.2">
      <c r="A21" t="s">
        <v>44</v>
      </c>
      <c r="B21" s="6"/>
      <c r="C21" s="38">
        <f>C20*(1-0.24)</f>
        <v>896.57579999999996</v>
      </c>
      <c r="D21" s="38">
        <f t="shared" ref="D21:M21" si="5">D20*(1-0.24)</f>
        <v>963.818985</v>
      </c>
      <c r="E21" s="38">
        <f t="shared" si="5"/>
        <v>414.44216354999998</v>
      </c>
      <c r="F21" s="38">
        <f t="shared" si="5"/>
        <v>1113.8133145406248</v>
      </c>
      <c r="G21" s="38">
        <f t="shared" si="5"/>
        <v>1197.3493131311716</v>
      </c>
      <c r="H21" s="38">
        <f t="shared" si="5"/>
        <v>514.86020464640376</v>
      </c>
      <c r="I21" s="38">
        <f t="shared" si="5"/>
        <v>1383.68679998721</v>
      </c>
      <c r="J21" s="38">
        <f t="shared" si="5"/>
        <v>1487.4633099862506</v>
      </c>
      <c r="K21" s="38">
        <f t="shared" si="5"/>
        <v>639.60922329408766</v>
      </c>
      <c r="L21" s="38">
        <f>L20*(1-0.24)</f>
        <v>1718.9497876028606</v>
      </c>
      <c r="M21" s="38">
        <f t="shared" si="5"/>
        <v>902.44863849150181</v>
      </c>
      <c r="N21" s="1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36" ht="15.95" customHeight="1" x14ac:dyDescent="0.2">
      <c r="A22" t="s">
        <v>119</v>
      </c>
      <c r="B22" s="1"/>
      <c r="C22" s="44">
        <v>506.20400000000001</v>
      </c>
      <c r="D22" s="44">
        <v>544.16999999999996</v>
      </c>
      <c r="E22" s="44">
        <f>584.982/2</f>
        <v>292.49099999999999</v>
      </c>
      <c r="F22" s="44">
        <v>628.85599999999999</v>
      </c>
      <c r="G22" s="44">
        <v>676.02</v>
      </c>
      <c r="H22" s="44">
        <f>726.722/2</f>
        <v>363.36099999999999</v>
      </c>
      <c r="I22" s="44">
        <v>781.226</v>
      </c>
      <c r="J22" s="44">
        <v>839.81799999999998</v>
      </c>
      <c r="K22" s="44">
        <f>902.804/2</f>
        <v>451.40199999999999</v>
      </c>
      <c r="L22" s="44">
        <v>970.51499999999999</v>
      </c>
      <c r="M22" s="44">
        <f>Table1930[[#This Row],[2034]]/2</f>
        <v>485.25749999999999</v>
      </c>
      <c r="N22" s="1"/>
      <c r="O22" t="s">
        <v>120</v>
      </c>
      <c r="P22" s="38">
        <v>1506891</v>
      </c>
      <c r="Q22" s="38">
        <v>1385199</v>
      </c>
      <c r="R22" s="38">
        <v>1326898</v>
      </c>
      <c r="S22" s="38">
        <v>1547643</v>
      </c>
      <c r="T22" s="38">
        <v>2667763</v>
      </c>
      <c r="U22" s="38">
        <v>4037580</v>
      </c>
      <c r="V22" s="38">
        <v>4925743</v>
      </c>
      <c r="W22" s="38">
        <v>5492703</v>
      </c>
      <c r="X22" s="38">
        <v>5475885</v>
      </c>
      <c r="Y22" s="38">
        <v>5518396</v>
      </c>
    </row>
    <row r="23" spans="1:36" ht="15.95" customHeight="1" x14ac:dyDescent="0.2">
      <c r="A23" t="s">
        <v>46</v>
      </c>
      <c r="B23" s="1"/>
      <c r="C23" s="6">
        <f>C21-C22</f>
        <v>390.37179999999995</v>
      </c>
      <c r="D23" s="6">
        <f t="shared" ref="D23:L23" si="6">D21-D22</f>
        <v>419.64898500000004</v>
      </c>
      <c r="E23" s="6">
        <f t="shared" si="6"/>
        <v>121.95116354999999</v>
      </c>
      <c r="F23" s="6">
        <f t="shared" si="6"/>
        <v>484.95731454062479</v>
      </c>
      <c r="G23" s="6">
        <f t="shared" si="6"/>
        <v>521.3293131311716</v>
      </c>
      <c r="H23" s="6">
        <f t="shared" si="6"/>
        <v>151.49920464640377</v>
      </c>
      <c r="I23" s="6">
        <f t="shared" si="6"/>
        <v>602.46079998720995</v>
      </c>
      <c r="J23" s="6">
        <f t="shared" si="6"/>
        <v>647.6453099862506</v>
      </c>
      <c r="K23" s="6">
        <f t="shared" si="6"/>
        <v>188.20722329408767</v>
      </c>
      <c r="L23" s="6">
        <f t="shared" si="6"/>
        <v>748.43478760286064</v>
      </c>
      <c r="M23" s="6">
        <f>M21-M22</f>
        <v>417.19113849150182</v>
      </c>
      <c r="O23" t="s">
        <v>121</v>
      </c>
      <c r="P23" s="38"/>
      <c r="Q23" s="38">
        <f>Q22-P22</f>
        <v>-121692</v>
      </c>
      <c r="R23" s="38">
        <f t="shared" ref="R23:S23" si="7">R22-Q22</f>
        <v>-58301</v>
      </c>
      <c r="S23" s="38">
        <f t="shared" si="7"/>
        <v>220745</v>
      </c>
      <c r="T23" s="38">
        <f>T22-S22</f>
        <v>1120120</v>
      </c>
      <c r="U23" s="38">
        <f t="shared" ref="U23:Y23" si="8">U22-T22</f>
        <v>1369817</v>
      </c>
      <c r="V23" s="38">
        <f t="shared" si="8"/>
        <v>888163</v>
      </c>
      <c r="W23" s="38">
        <f t="shared" si="8"/>
        <v>566960</v>
      </c>
      <c r="X23" s="38">
        <f t="shared" si="8"/>
        <v>-16818</v>
      </c>
      <c r="Y23" s="38">
        <f t="shared" si="8"/>
        <v>42511</v>
      </c>
    </row>
    <row r="24" spans="1:36" ht="15.95" customHeight="1" x14ac:dyDescent="0.2">
      <c r="A24" t="s">
        <v>84</v>
      </c>
      <c r="B24" s="1"/>
      <c r="C24" s="44">
        <v>5.0739999999999998</v>
      </c>
      <c r="D24" s="44">
        <v>5.0739999999999998</v>
      </c>
      <c r="E24" s="44">
        <v>5.0739999999999998</v>
      </c>
      <c r="F24" s="44">
        <v>5.0739999999999998</v>
      </c>
      <c r="G24" s="44">
        <v>5.0739999999999998</v>
      </c>
      <c r="H24" s="44">
        <v>5.0739999999999998</v>
      </c>
      <c r="I24" s="44">
        <v>5.0739999999999998</v>
      </c>
      <c r="J24" s="44">
        <v>5.0739999999999998</v>
      </c>
      <c r="K24" s="44">
        <v>5.0739999999999998</v>
      </c>
      <c r="L24" s="44">
        <v>5.0739999999999998</v>
      </c>
      <c r="M24" s="44">
        <v>0</v>
      </c>
      <c r="O24" t="s">
        <v>122</v>
      </c>
      <c r="P24" s="38"/>
      <c r="Q24" s="38">
        <f>Q20+Q23</f>
        <v>85970</v>
      </c>
      <c r="R24" s="38">
        <f t="shared" ref="R24:T24" si="9">R20+R23</f>
        <v>-26770</v>
      </c>
      <c r="S24" s="38">
        <f t="shared" si="9"/>
        <v>72881</v>
      </c>
      <c r="T24" s="38">
        <f t="shared" si="9"/>
        <v>1198457</v>
      </c>
      <c r="U24" s="38">
        <f t="shared" ref="U24" si="10">U20+U23</f>
        <v>1095578</v>
      </c>
      <c r="V24" s="38">
        <f t="shared" ref="V24" si="11">V20+V23</f>
        <v>1229608</v>
      </c>
      <c r="W24" s="38">
        <f t="shared" ref="W24" si="12">W20+W23</f>
        <v>416271</v>
      </c>
      <c r="X24" s="38">
        <f>X20+X23</f>
        <v>558394</v>
      </c>
      <c r="Y24" s="38">
        <f t="shared" ref="Y24" si="13">Y20+Y23</f>
        <v>687919</v>
      </c>
      <c r="Z24" s="6">
        <f>Z27-Y27</f>
        <v>506204.32499999925</v>
      </c>
      <c r="AA24" s="6">
        <f t="shared" ref="AA24:AJ24" si="14">AA27-Z27</f>
        <v>544169.64937500004</v>
      </c>
      <c r="AB24" s="6">
        <f t="shared" si="14"/>
        <v>584982.3730781246</v>
      </c>
      <c r="AC24" s="6">
        <f t="shared" si="14"/>
        <v>628856.05105898436</v>
      </c>
      <c r="AD24" s="6">
        <f t="shared" si="14"/>
        <v>676020.25488840789</v>
      </c>
      <c r="AE24" s="6">
        <f t="shared" si="14"/>
        <v>726721.77400503866</v>
      </c>
      <c r="AF24" s="6">
        <f t="shared" si="14"/>
        <v>781225.90705541708</v>
      </c>
      <c r="AG24" s="6">
        <f t="shared" si="14"/>
        <v>839817.85008457303</v>
      </c>
      <c r="AH24" s="6">
        <f t="shared" si="14"/>
        <v>902804.18884091452</v>
      </c>
      <c r="AI24" s="6">
        <f t="shared" si="14"/>
        <v>970514.50300398469</v>
      </c>
      <c r="AJ24" s="6">
        <f t="shared" si="14"/>
        <v>1043303.0907292832</v>
      </c>
    </row>
    <row r="25" spans="1:36" ht="15.95" customHeight="1" thickBot="1" x14ac:dyDescent="0.25">
      <c r="A25" t="s">
        <v>47</v>
      </c>
      <c r="B25" s="1"/>
      <c r="C25" s="39">
        <f>C23-C24</f>
        <v>385.29779999999994</v>
      </c>
      <c r="D25" s="39">
        <f>D23-D24</f>
        <v>414.57498500000003</v>
      </c>
      <c r="E25" s="39">
        <f t="shared" ref="E25:M25" si="15">E23-E24</f>
        <v>116.87716354999999</v>
      </c>
      <c r="F25" s="39">
        <f t="shared" si="15"/>
        <v>479.88331454062478</v>
      </c>
      <c r="G25" s="39">
        <f t="shared" si="15"/>
        <v>516.25531313117165</v>
      </c>
      <c r="H25" s="39">
        <f t="shared" si="15"/>
        <v>146.42520464640376</v>
      </c>
      <c r="I25" s="39">
        <f t="shared" si="15"/>
        <v>597.38679998721</v>
      </c>
      <c r="J25" s="39">
        <f t="shared" si="15"/>
        <v>642.57130998625064</v>
      </c>
      <c r="K25" s="39">
        <f t="shared" si="15"/>
        <v>183.13322329408766</v>
      </c>
      <c r="L25" s="39">
        <f t="shared" si="15"/>
        <v>743.36078760286068</v>
      </c>
      <c r="M25" s="39">
        <f t="shared" si="15"/>
        <v>417.19113849150182</v>
      </c>
      <c r="O25" s="106" t="s">
        <v>123</v>
      </c>
      <c r="P25" s="38"/>
      <c r="Q25" s="7">
        <f>Q24/P27</f>
        <v>6.0073384981863383E-2</v>
      </c>
      <c r="R25" s="7">
        <f t="shared" ref="R25:T25" si="16">R24/Q27</f>
        <v>-1.764605455445525E-2</v>
      </c>
      <c r="S25" s="7">
        <f t="shared" si="16"/>
        <v>4.8904134315428678E-2</v>
      </c>
      <c r="T25" s="7">
        <f t="shared" si="16"/>
        <v>0.76668666883321268</v>
      </c>
      <c r="U25" s="7">
        <f t="shared" ref="U25" si="17">U24/T27</f>
        <v>0.39671555220647581</v>
      </c>
      <c r="V25" s="7">
        <f t="shared" ref="V25" si="18">V24/U27</f>
        <v>0.31878261920113532</v>
      </c>
      <c r="W25" s="7">
        <f t="shared" ref="W25" si="19">W24/V27</f>
        <v>8.183345662613109E-2</v>
      </c>
      <c r="X25" s="7">
        <f t="shared" ref="X25" si="20">X24/W27</f>
        <v>0.10146939585446545</v>
      </c>
      <c r="Y25" s="7">
        <f>Y24/X27</f>
        <v>0.11349041948886343</v>
      </c>
      <c r="Z25" s="7">
        <f t="shared" ref="Z25:AJ25" si="21">Z24/Y27</f>
        <v>7.4999999999999886E-2</v>
      </c>
      <c r="AA25" s="7">
        <f t="shared" si="21"/>
        <v>7.5000000000000011E-2</v>
      </c>
      <c r="AB25" s="7">
        <f t="shared" si="21"/>
        <v>7.4999999999999956E-2</v>
      </c>
      <c r="AC25" s="7">
        <f t="shared" si="21"/>
        <v>7.5000000000000011E-2</v>
      </c>
      <c r="AD25" s="7">
        <f t="shared" si="21"/>
        <v>7.4999999999999969E-2</v>
      </c>
      <c r="AE25" s="7">
        <f t="shared" si="21"/>
        <v>7.4999999999999997E-2</v>
      </c>
      <c r="AF25" s="7">
        <f t="shared" si="21"/>
        <v>7.5000000000000039E-2</v>
      </c>
      <c r="AG25" s="7">
        <f t="shared" si="21"/>
        <v>7.5000000000000011E-2</v>
      </c>
      <c r="AH25" s="7">
        <f t="shared" si="21"/>
        <v>7.4999999999999886E-2</v>
      </c>
      <c r="AI25" s="7">
        <f t="shared" si="21"/>
        <v>7.5000000000000011E-2</v>
      </c>
      <c r="AJ25" s="7">
        <f t="shared" si="21"/>
        <v>7.4999999999999983E-2</v>
      </c>
    </row>
    <row r="26" spans="1:36" ht="15.95" customHeight="1" thickTop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36" ht="15.95" customHeight="1" x14ac:dyDescent="0.2">
      <c r="A27" t="s">
        <v>25</v>
      </c>
      <c r="B27" s="2"/>
      <c r="C27" s="43">
        <f>$B$12</f>
        <v>0.1</v>
      </c>
      <c r="D27" s="43">
        <f t="shared" ref="D27:M27" si="22">$B$12</f>
        <v>0.1</v>
      </c>
      <c r="E27" s="43">
        <f t="shared" si="22"/>
        <v>0.1</v>
      </c>
      <c r="F27" s="43">
        <f t="shared" si="22"/>
        <v>0.1</v>
      </c>
      <c r="G27" s="43">
        <f t="shared" si="22"/>
        <v>0.1</v>
      </c>
      <c r="H27" s="43">
        <f t="shared" si="22"/>
        <v>0.1</v>
      </c>
      <c r="I27" s="43">
        <f t="shared" si="22"/>
        <v>0.1</v>
      </c>
      <c r="J27" s="43">
        <f t="shared" si="22"/>
        <v>0.1</v>
      </c>
      <c r="K27" s="43">
        <f t="shared" si="22"/>
        <v>0.1</v>
      </c>
      <c r="L27" s="43">
        <f t="shared" si="22"/>
        <v>0.1</v>
      </c>
      <c r="M27" s="43">
        <f t="shared" si="22"/>
        <v>0.1</v>
      </c>
      <c r="O27" t="s">
        <v>124</v>
      </c>
      <c r="P27" s="38">
        <f>P19+P22</f>
        <v>1431083</v>
      </c>
      <c r="Q27" s="38">
        <f t="shared" ref="Q27:X27" si="23">Q19+Q22</f>
        <v>1517053</v>
      </c>
      <c r="R27" s="38">
        <f t="shared" si="23"/>
        <v>1490283</v>
      </c>
      <c r="S27" s="38">
        <f t="shared" si="23"/>
        <v>1563164</v>
      </c>
      <c r="T27" s="38">
        <f t="shared" si="23"/>
        <v>2761621</v>
      </c>
      <c r="U27" s="38">
        <f>U19+U22</f>
        <v>3857199</v>
      </c>
      <c r="V27" s="38">
        <f>V19+V22</f>
        <v>5086807</v>
      </c>
      <c r="W27" s="38">
        <f t="shared" si="23"/>
        <v>5503078</v>
      </c>
      <c r="X27" s="38">
        <f t="shared" si="23"/>
        <v>6061472</v>
      </c>
      <c r="Y27" s="38">
        <f>Y19+Y22</f>
        <v>6749391</v>
      </c>
      <c r="Z27" s="38">
        <f>Y27*(1+0.075)</f>
        <v>7255595.3249999993</v>
      </c>
      <c r="AA27" s="38">
        <f t="shared" ref="AA27:AJ27" si="24">Z27*(1+0.075)</f>
        <v>7799764.9743749993</v>
      </c>
      <c r="AB27" s="38">
        <f t="shared" si="24"/>
        <v>8384747.3474531239</v>
      </c>
      <c r="AC27" s="38">
        <f t="shared" si="24"/>
        <v>9013603.3985121083</v>
      </c>
      <c r="AD27" s="38">
        <f t="shared" si="24"/>
        <v>9689623.6534005161</v>
      </c>
      <c r="AE27" s="38">
        <f t="shared" si="24"/>
        <v>10416345.427405555</v>
      </c>
      <c r="AF27" s="38">
        <f t="shared" si="24"/>
        <v>11197571.334460972</v>
      </c>
      <c r="AG27" s="38">
        <f t="shared" si="24"/>
        <v>12037389.184545545</v>
      </c>
      <c r="AH27" s="38">
        <f t="shared" si="24"/>
        <v>12940193.373386459</v>
      </c>
      <c r="AI27" s="38">
        <f t="shared" si="24"/>
        <v>13910707.876390444</v>
      </c>
      <c r="AJ27" s="38">
        <f t="shared" si="24"/>
        <v>14954010.967119727</v>
      </c>
    </row>
    <row r="28" spans="1:36" ht="15.95" customHeight="1" x14ac:dyDescent="0.2">
      <c r="A28" t="s">
        <v>49</v>
      </c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10</v>
      </c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36" ht="15.95" customHeight="1" x14ac:dyDescent="0.2">
      <c r="A29" t="s">
        <v>50</v>
      </c>
      <c r="B29" s="1"/>
      <c r="C29" s="1">
        <f>1/(1+C27)^C28</f>
        <v>0.90909090909090906</v>
      </c>
      <c r="D29" s="1">
        <f t="shared" ref="D29:L29" si="25">1/(1+D27)^D28</f>
        <v>0.82644628099173545</v>
      </c>
      <c r="E29" s="1">
        <f t="shared" si="25"/>
        <v>0.75131480090157754</v>
      </c>
      <c r="F29" s="1">
        <f t="shared" si="25"/>
        <v>0.68301345536507052</v>
      </c>
      <c r="G29" s="1">
        <f t="shared" si="25"/>
        <v>0.62092132305915493</v>
      </c>
      <c r="H29" s="1">
        <f t="shared" si="25"/>
        <v>0.56447393005377722</v>
      </c>
      <c r="I29" s="1">
        <f t="shared" si="25"/>
        <v>0.51315811823070645</v>
      </c>
      <c r="J29" s="1">
        <f t="shared" si="25"/>
        <v>0.46650738020973315</v>
      </c>
      <c r="K29" s="1">
        <f t="shared" si="25"/>
        <v>0.42409761837248466</v>
      </c>
      <c r="L29" s="1">
        <f t="shared" si="25"/>
        <v>0.38554328942953148</v>
      </c>
      <c r="M29" s="1">
        <f>1/(1+M27)^M28</f>
        <v>0.38554328942953148</v>
      </c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36" ht="15.9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8">
        <f>M25/(M27-0.03)</f>
        <v>5959.8734070214541</v>
      </c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6">
        <v>506.20400000000001</v>
      </c>
      <c r="AA30" s="6">
        <v>544.16999999999996</v>
      </c>
      <c r="AB30" s="6">
        <v>584.98199999999997</v>
      </c>
      <c r="AC30" s="6">
        <v>628.85599999999999</v>
      </c>
      <c r="AD30" s="6">
        <v>676.02</v>
      </c>
      <c r="AE30" s="6">
        <v>726.72199999999998</v>
      </c>
      <c r="AF30" s="6">
        <v>781.226</v>
      </c>
      <c r="AG30" s="6">
        <v>839.81799999999998</v>
      </c>
      <c r="AH30" s="6">
        <v>902.80399999999997</v>
      </c>
      <c r="AI30" s="6">
        <v>970.51499999999999</v>
      </c>
      <c r="AJ30" s="6">
        <v>1043.3030000000001</v>
      </c>
    </row>
    <row r="31" spans="1:36" ht="15.95" customHeight="1" thickBot="1" x14ac:dyDescent="0.25">
      <c r="A31" t="s">
        <v>52</v>
      </c>
      <c r="B31" s="1"/>
      <c r="C31" s="39">
        <f>C25*C29</f>
        <v>350.27072727272719</v>
      </c>
      <c r="D31" s="39">
        <f t="shared" ref="D31:L31" si="26">D25*D29</f>
        <v>342.62395454545452</v>
      </c>
      <c r="E31" s="39">
        <f t="shared" si="26"/>
        <v>87.811542862509356</v>
      </c>
      <c r="F31" s="39">
        <f t="shared" si="26"/>
        <v>327.76676083643514</v>
      </c>
      <c r="G31" s="39">
        <f t="shared" si="26"/>
        <v>320.55393206572541</v>
      </c>
      <c r="H31" s="39">
        <f t="shared" si="26"/>
        <v>82.653210725684133</v>
      </c>
      <c r="I31" s="39">
        <f t="shared" si="26"/>
        <v>306.55388613730008</v>
      </c>
      <c r="J31" s="39">
        <f t="shared" si="26"/>
        <v>299.76425841962214</v>
      </c>
      <c r="K31" s="39">
        <f t="shared" si="26"/>
        <v>77.666363843899006</v>
      </c>
      <c r="L31" s="39">
        <f t="shared" si="26"/>
        <v>286.59776328533417</v>
      </c>
      <c r="M31" s="46">
        <f>M30*M29</f>
        <v>2297.7891979266406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36" ht="15.95" customHeight="1" thickTop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95" customHeight="1" thickBot="1" x14ac:dyDescent="0.25">
      <c r="A33" t="s">
        <v>54</v>
      </c>
      <c r="B33" s="71">
        <f>SUM(C31:L31,M31)</f>
        <v>4780.0515979213314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95" customHeight="1" thickTop="1" thickBot="1" x14ac:dyDescent="0.25">
      <c r="A34" s="55" t="s">
        <v>55</v>
      </c>
      <c r="B34" s="72">
        <v>4390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1"/>
    </row>
    <row r="35" spans="1:14" ht="15.9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95" customHeight="1" x14ac:dyDescent="0.2"/>
    <row r="37" spans="1:14" ht="15.95" customHeight="1" x14ac:dyDescent="0.2">
      <c r="A37" s="111" t="s">
        <v>131</v>
      </c>
      <c r="B37" s="111"/>
    </row>
    <row r="38" spans="1:14" ht="15.95" customHeight="1" x14ac:dyDescent="0.2">
      <c r="A38" s="4" t="s">
        <v>11</v>
      </c>
      <c r="B38" s="5" t="s">
        <v>13</v>
      </c>
    </row>
    <row r="39" spans="1:14" ht="15.95" customHeight="1" x14ac:dyDescent="0.2">
      <c r="A39" t="s">
        <v>16</v>
      </c>
      <c r="B39" s="48">
        <v>4390</v>
      </c>
    </row>
    <row r="40" spans="1:14" ht="15.95" customHeight="1" x14ac:dyDescent="0.2">
      <c r="A40" t="s">
        <v>85</v>
      </c>
      <c r="B40" s="42">
        <v>0.05</v>
      </c>
    </row>
    <row r="41" spans="1:14" ht="15.95" customHeight="1" x14ac:dyDescent="0.2">
      <c r="A41" s="8" t="s">
        <v>59</v>
      </c>
      <c r="B41" s="43">
        <v>0.1</v>
      </c>
    </row>
    <row r="42" spans="1:14" ht="15.95" customHeight="1" x14ac:dyDescent="0.2">
      <c r="B42" s="7"/>
    </row>
    <row r="43" spans="1:14" ht="15.95" customHeight="1" x14ac:dyDescent="0.2">
      <c r="A43" s="4" t="s">
        <v>60</v>
      </c>
      <c r="B43" s="5" t="s">
        <v>29</v>
      </c>
      <c r="C43" s="5" t="s">
        <v>30</v>
      </c>
      <c r="D43" s="5" t="s">
        <v>31</v>
      </c>
      <c r="E43" s="5" t="s">
        <v>32</v>
      </c>
      <c r="F43" s="5" t="s">
        <v>33</v>
      </c>
      <c r="G43" s="5" t="s">
        <v>34</v>
      </c>
      <c r="H43" s="5" t="s">
        <v>35</v>
      </c>
      <c r="I43" s="5" t="s">
        <v>36</v>
      </c>
      <c r="J43" s="5" t="s">
        <v>37</v>
      </c>
      <c r="K43" s="5" t="s">
        <v>38</v>
      </c>
    </row>
    <row r="44" spans="1:14" ht="15.95" customHeight="1" x14ac:dyDescent="0.2">
      <c r="A44" s="8" t="s">
        <v>86</v>
      </c>
      <c r="B44" s="1">
        <f>C25</f>
        <v>385.29779999999994</v>
      </c>
      <c r="C44" s="1">
        <f>D25</f>
        <v>414.57498500000003</v>
      </c>
      <c r="D44" s="1">
        <f t="shared" ref="D44:J44" si="27">E25</f>
        <v>116.87716354999999</v>
      </c>
      <c r="E44" s="1">
        <f t="shared" si="27"/>
        <v>479.88331454062478</v>
      </c>
      <c r="F44" s="1">
        <f t="shared" si="27"/>
        <v>516.25531313117165</v>
      </c>
      <c r="G44" s="1">
        <f t="shared" si="27"/>
        <v>146.42520464640376</v>
      </c>
      <c r="H44" s="1">
        <f t="shared" si="27"/>
        <v>597.38679998721</v>
      </c>
      <c r="I44" s="1">
        <f t="shared" si="27"/>
        <v>642.57130998625064</v>
      </c>
      <c r="J44" s="1">
        <f t="shared" si="27"/>
        <v>183.13322329408766</v>
      </c>
      <c r="K44" s="1">
        <f>L25</f>
        <v>743.36078760286068</v>
      </c>
    </row>
    <row r="45" spans="1:14" ht="15.95" customHeight="1" x14ac:dyDescent="0.2">
      <c r="A45" s="8" t="s">
        <v>87</v>
      </c>
      <c r="B45" s="3">
        <v>0.1</v>
      </c>
      <c r="C45" s="3">
        <f>(C44-B44)/ABS(B44)</f>
        <v>7.5985860806887795E-2</v>
      </c>
      <c r="D45" s="3">
        <f t="shared" ref="D45:K45" si="28">(D44-C44)/ABS(C44)</f>
        <v>-0.71807955670552581</v>
      </c>
      <c r="E45" s="3">
        <f>(E44-D44)/ABS(D44)</f>
        <v>3.105877486796905</v>
      </c>
      <c r="F45" s="3">
        <f t="shared" si="28"/>
        <v>7.5793422043365866E-2</v>
      </c>
      <c r="G45" s="3">
        <f t="shared" si="28"/>
        <v>-0.71637056138306587</v>
      </c>
      <c r="H45" s="3">
        <f t="shared" si="28"/>
        <v>3.0798085372652539</v>
      </c>
      <c r="I45" s="3">
        <f t="shared" si="28"/>
        <v>7.5636940755985968E-2</v>
      </c>
      <c r="J45" s="3">
        <f t="shared" si="28"/>
        <v>-0.7149993775819119</v>
      </c>
      <c r="K45" s="3">
        <f t="shared" si="28"/>
        <v>3.059125778663994</v>
      </c>
    </row>
    <row r="46" spans="1:14" ht="15.95" customHeight="1" x14ac:dyDescent="0.2">
      <c r="A46" s="8" t="s">
        <v>88</v>
      </c>
      <c r="B46" s="7">
        <f>B44/B39</f>
        <v>8.7767152619589964E-2</v>
      </c>
      <c r="C46" s="7">
        <f t="shared" ref="C46:K46" si="29">C44/B47</f>
        <v>5.3799293040344393E-2</v>
      </c>
      <c r="D46" s="7">
        <f t="shared" si="29"/>
        <v>1.409602216472371E-2</v>
      </c>
      <c r="E46" s="7">
        <f t="shared" si="29"/>
        <v>5.7876540059529254E-2</v>
      </c>
      <c r="F46" s="7">
        <f t="shared" si="29"/>
        <v>5.3789671102168299E-2</v>
      </c>
      <c r="G46" s="7">
        <f t="shared" si="29"/>
        <v>1.4181471930846706E-2</v>
      </c>
      <c r="H46" s="7">
        <f t="shared" si="29"/>
        <v>5.785769025445596E-2</v>
      </c>
      <c r="I46" s="7">
        <f t="shared" si="29"/>
        <v>5.3781847037799299E-2</v>
      </c>
      <c r="J46" s="7">
        <f t="shared" si="29"/>
        <v>1.4250031120904404E-2</v>
      </c>
      <c r="K46" s="7">
        <f t="shared" si="29"/>
        <v>5.7842668669627242E-2</v>
      </c>
    </row>
    <row r="47" spans="1:14" ht="15.95" customHeight="1" x14ac:dyDescent="0.2">
      <c r="A47" s="8" t="s">
        <v>16</v>
      </c>
      <c r="B47" s="6">
        <f>IF(B44/$B$40&lt;B39,B39,B44/$B$40)</f>
        <v>7705.9559999999983</v>
      </c>
      <c r="C47" s="6">
        <f>IF(C44/$B$40&lt;B47,B47,C44/$B$40)</f>
        <v>8291.4997000000003</v>
      </c>
      <c r="D47" s="6">
        <f>IF(D44/$B$40&lt;C47,C47,D44/$B$40)</f>
        <v>8291.4997000000003</v>
      </c>
      <c r="E47" s="6">
        <f t="shared" ref="E47:K47" si="30">IF(E44/$B$40&lt;D47,D47,E44/$B$40)</f>
        <v>9597.6662908124945</v>
      </c>
      <c r="F47" s="6">
        <f t="shared" si="30"/>
        <v>10325.106262623432</v>
      </c>
      <c r="G47" s="6">
        <f t="shared" si="30"/>
        <v>10325.106262623432</v>
      </c>
      <c r="H47" s="6">
        <f>IF(H44/$B$40&lt;G47,G47,H44/$B$40)</f>
        <v>11947.7359997442</v>
      </c>
      <c r="I47" s="6">
        <f t="shared" si="30"/>
        <v>12851.426199725012</v>
      </c>
      <c r="J47" s="6">
        <f t="shared" si="30"/>
        <v>12851.426199725012</v>
      </c>
      <c r="K47" s="6">
        <f t="shared" si="30"/>
        <v>14867.215752057213</v>
      </c>
    </row>
    <row r="48" spans="1:14" ht="15.95" customHeight="1" x14ac:dyDescent="0.2">
      <c r="A48" s="8" t="s">
        <v>89</v>
      </c>
      <c r="B48" s="3">
        <f>(B47-B39)/B39</f>
        <v>0.75534305239179911</v>
      </c>
      <c r="C48" s="3">
        <f>(C47-B47)/B47</f>
        <v>7.5985860806887837E-2</v>
      </c>
      <c r="D48" s="3">
        <f>(D47-C47)/C47</f>
        <v>0</v>
      </c>
      <c r="E48" s="3">
        <f t="shared" ref="E48:J48" si="31">(E47-D47)/D47</f>
        <v>0.15753080119058488</v>
      </c>
      <c r="F48" s="3">
        <f t="shared" si="31"/>
        <v>7.5793422043365949E-2</v>
      </c>
      <c r="G48" s="3">
        <f t="shared" si="31"/>
        <v>0</v>
      </c>
      <c r="H48" s="3">
        <f t="shared" si="31"/>
        <v>0.15715380508911925</v>
      </c>
      <c r="I48" s="3">
        <f t="shared" si="31"/>
        <v>7.5636940755985926E-2</v>
      </c>
      <c r="J48" s="3">
        <f t="shared" si="31"/>
        <v>0</v>
      </c>
      <c r="K48" s="3">
        <f>(K47-J47)/J47</f>
        <v>0.15685337339254479</v>
      </c>
    </row>
    <row r="49" spans="1:11" ht="15.95" customHeight="1" x14ac:dyDescent="0.2">
      <c r="A49" s="8" t="s">
        <v>102</v>
      </c>
      <c r="B49" s="9">
        <f>B47/B39</f>
        <v>1.7553430523917992</v>
      </c>
      <c r="C49" s="9">
        <f t="shared" ref="C49:K49" si="32">(C47-B47)/B47+1</f>
        <v>1.0759858608068877</v>
      </c>
      <c r="D49" s="9">
        <f t="shared" si="32"/>
        <v>1</v>
      </c>
      <c r="E49" s="9">
        <f t="shared" si="32"/>
        <v>1.1575308011905849</v>
      </c>
      <c r="F49" s="9">
        <f t="shared" si="32"/>
        <v>1.075793422043366</v>
      </c>
      <c r="G49" s="9">
        <f t="shared" si="32"/>
        <v>1</v>
      </c>
      <c r="H49" s="9">
        <f t="shared" si="32"/>
        <v>1.1571538050891192</v>
      </c>
      <c r="I49" s="9">
        <f t="shared" si="32"/>
        <v>1.0756369407559858</v>
      </c>
      <c r="J49" s="9">
        <f t="shared" si="32"/>
        <v>1</v>
      </c>
      <c r="K49" s="9">
        <f t="shared" si="32"/>
        <v>1.1568533733925448</v>
      </c>
    </row>
    <row r="50" spans="1:11" ht="15.95" customHeight="1" x14ac:dyDescent="0.2"/>
    <row r="51" spans="1:11" ht="15.95" customHeight="1" x14ac:dyDescent="0.2">
      <c r="A51" s="4" t="s">
        <v>67</v>
      </c>
      <c r="B51" s="5" t="s">
        <v>13</v>
      </c>
      <c r="D51" s="121" t="s">
        <v>68</v>
      </c>
      <c r="E51" s="121"/>
      <c r="F51" s="121"/>
      <c r="G51" s="121"/>
      <c r="H51" s="121"/>
      <c r="I51" s="121"/>
      <c r="J51" s="121"/>
    </row>
    <row r="52" spans="1:11" ht="15.95" customHeight="1" x14ac:dyDescent="0.2">
      <c r="A52" s="8" t="s">
        <v>90</v>
      </c>
      <c r="B52" s="10">
        <f>K47</f>
        <v>14867.215752057213</v>
      </c>
      <c r="D52" s="114" t="s">
        <v>70</v>
      </c>
      <c r="E52" s="11"/>
      <c r="F52" s="117" t="s">
        <v>71</v>
      </c>
      <c r="G52" s="117"/>
      <c r="H52" s="117"/>
      <c r="I52" s="117"/>
      <c r="J52" s="118"/>
    </row>
    <row r="53" spans="1:11" ht="15.95" customHeight="1" x14ac:dyDescent="0.2">
      <c r="A53" s="8" t="s">
        <v>91</v>
      </c>
      <c r="B53" s="10">
        <f>SUM(B44:K44)</f>
        <v>4225.7659017386095</v>
      </c>
      <c r="D53" s="115"/>
      <c r="E53" s="12" t="str">
        <f>B56</f>
        <v>Investable</v>
      </c>
      <c r="F53" s="13">
        <v>3750</v>
      </c>
      <c r="G53" s="13">
        <v>4000</v>
      </c>
      <c r="H53" s="13">
        <v>4390</v>
      </c>
      <c r="I53" s="13">
        <v>4750</v>
      </c>
      <c r="J53" s="14">
        <v>5000</v>
      </c>
    </row>
    <row r="54" spans="1:11" ht="15.95" customHeight="1" x14ac:dyDescent="0.2">
      <c r="A54" s="8" t="s">
        <v>92</v>
      </c>
      <c r="B54" s="10">
        <f>SUM(B52:B53)</f>
        <v>19092.981653795821</v>
      </c>
      <c r="D54" s="115"/>
      <c r="E54" s="15">
        <v>0.05</v>
      </c>
      <c r="F54" s="49" t="str">
        <f t="dataTable" ref="F54:J58" dt2D="1" dtr="1" r1="B39" r2="B40"/>
        <v>Investable</v>
      </c>
      <c r="G54" s="50" t="str">
        <v>Investable</v>
      </c>
      <c r="H54" s="50" t="str">
        <v>Investable</v>
      </c>
      <c r="I54" s="50" t="str">
        <v>Investable</v>
      </c>
      <c r="J54" s="51" t="str">
        <v>Investable</v>
      </c>
    </row>
    <row r="55" spans="1:11" ht="15.95" customHeight="1" thickBot="1" x14ac:dyDescent="0.25">
      <c r="A55" s="8" t="s">
        <v>74</v>
      </c>
      <c r="B55" s="67">
        <f>POWER(B54/B39, 1/10)-1</f>
        <v>0.1583529885948074</v>
      </c>
      <c r="D55" s="115"/>
      <c r="E55" s="15">
        <v>0.06</v>
      </c>
      <c r="F55" s="52" t="str">
        <v>Investable</v>
      </c>
      <c r="G55" s="17" t="str">
        <v>Investable</v>
      </c>
      <c r="H55" s="17" t="str">
        <v>Investable</v>
      </c>
      <c r="I55" s="17" t="str">
        <v>Investable</v>
      </c>
      <c r="J55" s="18" t="str">
        <v>Investable</v>
      </c>
    </row>
    <row r="56" spans="1:11" ht="15.95" customHeight="1" thickTop="1" x14ac:dyDescent="0.2">
      <c r="A56" s="8" t="s">
        <v>93</v>
      </c>
      <c r="B56" s="23" t="str">
        <f>IF(B55&gt;B41,"Investable", "Not Worth It")</f>
        <v>Investable</v>
      </c>
      <c r="D56" s="115"/>
      <c r="E56" s="15">
        <v>7.0000000000000007E-2</v>
      </c>
      <c r="F56" s="52" t="str">
        <v>Investable</v>
      </c>
      <c r="G56" s="17" t="str">
        <v>Investable</v>
      </c>
      <c r="H56" s="17" t="str">
        <v>Investable</v>
      </c>
      <c r="I56" s="17" t="str">
        <v>Investable</v>
      </c>
      <c r="J56" s="18" t="str">
        <v>Investable</v>
      </c>
    </row>
    <row r="57" spans="1:11" ht="15.95" customHeight="1" x14ac:dyDescent="0.2">
      <c r="A57" s="8"/>
      <c r="B57" s="7"/>
      <c r="D57" s="115"/>
      <c r="E57" s="15">
        <v>0.08</v>
      </c>
      <c r="F57" s="52" t="str">
        <v>Investable</v>
      </c>
      <c r="G57" s="17" t="str">
        <v>Investable</v>
      </c>
      <c r="H57" s="17" t="str">
        <v>Investable</v>
      </c>
      <c r="I57" s="17" t="str">
        <v>Investable</v>
      </c>
      <c r="J57" s="18" t="str">
        <v>Investable</v>
      </c>
    </row>
    <row r="58" spans="1:11" ht="15.95" customHeight="1" x14ac:dyDescent="0.2">
      <c r="A58" s="8"/>
      <c r="B58" s="48"/>
      <c r="D58" s="116"/>
      <c r="E58" s="20">
        <v>0.09</v>
      </c>
      <c r="F58" s="53" t="str">
        <v>Investable</v>
      </c>
      <c r="G58" s="21" t="str">
        <v>Investable</v>
      </c>
      <c r="H58" s="21" t="str">
        <v>Investable</v>
      </c>
      <c r="I58" s="21" t="str">
        <v>Investable</v>
      </c>
      <c r="J58" s="22" t="str">
        <v>Not Worth It</v>
      </c>
    </row>
    <row r="59" spans="1:11" ht="15.95" customHeight="1" x14ac:dyDescent="0.2">
      <c r="A59" s="8"/>
      <c r="B59" s="10"/>
    </row>
    <row r="60" spans="1:11" ht="15.95" customHeight="1" x14ac:dyDescent="0.2">
      <c r="A60" s="8"/>
      <c r="B60" s="19"/>
      <c r="D60" s="122" t="s">
        <v>76</v>
      </c>
      <c r="E60" s="123"/>
      <c r="F60" s="123"/>
      <c r="G60" s="123"/>
      <c r="H60" s="123"/>
      <c r="I60" s="123"/>
      <c r="J60" s="124"/>
    </row>
    <row r="61" spans="1:11" ht="15.95" customHeight="1" x14ac:dyDescent="0.2">
      <c r="A61" s="8"/>
      <c r="B61" s="54"/>
      <c r="D61" s="114" t="s">
        <v>70</v>
      </c>
      <c r="E61" s="11"/>
      <c r="F61" s="117" t="s">
        <v>71</v>
      </c>
      <c r="G61" s="117"/>
      <c r="H61" s="117"/>
      <c r="I61" s="117"/>
      <c r="J61" s="118"/>
    </row>
    <row r="62" spans="1:11" ht="15.95" customHeight="1" x14ac:dyDescent="0.2">
      <c r="A62" s="8"/>
      <c r="B62" s="7"/>
      <c r="D62" s="115"/>
      <c r="E62" s="12">
        <f>B55</f>
        <v>0.1583529885948074</v>
      </c>
      <c r="F62" s="13">
        <v>3750</v>
      </c>
      <c r="G62" s="13">
        <v>4000</v>
      </c>
      <c r="H62" s="13">
        <v>4390</v>
      </c>
      <c r="I62" s="13">
        <v>4750</v>
      </c>
      <c r="J62" s="14">
        <v>5000</v>
      </c>
      <c r="K62" s="6"/>
    </row>
    <row r="63" spans="1:11" ht="15.95" customHeight="1" x14ac:dyDescent="0.2">
      <c r="D63" s="115"/>
      <c r="E63" s="15">
        <v>0.05</v>
      </c>
      <c r="F63" s="24">
        <f t="dataTable" ref="F63:J67" dt2D="1" dtr="1" r1="B39" r2="B40" ca="1"/>
        <v>0.17675011318817457</v>
      </c>
      <c r="G63" s="25">
        <v>0.16917999646570392</v>
      </c>
      <c r="H63" s="25">
        <v>0.1583529885948074</v>
      </c>
      <c r="I63" s="25">
        <v>0.14925926756131402</v>
      </c>
      <c r="J63" s="41">
        <v>0.14337943086871729</v>
      </c>
    </row>
    <row r="64" spans="1:11" ht="15.95" customHeight="1" x14ac:dyDescent="0.2">
      <c r="C64" s="7"/>
      <c r="D64" s="115"/>
      <c r="E64" s="15">
        <v>0.06</v>
      </c>
      <c r="F64" s="27">
        <v>0.16050549581018769</v>
      </c>
      <c r="G64" s="28">
        <v>0.15303988186046813</v>
      </c>
      <c r="H64" s="28">
        <v>0.14236233698790901</v>
      </c>
      <c r="I64" s="28">
        <v>0.13339415154355705</v>
      </c>
      <c r="J64" s="29">
        <v>0.12759548390821873</v>
      </c>
      <c r="K64" s="30"/>
    </row>
    <row r="65" spans="3:11" ht="15.95" customHeight="1" x14ac:dyDescent="0.2">
      <c r="C65" s="31"/>
      <c r="D65" s="115"/>
      <c r="E65" s="15">
        <v>7.0000000000000007E-2</v>
      </c>
      <c r="F65" s="27">
        <v>0.14750740103036875</v>
      </c>
      <c r="G65" s="28">
        <v>0.14012540474386426</v>
      </c>
      <c r="H65" s="28">
        <v>0.12956745235989775</v>
      </c>
      <c r="I65" s="28">
        <v>0.12069971394042378</v>
      </c>
      <c r="J65" s="29">
        <v>0.1149659935472942</v>
      </c>
      <c r="K65" s="6"/>
    </row>
    <row r="66" spans="3:11" ht="15.95" customHeight="1" x14ac:dyDescent="0.2">
      <c r="C66" s="32"/>
      <c r="D66" s="115"/>
      <c r="E66" s="15">
        <v>0.08</v>
      </c>
      <c r="F66" s="27">
        <v>0.13680872194043436</v>
      </c>
      <c r="G66" s="28">
        <v>0.12949555101334931</v>
      </c>
      <c r="H66" s="28">
        <v>0.11903603472164814</v>
      </c>
      <c r="I66" s="28">
        <v>0.11025097384091453</v>
      </c>
      <c r="J66" s="29">
        <v>0.1045707112594052</v>
      </c>
      <c r="K66" s="6"/>
    </row>
    <row r="67" spans="3:11" ht="15.95" customHeight="1" x14ac:dyDescent="0.2">
      <c r="C67" s="33"/>
      <c r="D67" s="116"/>
      <c r="E67" s="20">
        <v>0.09</v>
      </c>
      <c r="F67" s="34">
        <v>0.12781242931582204</v>
      </c>
      <c r="G67" s="35">
        <v>0.12055713217559672</v>
      </c>
      <c r="H67" s="35">
        <v>0.11018038870878311</v>
      </c>
      <c r="I67" s="35">
        <v>0.10146484961907998</v>
      </c>
      <c r="J67" s="36">
        <v>9.5829538579005558E-2</v>
      </c>
      <c r="K67" s="33"/>
    </row>
    <row r="68" spans="3:11" ht="15.95" customHeight="1" x14ac:dyDescent="0.2"/>
    <row r="69" spans="3:11" ht="15.95" customHeight="1" x14ac:dyDescent="0.2"/>
    <row r="70" spans="3:11" ht="15.95" customHeight="1" x14ac:dyDescent="0.2"/>
    <row r="71" spans="3:11" ht="15.95" customHeight="1" x14ac:dyDescent="0.2"/>
    <row r="72" spans="3:11" ht="15.95" customHeight="1" x14ac:dyDescent="0.2"/>
    <row r="73" spans="3:11" ht="15.95" customHeight="1" x14ac:dyDescent="0.2"/>
    <row r="74" spans="3:11" ht="15.95" customHeight="1" x14ac:dyDescent="0.2"/>
    <row r="75" spans="3:11" ht="15.95" customHeight="1" x14ac:dyDescent="0.2"/>
    <row r="76" spans="3:11" ht="15.95" customHeight="1" x14ac:dyDescent="0.2"/>
    <row r="77" spans="3:11" ht="15.95" customHeight="1" x14ac:dyDescent="0.2"/>
    <row r="78" spans="3:11" ht="15.95" customHeight="1" x14ac:dyDescent="0.2"/>
    <row r="79" spans="3:11" ht="15.95" customHeight="1" x14ac:dyDescent="0.2"/>
    <row r="80" spans="3:11" ht="15.95" customHeight="1" x14ac:dyDescent="0.2"/>
    <row r="81" ht="15.95" customHeight="1" x14ac:dyDescent="0.2"/>
    <row r="82" ht="15.95" customHeight="1" x14ac:dyDescent="0.2"/>
    <row r="83" ht="15.95" customHeight="1" x14ac:dyDescent="0.2"/>
    <row r="84" ht="15.95" customHeight="1" x14ac:dyDescent="0.2"/>
    <row r="85" ht="15.95" customHeight="1" x14ac:dyDescent="0.2"/>
    <row r="86" ht="15.95" customHeight="1" x14ac:dyDescent="0.2"/>
    <row r="87" ht="15.95" customHeight="1" x14ac:dyDescent="0.2"/>
    <row r="88" ht="15.95" customHeight="1" x14ac:dyDescent="0.2"/>
    <row r="89" ht="15.95" customHeight="1" x14ac:dyDescent="0.2"/>
    <row r="90" ht="15.95" customHeight="1" x14ac:dyDescent="0.2"/>
    <row r="91" ht="15.95" customHeight="1" x14ac:dyDescent="0.2"/>
    <row r="92" ht="15.95" customHeight="1" x14ac:dyDescent="0.2"/>
    <row r="93" ht="15.95" customHeight="1" x14ac:dyDescent="0.2"/>
    <row r="94" ht="15.95" customHeight="1" x14ac:dyDescent="0.2"/>
    <row r="95" ht="15.95" customHeight="1" x14ac:dyDescent="0.2"/>
    <row r="96" ht="15.95" customHeight="1" x14ac:dyDescent="0.2"/>
    <row r="97" ht="15.95" customHeight="1" x14ac:dyDescent="0.2"/>
    <row r="98" ht="15.95" customHeight="1" x14ac:dyDescent="0.2"/>
    <row r="99" ht="15.95" customHeight="1" x14ac:dyDescent="0.2"/>
    <row r="100" ht="15.95" customHeight="1" x14ac:dyDescent="0.2"/>
  </sheetData>
  <mergeCells count="10">
    <mergeCell ref="D60:J60"/>
    <mergeCell ref="D61:D67"/>
    <mergeCell ref="F61:J61"/>
    <mergeCell ref="A1:B1"/>
    <mergeCell ref="A2:B2"/>
    <mergeCell ref="A9:B9"/>
    <mergeCell ref="A37:B37"/>
    <mergeCell ref="D51:J51"/>
    <mergeCell ref="D52:D58"/>
    <mergeCell ref="F52:J52"/>
  </mergeCells>
  <phoneticPr fontId="7" type="noConversion"/>
  <conditionalFormatting sqref="B56">
    <cfRule type="containsText" dxfId="11" priority="3" operator="containsText" text="Not Worth It">
      <formula>NOT(ISERROR(SEARCH("Not Worth It",B56)))</formula>
    </cfRule>
    <cfRule type="containsText" dxfId="10" priority="4" operator="containsText" text="Investable">
      <formula>NOT(ISERROR(SEARCH("Investable",B56)))</formula>
    </cfRule>
  </conditionalFormatting>
  <conditionalFormatting sqref="F54:J58">
    <cfRule type="containsText" dxfId="9" priority="5" operator="containsText" text="Not Worth It">
      <formula>NOT(ISERROR(SEARCH("Not Worth It",F54)))</formula>
    </cfRule>
    <cfRule type="containsText" dxfId="8" priority="6" operator="containsText" text="Investable">
      <formula>NOT(ISERROR(SEARCH("Investable",F54)))</formula>
    </cfRule>
  </conditionalFormatting>
  <conditionalFormatting sqref="F63:J67">
    <cfRule type="cellIs" dxfId="7" priority="1" operator="lessThan">
      <formula>$B$41</formula>
    </cfRule>
    <cfRule type="cellIs" dxfId="6" priority="2" operator="greaterThan">
      <formula>$B$41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4CA1-64EC-4850-9320-5012A9653E73}">
  <sheetPr codeName="Sheet7"/>
  <dimension ref="A1:O104"/>
  <sheetViews>
    <sheetView showGridLines="0" topLeftCell="A26" workbookViewId="0">
      <selection activeCell="F44" sqref="F44"/>
    </sheetView>
  </sheetViews>
  <sheetFormatPr defaultRowHeight="15" x14ac:dyDescent="0.2"/>
  <cols>
    <col min="1" max="1" width="35.6484375" customWidth="1"/>
    <col min="2" max="29" width="15.73828125" customWidth="1"/>
  </cols>
  <sheetData>
    <row r="1" spans="1:15" ht="15.95" customHeight="1" x14ac:dyDescent="0.2">
      <c r="A1" s="125" t="s">
        <v>125</v>
      </c>
      <c r="B1" s="125"/>
    </row>
    <row r="2" spans="1:15" ht="15.95" customHeight="1" x14ac:dyDescent="0.2">
      <c r="A2" s="111" t="s">
        <v>1</v>
      </c>
      <c r="B2" s="111"/>
    </row>
    <row r="3" spans="1:15" ht="15.95" customHeight="1" x14ac:dyDescent="0.2">
      <c r="A3" t="s">
        <v>2</v>
      </c>
      <c r="B3" t="s">
        <v>127</v>
      </c>
    </row>
    <row r="4" spans="1:15" ht="15.95" customHeight="1" x14ac:dyDescent="0.2">
      <c r="A4" t="s">
        <v>4</v>
      </c>
      <c r="B4" t="s">
        <v>128</v>
      </c>
    </row>
    <row r="5" spans="1:15" ht="15.95" customHeight="1" x14ac:dyDescent="0.2">
      <c r="A5" t="s">
        <v>6</v>
      </c>
      <c r="B5" t="s">
        <v>129</v>
      </c>
    </row>
    <row r="6" spans="1:15" ht="15.95" customHeight="1" x14ac:dyDescent="0.2">
      <c r="A6" t="s">
        <v>8</v>
      </c>
      <c r="B6" t="s">
        <v>130</v>
      </c>
    </row>
    <row r="7" spans="1:15" ht="15.95" customHeight="1" x14ac:dyDescent="0.2"/>
    <row r="8" spans="1:15" ht="15.95" customHeight="1" x14ac:dyDescent="0.2"/>
    <row r="9" spans="1:15" ht="15.95" customHeight="1" x14ac:dyDescent="0.2">
      <c r="A9" s="111" t="s">
        <v>10</v>
      </c>
      <c r="B9" s="111"/>
      <c r="D9" s="4" t="s">
        <v>11</v>
      </c>
      <c r="E9" s="5"/>
      <c r="F9" s="57" t="s">
        <v>12</v>
      </c>
      <c r="G9" s="5"/>
      <c r="H9" s="5"/>
      <c r="I9" s="5"/>
      <c r="J9" s="5"/>
      <c r="K9" s="5"/>
      <c r="L9" s="5"/>
      <c r="M9" s="5"/>
      <c r="N9" s="5"/>
    </row>
    <row r="10" spans="1:15" ht="15.95" customHeight="1" x14ac:dyDescent="0.2">
      <c r="A10" s="4" t="s">
        <v>11</v>
      </c>
      <c r="B10" s="5" t="s">
        <v>13</v>
      </c>
      <c r="D10" t="s">
        <v>14</v>
      </c>
      <c r="E10" s="6"/>
      <c r="F10" t="s">
        <v>99</v>
      </c>
    </row>
    <row r="11" spans="1:15" ht="15.95" customHeight="1" x14ac:dyDescent="0.2">
      <c r="A11" t="s">
        <v>16</v>
      </c>
      <c r="B11" s="6">
        <v>4390</v>
      </c>
      <c r="D11" t="s">
        <v>17</v>
      </c>
      <c r="E11" s="7"/>
      <c r="F11" t="s">
        <v>100</v>
      </c>
    </row>
    <row r="12" spans="1:15" ht="15.95" customHeight="1" x14ac:dyDescent="0.2">
      <c r="A12" t="s">
        <v>19</v>
      </c>
      <c r="B12" s="7">
        <v>7.0099999999999996E-2</v>
      </c>
      <c r="D12" s="8" t="s">
        <v>20</v>
      </c>
      <c r="E12" s="3"/>
      <c r="F12" t="s">
        <v>21</v>
      </c>
    </row>
    <row r="13" spans="1:15" ht="15.95" customHeight="1" x14ac:dyDescent="0.2">
      <c r="A13" s="8" t="s">
        <v>22</v>
      </c>
      <c r="B13" s="3">
        <v>0.03</v>
      </c>
      <c r="D13" s="8" t="s">
        <v>23</v>
      </c>
      <c r="E13" s="3"/>
      <c r="F13" t="s">
        <v>82</v>
      </c>
    </row>
    <row r="14" spans="1:15" ht="15.95" customHeight="1" x14ac:dyDescent="0.2">
      <c r="A14" s="8"/>
      <c r="B14" s="3"/>
      <c r="D14" s="8" t="s">
        <v>25</v>
      </c>
      <c r="E14" s="3"/>
      <c r="F14" t="s">
        <v>26</v>
      </c>
    </row>
    <row r="15" spans="1:15" ht="15.95" customHeight="1" x14ac:dyDescent="0.2">
      <c r="A15" s="8"/>
      <c r="B15" s="3"/>
      <c r="O15" s="6"/>
    </row>
    <row r="16" spans="1:15" ht="15.95" customHeight="1" x14ac:dyDescent="0.2">
      <c r="A16" s="4" t="s">
        <v>110</v>
      </c>
      <c r="B16" s="4" t="s">
        <v>28</v>
      </c>
      <c r="C16" s="5" t="s">
        <v>29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83</v>
      </c>
      <c r="O16" s="108"/>
    </row>
    <row r="17" spans="1:15" ht="15.95" customHeight="1" x14ac:dyDescent="0.2">
      <c r="A17" t="s">
        <v>40</v>
      </c>
      <c r="C17" s="42">
        <v>0.09</v>
      </c>
      <c r="D17" s="42">
        <v>0.09</v>
      </c>
      <c r="E17" s="42">
        <v>0.09</v>
      </c>
      <c r="F17" s="42">
        <v>0.09</v>
      </c>
      <c r="G17" s="42">
        <v>0.09</v>
      </c>
      <c r="H17" s="42">
        <v>0.09</v>
      </c>
      <c r="I17" s="42">
        <v>0.09</v>
      </c>
      <c r="J17" s="42">
        <v>0.09</v>
      </c>
      <c r="K17" s="42">
        <v>0.09</v>
      </c>
      <c r="L17" s="42">
        <v>0.09</v>
      </c>
      <c r="M17" s="42">
        <v>0.09</v>
      </c>
    </row>
    <row r="18" spans="1:15" ht="15.95" customHeight="1" x14ac:dyDescent="0.2">
      <c r="A18" t="s">
        <v>40</v>
      </c>
      <c r="B18" s="1"/>
      <c r="C18" s="109">
        <f>(B19*C17)+5400</f>
        <v>8010.8099999999995</v>
      </c>
      <c r="D18" s="109">
        <f>(C19*D17)+5400</f>
        <v>8731.7829000000002</v>
      </c>
      <c r="E18" s="109">
        <f t="shared" ref="E18:L18" si="0">(D19*E17)+5400</f>
        <v>9517.6433609999985</v>
      </c>
      <c r="F18" s="109">
        <f>(E19*F17)+5400</f>
        <v>10374.231263490001</v>
      </c>
      <c r="G18" s="109">
        <f t="shared" si="0"/>
        <v>11307.912077204099</v>
      </c>
      <c r="H18" s="109">
        <f t="shared" si="0"/>
        <v>12325.624164152468</v>
      </c>
      <c r="I18" s="109">
        <f t="shared" si="0"/>
        <v>13434.930338926191</v>
      </c>
      <c r="J18" s="109">
        <f t="shared" si="0"/>
        <v>14644.074069429547</v>
      </c>
      <c r="K18" s="109">
        <f t="shared" si="0"/>
        <v>15962.040735678207</v>
      </c>
      <c r="L18" s="109">
        <f t="shared" si="0"/>
        <v>17398.624401889247</v>
      </c>
      <c r="M18" s="109"/>
    </row>
    <row r="19" spans="1:15" ht="15.95" customHeight="1" x14ac:dyDescent="0.2">
      <c r="A19" t="s">
        <v>41</v>
      </c>
      <c r="B19" s="38">
        <v>29009</v>
      </c>
      <c r="C19" s="38">
        <f>B19+C18</f>
        <v>37019.81</v>
      </c>
      <c r="D19" s="38">
        <f t="shared" ref="D19:L19" si="1">C19+D18</f>
        <v>45751.592899999996</v>
      </c>
      <c r="E19" s="38">
        <f t="shared" si="1"/>
        <v>55269.236260999998</v>
      </c>
      <c r="F19" s="38">
        <f t="shared" si="1"/>
        <v>65643.467524489999</v>
      </c>
      <c r="G19" s="38">
        <f t="shared" si="1"/>
        <v>76951.379601694091</v>
      </c>
      <c r="H19" s="38">
        <f t="shared" si="1"/>
        <v>89277.003765846559</v>
      </c>
      <c r="I19" s="38">
        <f t="shared" si="1"/>
        <v>102711.93410477275</v>
      </c>
      <c r="J19" s="38">
        <f t="shared" si="1"/>
        <v>117356.0081742023</v>
      </c>
      <c r="K19" s="38">
        <f t="shared" si="1"/>
        <v>133318.04890988051</v>
      </c>
      <c r="L19" s="38">
        <f t="shared" si="1"/>
        <v>150716.67331176976</v>
      </c>
      <c r="M19" s="38">
        <f t="shared" ref="M19" si="2">L19*(1+M17)</f>
        <v>164281.17390982906</v>
      </c>
      <c r="O19" s="7"/>
    </row>
    <row r="20" spans="1:15" ht="15.95" customHeight="1" x14ac:dyDescent="0.2">
      <c r="A20" t="s">
        <v>42</v>
      </c>
      <c r="C20" s="47">
        <v>0.2</v>
      </c>
      <c r="D20" s="47">
        <v>0.2</v>
      </c>
      <c r="E20" s="47">
        <v>0.2</v>
      </c>
      <c r="F20" s="47">
        <v>0.2</v>
      </c>
      <c r="G20" s="47">
        <v>0.2</v>
      </c>
      <c r="H20" s="47">
        <v>0.2</v>
      </c>
      <c r="I20" s="47">
        <v>0.2</v>
      </c>
      <c r="J20" s="47">
        <v>0.2</v>
      </c>
      <c r="K20" s="47">
        <v>0.2</v>
      </c>
      <c r="L20" s="47">
        <v>0.2</v>
      </c>
      <c r="M20" s="47">
        <v>0.2</v>
      </c>
    </row>
    <row r="21" spans="1:15" ht="15.95" customHeight="1" x14ac:dyDescent="0.2">
      <c r="A21" t="s">
        <v>43</v>
      </c>
      <c r="B21" s="38"/>
      <c r="C21" s="38">
        <f>C19*C20</f>
        <v>7403.9619999999995</v>
      </c>
      <c r="D21" s="38">
        <f t="shared" ref="D21:M21" si="3">D19*D20</f>
        <v>9150.3185799999992</v>
      </c>
      <c r="E21" s="38">
        <f t="shared" si="3"/>
        <v>11053.847252200001</v>
      </c>
      <c r="F21" s="38">
        <f t="shared" si="3"/>
        <v>13128.693504898001</v>
      </c>
      <c r="G21" s="38">
        <f t="shared" si="3"/>
        <v>15390.27592033882</v>
      </c>
      <c r="H21" s="38">
        <f t="shared" si="3"/>
        <v>17855.400753169313</v>
      </c>
      <c r="I21" s="38">
        <f t="shared" si="3"/>
        <v>20542.386820954551</v>
      </c>
      <c r="J21" s="38">
        <f t="shared" si="3"/>
        <v>23471.201634840461</v>
      </c>
      <c r="K21" s="38">
        <f t="shared" si="3"/>
        <v>26663.609781976105</v>
      </c>
      <c r="L21" s="38">
        <f t="shared" si="3"/>
        <v>30143.334662353955</v>
      </c>
      <c r="M21" s="38">
        <f t="shared" si="3"/>
        <v>32856.23478196581</v>
      </c>
      <c r="N21" s="1"/>
    </row>
    <row r="22" spans="1:15" ht="15.95" customHeight="1" x14ac:dyDescent="0.2">
      <c r="A22" t="s">
        <v>44</v>
      </c>
      <c r="B22" s="6"/>
      <c r="C22" s="38">
        <f>C21*(1-0.24)</f>
        <v>5627.0111200000001</v>
      </c>
      <c r="D22" s="38">
        <f t="shared" ref="D22:M22" si="4">D21*(1-0.24)</f>
        <v>6954.2421207999996</v>
      </c>
      <c r="E22" s="38">
        <f t="shared" si="4"/>
        <v>8400.923911672</v>
      </c>
      <c r="F22" s="38">
        <f t="shared" si="4"/>
        <v>9977.807063722481</v>
      </c>
      <c r="G22" s="38">
        <f t="shared" si="4"/>
        <v>11696.609699457504</v>
      </c>
      <c r="H22" s="38">
        <f t="shared" si="4"/>
        <v>13570.104572408678</v>
      </c>
      <c r="I22" s="38">
        <f t="shared" si="4"/>
        <v>15612.21398392546</v>
      </c>
      <c r="J22" s="38">
        <f t="shared" si="4"/>
        <v>17838.11324247875</v>
      </c>
      <c r="K22" s="38">
        <f t="shared" si="4"/>
        <v>20264.343434301842</v>
      </c>
      <c r="L22" s="38">
        <f>L21*(1-0.24)</f>
        <v>22908.934343389006</v>
      </c>
      <c r="M22" s="38">
        <f t="shared" si="4"/>
        <v>24970.738434294017</v>
      </c>
      <c r="N22" s="1"/>
    </row>
    <row r="23" spans="1:15" ht="15.95" customHeight="1" x14ac:dyDescent="0.2">
      <c r="A23" t="s">
        <v>119</v>
      </c>
      <c r="B23" s="1"/>
      <c r="C23" s="44">
        <f>C22*0.6</f>
        <v>3376.2066719999998</v>
      </c>
      <c r="D23" s="44">
        <f t="shared" ref="D23:M23" si="5">D22*0.6</f>
        <v>4172.5452724799998</v>
      </c>
      <c r="E23" s="44">
        <f t="shared" si="5"/>
        <v>5040.5543470031998</v>
      </c>
      <c r="F23" s="44">
        <f t="shared" si="5"/>
        <v>5986.684238233488</v>
      </c>
      <c r="G23" s="44">
        <f t="shared" si="5"/>
        <v>7017.9658196745022</v>
      </c>
      <c r="H23" s="44">
        <f t="shared" si="5"/>
        <v>8142.0627434452063</v>
      </c>
      <c r="I23" s="44">
        <f t="shared" si="5"/>
        <v>9367.3283903552747</v>
      </c>
      <c r="J23" s="44">
        <f t="shared" si="5"/>
        <v>10702.867945487249</v>
      </c>
      <c r="K23" s="44">
        <f t="shared" si="5"/>
        <v>12158.606060581105</v>
      </c>
      <c r="L23" s="44">
        <f t="shared" si="5"/>
        <v>13745.360606033404</v>
      </c>
      <c r="M23" s="44">
        <f t="shared" si="5"/>
        <v>14982.44306057641</v>
      </c>
      <c r="N23" s="1"/>
    </row>
    <row r="24" spans="1:15" ht="15.95" customHeight="1" x14ac:dyDescent="0.2">
      <c r="A24" t="s">
        <v>46</v>
      </c>
      <c r="B24" s="1"/>
      <c r="C24" s="6">
        <f>C22-C23</f>
        <v>2250.8044480000003</v>
      </c>
      <c r="D24" s="6">
        <f t="shared" ref="D24:M24" si="6">D22-D23</f>
        <v>2781.6968483199998</v>
      </c>
      <c r="E24" s="6">
        <f t="shared" si="6"/>
        <v>3360.3695646688002</v>
      </c>
      <c r="F24" s="6">
        <f t="shared" si="6"/>
        <v>3991.1228254889929</v>
      </c>
      <c r="G24" s="6">
        <f t="shared" si="6"/>
        <v>4678.6438797830015</v>
      </c>
      <c r="H24" s="6">
        <f t="shared" si="6"/>
        <v>5428.0418289634717</v>
      </c>
      <c r="I24" s="6">
        <f t="shared" si="6"/>
        <v>6244.8855935701849</v>
      </c>
      <c r="J24" s="6">
        <f t="shared" si="6"/>
        <v>7135.2452969915012</v>
      </c>
      <c r="K24" s="6">
        <f t="shared" si="6"/>
        <v>8105.7373737207363</v>
      </c>
      <c r="L24" s="6">
        <f t="shared" si="6"/>
        <v>9163.5737373556021</v>
      </c>
      <c r="M24" s="6">
        <f t="shared" si="6"/>
        <v>9988.2953737176067</v>
      </c>
    </row>
    <row r="25" spans="1:15" ht="15.95" customHeight="1" x14ac:dyDescent="0.2">
      <c r="A25" t="s">
        <v>84</v>
      </c>
      <c r="B25" s="1"/>
      <c r="C25" s="44">
        <v>50</v>
      </c>
      <c r="D25" s="44">
        <v>50</v>
      </c>
      <c r="E25" s="44">
        <v>50</v>
      </c>
      <c r="F25" s="44">
        <v>50</v>
      </c>
      <c r="G25" s="44">
        <v>50</v>
      </c>
      <c r="H25" s="44">
        <v>50</v>
      </c>
      <c r="I25" s="44">
        <v>50</v>
      </c>
      <c r="J25" s="44">
        <v>50</v>
      </c>
      <c r="K25" s="44">
        <v>50</v>
      </c>
      <c r="L25" s="44">
        <v>50</v>
      </c>
      <c r="M25" s="44">
        <v>50</v>
      </c>
    </row>
    <row r="26" spans="1:15" ht="15.95" customHeight="1" thickBot="1" x14ac:dyDescent="0.25">
      <c r="A26" t="s">
        <v>47</v>
      </c>
      <c r="B26" s="1"/>
      <c r="C26" s="39">
        <f>C24-C25</f>
        <v>2200.8044480000003</v>
      </c>
      <c r="D26" s="39">
        <f>D24-D25</f>
        <v>2731.6968483199998</v>
      </c>
      <c r="E26" s="39">
        <f t="shared" ref="E26:M26" si="7">E24-E25</f>
        <v>3310.3695646688002</v>
      </c>
      <c r="F26" s="39">
        <f t="shared" si="7"/>
        <v>3941.1228254889929</v>
      </c>
      <c r="G26" s="39">
        <f t="shared" si="7"/>
        <v>4628.6438797830015</v>
      </c>
      <c r="H26" s="39">
        <f t="shared" si="7"/>
        <v>5378.0418289634717</v>
      </c>
      <c r="I26" s="39">
        <f t="shared" si="7"/>
        <v>6194.8855935701849</v>
      </c>
      <c r="J26" s="39">
        <f t="shared" si="7"/>
        <v>7085.2452969915012</v>
      </c>
      <c r="K26" s="39">
        <f t="shared" si="7"/>
        <v>8055.7373737207363</v>
      </c>
      <c r="L26" s="39">
        <f t="shared" si="7"/>
        <v>9113.5737373556021</v>
      </c>
      <c r="M26" s="39">
        <f t="shared" si="7"/>
        <v>9938.2953737176067</v>
      </c>
    </row>
    <row r="27" spans="1:15" ht="15.95" customHeight="1" thickTop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5" ht="15.95" customHeight="1" x14ac:dyDescent="0.2">
      <c r="A28" t="s">
        <v>25</v>
      </c>
      <c r="B28" s="2"/>
      <c r="C28" s="43">
        <f>$B$12</f>
        <v>7.0099999999999996E-2</v>
      </c>
      <c r="D28" s="43">
        <f t="shared" ref="D28:M28" si="8">$B$12</f>
        <v>7.0099999999999996E-2</v>
      </c>
      <c r="E28" s="43">
        <f t="shared" si="8"/>
        <v>7.0099999999999996E-2</v>
      </c>
      <c r="F28" s="43">
        <f t="shared" si="8"/>
        <v>7.0099999999999996E-2</v>
      </c>
      <c r="G28" s="43">
        <f t="shared" si="8"/>
        <v>7.0099999999999996E-2</v>
      </c>
      <c r="H28" s="43">
        <f t="shared" si="8"/>
        <v>7.0099999999999996E-2</v>
      </c>
      <c r="I28" s="43">
        <f t="shared" si="8"/>
        <v>7.0099999999999996E-2</v>
      </c>
      <c r="J28" s="43">
        <f t="shared" si="8"/>
        <v>7.0099999999999996E-2</v>
      </c>
      <c r="K28" s="43">
        <f t="shared" si="8"/>
        <v>7.0099999999999996E-2</v>
      </c>
      <c r="L28" s="43">
        <f t="shared" si="8"/>
        <v>7.0099999999999996E-2</v>
      </c>
      <c r="M28" s="43">
        <f t="shared" si="8"/>
        <v>7.0099999999999996E-2</v>
      </c>
    </row>
    <row r="29" spans="1:15" ht="15.95" customHeight="1" x14ac:dyDescent="0.2">
      <c r="A29" t="s">
        <v>49</v>
      </c>
      <c r="B29" s="1"/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10</v>
      </c>
    </row>
    <row r="30" spans="1:15" ht="15.95" customHeight="1" x14ac:dyDescent="0.2">
      <c r="A30" t="s">
        <v>50</v>
      </c>
      <c r="B30" s="1"/>
      <c r="C30" s="1">
        <f>1/(1+C28)^C29</f>
        <v>0.93449210354172507</v>
      </c>
      <c r="D30" s="1">
        <f t="shared" ref="D30:L30" si="9">1/(1+D28)^D29</f>
        <v>0.87327549158183815</v>
      </c>
      <c r="E30" s="1">
        <f t="shared" si="9"/>
        <v>0.81606905109974592</v>
      </c>
      <c r="F30" s="1">
        <f t="shared" si="9"/>
        <v>0.76261008419750098</v>
      </c>
      <c r="G30" s="1">
        <f t="shared" si="9"/>
        <v>0.71265310176385477</v>
      </c>
      <c r="H30" s="1">
        <f t="shared" si="9"/>
        <v>0.66596869616283971</v>
      </c>
      <c r="I30" s="1">
        <f t="shared" si="9"/>
        <v>0.622342487770152</v>
      </c>
      <c r="J30" s="1">
        <f t="shared" si="9"/>
        <v>0.58157414051971956</v>
      </c>
      <c r="K30" s="1">
        <f t="shared" si="9"/>
        <v>0.54347644193974354</v>
      </c>
      <c r="L30" s="1">
        <f t="shared" si="9"/>
        <v>0.50787444345364319</v>
      </c>
      <c r="M30" s="1">
        <f>1/(1+M28)^M29</f>
        <v>0.50787444345364319</v>
      </c>
      <c r="O30" s="7"/>
    </row>
    <row r="31" spans="1:15" ht="15.9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8">
        <f>M26/(M28-B13)</f>
        <v>247837.78986826952</v>
      </c>
    </row>
    <row r="32" spans="1:15" ht="15.95" customHeight="1" thickBot="1" x14ac:dyDescent="0.25">
      <c r="A32" t="s">
        <v>52</v>
      </c>
      <c r="B32" s="1"/>
      <c r="C32" s="39">
        <f>C26*C30</f>
        <v>2056.6343780955053</v>
      </c>
      <c r="D32" s="39">
        <f t="shared" ref="D32:L32" si="10">D26*D30</f>
        <v>2385.5239080692058</v>
      </c>
      <c r="E32" s="39">
        <f t="shared" si="10"/>
        <v>2701.4901494287469</v>
      </c>
      <c r="F32" s="39">
        <f t="shared" si="10"/>
        <v>3005.5400097788538</v>
      </c>
      <c r="G32" s="39">
        <f t="shared" si="10"/>
        <v>3298.617417887639</v>
      </c>
      <c r="H32" s="39">
        <f t="shared" si="10"/>
        <v>3581.6075047440172</v>
      </c>
      <c r="I32" s="39">
        <f t="shared" si="10"/>
        <v>3855.3405117539437</v>
      </c>
      <c r="J32" s="39">
        <f t="shared" si="10"/>
        <v>4120.5954439692177</v>
      </c>
      <c r="K32" s="39">
        <f t="shared" si="10"/>
        <v>4378.1034850707601</v>
      </c>
      <c r="L32" s="39">
        <f t="shared" si="10"/>
        <v>4628.5511897332153</v>
      </c>
      <c r="M32" s="46">
        <f>M31*M30</f>
        <v>125870.47959612835</v>
      </c>
    </row>
    <row r="33" spans="1:14" ht="15.95" customHeight="1" thickTop="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95" customHeight="1" thickBot="1" x14ac:dyDescent="0.25">
      <c r="A34" t="s">
        <v>54</v>
      </c>
      <c r="B34" s="71">
        <f>SUM(C32:L32,M32)</f>
        <v>159882.48359465945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95" customHeight="1" thickTop="1" thickBot="1" x14ac:dyDescent="0.25">
      <c r="A35" s="55" t="s">
        <v>55</v>
      </c>
      <c r="B35" s="72">
        <v>61300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1"/>
    </row>
    <row r="36" spans="1:14" ht="15.9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95" customHeight="1" x14ac:dyDescent="0.2"/>
    <row r="38" spans="1:14" ht="15.95" customHeight="1" x14ac:dyDescent="0.2">
      <c r="A38" s="111" t="s">
        <v>131</v>
      </c>
      <c r="B38" s="111"/>
    </row>
    <row r="39" spans="1:14" ht="15.95" customHeight="1" x14ac:dyDescent="0.2">
      <c r="A39" s="4" t="s">
        <v>11</v>
      </c>
      <c r="B39" s="5" t="s">
        <v>13</v>
      </c>
    </row>
    <row r="40" spans="1:14" ht="15.95" customHeight="1" x14ac:dyDescent="0.2">
      <c r="A40" t="s">
        <v>85</v>
      </c>
      <c r="B40" s="7">
        <v>0.05</v>
      </c>
    </row>
    <row r="41" spans="1:14" ht="15.95" customHeight="1" x14ac:dyDescent="0.2">
      <c r="A41" s="8" t="s">
        <v>59</v>
      </c>
      <c r="B41" s="7">
        <v>0.1</v>
      </c>
    </row>
    <row r="42" spans="1:14" ht="15.95" customHeight="1" thickBot="1" x14ac:dyDescent="0.25">
      <c r="A42" t="s">
        <v>126</v>
      </c>
      <c r="B42" s="72">
        <v>61300</v>
      </c>
      <c r="C42" s="107"/>
    </row>
    <row r="43" spans="1:14" ht="15.95" customHeight="1" x14ac:dyDescent="0.2">
      <c r="A43" t="s">
        <v>55</v>
      </c>
      <c r="B43" s="48">
        <v>105000</v>
      </c>
    </row>
    <row r="44" spans="1:14" ht="15.95" customHeight="1" x14ac:dyDescent="0.2">
      <c r="B44" s="7"/>
    </row>
    <row r="45" spans="1:14" ht="15.95" customHeight="1" x14ac:dyDescent="0.2"/>
    <row r="46" spans="1:14" ht="15.95" customHeight="1" x14ac:dyDescent="0.2"/>
    <row r="47" spans="1:14" ht="15.95" customHeight="1" x14ac:dyDescent="0.2">
      <c r="A47" s="4" t="s">
        <v>60</v>
      </c>
      <c r="B47" s="5" t="s">
        <v>29</v>
      </c>
      <c r="C47" s="5" t="s">
        <v>30</v>
      </c>
      <c r="D47" s="5" t="s">
        <v>31</v>
      </c>
      <c r="E47" s="5" t="s">
        <v>32</v>
      </c>
      <c r="F47" s="5" t="s">
        <v>33</v>
      </c>
      <c r="G47" s="5" t="s">
        <v>34</v>
      </c>
      <c r="H47" s="5" t="s">
        <v>35</v>
      </c>
      <c r="I47" s="5" t="s">
        <v>36</v>
      </c>
      <c r="J47" s="5" t="s">
        <v>37</v>
      </c>
      <c r="K47" s="5" t="s">
        <v>38</v>
      </c>
    </row>
    <row r="48" spans="1:14" ht="15.95" customHeight="1" x14ac:dyDescent="0.2">
      <c r="A48" s="8" t="s">
        <v>86</v>
      </c>
      <c r="B48" s="48">
        <f t="shared" ref="B48:K48" si="11">C26</f>
        <v>2200.8044480000003</v>
      </c>
      <c r="C48" s="48">
        <f t="shared" si="11"/>
        <v>2731.6968483199998</v>
      </c>
      <c r="D48" s="48">
        <f t="shared" si="11"/>
        <v>3310.3695646688002</v>
      </c>
      <c r="E48" s="48">
        <f t="shared" si="11"/>
        <v>3941.1228254889929</v>
      </c>
      <c r="F48" s="48">
        <f t="shared" si="11"/>
        <v>4628.6438797830015</v>
      </c>
      <c r="G48" s="48">
        <f t="shared" si="11"/>
        <v>5378.0418289634717</v>
      </c>
      <c r="H48" s="48">
        <f t="shared" si="11"/>
        <v>6194.8855935701849</v>
      </c>
      <c r="I48" s="48">
        <f t="shared" si="11"/>
        <v>7085.2452969915012</v>
      </c>
      <c r="J48" s="48">
        <f t="shared" si="11"/>
        <v>8055.7373737207363</v>
      </c>
      <c r="K48" s="48">
        <f t="shared" si="11"/>
        <v>9113.5737373556021</v>
      </c>
    </row>
    <row r="49" spans="1:11" ht="15.95" customHeight="1" x14ac:dyDescent="0.2">
      <c r="A49" s="8" t="s">
        <v>87</v>
      </c>
      <c r="B49" s="3">
        <v>0.1</v>
      </c>
      <c r="C49" s="3">
        <f>(C48-B48)/ABS(B48)</f>
        <v>0.24122652096711841</v>
      </c>
      <c r="D49" s="3">
        <f t="shared" ref="D49:K49" si="12">(D48-C48)/ABS(C48)</f>
        <v>0.21183635977201698</v>
      </c>
      <c r="E49" s="3">
        <f>(E48-D48)/ABS(D48)</f>
        <v>0.19053862370901151</v>
      </c>
      <c r="F49" s="3">
        <f t="shared" si="12"/>
        <v>0.1744480151309937</v>
      </c>
      <c r="G49" s="3">
        <f t="shared" si="12"/>
        <v>0.16190443003266938</v>
      </c>
      <c r="H49" s="3">
        <f t="shared" si="12"/>
        <v>0.15188497795007783</v>
      </c>
      <c r="I49" s="3">
        <f t="shared" si="12"/>
        <v>0.14372496311238439</v>
      </c>
      <c r="J49" s="3">
        <f t="shared" si="12"/>
        <v>0.13697367360609522</v>
      </c>
      <c r="K49" s="3">
        <f t="shared" si="12"/>
        <v>0.13131465371323031</v>
      </c>
    </row>
    <row r="50" spans="1:11" ht="15.95" customHeight="1" x14ac:dyDescent="0.2">
      <c r="A50" s="8" t="s">
        <v>88</v>
      </c>
      <c r="B50" s="7">
        <f>B48/B42</f>
        <v>3.5902193278955961E-2</v>
      </c>
      <c r="C50" s="7">
        <f t="shared" ref="C50:K50" si="13">C48/B51</f>
        <v>4.4562754458727566E-2</v>
      </c>
      <c r="D50" s="7">
        <f t="shared" si="13"/>
        <v>5.4002766144678631E-2</v>
      </c>
      <c r="E50" s="7">
        <f t="shared" si="13"/>
        <v>5.9526931185450577E-2</v>
      </c>
      <c r="F50" s="7">
        <f t="shared" si="13"/>
        <v>5.8722400756549692E-2</v>
      </c>
      <c r="G50" s="7">
        <f t="shared" si="13"/>
        <v>5.8095221501633466E-2</v>
      </c>
      <c r="H50" s="7">
        <f t="shared" si="13"/>
        <v>5.7594248897503898E-2</v>
      </c>
      <c r="I50" s="7">
        <f t="shared" si="13"/>
        <v>5.7186248155619221E-2</v>
      </c>
      <c r="J50" s="7">
        <f t="shared" si="13"/>
        <v>5.6848683680304768E-2</v>
      </c>
      <c r="K50" s="7">
        <f t="shared" si="13"/>
        <v>5.6565732685661521E-2</v>
      </c>
    </row>
    <row r="51" spans="1:11" ht="15.95" customHeight="1" x14ac:dyDescent="0.2">
      <c r="A51" s="8" t="s">
        <v>16</v>
      </c>
      <c r="B51" s="6">
        <f>IF(B48/$B$40&lt;B42,B42,B48/$B$40)</f>
        <v>61300</v>
      </c>
      <c r="C51" s="6">
        <f t="shared" ref="C51:K51" si="14">IF(C48/$B$40&lt;B51,B51,C48/$B$40)</f>
        <v>61300</v>
      </c>
      <c r="D51" s="6">
        <f t="shared" si="14"/>
        <v>66207.391293376</v>
      </c>
      <c r="E51" s="6">
        <f t="shared" si="14"/>
        <v>78822.456509779848</v>
      </c>
      <c r="F51" s="6">
        <f t="shared" si="14"/>
        <v>92572.877595660029</v>
      </c>
      <c r="G51" s="6">
        <f t="shared" si="14"/>
        <v>107560.83657926942</v>
      </c>
      <c r="H51" s="6">
        <f t="shared" si="14"/>
        <v>123897.71187140369</v>
      </c>
      <c r="I51" s="6">
        <f t="shared" si="14"/>
        <v>141704.90593983</v>
      </c>
      <c r="J51" s="6">
        <f t="shared" si="14"/>
        <v>161114.7474744147</v>
      </c>
      <c r="K51" s="6">
        <f t="shared" si="14"/>
        <v>182271.47474711202</v>
      </c>
    </row>
    <row r="52" spans="1:11" ht="15.95" customHeight="1" x14ac:dyDescent="0.2">
      <c r="A52" s="8" t="s">
        <v>89</v>
      </c>
      <c r="B52" s="3">
        <f>(B51-B42)/B42</f>
        <v>0</v>
      </c>
      <c r="C52" s="3">
        <f>(C51-B51)/B51</f>
        <v>0</v>
      </c>
      <c r="D52" s="3">
        <f>(D51-C51)/C51</f>
        <v>8.0055322893572603E-2</v>
      </c>
      <c r="E52" s="3">
        <f t="shared" ref="E52:J52" si="15">(E51-D51)/D51</f>
        <v>0.1905386237090114</v>
      </c>
      <c r="F52" s="3">
        <f t="shared" si="15"/>
        <v>0.17444801513099387</v>
      </c>
      <c r="G52" s="3">
        <f t="shared" si="15"/>
        <v>0.16190443003266924</v>
      </c>
      <c r="H52" s="3">
        <f t="shared" si="15"/>
        <v>0.15188497795007788</v>
      </c>
      <c r="I52" s="3">
        <f t="shared" si="15"/>
        <v>0.14372496311238428</v>
      </c>
      <c r="J52" s="3">
        <f t="shared" si="15"/>
        <v>0.13697367360609525</v>
      </c>
      <c r="K52" s="3">
        <f>(K51-J51)/J51</f>
        <v>0.13131465371323031</v>
      </c>
    </row>
    <row r="53" spans="1:11" ht="15.95" customHeight="1" x14ac:dyDescent="0.2">
      <c r="A53" s="8" t="s">
        <v>102</v>
      </c>
      <c r="B53" s="9">
        <f>B51/B42</f>
        <v>1</v>
      </c>
      <c r="C53" s="9">
        <f t="shared" ref="C53:K53" si="16">(C51-B51)/B51+1</f>
        <v>1</v>
      </c>
      <c r="D53" s="9">
        <f t="shared" si="16"/>
        <v>1.0800553228935725</v>
      </c>
      <c r="E53" s="9">
        <f t="shared" si="16"/>
        <v>1.1905386237090114</v>
      </c>
      <c r="F53" s="9">
        <f t="shared" si="16"/>
        <v>1.1744480151309939</v>
      </c>
      <c r="G53" s="9">
        <f t="shared" si="16"/>
        <v>1.1619044300326693</v>
      </c>
      <c r="H53" s="9">
        <f t="shared" si="16"/>
        <v>1.1518849779500779</v>
      </c>
      <c r="I53" s="9">
        <f t="shared" si="16"/>
        <v>1.1437249631123843</v>
      </c>
      <c r="J53" s="9">
        <f t="shared" si="16"/>
        <v>1.1369736736060951</v>
      </c>
      <c r="K53" s="9">
        <f t="shared" si="16"/>
        <v>1.1313146537132304</v>
      </c>
    </row>
    <row r="54" spans="1:11" ht="15.95" customHeight="1" x14ac:dyDescent="0.2"/>
    <row r="55" spans="1:11" ht="15.95" customHeight="1" x14ac:dyDescent="0.2">
      <c r="A55" s="4" t="s">
        <v>67</v>
      </c>
      <c r="B55" s="5" t="s">
        <v>13</v>
      </c>
      <c r="D55" s="121" t="s">
        <v>68</v>
      </c>
      <c r="E55" s="121"/>
      <c r="F55" s="121"/>
      <c r="G55" s="121"/>
      <c r="H55" s="121"/>
      <c r="I55" s="121"/>
      <c r="J55" s="121"/>
    </row>
    <row r="56" spans="1:11" ht="15.95" customHeight="1" x14ac:dyDescent="0.2">
      <c r="A56" s="8" t="s">
        <v>90</v>
      </c>
      <c r="B56" s="10">
        <f>K51</f>
        <v>182271.47474711202</v>
      </c>
      <c r="D56" s="114" t="s">
        <v>70</v>
      </c>
      <c r="E56" s="11"/>
      <c r="F56" s="117" t="s">
        <v>71</v>
      </c>
      <c r="G56" s="117"/>
      <c r="H56" s="117"/>
      <c r="I56" s="117"/>
      <c r="J56" s="118"/>
    </row>
    <row r="57" spans="1:11" ht="15.95" customHeight="1" x14ac:dyDescent="0.2">
      <c r="A57" s="8" t="s">
        <v>91</v>
      </c>
      <c r="B57" s="10">
        <f>SUM(B48:K48)</f>
        <v>52640.121396862298</v>
      </c>
      <c r="D57" s="115"/>
      <c r="E57" s="12" t="str">
        <f>B60</f>
        <v>Investable</v>
      </c>
      <c r="F57" s="13">
        <v>30000</v>
      </c>
      <c r="G57" s="13">
        <v>35000</v>
      </c>
      <c r="H57" s="13">
        <v>40000</v>
      </c>
      <c r="I57" s="13">
        <v>45000</v>
      </c>
      <c r="J57" s="14">
        <v>47500</v>
      </c>
    </row>
    <row r="58" spans="1:11" ht="15.95" customHeight="1" x14ac:dyDescent="0.2">
      <c r="A58" s="8" t="s">
        <v>92</v>
      </c>
      <c r="B58" s="10">
        <f>SUM(B56:B57)</f>
        <v>234911.59614397431</v>
      </c>
      <c r="D58" s="115"/>
      <c r="E58" s="15">
        <v>0.04</v>
      </c>
      <c r="F58" s="49" t="str">
        <f t="dataTable" ref="F58:J62" dt2D="1" dtr="1" r1="B42" r2="B40"/>
        <v>Investable</v>
      </c>
      <c r="G58" s="50" t="str">
        <v>Investable</v>
      </c>
      <c r="H58" s="50" t="str">
        <v>Investable</v>
      </c>
      <c r="I58" s="50" t="str">
        <v>Investable</v>
      </c>
      <c r="J58" s="51" t="str">
        <v>Investable</v>
      </c>
    </row>
    <row r="59" spans="1:11" ht="15.95" customHeight="1" thickBot="1" x14ac:dyDescent="0.25">
      <c r="A59" s="8" t="s">
        <v>74</v>
      </c>
      <c r="B59" s="67">
        <f>POWER(B58/B42, 1/10)-1</f>
        <v>0.1437850036008419</v>
      </c>
      <c r="D59" s="115"/>
      <c r="E59" s="15">
        <v>0.05</v>
      </c>
      <c r="F59" s="52" t="str">
        <v>Investable</v>
      </c>
      <c r="G59" s="17" t="str">
        <v>Investable</v>
      </c>
      <c r="H59" s="17" t="str">
        <v>Investable</v>
      </c>
      <c r="I59" s="17" t="str">
        <v>Investable</v>
      </c>
      <c r="J59" s="18" t="str">
        <v>Investable</v>
      </c>
    </row>
    <row r="60" spans="1:11" ht="15.95" customHeight="1" thickTop="1" x14ac:dyDescent="0.2">
      <c r="A60" s="8" t="s">
        <v>93</v>
      </c>
      <c r="B60" s="23" t="str">
        <f>IF(B59&gt;B41,"Investable", "Not Worth It")</f>
        <v>Investable</v>
      </c>
      <c r="D60" s="115"/>
      <c r="E60" s="15">
        <v>0.06</v>
      </c>
      <c r="F60" s="52" t="str">
        <v>Investable</v>
      </c>
      <c r="G60" s="17" t="str">
        <v>Investable</v>
      </c>
      <c r="H60" s="17" t="str">
        <v>Investable</v>
      </c>
      <c r="I60" s="17" t="str">
        <v>Investable</v>
      </c>
      <c r="J60" s="18" t="str">
        <v>Investable</v>
      </c>
    </row>
    <row r="61" spans="1:11" ht="15.95" customHeight="1" x14ac:dyDescent="0.2">
      <c r="A61" s="8"/>
      <c r="B61" s="7"/>
      <c r="D61" s="115"/>
      <c r="E61" s="15">
        <v>7.0000000000000007E-2</v>
      </c>
      <c r="F61" s="52" t="str">
        <v>Investable</v>
      </c>
      <c r="G61" s="17" t="str">
        <v>Investable</v>
      </c>
      <c r="H61" s="17" t="str">
        <v>Investable</v>
      </c>
      <c r="I61" s="17" t="str">
        <v>Investable</v>
      </c>
      <c r="J61" s="18" t="str">
        <v>Investable</v>
      </c>
    </row>
    <row r="62" spans="1:11" ht="15.95" customHeight="1" x14ac:dyDescent="0.2">
      <c r="A62" s="8"/>
      <c r="B62" s="48"/>
      <c r="D62" s="116"/>
      <c r="E62" s="20">
        <v>0.08</v>
      </c>
      <c r="F62" s="53" t="str">
        <v>Investable</v>
      </c>
      <c r="G62" s="21" t="str">
        <v>Investable</v>
      </c>
      <c r="H62" s="21" t="str">
        <v>Investable</v>
      </c>
      <c r="I62" s="21" t="str">
        <v>Investable</v>
      </c>
      <c r="J62" s="22" t="str">
        <v>Investable</v>
      </c>
    </row>
    <row r="63" spans="1:11" ht="15.95" customHeight="1" x14ac:dyDescent="0.2">
      <c r="A63" s="8"/>
      <c r="B63" s="10"/>
    </row>
    <row r="64" spans="1:11" ht="15.95" customHeight="1" x14ac:dyDescent="0.2">
      <c r="A64" s="8"/>
      <c r="B64" s="19"/>
      <c r="D64" s="122" t="s">
        <v>76</v>
      </c>
      <c r="E64" s="123"/>
      <c r="F64" s="123"/>
      <c r="G64" s="123"/>
      <c r="H64" s="123"/>
      <c r="I64" s="123"/>
      <c r="J64" s="124"/>
    </row>
    <row r="65" spans="1:11" ht="15.95" customHeight="1" x14ac:dyDescent="0.2">
      <c r="A65" s="8"/>
      <c r="B65" s="54"/>
      <c r="D65" s="114" t="s">
        <v>70</v>
      </c>
      <c r="E65" s="11"/>
      <c r="F65" s="117" t="s">
        <v>71</v>
      </c>
      <c r="G65" s="117"/>
      <c r="H65" s="117"/>
      <c r="I65" s="117"/>
      <c r="J65" s="118"/>
    </row>
    <row r="66" spans="1:11" ht="15.95" customHeight="1" x14ac:dyDescent="0.2">
      <c r="A66" s="8"/>
      <c r="B66" s="7"/>
      <c r="D66" s="115"/>
      <c r="E66" s="12">
        <f>B59</f>
        <v>0.1437850036008419</v>
      </c>
      <c r="F66" s="13">
        <v>30000</v>
      </c>
      <c r="G66" s="13">
        <v>35000</v>
      </c>
      <c r="H66" s="13">
        <v>40000</v>
      </c>
      <c r="I66" s="13">
        <v>45000</v>
      </c>
      <c r="J66" s="14">
        <v>47500</v>
      </c>
      <c r="K66" s="6"/>
    </row>
    <row r="67" spans="1:11" ht="15.95" customHeight="1" x14ac:dyDescent="0.2">
      <c r="D67" s="115"/>
      <c r="E67" s="15">
        <v>0.04</v>
      </c>
      <c r="F67" s="24">
        <f t="dataTable" ref="F67:J71" dt2D="1" dtr="1" r1="B42" r2="B40" ca="1"/>
        <v>0.25048354579238175</v>
      </c>
      <c r="G67" s="25">
        <v>0.23135506908821957</v>
      </c>
      <c r="H67" s="25">
        <v>0.21502190556420442</v>
      </c>
      <c r="I67" s="25">
        <v>0.20079495784920431</v>
      </c>
      <c r="J67" s="41">
        <v>0.19432011279764483</v>
      </c>
    </row>
    <row r="68" spans="1:11" ht="15.95" customHeight="1" x14ac:dyDescent="0.2">
      <c r="C68" s="7"/>
      <c r="D68" s="115"/>
      <c r="E68" s="15">
        <v>0.05</v>
      </c>
      <c r="F68" s="27">
        <v>0.22850893679183804</v>
      </c>
      <c r="G68" s="28">
        <v>0.20971660269248216</v>
      </c>
      <c r="H68" s="28">
        <v>0.19367046004402333</v>
      </c>
      <c r="I68" s="28">
        <v>0.17969352090719304</v>
      </c>
      <c r="J68" s="29">
        <v>0.17333245759136773</v>
      </c>
      <c r="K68" s="30"/>
    </row>
    <row r="69" spans="1:11" ht="15.95" customHeight="1" x14ac:dyDescent="0.2">
      <c r="C69" s="31"/>
      <c r="D69" s="115"/>
      <c r="E69" s="15">
        <v>0.06</v>
      </c>
      <c r="F69" s="27">
        <v>0.21161381613496055</v>
      </c>
      <c r="G69" s="28">
        <v>0.19307992439815025</v>
      </c>
      <c r="H69" s="28">
        <v>0.1772544569991783</v>
      </c>
      <c r="I69" s="28">
        <v>0.16346973630379225</v>
      </c>
      <c r="J69" s="29">
        <v>0.1571961537778972</v>
      </c>
      <c r="K69" s="6"/>
    </row>
    <row r="70" spans="1:11" ht="15.95" customHeight="1" x14ac:dyDescent="0.2">
      <c r="C70" s="32"/>
      <c r="D70" s="115"/>
      <c r="E70" s="15">
        <v>7.0000000000000007E-2</v>
      </c>
      <c r="F70" s="27">
        <v>0.19810140701249357</v>
      </c>
      <c r="G70" s="28">
        <v>0.17977421276001726</v>
      </c>
      <c r="H70" s="28">
        <v>0.16412523739770024</v>
      </c>
      <c r="I70" s="28">
        <v>0.15049424950330637</v>
      </c>
      <c r="J70" s="29">
        <v>0.14429063251645058</v>
      </c>
      <c r="K70" s="6"/>
    </row>
    <row r="71" spans="1:11" ht="15.95" customHeight="1" x14ac:dyDescent="0.2">
      <c r="C71" s="33"/>
      <c r="D71" s="116"/>
      <c r="E71" s="20">
        <v>0.08</v>
      </c>
      <c r="F71" s="34">
        <v>0.18698407351254365</v>
      </c>
      <c r="G71" s="35">
        <v>0.16882693959839146</v>
      </c>
      <c r="H71" s="35">
        <v>0.15332317304479237</v>
      </c>
      <c r="I71" s="35">
        <v>0.13981866879983618</v>
      </c>
      <c r="J71" s="36">
        <v>0.13367261595450075</v>
      </c>
      <c r="K71" s="33"/>
    </row>
    <row r="72" spans="1:11" ht="15.95" customHeight="1" x14ac:dyDescent="0.2"/>
    <row r="73" spans="1:11" ht="15.95" customHeight="1" x14ac:dyDescent="0.2"/>
    <row r="74" spans="1:11" ht="15.95" customHeight="1" x14ac:dyDescent="0.2"/>
    <row r="75" spans="1:11" ht="15.95" customHeight="1" x14ac:dyDescent="0.2"/>
    <row r="76" spans="1:11" ht="15.95" customHeight="1" x14ac:dyDescent="0.2"/>
    <row r="77" spans="1:11" ht="15.95" customHeight="1" x14ac:dyDescent="0.2"/>
    <row r="78" spans="1:11" ht="15.95" customHeight="1" x14ac:dyDescent="0.2"/>
    <row r="79" spans="1:11" ht="15.95" customHeight="1" x14ac:dyDescent="0.2"/>
    <row r="80" spans="1:11" ht="15.95" customHeight="1" x14ac:dyDescent="0.2"/>
    <row r="81" ht="15.95" customHeight="1" x14ac:dyDescent="0.2"/>
    <row r="82" ht="15.95" customHeight="1" x14ac:dyDescent="0.2"/>
    <row r="83" ht="15.95" customHeight="1" x14ac:dyDescent="0.2"/>
    <row r="84" ht="15.95" customHeight="1" x14ac:dyDescent="0.2"/>
    <row r="85" ht="15.95" customHeight="1" x14ac:dyDescent="0.2"/>
    <row r="86" ht="15.95" customHeight="1" x14ac:dyDescent="0.2"/>
    <row r="87" ht="15.95" customHeight="1" x14ac:dyDescent="0.2"/>
    <row r="88" ht="15.95" customHeight="1" x14ac:dyDescent="0.2"/>
    <row r="89" ht="15.95" customHeight="1" x14ac:dyDescent="0.2"/>
    <row r="90" ht="15.95" customHeight="1" x14ac:dyDescent="0.2"/>
    <row r="91" ht="15.95" customHeight="1" x14ac:dyDescent="0.2"/>
    <row r="92" ht="15.95" customHeight="1" x14ac:dyDescent="0.2"/>
    <row r="93" ht="15.95" customHeight="1" x14ac:dyDescent="0.2"/>
    <row r="94" ht="15.95" customHeight="1" x14ac:dyDescent="0.2"/>
    <row r="95" ht="15.95" customHeight="1" x14ac:dyDescent="0.2"/>
    <row r="96" ht="15.95" customHeight="1" x14ac:dyDescent="0.2"/>
    <row r="97" ht="15.95" customHeight="1" x14ac:dyDescent="0.2"/>
    <row r="98" ht="15.95" customHeight="1" x14ac:dyDescent="0.2"/>
    <row r="99" ht="15.95" customHeight="1" x14ac:dyDescent="0.2"/>
    <row r="100" ht="15.95" customHeight="1" x14ac:dyDescent="0.2"/>
    <row r="101" ht="15.95" customHeight="1" x14ac:dyDescent="0.2"/>
    <row r="102" ht="15.95" customHeight="1" x14ac:dyDescent="0.2"/>
    <row r="103" ht="15.95" customHeight="1" x14ac:dyDescent="0.2"/>
    <row r="104" ht="15.95" customHeight="1" x14ac:dyDescent="0.2"/>
  </sheetData>
  <mergeCells count="10">
    <mergeCell ref="D64:J64"/>
    <mergeCell ref="D65:D71"/>
    <mergeCell ref="F65:J65"/>
    <mergeCell ref="A1:B1"/>
    <mergeCell ref="A2:B2"/>
    <mergeCell ref="A9:B9"/>
    <mergeCell ref="A38:B38"/>
    <mergeCell ref="D55:J55"/>
    <mergeCell ref="D56:D62"/>
    <mergeCell ref="F56:J56"/>
  </mergeCells>
  <conditionalFormatting sqref="B60">
    <cfRule type="containsText" dxfId="5" priority="3" operator="containsText" text="Not Worth It">
      <formula>NOT(ISERROR(SEARCH("Not Worth It",B60)))</formula>
    </cfRule>
    <cfRule type="containsText" dxfId="4" priority="4" operator="containsText" text="Investable">
      <formula>NOT(ISERROR(SEARCH("Investable",B60)))</formula>
    </cfRule>
  </conditionalFormatting>
  <conditionalFormatting sqref="F58:J62">
    <cfRule type="containsText" dxfId="3" priority="5" operator="containsText" text="Not Worth It">
      <formula>NOT(ISERROR(SEARCH("Not Worth It",F58)))</formula>
    </cfRule>
    <cfRule type="containsText" dxfId="2" priority="6" operator="containsText" text="Investable">
      <formula>NOT(ISERROR(SEARCH("Investable",F58)))</formula>
    </cfRule>
  </conditionalFormatting>
  <conditionalFormatting sqref="F67:J71">
    <cfRule type="cellIs" dxfId="1" priority="13" operator="lessThan">
      <formula>$B$41</formula>
    </cfRule>
    <cfRule type="cellIs" dxfId="0" priority="14" operator="greaterThan">
      <formula>$B$41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EE12-8520-43EA-A270-B44B481190D0}">
  <sheetPr codeName="Sheet8"/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4399-557C-4753-8F79-F3E37DD4FEAA}">
  <sheetPr codeName="Sheet9"/>
  <dimension ref="A1"/>
  <sheetViews>
    <sheetView workbookViewId="0">
      <selection activeCell="M29" sqref="M29"/>
    </sheetView>
  </sheetViews>
  <sheetFormatPr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2620-464D-DE4D-B496-6BF3C024400D}">
  <dimension ref="A1"/>
  <sheetViews>
    <sheetView tabSelected="1" zoomScaleNormal="150" zoomScaleSheetLayoutView="100" workbookViewId="0">
      <selection activeCell="H7" sqref="H7"/>
    </sheetView>
  </sheetViews>
  <sheetFormatPr defaultRowHeight="15" x14ac:dyDescent="0.2"/>
  <cols>
    <col min="1" max="2" width="17.21875" customWidth="1"/>
    <col min="3" max="3" width="17.08203125" customWidth="1"/>
    <col min="4" max="4" width="17.3515625" customWidth="1"/>
    <col min="5" max="5" width="17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SDS</vt:lpstr>
      <vt:lpstr>SCIENTX</vt:lpstr>
      <vt:lpstr>LSH</vt:lpstr>
      <vt:lpstr>MFCB</vt:lpstr>
      <vt:lpstr>TAKAFUL</vt:lpstr>
      <vt:lpstr>Prinx (1809) </vt:lpstr>
      <vt:lpstr>CSPC</vt:lpstr>
      <vt:lpstr>China New Ed (2001)</vt:lpstr>
      <vt:lpstr>China Science Ed (1756)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ZARRUQ BIN MOHD. AZLAN</dc:creator>
  <cp:keywords/>
  <dc:description/>
  <cp:lastModifiedBy>AHMAD ZARRUQ BIN MOHD. AZLAN</cp:lastModifiedBy>
  <cp:revision/>
  <dcterms:created xsi:type="dcterms:W3CDTF">2025-08-13T07:16:12Z</dcterms:created>
  <dcterms:modified xsi:type="dcterms:W3CDTF">2025-09-25T06:03:14Z</dcterms:modified>
  <cp:category/>
  <cp:contentStatus/>
</cp:coreProperties>
</file>