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isiswauitmedu-my.sharepoint.com/personal/2024905559_isiswa_uitm_edu_my/Documents/Stock Market Research/Financial Modelling and Valuations/Mega First Corporation Bhd/"/>
    </mc:Choice>
  </mc:AlternateContent>
  <xr:revisionPtr revIDLastSave="5024" documentId="8_{77F1881A-C053-44E2-890C-6296B21F9438}" xr6:coauthVersionLast="47" xr6:coauthVersionMax="47" xr10:uidLastSave="{0E27403F-74BA-4951-A7F9-E61896003EB8}"/>
  <bookViews>
    <workbookView xWindow="-120" yWindow="-120" windowWidth="29040" windowHeight="15720" firstSheet="3" activeTab="4" xr2:uid="{BB173A37-AC92-4889-B63C-9062ED1E38E1}"/>
  </bookViews>
  <sheets>
    <sheet name="The Story" sheetId="6" r:id="rId1"/>
    <sheet name="The Investing Standard" sheetId="9" r:id="rId2"/>
    <sheet name="Industry Overview" sheetId="1" r:id="rId3"/>
    <sheet name="Risk Evaluation" sheetId="4" r:id="rId4"/>
    <sheet name="Financial Statements" sheetId="75" r:id="rId5"/>
    <sheet name="Assumptions" sheetId="8" r:id="rId6"/>
    <sheet name="Past FCF" sheetId="66" r:id="rId7"/>
    <sheet name="Drivers and Inputs" sheetId="44" r:id="rId8"/>
    <sheet name="Forecast FCF" sheetId="68" r:id="rId9"/>
    <sheet name="Valuations" sheetId="69" r:id="rId10"/>
    <sheet name="Sheet1" sheetId="76"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1" i="75" l="1"/>
  <c r="K121" i="75"/>
  <c r="J121" i="75"/>
  <c r="I121" i="75"/>
  <c r="H121" i="75"/>
  <c r="G121" i="75"/>
  <c r="F121" i="75"/>
  <c r="E121" i="75"/>
  <c r="D121" i="75"/>
  <c r="L123" i="75"/>
  <c r="C121" i="75"/>
  <c r="D120" i="75"/>
  <c r="E120" i="75"/>
  <c r="F120" i="75"/>
  <c r="G120" i="75"/>
  <c r="H120" i="75"/>
  <c r="I120" i="75"/>
  <c r="I123" i="75" s="1"/>
  <c r="J120" i="75"/>
  <c r="K120" i="75"/>
  <c r="K123" i="75" s="1"/>
  <c r="L120" i="75"/>
  <c r="C120" i="75"/>
  <c r="D118" i="75"/>
  <c r="E118" i="75"/>
  <c r="F118" i="75"/>
  <c r="G118" i="75"/>
  <c r="H118" i="75"/>
  <c r="I118" i="75"/>
  <c r="J118" i="75"/>
  <c r="K118" i="75"/>
  <c r="L118" i="75"/>
  <c r="C118" i="75"/>
  <c r="L119" i="75"/>
  <c r="K119" i="75"/>
  <c r="J119" i="75"/>
  <c r="I119" i="75"/>
  <c r="H119" i="75"/>
  <c r="G119" i="75"/>
  <c r="F119" i="75"/>
  <c r="E119" i="75"/>
  <c r="E123" i="75" s="1"/>
  <c r="D119" i="75"/>
  <c r="C119" i="75"/>
  <c r="G93" i="75"/>
  <c r="G98" i="75"/>
  <c r="G99" i="75" s="1"/>
  <c r="J98" i="75"/>
  <c r="K92" i="75" s="1"/>
  <c r="I98" i="75"/>
  <c r="I99" i="75" s="1"/>
  <c r="H92" i="75"/>
  <c r="L104" i="75"/>
  <c r="L95" i="75" s="1"/>
  <c r="J123" i="75" l="1"/>
  <c r="G123" i="75"/>
  <c r="C123" i="75"/>
  <c r="D123" i="75"/>
  <c r="F123" i="75"/>
  <c r="H123" i="75"/>
  <c r="J99" i="75"/>
  <c r="K93" i="75"/>
  <c r="H93" i="75"/>
  <c r="H104" i="75" l="1"/>
  <c r="H95" i="75" s="1"/>
  <c r="H98" i="75" s="1"/>
  <c r="H99" i="75" s="1"/>
  <c r="I104" i="75"/>
  <c r="I95" i="75" s="1"/>
  <c r="J104" i="75"/>
  <c r="J95" i="75" s="1"/>
  <c r="K104" i="75"/>
  <c r="K95" i="75" s="1"/>
  <c r="K98" i="75" s="1"/>
  <c r="G104" i="75"/>
  <c r="G106" i="75" s="1"/>
  <c r="H101" i="75" s="1"/>
  <c r="H106" i="75" s="1"/>
  <c r="G102" i="75"/>
  <c r="G39" i="75"/>
  <c r="F85" i="75"/>
  <c r="F86" i="75" s="1"/>
  <c r="F88" i="75" s="1"/>
  <c r="G85" i="75"/>
  <c r="G86" i="75" s="1"/>
  <c r="G88" i="75" s="1"/>
  <c r="H85" i="75"/>
  <c r="H86" i="75" s="1"/>
  <c r="H88" i="75" s="1"/>
  <c r="I85" i="75"/>
  <c r="I86" i="75" s="1"/>
  <c r="I88" i="75" s="1"/>
  <c r="J85" i="75"/>
  <c r="J86" i="75" s="1"/>
  <c r="J88" i="75" s="1"/>
  <c r="K85" i="75"/>
  <c r="K86" i="75" s="1"/>
  <c r="K88" i="75" s="1"/>
  <c r="L85" i="75"/>
  <c r="L86" i="75" s="1"/>
  <c r="L88" i="75" s="1"/>
  <c r="L70" i="75"/>
  <c r="L73" i="75"/>
  <c r="D89" i="75"/>
  <c r="E81" i="75"/>
  <c r="E89" i="75" s="1"/>
  <c r="F81" i="75"/>
  <c r="F89" i="75" s="1"/>
  <c r="G81" i="75"/>
  <c r="G89" i="75" s="1"/>
  <c r="H81" i="75"/>
  <c r="H89" i="75" s="1"/>
  <c r="I81" i="75"/>
  <c r="I89" i="75" s="1"/>
  <c r="J81" i="75"/>
  <c r="J89" i="75" s="1"/>
  <c r="K81" i="75"/>
  <c r="K89" i="75" s="1"/>
  <c r="D88" i="75"/>
  <c r="E85" i="75"/>
  <c r="E86" i="75" s="1"/>
  <c r="E88" i="75" s="1"/>
  <c r="C81" i="75"/>
  <c r="C89" i="75" s="1"/>
  <c r="C85" i="75"/>
  <c r="C86" i="75" s="1"/>
  <c r="C88" i="75" s="1"/>
  <c r="I50" i="75"/>
  <c r="C50" i="75"/>
  <c r="E50" i="75"/>
  <c r="D50" i="75"/>
  <c r="F50" i="75"/>
  <c r="G50" i="75"/>
  <c r="H50" i="75"/>
  <c r="J50" i="75"/>
  <c r="K50" i="75"/>
  <c r="L50" i="75"/>
  <c r="B50" i="75"/>
  <c r="C49" i="75"/>
  <c r="E49" i="75"/>
  <c r="D49" i="75"/>
  <c r="F49" i="75"/>
  <c r="G49" i="75"/>
  <c r="H49" i="75"/>
  <c r="I49" i="75"/>
  <c r="J49" i="75"/>
  <c r="K49" i="75"/>
  <c r="L49" i="75"/>
  <c r="B49" i="75"/>
  <c r="C48" i="75"/>
  <c r="E48" i="75"/>
  <c r="D48" i="75"/>
  <c r="F48" i="75"/>
  <c r="G48" i="75"/>
  <c r="H48" i="75"/>
  <c r="I48" i="75"/>
  <c r="J48" i="75"/>
  <c r="K48" i="75"/>
  <c r="L48" i="75"/>
  <c r="B48" i="75"/>
  <c r="C47" i="75"/>
  <c r="E47" i="75"/>
  <c r="D47" i="75"/>
  <c r="F47" i="75"/>
  <c r="G47" i="75"/>
  <c r="H47" i="75"/>
  <c r="I47" i="75"/>
  <c r="J47" i="75"/>
  <c r="K47" i="75"/>
  <c r="L47" i="75"/>
  <c r="B47" i="75"/>
  <c r="C46" i="75"/>
  <c r="E46" i="75"/>
  <c r="D46" i="75"/>
  <c r="F46" i="75"/>
  <c r="G46" i="75"/>
  <c r="H46" i="75"/>
  <c r="I46" i="75"/>
  <c r="J46" i="75"/>
  <c r="K46" i="75"/>
  <c r="L46" i="75"/>
  <c r="B46" i="75"/>
  <c r="C41" i="75"/>
  <c r="D41" i="75"/>
  <c r="E41" i="75"/>
  <c r="F41" i="75"/>
  <c r="G41" i="75"/>
  <c r="H41" i="75"/>
  <c r="I41" i="75"/>
  <c r="J41" i="75"/>
  <c r="K41" i="75"/>
  <c r="L41" i="75"/>
  <c r="B41" i="75"/>
  <c r="C40" i="75"/>
  <c r="D40" i="75"/>
  <c r="E40" i="75"/>
  <c r="F40" i="75"/>
  <c r="G40" i="75"/>
  <c r="H40" i="75"/>
  <c r="I40" i="75"/>
  <c r="J40" i="75"/>
  <c r="K40" i="75"/>
  <c r="L40" i="75"/>
  <c r="B40" i="75"/>
  <c r="C39" i="75"/>
  <c r="D39" i="75"/>
  <c r="E39" i="75"/>
  <c r="F39" i="75"/>
  <c r="H39" i="75"/>
  <c r="I39" i="75"/>
  <c r="J39" i="75"/>
  <c r="K39" i="75"/>
  <c r="L39" i="75"/>
  <c r="B39" i="75"/>
  <c r="C38" i="75"/>
  <c r="D38" i="75"/>
  <c r="E38" i="75"/>
  <c r="F38" i="75"/>
  <c r="G38" i="75"/>
  <c r="H38" i="75"/>
  <c r="I38" i="75"/>
  <c r="J38" i="75"/>
  <c r="K38" i="75"/>
  <c r="L38" i="75"/>
  <c r="B38" i="75"/>
  <c r="K28" i="75"/>
  <c r="C30" i="75"/>
  <c r="D30" i="75"/>
  <c r="E30" i="75"/>
  <c r="F30" i="75"/>
  <c r="G30" i="75"/>
  <c r="H30" i="75"/>
  <c r="I30" i="75"/>
  <c r="J30" i="75"/>
  <c r="K30" i="75"/>
  <c r="L30" i="75"/>
  <c r="B30" i="75"/>
  <c r="C29" i="75"/>
  <c r="D29" i="75"/>
  <c r="E29" i="75"/>
  <c r="F29" i="75"/>
  <c r="G29" i="75"/>
  <c r="H29" i="75"/>
  <c r="I29" i="75"/>
  <c r="J29" i="75"/>
  <c r="K29" i="75"/>
  <c r="L29" i="75"/>
  <c r="B29" i="75"/>
  <c r="C28" i="75"/>
  <c r="D28" i="75"/>
  <c r="E28" i="75"/>
  <c r="F28" i="75"/>
  <c r="G28" i="75"/>
  <c r="H28" i="75"/>
  <c r="I28" i="75"/>
  <c r="J28" i="75"/>
  <c r="L28" i="75"/>
  <c r="B28" i="75"/>
  <c r="C27" i="75"/>
  <c r="D27" i="75"/>
  <c r="E27" i="75"/>
  <c r="F27" i="75"/>
  <c r="G27" i="75"/>
  <c r="H27" i="75"/>
  <c r="I27" i="75"/>
  <c r="J27" i="75"/>
  <c r="K27" i="75"/>
  <c r="L27" i="75"/>
  <c r="B27" i="75"/>
  <c r="J21" i="75"/>
  <c r="J22" i="75"/>
  <c r="J20" i="75"/>
  <c r="J19" i="75"/>
  <c r="J18" i="75"/>
  <c r="J17" i="75"/>
  <c r="J16" i="75"/>
  <c r="B20" i="75"/>
  <c r="B22" i="75"/>
  <c r="C20" i="75"/>
  <c r="D20" i="75"/>
  <c r="E20" i="75"/>
  <c r="F20" i="75"/>
  <c r="G20" i="75"/>
  <c r="H20" i="75"/>
  <c r="I20" i="75"/>
  <c r="K20" i="75"/>
  <c r="L20" i="75"/>
  <c r="C22" i="75"/>
  <c r="D22" i="75"/>
  <c r="E22" i="75"/>
  <c r="F22" i="75"/>
  <c r="G22" i="75"/>
  <c r="H22" i="75"/>
  <c r="I22" i="75"/>
  <c r="K22" i="75"/>
  <c r="L22" i="75"/>
  <c r="C21" i="75"/>
  <c r="D21" i="75"/>
  <c r="E21" i="75"/>
  <c r="F21" i="75"/>
  <c r="G21" i="75"/>
  <c r="H21" i="75"/>
  <c r="K21" i="75"/>
  <c r="B21" i="75"/>
  <c r="C19" i="75"/>
  <c r="D19" i="75"/>
  <c r="E19" i="75"/>
  <c r="F19" i="75"/>
  <c r="G19" i="75"/>
  <c r="H19" i="75"/>
  <c r="I19" i="75"/>
  <c r="K19" i="75"/>
  <c r="L19" i="75"/>
  <c r="B19" i="75"/>
  <c r="C17" i="75"/>
  <c r="D17" i="75"/>
  <c r="E17" i="75"/>
  <c r="F17" i="75"/>
  <c r="G17" i="75"/>
  <c r="H17" i="75"/>
  <c r="I17" i="75"/>
  <c r="K17" i="75"/>
  <c r="L17" i="75"/>
  <c r="B17" i="75"/>
  <c r="C18" i="75"/>
  <c r="D18" i="75"/>
  <c r="E18" i="75"/>
  <c r="F18" i="75"/>
  <c r="G18" i="75"/>
  <c r="H18" i="75"/>
  <c r="I18" i="75"/>
  <c r="K18" i="75"/>
  <c r="L18" i="75"/>
  <c r="B18" i="75"/>
  <c r="C16" i="75"/>
  <c r="D16" i="75"/>
  <c r="E16" i="75"/>
  <c r="F16" i="75"/>
  <c r="G16" i="75"/>
  <c r="H16" i="75"/>
  <c r="I16" i="75"/>
  <c r="K16" i="75"/>
  <c r="L16" i="75"/>
  <c r="B16" i="75"/>
  <c r="Y4" i="75"/>
  <c r="Y3" i="75"/>
  <c r="X4" i="75"/>
  <c r="X3" i="75"/>
  <c r="W4" i="75"/>
  <c r="W3" i="75"/>
  <c r="V4" i="75"/>
  <c r="V3" i="75"/>
  <c r="U4" i="75"/>
  <c r="U3" i="75"/>
  <c r="T4" i="75"/>
  <c r="T3" i="75"/>
  <c r="S4" i="75"/>
  <c r="S3" i="75"/>
  <c r="R4" i="75"/>
  <c r="R3" i="75"/>
  <c r="Q4" i="75"/>
  <c r="Q3" i="75"/>
  <c r="P4" i="75"/>
  <c r="P3" i="75"/>
  <c r="O3" i="75"/>
  <c r="O4" i="75"/>
  <c r="P2" i="75"/>
  <c r="Q2" i="75"/>
  <c r="R2" i="75"/>
  <c r="S2" i="75"/>
  <c r="T2" i="75"/>
  <c r="U2" i="75"/>
  <c r="V2" i="75"/>
  <c r="W2" i="75"/>
  <c r="X2" i="75"/>
  <c r="Y2" i="75"/>
  <c r="O2" i="75"/>
  <c r="C11" i="75"/>
  <c r="P11" i="75" s="1"/>
  <c r="D11" i="75"/>
  <c r="Q11" i="75" s="1"/>
  <c r="E11" i="75"/>
  <c r="R11" i="75" s="1"/>
  <c r="F11" i="75"/>
  <c r="S11" i="75" s="1"/>
  <c r="G11" i="75"/>
  <c r="T11" i="75" s="1"/>
  <c r="H11" i="75"/>
  <c r="U11" i="75" s="1"/>
  <c r="I11" i="75"/>
  <c r="V11" i="75" s="1"/>
  <c r="J11" i="75"/>
  <c r="W11" i="75" s="1"/>
  <c r="K11" i="75"/>
  <c r="X11" i="75" s="1"/>
  <c r="L11" i="75"/>
  <c r="Y11" i="75" s="1"/>
  <c r="B11" i="75"/>
  <c r="O11" i="75" s="1"/>
  <c r="C8" i="75"/>
  <c r="P8" i="75" s="1"/>
  <c r="D8" i="75"/>
  <c r="Q8" i="75" s="1"/>
  <c r="E8" i="75"/>
  <c r="R8" i="75" s="1"/>
  <c r="F8" i="75"/>
  <c r="S8" i="75" s="1"/>
  <c r="G8" i="75"/>
  <c r="T8" i="75" s="1"/>
  <c r="H8" i="75"/>
  <c r="U8" i="75" s="1"/>
  <c r="I8" i="75"/>
  <c r="V8" i="75" s="1"/>
  <c r="J8" i="75"/>
  <c r="W8" i="75" s="1"/>
  <c r="K8" i="75"/>
  <c r="X8" i="75" s="1"/>
  <c r="L8" i="75"/>
  <c r="Y8" i="75" s="1"/>
  <c r="B8" i="75"/>
  <c r="O8" i="75" s="1"/>
  <c r="C7" i="75"/>
  <c r="P7" i="75" s="1"/>
  <c r="D7" i="75"/>
  <c r="Q7" i="75" s="1"/>
  <c r="E7" i="75"/>
  <c r="R7" i="75" s="1"/>
  <c r="F7" i="75"/>
  <c r="S7" i="75" s="1"/>
  <c r="G7" i="75"/>
  <c r="T7" i="75" s="1"/>
  <c r="H7" i="75"/>
  <c r="U7" i="75" s="1"/>
  <c r="I7" i="75"/>
  <c r="V7" i="75" s="1"/>
  <c r="J7" i="75"/>
  <c r="W7" i="75" s="1"/>
  <c r="K7" i="75"/>
  <c r="X7" i="75" s="1"/>
  <c r="L7" i="75"/>
  <c r="Y7" i="75" s="1"/>
  <c r="B7" i="75"/>
  <c r="O7" i="75" s="1"/>
  <c r="B6" i="75"/>
  <c r="C6" i="75"/>
  <c r="D6" i="75"/>
  <c r="E6" i="75"/>
  <c r="R6" i="75" s="1"/>
  <c r="F6" i="75"/>
  <c r="G6" i="75"/>
  <c r="T6" i="75" s="1"/>
  <c r="H6" i="75"/>
  <c r="U6" i="75" s="1"/>
  <c r="I6" i="75"/>
  <c r="V6" i="75" s="1"/>
  <c r="J6" i="75"/>
  <c r="W6" i="75" s="1"/>
  <c r="K6" i="75"/>
  <c r="X6" i="75" s="1"/>
  <c r="L6" i="75"/>
  <c r="L175" i="75"/>
  <c r="L21" i="75" s="1"/>
  <c r="I175" i="75"/>
  <c r="I21" i="75" s="1"/>
  <c r="K99" i="75" l="1"/>
  <c r="L92" i="75"/>
  <c r="H102" i="75"/>
  <c r="H107" i="75"/>
  <c r="L81" i="75"/>
  <c r="L89" i="75" s="1"/>
  <c r="F52" i="75"/>
  <c r="D52" i="75"/>
  <c r="D53" i="75" s="1"/>
  <c r="C52" i="75"/>
  <c r="C53" i="75" s="1"/>
  <c r="B52" i="75"/>
  <c r="B53" i="75" s="1"/>
  <c r="L52" i="75"/>
  <c r="L53" i="75" s="1"/>
  <c r="I52" i="75"/>
  <c r="I53" i="75" s="1"/>
  <c r="H52" i="75"/>
  <c r="H53" i="75" s="1"/>
  <c r="E52" i="75"/>
  <c r="E53" i="75" s="1"/>
  <c r="G52" i="75"/>
  <c r="G53" i="75" s="1"/>
  <c r="K52" i="75"/>
  <c r="J52" i="75"/>
  <c r="D43" i="75"/>
  <c r="C43" i="75"/>
  <c r="C44" i="75" s="1"/>
  <c r="F53" i="75"/>
  <c r="B43" i="75"/>
  <c r="H43" i="75"/>
  <c r="H44" i="75" s="1"/>
  <c r="L43" i="75"/>
  <c r="L44" i="75" s="1"/>
  <c r="I43" i="75"/>
  <c r="I44" i="75" s="1"/>
  <c r="G43" i="75"/>
  <c r="G44" i="75" s="1"/>
  <c r="F43" i="75"/>
  <c r="F44" i="75" s="1"/>
  <c r="K43" i="75"/>
  <c r="K44" i="75" s="1"/>
  <c r="J43" i="75"/>
  <c r="J44" i="75" s="1"/>
  <c r="E43" i="75"/>
  <c r="D32" i="75"/>
  <c r="D33" i="75" s="1"/>
  <c r="E32" i="75"/>
  <c r="E33" i="75" s="1"/>
  <c r="B32" i="75"/>
  <c r="B33" i="75" s="1"/>
  <c r="K32" i="75"/>
  <c r="K33" i="75" s="1"/>
  <c r="C32" i="75"/>
  <c r="C33" i="75" s="1"/>
  <c r="G32" i="75"/>
  <c r="G33" i="75" s="1"/>
  <c r="L32" i="75"/>
  <c r="L33" i="75" s="1"/>
  <c r="I32" i="75"/>
  <c r="I33" i="75" s="1"/>
  <c r="J24" i="75"/>
  <c r="J25" i="75" s="1"/>
  <c r="H32" i="75"/>
  <c r="H33" i="75" s="1"/>
  <c r="F32" i="75"/>
  <c r="F33" i="75" s="1"/>
  <c r="G24" i="75"/>
  <c r="E24" i="75"/>
  <c r="D24" i="75"/>
  <c r="C24" i="75"/>
  <c r="B24" i="75"/>
  <c r="H24" i="75"/>
  <c r="F24" i="75"/>
  <c r="J32" i="75"/>
  <c r="J33" i="75" s="1"/>
  <c r="I24" i="75"/>
  <c r="L24" i="75"/>
  <c r="K24" i="75"/>
  <c r="C9" i="75"/>
  <c r="C13" i="75" s="1"/>
  <c r="D9" i="75"/>
  <c r="Q9" i="75" s="1"/>
  <c r="B9" i="75"/>
  <c r="B13" i="75" s="1"/>
  <c r="B111" i="75" s="1"/>
  <c r="E9" i="75"/>
  <c r="E13" i="75" s="1"/>
  <c r="F9" i="75"/>
  <c r="F13" i="75" s="1"/>
  <c r="L9" i="75"/>
  <c r="L13" i="75" s="1"/>
  <c r="O6" i="75"/>
  <c r="Q6" i="75"/>
  <c r="J9" i="75"/>
  <c r="K9" i="75"/>
  <c r="I9" i="75"/>
  <c r="H9" i="75"/>
  <c r="P6" i="75"/>
  <c r="S6" i="75"/>
  <c r="Y6" i="75"/>
  <c r="G9" i="75"/>
  <c r="C15" i="44"/>
  <c r="D15" i="44"/>
  <c r="E15" i="44"/>
  <c r="F15" i="44"/>
  <c r="G15" i="44"/>
  <c r="H15" i="44"/>
  <c r="I15" i="44"/>
  <c r="J15" i="44"/>
  <c r="K15" i="44"/>
  <c r="Y13" i="75" l="1"/>
  <c r="L111" i="75"/>
  <c r="S13" i="75"/>
  <c r="F111" i="75"/>
  <c r="P13" i="75"/>
  <c r="C111" i="75"/>
  <c r="R13" i="75"/>
  <c r="E111" i="75"/>
  <c r="L98" i="75"/>
  <c r="L99" i="75" s="1"/>
  <c r="L93" i="75"/>
  <c r="O13" i="75"/>
  <c r="J55" i="75"/>
  <c r="C55" i="75"/>
  <c r="K55" i="75"/>
  <c r="I55" i="75"/>
  <c r="F55" i="75"/>
  <c r="E44" i="75"/>
  <c r="E55" i="75"/>
  <c r="G55" i="75"/>
  <c r="D44" i="75"/>
  <c r="D55" i="75"/>
  <c r="B44" i="75"/>
  <c r="B55" i="75"/>
  <c r="H55" i="75"/>
  <c r="L55" i="75"/>
  <c r="K53" i="75"/>
  <c r="J53" i="75"/>
  <c r="R9" i="75"/>
  <c r="D13" i="75"/>
  <c r="B25" i="75"/>
  <c r="B35" i="75"/>
  <c r="F25" i="75"/>
  <c r="F35" i="75"/>
  <c r="C25" i="75"/>
  <c r="C35" i="75"/>
  <c r="E25" i="75"/>
  <c r="E35" i="75"/>
  <c r="L25" i="75"/>
  <c r="L35" i="75"/>
  <c r="I25" i="75"/>
  <c r="I35" i="75"/>
  <c r="H25" i="75"/>
  <c r="H35" i="75"/>
  <c r="J35" i="75"/>
  <c r="D25" i="75"/>
  <c r="D35" i="75"/>
  <c r="K25" i="75"/>
  <c r="K35" i="75"/>
  <c r="G25" i="75"/>
  <c r="G35" i="75"/>
  <c r="P9" i="75"/>
  <c r="O9" i="75"/>
  <c r="S9" i="75"/>
  <c r="Y9" i="75"/>
  <c r="H13" i="75"/>
  <c r="U9" i="75"/>
  <c r="I13" i="75"/>
  <c r="V9" i="75"/>
  <c r="K13" i="75"/>
  <c r="X9" i="75"/>
  <c r="J13" i="75"/>
  <c r="W9" i="75"/>
  <c r="G13" i="75"/>
  <c r="T9" i="75"/>
  <c r="O62" i="44"/>
  <c r="O21" i="9" a="1"/>
  <c r="O21" i="9" s="1"/>
  <c r="O23" i="9" a="1"/>
  <c r="O23" i="9" s="1"/>
  <c r="O22" i="9" a="1"/>
  <c r="O22" i="9" s="1"/>
  <c r="B22" i="44"/>
  <c r="O8" i="69" s="1"/>
  <c r="V13" i="75" l="1"/>
  <c r="I111" i="75"/>
  <c r="U13" i="75"/>
  <c r="H111" i="75"/>
  <c r="Q13" i="75"/>
  <c r="D111" i="75"/>
  <c r="T13" i="75"/>
  <c r="G111" i="75"/>
  <c r="X13" i="75"/>
  <c r="K111" i="75"/>
  <c r="W13" i="75"/>
  <c r="J111" i="75"/>
  <c r="F56" i="75"/>
  <c r="K56" i="75"/>
  <c r="B56" i="75"/>
  <c r="G56" i="75"/>
  <c r="I56" i="75"/>
  <c r="L56" i="75"/>
  <c r="C56" i="75"/>
  <c r="D56" i="75"/>
  <c r="E56" i="75"/>
  <c r="H56" i="75"/>
  <c r="J56" i="75"/>
  <c r="D36" i="75"/>
  <c r="D58" i="75"/>
  <c r="D59" i="75" s="1"/>
  <c r="F36" i="75"/>
  <c r="F58" i="75"/>
  <c r="F59" i="75" s="1"/>
  <c r="I36" i="75"/>
  <c r="I58" i="75"/>
  <c r="I59" i="75" s="1"/>
  <c r="L36" i="75"/>
  <c r="L58" i="75"/>
  <c r="L59" i="75" s="1"/>
  <c r="C36" i="75"/>
  <c r="C58" i="75"/>
  <c r="C59" i="75" s="1"/>
  <c r="J36" i="75"/>
  <c r="J58" i="75"/>
  <c r="J59" i="75" s="1"/>
  <c r="H36" i="75"/>
  <c r="H58" i="75"/>
  <c r="H59" i="75" s="1"/>
  <c r="B36" i="75"/>
  <c r="B58" i="75"/>
  <c r="B59" i="75" s="1"/>
  <c r="G36" i="75"/>
  <c r="G58" i="75"/>
  <c r="G59" i="75" s="1"/>
  <c r="E36" i="75"/>
  <c r="E58" i="75"/>
  <c r="E59" i="75" s="1"/>
  <c r="K36" i="75"/>
  <c r="K58" i="75"/>
  <c r="K59" i="75" s="1"/>
  <c r="B17" i="69"/>
  <c r="B28" i="69"/>
  <c r="I61" i="75" l="1"/>
  <c r="I62" i="75" s="1"/>
  <c r="L61" i="75"/>
  <c r="L62" i="75" s="1"/>
  <c r="G61" i="75"/>
  <c r="G62" i="75" s="1"/>
  <c r="B61" i="75"/>
  <c r="B62" i="75" s="1"/>
  <c r="J61" i="75"/>
  <c r="J62" i="75" s="1"/>
  <c r="H61" i="75"/>
  <c r="H62" i="75" s="1"/>
  <c r="K61" i="75"/>
  <c r="K62" i="75" s="1"/>
  <c r="C61" i="75"/>
  <c r="C62" i="75" s="1"/>
  <c r="E61" i="75"/>
  <c r="E62" i="75" s="1"/>
  <c r="D61" i="75"/>
  <c r="D62" i="75" s="1"/>
  <c r="F61" i="75"/>
  <c r="F62" i="75" s="1"/>
  <c r="E17" i="69"/>
  <c r="F17" i="69"/>
  <c r="I17" i="69"/>
  <c r="H17" i="69"/>
  <c r="G17" i="69"/>
  <c r="J17" i="69"/>
  <c r="D17" i="69"/>
  <c r="L17" i="69"/>
  <c r="C17" i="69"/>
  <c r="K17" i="69"/>
  <c r="C9" i="68" l="1"/>
  <c r="D9" i="68"/>
  <c r="E9" i="68"/>
  <c r="F9" i="68"/>
  <c r="G9" i="68"/>
  <c r="H9" i="68"/>
  <c r="I9" i="68"/>
  <c r="J9" i="68"/>
  <c r="K9" i="68"/>
  <c r="B15" i="44"/>
  <c r="B9" i="68" s="1"/>
  <c r="C26" i="66"/>
  <c r="D26" i="66"/>
  <c r="E26" i="66"/>
  <c r="F26" i="66"/>
  <c r="G26" i="66"/>
  <c r="B26" i="66"/>
  <c r="C27" i="66"/>
  <c r="D27" i="66"/>
  <c r="E27" i="66"/>
  <c r="F27" i="66"/>
  <c r="G27" i="66"/>
  <c r="B27" i="66"/>
  <c r="C17" i="44"/>
  <c r="D17" i="44"/>
  <c r="E17" i="44"/>
  <c r="F17" i="44"/>
  <c r="G17" i="44"/>
  <c r="H17" i="44"/>
  <c r="I17" i="44"/>
  <c r="J17" i="44"/>
  <c r="K17" i="44"/>
  <c r="B17" i="44"/>
  <c r="C16" i="44"/>
  <c r="C11" i="68" s="1"/>
  <c r="D16" i="44"/>
  <c r="D11" i="68" s="1"/>
  <c r="E16" i="44"/>
  <c r="E11" i="68" s="1"/>
  <c r="F16" i="44"/>
  <c r="F11" i="68" s="1"/>
  <c r="G16" i="44"/>
  <c r="G11" i="68" s="1"/>
  <c r="H16" i="44"/>
  <c r="H11" i="68" s="1"/>
  <c r="I16" i="44"/>
  <c r="I11" i="68" s="1"/>
  <c r="J16" i="44"/>
  <c r="J11" i="68" s="1"/>
  <c r="K16" i="44"/>
  <c r="K11" i="68" s="1"/>
  <c r="B16" i="44"/>
  <c r="B11" i="68" s="1"/>
  <c r="C13" i="44"/>
  <c r="C17" i="68" s="1"/>
  <c r="D13" i="44"/>
  <c r="D17" i="68" s="1"/>
  <c r="E13" i="44"/>
  <c r="E17" i="68" s="1"/>
  <c r="F13" i="44"/>
  <c r="F17" i="68" s="1"/>
  <c r="G13" i="44"/>
  <c r="G17" i="68" s="1"/>
  <c r="H13" i="44"/>
  <c r="H17" i="68" s="1"/>
  <c r="I13" i="44"/>
  <c r="I17" i="68" s="1"/>
  <c r="J13" i="44"/>
  <c r="J17" i="68" s="1"/>
  <c r="K13" i="44"/>
  <c r="K17" i="68" s="1"/>
  <c r="B13" i="44"/>
  <c r="B17" i="68" s="1"/>
  <c r="C11" i="44"/>
  <c r="D11" i="44"/>
  <c r="E11" i="44"/>
  <c r="F11" i="44"/>
  <c r="G11" i="44"/>
  <c r="H11" i="44"/>
  <c r="I11" i="44"/>
  <c r="J11" i="44"/>
  <c r="K11" i="44"/>
  <c r="B11" i="44"/>
  <c r="C10" i="44"/>
  <c r="D10" i="44"/>
  <c r="E10" i="44"/>
  <c r="F10" i="44"/>
  <c r="G10" i="44"/>
  <c r="H10" i="44"/>
  <c r="I10" i="44"/>
  <c r="J10" i="44"/>
  <c r="K10" i="44"/>
  <c r="B10" i="44"/>
  <c r="C9" i="44"/>
  <c r="D9" i="44"/>
  <c r="E9" i="44"/>
  <c r="F9" i="44"/>
  <c r="G9" i="44"/>
  <c r="H9" i="44"/>
  <c r="I9" i="44"/>
  <c r="J9" i="44"/>
  <c r="K9" i="44"/>
  <c r="B9" i="44"/>
  <c r="C8" i="44"/>
  <c r="C20" i="68" s="1"/>
  <c r="D8" i="44"/>
  <c r="D20" i="68" s="1"/>
  <c r="E8" i="44"/>
  <c r="E20" i="68" s="1"/>
  <c r="F8" i="44"/>
  <c r="F20" i="68" s="1"/>
  <c r="G8" i="44"/>
  <c r="G20" i="68" s="1"/>
  <c r="H8" i="44"/>
  <c r="H20" i="68" s="1"/>
  <c r="I8" i="44"/>
  <c r="I20" i="68" s="1"/>
  <c r="J8" i="44"/>
  <c r="J20" i="68" s="1"/>
  <c r="K8" i="44"/>
  <c r="K20" i="68" s="1"/>
  <c r="B8" i="44"/>
  <c r="B20" i="68" s="1"/>
  <c r="B85" i="44"/>
  <c r="B25" i="66" s="1"/>
  <c r="P62" i="44"/>
  <c r="Q62" i="44"/>
  <c r="R62" i="44"/>
  <c r="S62" i="44"/>
  <c r="T62" i="44"/>
  <c r="U62" i="44"/>
  <c r="V62" i="44"/>
  <c r="W62" i="44"/>
  <c r="N62" i="44"/>
  <c r="O67" i="44"/>
  <c r="P67" i="44"/>
  <c r="Q67" i="44"/>
  <c r="R67" i="44"/>
  <c r="S67" i="44"/>
  <c r="T67" i="44"/>
  <c r="U67" i="44"/>
  <c r="V67" i="44"/>
  <c r="W67" i="44"/>
  <c r="C86" i="44"/>
  <c r="D86" i="44"/>
  <c r="E86" i="44"/>
  <c r="F86" i="44"/>
  <c r="G86" i="44"/>
  <c r="B86" i="44"/>
  <c r="O53" i="44"/>
  <c r="P53" i="44"/>
  <c r="Q53" i="44"/>
  <c r="R53" i="44"/>
  <c r="S53" i="44"/>
  <c r="T53" i="44"/>
  <c r="U53" i="44"/>
  <c r="V53" i="44"/>
  <c r="W53" i="44"/>
  <c r="N53" i="44"/>
  <c r="C62" i="44"/>
  <c r="C13" i="66" s="1"/>
  <c r="D62" i="44"/>
  <c r="D13" i="66" s="1"/>
  <c r="E62" i="44"/>
  <c r="E13" i="66" s="1"/>
  <c r="F62" i="44"/>
  <c r="G62" i="44"/>
  <c r="G13" i="66" s="1"/>
  <c r="B62" i="44"/>
  <c r="B13" i="66" s="1"/>
  <c r="C55" i="44"/>
  <c r="D55" i="44"/>
  <c r="E55" i="44"/>
  <c r="F55" i="44"/>
  <c r="G55" i="44"/>
  <c r="B55" i="44"/>
  <c r="F13" i="66" l="1"/>
  <c r="O28" i="44"/>
  <c r="P28" i="44"/>
  <c r="Q28" i="44"/>
  <c r="R28" i="44"/>
  <c r="S28" i="44"/>
  <c r="T28" i="44"/>
  <c r="U28" i="44"/>
  <c r="V28" i="44"/>
  <c r="W28" i="44"/>
  <c r="N28" i="44"/>
  <c r="O7" i="44"/>
  <c r="I101" i="75" l="1"/>
  <c r="I106" i="75" s="1"/>
  <c r="P7" i="44"/>
  <c r="Q7" i="44" s="1"/>
  <c r="R7" i="44" s="1"/>
  <c r="C26" i="44"/>
  <c r="C8" i="66" s="1"/>
  <c r="D26" i="44"/>
  <c r="D8" i="66" s="1"/>
  <c r="E26" i="44"/>
  <c r="E8" i="66" s="1"/>
  <c r="F26" i="44"/>
  <c r="F8" i="66" s="1"/>
  <c r="G26" i="44"/>
  <c r="B26" i="44"/>
  <c r="B8" i="66" s="1"/>
  <c r="B28" i="44"/>
  <c r="C28" i="44"/>
  <c r="D28" i="44"/>
  <c r="E28" i="44"/>
  <c r="F28" i="44"/>
  <c r="G28" i="44"/>
  <c r="B29" i="44"/>
  <c r="C29" i="44"/>
  <c r="D29" i="44"/>
  <c r="E29" i="44"/>
  <c r="F29" i="44"/>
  <c r="G29" i="44"/>
  <c r="N8" i="44" s="1"/>
  <c r="B33" i="44"/>
  <c r="C33" i="44"/>
  <c r="D33" i="44"/>
  <c r="E33" i="44"/>
  <c r="F33" i="44"/>
  <c r="G33" i="44"/>
  <c r="B36" i="44"/>
  <c r="C36" i="44"/>
  <c r="D36" i="44"/>
  <c r="E36" i="44"/>
  <c r="F36" i="44"/>
  <c r="G36" i="44"/>
  <c r="B39" i="44"/>
  <c r="C39" i="44"/>
  <c r="D39" i="44"/>
  <c r="E39" i="44"/>
  <c r="F39" i="44"/>
  <c r="G39" i="44"/>
  <c r="I102" i="75" l="1"/>
  <c r="D43" i="44"/>
  <c r="D71" i="44" s="1"/>
  <c r="D19" i="66" s="1"/>
  <c r="G8" i="66"/>
  <c r="C7" i="66"/>
  <c r="E7" i="66"/>
  <c r="G7" i="66"/>
  <c r="F7" i="66"/>
  <c r="D7" i="66"/>
  <c r="G56" i="44"/>
  <c r="F56" i="44"/>
  <c r="B56" i="44"/>
  <c r="E56" i="44"/>
  <c r="D56" i="44"/>
  <c r="C56" i="44"/>
  <c r="N9" i="44"/>
  <c r="O8" i="44"/>
  <c r="S7" i="44"/>
  <c r="B30" i="44"/>
  <c r="B43" i="44" s="1"/>
  <c r="C30" i="44"/>
  <c r="E30" i="44"/>
  <c r="G30" i="44"/>
  <c r="D30" i="44"/>
  <c r="F30" i="44"/>
  <c r="C43" i="44"/>
  <c r="C71" i="44" s="1"/>
  <c r="C19" i="66" s="1"/>
  <c r="G43" i="44"/>
  <c r="N5" i="44" s="1"/>
  <c r="F43" i="44"/>
  <c r="F71" i="44" s="1"/>
  <c r="F19" i="66" s="1"/>
  <c r="E43" i="44"/>
  <c r="E71" i="44" s="1"/>
  <c r="E19" i="66" s="1"/>
  <c r="F20" i="66" s="1"/>
  <c r="D18" i="66" l="1"/>
  <c r="E18" i="66"/>
  <c r="F18" i="66"/>
  <c r="G20" i="66"/>
  <c r="E20" i="66"/>
  <c r="D20" i="66"/>
  <c r="F72" i="44"/>
  <c r="N29" i="44"/>
  <c r="G71" i="44"/>
  <c r="G19" i="66" s="1"/>
  <c r="B21" i="68" s="1"/>
  <c r="C21" i="68" s="1"/>
  <c r="C44" i="44"/>
  <c r="B71" i="44"/>
  <c r="B19" i="66" s="1"/>
  <c r="C20" i="66" s="1"/>
  <c r="E72" i="44"/>
  <c r="D72" i="44"/>
  <c r="P8" i="44"/>
  <c r="O9" i="44"/>
  <c r="T7" i="44"/>
  <c r="F44" i="44"/>
  <c r="E42" i="44"/>
  <c r="E73" i="44" s="1"/>
  <c r="G44" i="44"/>
  <c r="F42" i="44"/>
  <c r="F73" i="44" s="1"/>
  <c r="C37" i="44"/>
  <c r="C42" i="44"/>
  <c r="C73" i="44" s="1"/>
  <c r="E44" i="44"/>
  <c r="D42" i="44"/>
  <c r="D73" i="44" s="1"/>
  <c r="G34" i="44"/>
  <c r="N22" i="44"/>
  <c r="G42" i="44"/>
  <c r="G73" i="44" s="1"/>
  <c r="C34" i="44"/>
  <c r="C31" i="44"/>
  <c r="C40" i="44"/>
  <c r="D44" i="44"/>
  <c r="D40" i="44"/>
  <c r="D37" i="44"/>
  <c r="D34" i="44"/>
  <c r="D31" i="44"/>
  <c r="G31" i="44"/>
  <c r="G37" i="44"/>
  <c r="F31" i="44"/>
  <c r="G40" i="44"/>
  <c r="F40" i="44"/>
  <c r="F34" i="44"/>
  <c r="F37" i="44"/>
  <c r="B34" i="44"/>
  <c r="B40" i="44"/>
  <c r="B37" i="44"/>
  <c r="E31" i="44"/>
  <c r="E34" i="44"/>
  <c r="E40" i="44"/>
  <c r="B31" i="44"/>
  <c r="E37" i="44"/>
  <c r="G18" i="66" l="1"/>
  <c r="D21" i="68"/>
  <c r="E21" i="68" s="1"/>
  <c r="F21" i="68" s="1"/>
  <c r="G21" i="68" s="1"/>
  <c r="H21" i="68" s="1"/>
  <c r="I21" i="68" s="1"/>
  <c r="J21" i="68" s="1"/>
  <c r="K21" i="68" s="1"/>
  <c r="N31" i="44"/>
  <c r="C18" i="66"/>
  <c r="C72" i="44"/>
  <c r="N34" i="44"/>
  <c r="B7" i="68"/>
  <c r="B10" i="68" s="1"/>
  <c r="B14" i="68" s="1"/>
  <c r="N27" i="44"/>
  <c r="N35" i="44" s="1"/>
  <c r="N38" i="44" s="1"/>
  <c r="O5" i="44"/>
  <c r="C7" i="68" s="1"/>
  <c r="C10" i="68" s="1"/>
  <c r="C14" i="68" s="1"/>
  <c r="N51" i="44"/>
  <c r="G72" i="44"/>
  <c r="Q8" i="44"/>
  <c r="P9" i="44"/>
  <c r="U7" i="44"/>
  <c r="N12" i="44"/>
  <c r="O22" i="44"/>
  <c r="N15" i="44"/>
  <c r="N61" i="44" s="1"/>
  <c r="N18" i="44"/>
  <c r="O34" i="44" l="1"/>
  <c r="O31" i="44"/>
  <c r="O29" i="44"/>
  <c r="O27" i="44"/>
  <c r="P5" i="44"/>
  <c r="D7" i="68" s="1"/>
  <c r="O51" i="44"/>
  <c r="N52" i="44"/>
  <c r="O35" i="44"/>
  <c r="O38" i="44" s="1"/>
  <c r="N40" i="44"/>
  <c r="N42" i="44" s="1"/>
  <c r="R8" i="44"/>
  <c r="Q9" i="44"/>
  <c r="V7" i="44"/>
  <c r="P22" i="44"/>
  <c r="O18" i="44"/>
  <c r="O12" i="44"/>
  <c r="O15" i="44"/>
  <c r="O61" i="44" s="1"/>
  <c r="P31" i="44" l="1"/>
  <c r="P34" i="44"/>
  <c r="N49" i="44"/>
  <c r="N44" i="44"/>
  <c r="P29" i="44"/>
  <c r="P27" i="44"/>
  <c r="Q5" i="44"/>
  <c r="E7" i="68" s="1"/>
  <c r="P51" i="44"/>
  <c r="O52" i="44"/>
  <c r="O40" i="44"/>
  <c r="O42" i="44" s="1"/>
  <c r="S8" i="44"/>
  <c r="R9" i="44"/>
  <c r="W7" i="44"/>
  <c r="Q22" i="44"/>
  <c r="P12" i="44"/>
  <c r="P15" i="44"/>
  <c r="P61" i="44" s="1"/>
  <c r="P18" i="44"/>
  <c r="P35" i="44" l="1"/>
  <c r="P38" i="44" s="1"/>
  <c r="N50" i="44"/>
  <c r="N54" i="44"/>
  <c r="N59" i="44" s="1"/>
  <c r="Q34" i="44"/>
  <c r="Q27" i="44"/>
  <c r="Q31" i="44"/>
  <c r="Q29" i="44"/>
  <c r="O49" i="44"/>
  <c r="O50" i="44" s="1"/>
  <c r="O44" i="44"/>
  <c r="R5" i="44"/>
  <c r="F7" i="68" s="1"/>
  <c r="Q51" i="44"/>
  <c r="P52" i="44"/>
  <c r="P40" i="44"/>
  <c r="P42" i="44" s="1"/>
  <c r="T8" i="44"/>
  <c r="S9" i="44"/>
  <c r="R22" i="44"/>
  <c r="Q15" i="44"/>
  <c r="Q61" i="44" s="1"/>
  <c r="Q18" i="44"/>
  <c r="Q12" i="44"/>
  <c r="C53" i="44"/>
  <c r="C54" i="44" s="1"/>
  <c r="D53" i="44"/>
  <c r="D54" i="44" s="1"/>
  <c r="E53" i="44"/>
  <c r="E54" i="44" s="1"/>
  <c r="F53" i="44"/>
  <c r="F54" i="44" s="1"/>
  <c r="G53" i="44"/>
  <c r="B53" i="44"/>
  <c r="B54" i="44" s="1"/>
  <c r="C51" i="44"/>
  <c r="C52" i="44" s="1"/>
  <c r="D51" i="44"/>
  <c r="D52" i="44" s="1"/>
  <c r="E51" i="44"/>
  <c r="E52" i="44" s="1"/>
  <c r="F51" i="44"/>
  <c r="F52" i="44" s="1"/>
  <c r="G51" i="44"/>
  <c r="B51" i="44"/>
  <c r="B52" i="44" s="1"/>
  <c r="C49" i="44"/>
  <c r="D49" i="44"/>
  <c r="E49" i="44"/>
  <c r="F49" i="44"/>
  <c r="G49" i="44"/>
  <c r="B49" i="44"/>
  <c r="B18" i="69"/>
  <c r="Q35" i="44" l="1"/>
  <c r="Q38" i="44" s="1"/>
  <c r="Q40" i="44" s="1"/>
  <c r="Q42" i="44" s="1"/>
  <c r="Q49" i="44" s="1"/>
  <c r="Q50" i="44" s="1"/>
  <c r="R29" i="44"/>
  <c r="R34" i="44"/>
  <c r="R31" i="44"/>
  <c r="R27" i="44"/>
  <c r="P49" i="44"/>
  <c r="P50" i="44" s="1"/>
  <c r="P44" i="44"/>
  <c r="S5" i="44"/>
  <c r="G7" i="68" s="1"/>
  <c r="R51" i="44"/>
  <c r="Q52" i="44"/>
  <c r="E57" i="44"/>
  <c r="D57" i="44"/>
  <c r="B57" i="44"/>
  <c r="G57" i="44"/>
  <c r="C57" i="44"/>
  <c r="F57" i="44"/>
  <c r="D50" i="44"/>
  <c r="C50" i="44"/>
  <c r="E50" i="44"/>
  <c r="B50" i="44"/>
  <c r="G50" i="44"/>
  <c r="F50" i="44"/>
  <c r="U8" i="44"/>
  <c r="T9" i="44"/>
  <c r="S22" i="44"/>
  <c r="R15" i="44"/>
  <c r="R61" i="44" s="1"/>
  <c r="R18" i="44"/>
  <c r="R12" i="44"/>
  <c r="G54" i="44"/>
  <c r="G52" i="44"/>
  <c r="C18" i="69"/>
  <c r="Q44" i="44" l="1"/>
  <c r="S34" i="44"/>
  <c r="R35" i="44"/>
  <c r="R38" i="44" s="1"/>
  <c r="S31" i="44"/>
  <c r="S29" i="44"/>
  <c r="S27" i="44"/>
  <c r="S35" i="44" s="1"/>
  <c r="S38" i="44" s="1"/>
  <c r="D18" i="69"/>
  <c r="E18" i="69" s="1"/>
  <c r="F59" i="44"/>
  <c r="F9" i="66"/>
  <c r="F11" i="66" s="1"/>
  <c r="D59" i="44"/>
  <c r="D9" i="66"/>
  <c r="D11" i="66" s="1"/>
  <c r="C59" i="44"/>
  <c r="C9" i="66"/>
  <c r="C11" i="66" s="1"/>
  <c r="G59" i="44"/>
  <c r="G9" i="66"/>
  <c r="G11" i="66" s="1"/>
  <c r="B59" i="44"/>
  <c r="B9" i="66"/>
  <c r="B11" i="66" s="1"/>
  <c r="E59" i="44"/>
  <c r="E9" i="66"/>
  <c r="E11" i="66" s="1"/>
  <c r="T5" i="44"/>
  <c r="H7" i="68" s="1"/>
  <c r="S51" i="44"/>
  <c r="R52" i="44"/>
  <c r="R40" i="44"/>
  <c r="R42" i="44" s="1"/>
  <c r="T34" i="44"/>
  <c r="F58" i="44"/>
  <c r="F60" i="44"/>
  <c r="F63" i="44" s="1"/>
  <c r="C58" i="44"/>
  <c r="C60" i="44"/>
  <c r="C63" i="44" s="1"/>
  <c r="G58" i="44"/>
  <c r="G60" i="44"/>
  <c r="E58" i="44"/>
  <c r="E60" i="44"/>
  <c r="E63" i="44" s="1"/>
  <c r="B58" i="44"/>
  <c r="B60" i="44"/>
  <c r="B63" i="44" s="1"/>
  <c r="D58" i="44"/>
  <c r="D60" i="44"/>
  <c r="D63" i="44" s="1"/>
  <c r="V8" i="44"/>
  <c r="U9" i="44"/>
  <c r="T22" i="44"/>
  <c r="S12" i="44"/>
  <c r="S15" i="44"/>
  <c r="S61" i="44" s="1"/>
  <c r="S18" i="44"/>
  <c r="S23" i="9"/>
  <c r="Q24" i="9"/>
  <c r="S22" i="9"/>
  <c r="S21" i="9"/>
  <c r="O20" i="9" a="1"/>
  <c r="O20" i="9" s="1"/>
  <c r="S20" i="9" s="1"/>
  <c r="O19" i="9" a="1"/>
  <c r="O19" i="9" s="1"/>
  <c r="S19" i="9" s="1"/>
  <c r="T27" i="44" l="1"/>
  <c r="T29" i="44"/>
  <c r="T31" i="44"/>
  <c r="R49" i="44"/>
  <c r="R50" i="44" s="1"/>
  <c r="R44" i="44"/>
  <c r="G10" i="66"/>
  <c r="G12" i="66"/>
  <c r="G16" i="66" s="1"/>
  <c r="D12" i="66"/>
  <c r="D16" i="66" s="1"/>
  <c r="D10" i="66"/>
  <c r="B10" i="66"/>
  <c r="B12" i="66"/>
  <c r="B16" i="66" s="1"/>
  <c r="C12" i="66"/>
  <c r="C16" i="66" s="1"/>
  <c r="C10" i="66"/>
  <c r="F10" i="66"/>
  <c r="F12" i="66"/>
  <c r="F16" i="66" s="1"/>
  <c r="E12" i="66"/>
  <c r="E16" i="66" s="1"/>
  <c r="E10" i="66"/>
  <c r="G64" i="44"/>
  <c r="G63" i="44"/>
  <c r="S52" i="44"/>
  <c r="U5" i="44"/>
  <c r="I7" i="68" s="1"/>
  <c r="T51" i="44"/>
  <c r="S40" i="44"/>
  <c r="S42" i="44" s="1"/>
  <c r="D61" i="44"/>
  <c r="D64" i="44"/>
  <c r="E64" i="44"/>
  <c r="E61" i="44"/>
  <c r="G61" i="44"/>
  <c r="C64" i="44"/>
  <c r="C61" i="44"/>
  <c r="F61" i="44"/>
  <c r="F64" i="44"/>
  <c r="B64" i="44"/>
  <c r="B69" i="44" s="1"/>
  <c r="B74" i="44" s="1"/>
  <c r="B61" i="44"/>
  <c r="T35" i="44"/>
  <c r="T38" i="44" s="1"/>
  <c r="W8" i="44"/>
  <c r="V9" i="44"/>
  <c r="U22" i="44"/>
  <c r="T12" i="44"/>
  <c r="T15" i="44"/>
  <c r="T61" i="44" s="1"/>
  <c r="T18" i="44"/>
  <c r="F18" i="69"/>
  <c r="S24" i="9"/>
  <c r="M28" i="9" s="1"/>
  <c r="S28" i="9" s="1"/>
  <c r="C79" i="44"/>
  <c r="C83" i="44" s="1"/>
  <c r="D79" i="44"/>
  <c r="D83" i="44" s="1"/>
  <c r="E79" i="44"/>
  <c r="E83" i="44" s="1"/>
  <c r="F79" i="44"/>
  <c r="F83" i="44" s="1"/>
  <c r="G79" i="44"/>
  <c r="G83" i="44" s="1"/>
  <c r="B79" i="44"/>
  <c r="B83" i="44" s="1"/>
  <c r="C78" i="44"/>
  <c r="D78" i="44"/>
  <c r="E78" i="44"/>
  <c r="F78" i="44"/>
  <c r="G78" i="44"/>
  <c r="B78" i="44"/>
  <c r="O65" i="44" l="1"/>
  <c r="T65" i="44"/>
  <c r="U65" i="44"/>
  <c r="V65" i="44"/>
  <c r="W65" i="44"/>
  <c r="N65" i="44"/>
  <c r="N64" i="44" s="1"/>
  <c r="P65" i="44"/>
  <c r="Q65" i="44"/>
  <c r="R65" i="44"/>
  <c r="S65" i="44"/>
  <c r="F69" i="44"/>
  <c r="F74" i="44" s="1"/>
  <c r="F66" i="44"/>
  <c r="C69" i="44"/>
  <c r="C74" i="44" s="1"/>
  <c r="C66" i="44"/>
  <c r="D69" i="44"/>
  <c r="D70" i="44" s="1"/>
  <c r="D22" i="66" s="1"/>
  <c r="D66" i="44"/>
  <c r="G69" i="44"/>
  <c r="G66" i="44"/>
  <c r="E69" i="44"/>
  <c r="E74" i="44" s="1"/>
  <c r="E66" i="44"/>
  <c r="U34" i="44"/>
  <c r="S49" i="44"/>
  <c r="S50" i="44" s="1"/>
  <c r="S44" i="44"/>
  <c r="C21" i="66"/>
  <c r="C15" i="66"/>
  <c r="F15" i="66"/>
  <c r="F21" i="66"/>
  <c r="D15" i="66"/>
  <c r="D21" i="66"/>
  <c r="B77" i="44"/>
  <c r="B87" i="44" s="1"/>
  <c r="B23" i="66"/>
  <c r="B28" i="66" s="1"/>
  <c r="C85" i="44"/>
  <c r="C25" i="66" s="1"/>
  <c r="C81" i="44"/>
  <c r="C84" i="44" s="1"/>
  <c r="U31" i="44"/>
  <c r="G15" i="66"/>
  <c r="G21" i="66"/>
  <c r="U29" i="44"/>
  <c r="U27" i="44"/>
  <c r="E21" i="66"/>
  <c r="E15" i="66"/>
  <c r="G81" i="44"/>
  <c r="G84" i="44" s="1"/>
  <c r="N67" i="44"/>
  <c r="B24" i="68" s="1"/>
  <c r="G85" i="44"/>
  <c r="F81" i="44"/>
  <c r="F84" i="44" s="1"/>
  <c r="F85" i="44"/>
  <c r="F25" i="66" s="1"/>
  <c r="D81" i="44"/>
  <c r="D84" i="44" s="1"/>
  <c r="D85" i="44"/>
  <c r="D25" i="66" s="1"/>
  <c r="E81" i="44"/>
  <c r="E84" i="44" s="1"/>
  <c r="E85" i="44"/>
  <c r="E25" i="66" s="1"/>
  <c r="V5" i="44"/>
  <c r="U51" i="44"/>
  <c r="T52" i="44"/>
  <c r="D74" i="44"/>
  <c r="T40" i="44"/>
  <c r="T42" i="44" s="1"/>
  <c r="W9" i="44"/>
  <c r="V22" i="44"/>
  <c r="U12" i="44"/>
  <c r="U15" i="44"/>
  <c r="U61" i="44" s="1"/>
  <c r="U18" i="44"/>
  <c r="G18" i="69"/>
  <c r="B81" i="44"/>
  <c r="B84" i="44" s="1"/>
  <c r="C70" i="44" l="1"/>
  <c r="C22" i="66" s="1"/>
  <c r="F70" i="44"/>
  <c r="F22" i="66" s="1"/>
  <c r="F18" i="44"/>
  <c r="D18" i="44"/>
  <c r="T64" i="44"/>
  <c r="I18" i="44"/>
  <c r="E18" i="44"/>
  <c r="C18" i="44"/>
  <c r="W66" i="44"/>
  <c r="V66" i="44"/>
  <c r="G18" i="44"/>
  <c r="G74" i="44"/>
  <c r="G70" i="44"/>
  <c r="G22" i="66" s="1"/>
  <c r="E70" i="44"/>
  <c r="E22" i="66" s="1"/>
  <c r="U35" i="44"/>
  <c r="U38" i="44" s="1"/>
  <c r="U40" i="44" s="1"/>
  <c r="U42" i="44" s="1"/>
  <c r="T49" i="44"/>
  <c r="T50" i="44" s="1"/>
  <c r="T44" i="44"/>
  <c r="U64" i="44"/>
  <c r="G25" i="66"/>
  <c r="T66" i="44"/>
  <c r="H18" i="44"/>
  <c r="C77" i="44"/>
  <c r="C87" i="44" s="1"/>
  <c r="C23" i="66"/>
  <c r="C28" i="66" s="1"/>
  <c r="U66" i="44"/>
  <c r="F77" i="44"/>
  <c r="F87" i="44" s="1"/>
  <c r="F23" i="66"/>
  <c r="F28" i="66" s="1"/>
  <c r="E77" i="44"/>
  <c r="E87" i="44" s="1"/>
  <c r="E23" i="66"/>
  <c r="E28" i="66" s="1"/>
  <c r="D77" i="44"/>
  <c r="D87" i="44" s="1"/>
  <c r="D23" i="66"/>
  <c r="D28" i="66" s="1"/>
  <c r="V34" i="44"/>
  <c r="J7" i="68"/>
  <c r="Q66" i="44"/>
  <c r="Q64" i="44"/>
  <c r="P64" i="44"/>
  <c r="R66" i="44"/>
  <c r="R64" i="44"/>
  <c r="V29" i="44"/>
  <c r="V31" i="44"/>
  <c r="W5" i="44"/>
  <c r="K7" i="68" s="1"/>
  <c r="V51" i="44"/>
  <c r="U52" i="44"/>
  <c r="V27" i="44"/>
  <c r="W22" i="44"/>
  <c r="V12" i="44"/>
  <c r="V15" i="44"/>
  <c r="V61" i="44" s="1"/>
  <c r="V18" i="44"/>
  <c r="H18" i="69"/>
  <c r="O66" i="44" l="1"/>
  <c r="B25" i="68"/>
  <c r="J18" i="44"/>
  <c r="V64" i="44"/>
  <c r="V68" i="44" s="1"/>
  <c r="N66" i="44"/>
  <c r="P66" i="44"/>
  <c r="S64" i="44"/>
  <c r="G25" i="68" s="1"/>
  <c r="K18" i="44"/>
  <c r="B18" i="44"/>
  <c r="S66" i="44"/>
  <c r="O64" i="44"/>
  <c r="O68" i="44" s="1"/>
  <c r="G23" i="66"/>
  <c r="G28" i="66" s="1"/>
  <c r="G77" i="44"/>
  <c r="G87" i="44" s="1"/>
  <c r="U49" i="44"/>
  <c r="U50" i="44" s="1"/>
  <c r="U44" i="44"/>
  <c r="R68" i="44"/>
  <c r="F25" i="68"/>
  <c r="P68" i="44"/>
  <c r="D25" i="68"/>
  <c r="Q68" i="44"/>
  <c r="E25" i="68"/>
  <c r="T68" i="44"/>
  <c r="H25" i="68"/>
  <c r="U68" i="44"/>
  <c r="I25" i="68"/>
  <c r="V35" i="44"/>
  <c r="V38" i="44" s="1"/>
  <c r="V40" i="44" s="1"/>
  <c r="V42" i="44" s="1"/>
  <c r="W51" i="44"/>
  <c r="W52" i="44" s="1"/>
  <c r="W27" i="44"/>
  <c r="W31" i="44"/>
  <c r="W29" i="44"/>
  <c r="W34" i="44"/>
  <c r="V52" i="44"/>
  <c r="W12" i="44"/>
  <c r="W15" i="44"/>
  <c r="W61" i="44" s="1"/>
  <c r="W64" i="44" s="1"/>
  <c r="W18" i="44"/>
  <c r="I18" i="69"/>
  <c r="J25" i="68" l="1"/>
  <c r="C25" i="68"/>
  <c r="S68" i="44"/>
  <c r="N68" i="44"/>
  <c r="V49" i="44"/>
  <c r="V50" i="44" s="1"/>
  <c r="V44" i="44"/>
  <c r="W68" i="44"/>
  <c r="K25" i="68"/>
  <c r="W35" i="44"/>
  <c r="W38" i="44" s="1"/>
  <c r="W40" i="44" s="1"/>
  <c r="W42" i="44" s="1"/>
  <c r="J18" i="69"/>
  <c r="W49" i="44" l="1"/>
  <c r="W50" i="44" s="1"/>
  <c r="W44" i="44"/>
  <c r="K18" i="69"/>
  <c r="L18" i="69" s="1"/>
  <c r="D10" i="68" l="1"/>
  <c r="D14" i="68" s="1"/>
  <c r="B8" i="68"/>
  <c r="C8" i="68"/>
  <c r="C12" i="68" l="1"/>
  <c r="C19" i="68"/>
  <c r="C22" i="68" s="1"/>
  <c r="C26" i="68" s="1"/>
  <c r="E10" i="68"/>
  <c r="E14" i="68" s="1"/>
  <c r="B12" i="68"/>
  <c r="B18" i="68"/>
  <c r="D8" i="68"/>
  <c r="P13" i="69" l="1"/>
  <c r="C15" i="69"/>
  <c r="C19" i="69" s="1"/>
  <c r="C18" i="68"/>
  <c r="E8" i="68"/>
  <c r="B15" i="68"/>
  <c r="B19" i="68"/>
  <c r="B22" i="68" s="1"/>
  <c r="B26" i="68" s="1"/>
  <c r="O13" i="69" s="1"/>
  <c r="O16" i="69" s="1"/>
  <c r="P16" i="69" s="1"/>
  <c r="C15" i="68"/>
  <c r="D12" i="68"/>
  <c r="F10" i="68"/>
  <c r="F14" i="68" s="1"/>
  <c r="B15" i="69" l="1"/>
  <c r="B19" i="69" s="1"/>
  <c r="B27" i="68"/>
  <c r="C27" i="68"/>
  <c r="E12" i="68"/>
  <c r="D15" i="68"/>
  <c r="D19" i="68"/>
  <c r="D22" i="68" s="1"/>
  <c r="D26" i="68" s="1"/>
  <c r="D18" i="68"/>
  <c r="F8" i="68"/>
  <c r="G10" i="68"/>
  <c r="G14" i="68" s="1"/>
  <c r="O14" i="69" l="1"/>
  <c r="O15" i="69"/>
  <c r="P14" i="69"/>
  <c r="D15" i="69"/>
  <c r="D19" i="69" s="1"/>
  <c r="Q13" i="69"/>
  <c r="H10" i="68"/>
  <c r="H14" i="68" s="1"/>
  <c r="G8" i="68"/>
  <c r="F12" i="68"/>
  <c r="E15" i="68"/>
  <c r="E18" i="68"/>
  <c r="E19" i="68"/>
  <c r="E22" i="68" s="1"/>
  <c r="E26" i="68" s="1"/>
  <c r="O8" i="9" a="1"/>
  <c r="O8" i="9" s="1"/>
  <c r="S8" i="9" s="1"/>
  <c r="O9" i="9" a="1"/>
  <c r="O9" i="9" s="1"/>
  <c r="S9" i="9" s="1"/>
  <c r="O10" i="9" a="1"/>
  <c r="O10" i="9" s="1"/>
  <c r="S10" i="9" s="1"/>
  <c r="O11" i="9" a="1"/>
  <c r="O11" i="9" s="1"/>
  <c r="S11" i="9" s="1"/>
  <c r="O12" i="9" a="1"/>
  <c r="O12" i="9" s="1"/>
  <c r="S12" i="9" s="1"/>
  <c r="O13" i="9" a="1"/>
  <c r="O13" i="9" s="1"/>
  <c r="S13" i="9" s="1"/>
  <c r="O14" i="9" a="1"/>
  <c r="O14" i="9" s="1"/>
  <c r="S14" i="9" s="1"/>
  <c r="O7" i="9" a="1"/>
  <c r="O7" i="9" s="1"/>
  <c r="S7" i="9" s="1"/>
  <c r="Q15" i="9"/>
  <c r="Q14" i="69" l="1"/>
  <c r="Q16" i="69"/>
  <c r="O17" i="69"/>
  <c r="P15" i="69"/>
  <c r="E15" i="69"/>
  <c r="E19" i="69" s="1"/>
  <c r="R13" i="69"/>
  <c r="D27" i="68"/>
  <c r="H8" i="68"/>
  <c r="I10" i="68"/>
  <c r="I14" i="68" s="1"/>
  <c r="F18" i="68"/>
  <c r="F15" i="68"/>
  <c r="F19" i="68"/>
  <c r="F22" i="68" s="1"/>
  <c r="F26" i="68" s="1"/>
  <c r="G12" i="68"/>
  <c r="S15" i="9"/>
  <c r="M27" i="9" s="1"/>
  <c r="S27" i="9" s="1"/>
  <c r="S29" i="9" s="1"/>
  <c r="R16" i="69" l="1"/>
  <c r="R14" i="69"/>
  <c r="F15" i="69"/>
  <c r="F19" i="69" s="1"/>
  <c r="S13" i="69"/>
  <c r="Q15" i="69"/>
  <c r="P17" i="69"/>
  <c r="E27" i="68"/>
  <c r="H12" i="68"/>
  <c r="I8" i="68"/>
  <c r="J10" i="68"/>
  <c r="J14" i="68" s="1"/>
  <c r="G18" i="68"/>
  <c r="G15" i="68"/>
  <c r="G19" i="68"/>
  <c r="G22" i="68" s="1"/>
  <c r="G26" i="68" s="1"/>
  <c r="S16" i="69" l="1"/>
  <c r="S14" i="69"/>
  <c r="S15" i="69"/>
  <c r="Q17" i="69"/>
  <c r="G15" i="69"/>
  <c r="G19" i="69" s="1"/>
  <c r="T13" i="69"/>
  <c r="R15" i="69"/>
  <c r="F27" i="68"/>
  <c r="I12" i="68"/>
  <c r="H18" i="68"/>
  <c r="H15" i="68"/>
  <c r="H19" i="68"/>
  <c r="H22" i="68" s="1"/>
  <c r="H26" i="68" s="1"/>
  <c r="J8" i="68"/>
  <c r="T16" i="69" l="1"/>
  <c r="T14" i="69"/>
  <c r="R17" i="69"/>
  <c r="U13" i="69"/>
  <c r="U14" i="69" s="1"/>
  <c r="H15" i="69"/>
  <c r="H19" i="69" s="1"/>
  <c r="G27" i="68"/>
  <c r="K10" i="68"/>
  <c r="K14" i="68" s="1"/>
  <c r="K8" i="68"/>
  <c r="J12" i="68"/>
  <c r="I18" i="68"/>
  <c r="I15" i="68"/>
  <c r="I19" i="68"/>
  <c r="I22" i="68" s="1"/>
  <c r="I26" i="68" s="1"/>
  <c r="U16" i="69" l="1"/>
  <c r="I15" i="69"/>
  <c r="I19" i="69" s="1"/>
  <c r="V13" i="69"/>
  <c r="V14" i="69" s="1"/>
  <c r="H27" i="68"/>
  <c r="K12" i="68"/>
  <c r="J18" i="68"/>
  <c r="J15" i="68"/>
  <c r="J19" i="68"/>
  <c r="J22" i="68" s="1"/>
  <c r="J26" i="68" s="1"/>
  <c r="V16" i="69" l="1"/>
  <c r="J15" i="69"/>
  <c r="J19" i="69" s="1"/>
  <c r="W13" i="69"/>
  <c r="W14" i="69" s="1"/>
  <c r="I27" i="68"/>
  <c r="K15" i="68"/>
  <c r="K18" i="68"/>
  <c r="K19" i="68"/>
  <c r="K22" i="68" s="1"/>
  <c r="K26" i="68" s="1"/>
  <c r="W16" i="69" l="1"/>
  <c r="K15" i="69"/>
  <c r="X13" i="69"/>
  <c r="O21" i="69" s="1"/>
  <c r="J27" i="68"/>
  <c r="X16" i="69" l="1"/>
  <c r="X14" i="69"/>
  <c r="L15" i="69"/>
  <c r="L16" i="69" s="1"/>
  <c r="L19" i="69" s="1"/>
  <c r="K19" i="69"/>
  <c r="K27" i="68"/>
  <c r="E23" i="69" l="1"/>
  <c r="B22" i="69"/>
  <c r="B27" i="69" s="1"/>
  <c r="B29" i="69" s="1"/>
  <c r="B31" i="69" s="1"/>
  <c r="S17" i="69" l="1"/>
  <c r="T15" i="69"/>
  <c r="T54" i="44" l="1"/>
  <c r="T59" i="44" s="1"/>
  <c r="T69" i="44" s="1"/>
  <c r="S54" i="44"/>
  <c r="S59" i="44" s="1"/>
  <c r="S69" i="44" s="1"/>
  <c r="W54" i="44"/>
  <c r="W59" i="44" s="1"/>
  <c r="W69" i="44" s="1"/>
  <c r="V54" i="44"/>
  <c r="V59" i="44" s="1"/>
  <c r="V69" i="44" s="1"/>
  <c r="R54" i="44"/>
  <c r="R59" i="44" s="1"/>
  <c r="R69" i="44" s="1"/>
  <c r="U54" i="44"/>
  <c r="U59" i="44" s="1"/>
  <c r="U69" i="44" s="1"/>
  <c r="O54" i="44"/>
  <c r="O59" i="44" s="1"/>
  <c r="O69" i="44" s="1"/>
  <c r="Q54" i="44"/>
  <c r="Q59" i="44" s="1"/>
  <c r="Q69" i="44" s="1"/>
  <c r="P54" i="44"/>
  <c r="P59" i="44" s="1"/>
  <c r="P69" i="44" s="1"/>
  <c r="N69" i="44"/>
  <c r="U15" i="69" l="1"/>
  <c r="T17" i="69" l="1"/>
  <c r="U17" i="69" l="1"/>
  <c r="V15" i="69"/>
  <c r="W15" i="69" l="1"/>
  <c r="V17" i="69"/>
  <c r="X15" i="69" l="1"/>
  <c r="O20" i="69" s="1"/>
  <c r="W17" i="69"/>
  <c r="X17" i="69" l="1"/>
  <c r="O22" i="69"/>
  <c r="O23" i="69" s="1"/>
  <c r="O24" i="69" l="1"/>
  <c r="R30" i="69"/>
  <c r="R21" i="69" l="1"/>
  <c r="G107" i="75" l="1"/>
  <c r="J101" i="75" l="1"/>
  <c r="J106" i="75" s="1"/>
  <c r="I107" i="75"/>
  <c r="K101" i="75" l="1"/>
  <c r="J107" i="75"/>
  <c r="J102" i="75"/>
  <c r="K102" i="75" l="1"/>
  <c r="K106" i="75"/>
  <c r="L101" i="75" s="1"/>
  <c r="L106" i="75" s="1"/>
  <c r="L107" i="75" s="1"/>
  <c r="K107" i="75" l="1"/>
  <c r="L102" i="7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tc={825D286F-0BB2-4CE2-86B9-BCBD35EB8A35}</author>
    <author>tc={0E7D31A6-327C-4BB2-B792-D12CFACAE1A3}</author>
  </authors>
  <commentList>
    <comment ref="M4" authorId="0" shapeId="0" xr:uid="{825D286F-0BB2-4CE2-86B9-BCBD35EB8A35}">
      <text>
        <t>[Threaded comment]
Your version of Excel allows you to read this threaded comment; however, any edits to it will get removed if the file is opened in a newer version of Excel. Learn more: https://go.microsoft.com/fwlink/?linkid=870924
Comment:
    I used the amount of invested capital to be the determinant of future revenues. This is because operating assets are needed to generate revenues. Assuming at optimal capacity, invested capital increase is proportional to revenue increase. The industry average is used to consider the degree of proportionality between the two. Since the net working capital has been consistently negative, I make the assumption that it is zero going forward.</t>
      </text>
    </comment>
    <comment ref="A25" authorId="1" shapeId="0" xr:uid="{0E7D31A6-327C-4BB2-B792-D12CFACAE1A3}">
      <text>
        <t>[Threaded comment]
Your version of Excel allows you to read this threaded comment; however, any edits to it will get removed if the file is opened in a newer version of Excel. Learn more: https://go.microsoft.com/fwlink/?linkid=870924
Comment:
    I used the amount of invested capital to be the determinant of future revenues. This is because operating assets are needed to generate revenues. Assuming at optimal capacity, invested capital increase is proportional to revenue increase. The industry average is used to consider the degree of proportionality between the two. Since the net working capital has been consistently negative, I make the assumption that it is zero going forward.</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96E880-8C95-4446-B125-3AD421C41E2A}" keepAlive="1" name="Query - Page001" description="Connection to the 'Page001' query in the workbook." type="5" refreshedVersion="0" background="1" saveData="1">
    <dbPr connection="Provider=Microsoft.Mashup.OleDb.1;Data Source=$Workbook$;Location=Page001;Extended Properties=&quot;&quot;" command="SELECT * FROM [Page001]"/>
  </connection>
  <connection id="2" xr16:uid="{EB6912FA-1E11-474F-B2AF-4AA00CF3FD5F}" keepAlive="1" name="Query - Page002" description="Connection to the 'Page002' query in the workbook." type="5" refreshedVersion="8" background="1" saveData="1">
    <dbPr connection="Provider=Microsoft.Mashup.OleDb.1;Data Source=$Workbook$;Location=Page002;Extended Properties=&quot;&quot;" command="SELECT * FROM [Page002]"/>
  </connection>
  <connection id="3" xr16:uid="{BC35B7F7-7B8B-43CB-94B3-A1A7E749787D}" keepAlive="1" name="Query - Page002 (2)" description="Connection to the 'Page002 (2)' query in the workbook." type="5" refreshedVersion="0" background="1" saveData="1">
    <dbPr connection="Provider=Microsoft.Mashup.OleDb.1;Data Source=$Workbook$;Location=&quot;Page002 (2)&quot;;Extended Properties=&quot;&quot;" command="SELECT * FROM [Page002 (2)]"/>
  </connection>
  <connection id="4" xr16:uid="{7FAF1721-2686-48D5-957B-CFE3AB8BD36D}" keepAlive="1" name="Query - Page003" description="Connection to the 'Page003' query in the workbook." type="5" refreshedVersion="8" background="1" saveData="1">
    <dbPr connection="Provider=Microsoft.Mashup.OleDb.1;Data Source=$Workbook$;Location=Page003;Extended Properties=&quot;&quot;" command="SELECT * FROM [Page003]"/>
  </connection>
  <connection id="5" xr16:uid="{7F93C3AC-AFAA-46CE-9819-3CE240119B66}" keepAlive="1" name="Query - Page003 (2)" description="Connection to the 'Page003 (2)' query in the workbook." type="5" refreshedVersion="0" background="1" saveData="1">
    <dbPr connection="Provider=Microsoft.Mashup.OleDb.1;Data Source=$Workbook$;Location=&quot;Page003 (2)&quot;;Extended Properties=&quot;&quot;" command="SELECT * FROM [Page003 (2)]"/>
  </connection>
  <connection id="6" xr16:uid="{68E8FA6F-ECC7-4D51-ACEA-FDDB128869EB}" keepAlive="1" name="Query - Page004" description="Connection to the 'Page004' query in the workbook." type="5" refreshedVersion="0" background="1" saveData="1">
    <dbPr connection="Provider=Microsoft.Mashup.OleDb.1;Data Source=$Workbook$;Location=Page004;Extended Properties=&quot;&quot;" command="SELECT * FROM [Page004]"/>
  </connection>
  <connection id="7" xr16:uid="{414ACA3E-2DEA-41D3-A745-BB60CDE7D509}" keepAlive="1" name="Query - Page005" description="Connection to the 'Page005' query in the workbook." type="5" refreshedVersion="0" background="1" saveData="1">
    <dbPr connection="Provider=Microsoft.Mashup.OleDb.1;Data Source=$Workbook$;Location=Page005;Extended Properties=&quot;&quot;" command="SELECT * FROM [Page005]"/>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<sst xmlns="http://schemas.openxmlformats.org/spreadsheetml/2006/main" count="971" uniqueCount="544">
  <si>
    <t>Mega First Corporation Bhd</t>
  </si>
  <si>
    <t>Highlights</t>
  </si>
  <si>
    <r>
      <rPr>
        <sz val="36"/>
        <color theme="0"/>
        <rFont val="Aptos Narrow"/>
        <family val="2"/>
        <scheme val="minor"/>
      </rPr>
      <t>0%</t>
    </r>
    <r>
      <rPr>
        <sz val="11"/>
        <color theme="0"/>
        <rFont val="Georgia"/>
        <family val="1"/>
      </rPr>
      <t xml:space="preserve">
</t>
    </r>
    <r>
      <rPr>
        <i/>
        <sz val="11"/>
        <color theme="0"/>
        <rFont val="FZYaoTi"/>
      </rPr>
      <t>Previous Growth Rate</t>
    </r>
  </si>
  <si>
    <r>
      <rPr>
        <sz val="36"/>
        <color theme="0"/>
        <rFont val="Aptos Narrow"/>
        <family val="2"/>
        <scheme val="minor"/>
      </rPr>
      <t>0%</t>
    </r>
    <r>
      <rPr>
        <sz val="11"/>
        <color theme="0"/>
        <rFont val="Georgia"/>
        <family val="1"/>
      </rPr>
      <t xml:space="preserve">
</t>
    </r>
    <r>
      <rPr>
        <i/>
        <sz val="11"/>
        <color theme="0"/>
        <rFont val="FZYaoTi"/>
      </rPr>
      <t>Operating Margins</t>
    </r>
    <r>
      <rPr>
        <sz val="11"/>
        <color theme="0"/>
        <rFont val="FZYaoTi"/>
        <charset val="134"/>
      </rPr>
      <t xml:space="preserve">
</t>
    </r>
  </si>
  <si>
    <r>
      <rPr>
        <sz val="36"/>
        <color theme="0"/>
        <rFont val="Aptos Narrow"/>
        <family val="2"/>
        <scheme val="minor"/>
      </rPr>
      <t>0%</t>
    </r>
    <r>
      <rPr>
        <sz val="11"/>
        <color theme="0"/>
        <rFont val="Georgia"/>
        <family val="1"/>
      </rPr>
      <t xml:space="preserve">
</t>
    </r>
    <r>
      <rPr>
        <i/>
        <sz val="11"/>
        <color theme="0"/>
        <rFont val="FZYaoTi"/>
      </rPr>
      <t>Expected Growth Rate</t>
    </r>
  </si>
  <si>
    <r>
      <rPr>
        <sz val="36"/>
        <color theme="0"/>
        <rFont val="Aptos Narrow"/>
        <family val="2"/>
        <scheme val="minor"/>
      </rPr>
      <t>0%</t>
    </r>
    <r>
      <rPr>
        <sz val="11"/>
        <color theme="0"/>
        <rFont val="Georgia"/>
        <family val="1"/>
      </rPr>
      <t xml:space="preserve">
</t>
    </r>
    <r>
      <rPr>
        <i/>
        <sz val="11"/>
        <color theme="0"/>
        <rFont val="FZYaoTi"/>
      </rPr>
      <t>Expected FCF Yield</t>
    </r>
  </si>
  <si>
    <r>
      <rPr>
        <sz val="36"/>
        <color theme="0"/>
        <rFont val="Aptos Narrow"/>
        <family val="2"/>
        <scheme val="minor"/>
      </rPr>
      <t>0%</t>
    </r>
    <r>
      <rPr>
        <sz val="11"/>
        <color theme="0"/>
        <rFont val="Georgia"/>
        <family val="1"/>
      </rPr>
      <t xml:space="preserve">
</t>
    </r>
    <r>
      <rPr>
        <i/>
        <sz val="11"/>
        <color theme="0"/>
        <rFont val="FZYaoTi"/>
      </rPr>
      <t>Return on Invested Capital</t>
    </r>
  </si>
  <si>
    <r>
      <rPr>
        <sz val="36"/>
        <color theme="0"/>
        <rFont val="Aptos Narrow"/>
        <family val="2"/>
        <scheme val="minor"/>
      </rPr>
      <t>0th</t>
    </r>
    <r>
      <rPr>
        <sz val="11"/>
        <color theme="0"/>
        <rFont val="Georgia"/>
        <family val="1"/>
      </rPr>
      <t xml:space="preserve">
</t>
    </r>
    <r>
      <rPr>
        <i/>
        <sz val="11"/>
        <color theme="0"/>
        <rFont val="FZYaoTi"/>
      </rPr>
      <t>Largest Company</t>
    </r>
  </si>
  <si>
    <t>Business Model and Operations</t>
  </si>
  <si>
    <t>Primary Business Operations</t>
  </si>
  <si>
    <t>Name</t>
  </si>
  <si>
    <t>Description</t>
  </si>
  <si>
    <t>Treatment</t>
  </si>
  <si>
    <t>Market Share and Scalability</t>
  </si>
  <si>
    <t>Cyclicality</t>
  </si>
  <si>
    <t>Size</t>
  </si>
  <si>
    <t>Total Addressable Market, CH HK</t>
  </si>
  <si>
    <t>Serviceable Available Market</t>
  </si>
  <si>
    <t>Serviceable Obtainable Market</t>
  </si>
  <si>
    <t>Market share</t>
  </si>
  <si>
    <t>Pricing Power</t>
  </si>
  <si>
    <t>Barriers to Entry</t>
  </si>
  <si>
    <t>The Valuation Standard</t>
  </si>
  <si>
    <t>The Investing Standard</t>
  </si>
  <si>
    <t>The Valuation Standard is a framework of principles and methods I’ve developed for my own investment approach. I believe it offers an alternative to conventional investing and valuation techniques. While many of the principles align with industry standards, certain metrics and valuation methods intentionally deviate based on my personal understanding of how investing should function and how companies should truly be valued. If you choose to read my analysis and valuations, please note that I do not always adhere strictly to traditional standards.</t>
  </si>
  <si>
    <t>Note</t>
  </si>
  <si>
    <t>The values highlighted in blue have a dropdown list, they are interactive.</t>
  </si>
  <si>
    <t>Qualitative Standard</t>
  </si>
  <si>
    <t>Values</t>
  </si>
  <si>
    <t>Coefficient</t>
  </si>
  <si>
    <t>Weightage</t>
  </si>
  <si>
    <t>Effective Weightage</t>
  </si>
  <si>
    <t>Business Position</t>
  </si>
  <si>
    <t>Major Oligopoly</t>
  </si>
  <si>
    <t>Product Elasticity</t>
  </si>
  <si>
    <t>Inelastic</t>
  </si>
  <si>
    <t>Product Importance</t>
  </si>
  <si>
    <t>Essential</t>
  </si>
  <si>
    <t>Product Substitute</t>
  </si>
  <si>
    <t>Few</t>
  </si>
  <si>
    <t>Previous Growth</t>
  </si>
  <si>
    <t>High Growth</t>
  </si>
  <si>
    <t>Main principle</t>
  </si>
  <si>
    <t>Expected Future Growth</t>
  </si>
  <si>
    <t>Growth</t>
  </si>
  <si>
    <t>Free Cash Flow Yield + Intrinsic Value Growth</t>
  </si>
  <si>
    <t>Market Growth</t>
  </si>
  <si>
    <t>Market Saturation</t>
  </si>
  <si>
    <t>Saturated</t>
  </si>
  <si>
    <t>Cost of Equity</t>
  </si>
  <si>
    <t>Total Values</t>
  </si>
  <si>
    <t>Quantitative Standard</t>
  </si>
  <si>
    <r>
      <t xml:space="preserve">The first formula illustrates the root of what I believe a company's value truly lies: The rate of </t>
    </r>
    <r>
      <rPr>
        <b/>
        <i/>
        <sz val="12"/>
        <color theme="1"/>
        <rFont val="Aptos Narrow"/>
        <family val="2"/>
        <scheme val="minor"/>
      </rPr>
      <t>tangible cash return</t>
    </r>
    <r>
      <rPr>
        <i/>
        <sz val="12"/>
        <color theme="1"/>
        <rFont val="Aptos Narrow"/>
        <family val="2"/>
        <scheme val="minor"/>
      </rPr>
      <t xml:space="preserve"> an investor may realistically realize. The objective of investing is to have access to a company's cash flows therefore its value is attained by the free cash flow yield it offers. The value of the yield may be perceived acceptable by deriving the value of return an investor may ask for relative to the risk-free rate, average market returns and risk. Therefore, the most suitable yield to apply as a benchmark for optimal returns is the </t>
    </r>
    <r>
      <rPr>
        <b/>
        <i/>
        <sz val="12"/>
        <color theme="1"/>
        <rFont val="Aptos Narrow"/>
        <family val="2"/>
        <scheme val="minor"/>
      </rPr>
      <t xml:space="preserve">cost of equity. </t>
    </r>
    <r>
      <rPr>
        <i/>
        <sz val="12"/>
        <color theme="1"/>
        <rFont val="Aptos Narrow"/>
        <family val="2"/>
        <scheme val="minor"/>
      </rPr>
      <t>It fully encapsulates the returns an investor should look for in a company relative to its risk, market performance and the risk-free returns.</t>
    </r>
    <r>
      <rPr>
        <b/>
        <i/>
        <sz val="12"/>
        <color theme="1"/>
        <rFont val="Aptos Narrow"/>
        <family val="2"/>
        <scheme val="minor"/>
      </rPr>
      <t xml:space="preserve"> </t>
    </r>
    <r>
      <rPr>
        <i/>
        <sz val="12"/>
        <color theme="1"/>
        <rFont val="Aptos Narrow"/>
        <family val="2"/>
        <scheme val="minor"/>
      </rPr>
      <t xml:space="preserve">
However, in auction based markets where company valuation changes over time, a company must be valued accordingly based on its performance. As the free cash flow yield grows, the market capitalization of the company must also grow in proportion with its FCF yield growth. Since both the yield and the growth of the market cap are tangible cash returns, they can be used to fulfil the rate of return required by the cost of equity.</t>
    </r>
  </si>
  <si>
    <t>FCFE Growth</t>
  </si>
  <si>
    <t>FCFE yield</t>
  </si>
  <si>
    <t>FCF to debt</t>
  </si>
  <si>
    <t>Operating margin</t>
  </si>
  <si>
    <t>ROIC</t>
  </si>
  <si>
    <t>Quantitative Values</t>
  </si>
  <si>
    <t>Qualitative Values</t>
  </si>
  <si>
    <t>Total Value</t>
  </si>
  <si>
    <t>Ratings</t>
  </si>
  <si>
    <t>Uninvestable</t>
  </si>
  <si>
    <t>Unattractive</t>
  </si>
  <si>
    <t>Justifiable</t>
  </si>
  <si>
    <t>Attractive</t>
  </si>
  <si>
    <t>My own principle</t>
  </si>
  <si>
    <t>I, however believed that the current and traditional way of deriving the cost of equity to be significantly uncompetitive, especially so taking into consideration of inflation and currency fluctuations. I also would like my investments to double every 5 years. And so, I choose a flat 15% rate as my cost of equity, not because I have sophisticated calculations laid out to justify this but simply out of my own personal objective. With this, I also theoretically may consistently outperform any indices the world could come up with consistently over the long term.</t>
  </si>
  <si>
    <t>Intrinsic Value</t>
  </si>
  <si>
    <t>Free Cash Flow</t>
  </si>
  <si>
    <t>Required FCF Yield</t>
  </si>
  <si>
    <t xml:space="preserve">The intrinsic value in this context is the minimum amount of yield a security can provide that is required by the investor. Note that the yield used is free cash flow yield and not dividends yield because FCF yield is real, tangible, practical yield. The yield may be derived from the risk-free rate plus a premium of the investor's choice. This will result in the intrinsic value of a company. This way every year, the market cap may grow or shrink based on the yield it generates. </t>
  </si>
  <si>
    <t>Intrinsic Value Growth</t>
  </si>
  <si>
    <t>(Final Year Intrinsic Value/Base Year Market Cap)^(1/n)-1</t>
  </si>
  <si>
    <t xml:space="preserve">The growth of intrinsic value is the growth of market cap under the condition that it retains the FCF yield. This hypothesis would benefit both dividend seeking investors and growth investors to invest in a company that is both growing and has the capacity to distribute FCF. </t>
  </si>
  <si>
    <t>Industry Overview</t>
  </si>
  <si>
    <t>References</t>
  </si>
  <si>
    <t>Fragmented, unsaturated</t>
  </si>
  <si>
    <t>High growth, about 15% growth the past 10 years</t>
  </si>
  <si>
    <t>Business Model</t>
  </si>
  <si>
    <t>Eye Health Services</t>
  </si>
  <si>
    <t>Business Growth</t>
  </si>
  <si>
    <t>High growth, about 14% from the past 5 years</t>
  </si>
  <si>
    <t>Top 4 major company, leader in Inner Mongolia and Northern China</t>
  </si>
  <si>
    <t>Product Strength</t>
  </si>
  <si>
    <t>Inelastic, important services, non-discretionary, moderate pricing power</t>
  </si>
  <si>
    <t>Growth Drivers</t>
  </si>
  <si>
    <t>Important treatment, government support, increase in disposable income, rising awareness in eye health, Population vulnurable to eye diseases</t>
  </si>
  <si>
    <t>Eye Medical Services Industry, FYE 2023</t>
  </si>
  <si>
    <t>Revenue, B</t>
  </si>
  <si>
    <t>CAGR 4Y</t>
  </si>
  <si>
    <t>P/E</t>
  </si>
  <si>
    <t>P/FCF</t>
  </si>
  <si>
    <t>Gross Margin</t>
  </si>
  <si>
    <t>Operating Margin</t>
  </si>
  <si>
    <t>Net Margin</t>
  </si>
  <si>
    <t>ROIC, %</t>
  </si>
  <si>
    <t>Revenue</t>
  </si>
  <si>
    <t>Operating Earnings</t>
  </si>
  <si>
    <t>Net Income</t>
  </si>
  <si>
    <t>Invested Capital</t>
  </si>
  <si>
    <t>Sales to Capital</t>
  </si>
  <si>
    <t>Return on Capital</t>
  </si>
  <si>
    <t>Capital Invested</t>
  </si>
  <si>
    <t>Risk Evaluation</t>
  </si>
  <si>
    <t>Key Risk</t>
  </si>
  <si>
    <t>Positive Outcome</t>
  </si>
  <si>
    <t>Negative Outcome</t>
  </si>
  <si>
    <t>Probability of risk</t>
  </si>
  <si>
    <t>Case Study</t>
  </si>
  <si>
    <t>Simplified Income Statement RM’000</t>
  </si>
  <si>
    <t>2014</t>
  </si>
  <si>
    <t>2015</t>
  </si>
  <si>
    <t>2016</t>
  </si>
  <si>
    <t>2017</t>
  </si>
  <si>
    <t>2018</t>
  </si>
  <si>
    <t>2019</t>
  </si>
  <si>
    <t>2020</t>
  </si>
  <si>
    <t>2021</t>
  </si>
  <si>
    <t>2022</t>
  </si>
  <si>
    <t>2023</t>
  </si>
  <si>
    <t>2024</t>
  </si>
  <si>
    <t>Common Size Income Statement</t>
  </si>
  <si>
    <t>Cost Of Sales</t>
  </si>
  <si>
    <t>Gross Profit</t>
  </si>
  <si>
    <t>Administrative And Distribution Expenses</t>
  </si>
  <si>
    <t>Other Expenses</t>
  </si>
  <si>
    <t>Finance Costs</t>
  </si>
  <si>
    <t>Operating Profit Before Tax</t>
  </si>
  <si>
    <t>Income Tax Expense</t>
  </si>
  <si>
    <t>Discontinued Operations Changes</t>
  </si>
  <si>
    <t>Operating Profit (1-t)</t>
  </si>
  <si>
    <t>Simplified Balance Sheet</t>
  </si>
  <si>
    <t>Property, Plant and Equipment</t>
  </si>
  <si>
    <t>Investment Properties</t>
  </si>
  <si>
    <t>Right-Of-Use Assets</t>
  </si>
  <si>
    <t>Goodwill</t>
  </si>
  <si>
    <t>Intangible Assets</t>
  </si>
  <si>
    <t>Investment in Associates</t>
  </si>
  <si>
    <t>Other Assets</t>
  </si>
  <si>
    <t>Total Non-Current Assets</t>
  </si>
  <si>
    <t>CHECK</t>
  </si>
  <si>
    <t>Account Receivables</t>
  </si>
  <si>
    <t>Inventories</t>
  </si>
  <si>
    <t>Cash and Bank Balances</t>
  </si>
  <si>
    <t>Total Current Assets</t>
  </si>
  <si>
    <t>Total Assets</t>
  </si>
  <si>
    <t>Long Term Debt</t>
  </si>
  <si>
    <t>Lease Liabilities</t>
  </si>
  <si>
    <t>Interest Bearing Liabilities</t>
  </si>
  <si>
    <t>Other Non-Current Liabilities</t>
  </si>
  <si>
    <t>Total Non-Current Liabilities</t>
  </si>
  <si>
    <t>Short Term Debt</t>
  </si>
  <si>
    <t>Trade Payables</t>
  </si>
  <si>
    <t>Other Current Liabilities</t>
  </si>
  <si>
    <t>Total Current Liabilities</t>
  </si>
  <si>
    <t>Total Liabilities</t>
  </si>
  <si>
    <t>Total Equity</t>
  </si>
  <si>
    <t>Total Equity and Liabilities</t>
  </si>
  <si>
    <t>Acquisition Model</t>
  </si>
  <si>
    <t>Details</t>
  </si>
  <si>
    <t>Right-of-Use Assets</t>
  </si>
  <si>
    <t>Trade Receivables</t>
  </si>
  <si>
    <t>Debt</t>
  </si>
  <si>
    <t>Other Liabilities</t>
  </si>
  <si>
    <t>Net Identifiable Assets Acquired</t>
  </si>
  <si>
    <t>Non-Controlling Interests</t>
  </si>
  <si>
    <t>Total Purchase Consideration</t>
  </si>
  <si>
    <t>Cash and bank balances</t>
  </si>
  <si>
    <t>Net Cash (In)/Out Flows from Acquisition</t>
  </si>
  <si>
    <t>Cash Flows from Acquisition</t>
  </si>
  <si>
    <t>Goodwill/(Bargain Purchase)</t>
  </si>
  <si>
    <t>Lease Model</t>
  </si>
  <si>
    <t>Opening Lease Liabilities</t>
  </si>
  <si>
    <t>Interest Rate</t>
  </si>
  <si>
    <t>Interest Payment</t>
  </si>
  <si>
    <t>Increase from Acquisitions</t>
  </si>
  <si>
    <t>Increase from Right-of-Use Assets</t>
  </si>
  <si>
    <t>Repayment of Principal</t>
  </si>
  <si>
    <t>Closing Lease Liabilities</t>
  </si>
  <si>
    <t>Opening Right-of-Use Assets</t>
  </si>
  <si>
    <t>Depreciation Rate</t>
  </si>
  <si>
    <t>Depreciation</t>
  </si>
  <si>
    <t>Increase/(Decrease) from Acquisitions</t>
  </si>
  <si>
    <t>Increase/(Decrease) of Right-of-Use Assets</t>
  </si>
  <si>
    <t>Closing Right-of-Use Assets</t>
  </si>
  <si>
    <t>Simplified Cash Flows Statement</t>
  </si>
  <si>
    <t>Cash Flows from Operations</t>
  </si>
  <si>
    <t>Profit After Tax</t>
  </si>
  <si>
    <t>Adjustments</t>
  </si>
  <si>
    <t>Depreciation of PPE</t>
  </si>
  <si>
    <t>Depreciation of ROU Assets</t>
  </si>
  <si>
    <t>Amortization of Intangibles</t>
  </si>
  <si>
    <t>Impairment of Goodwill</t>
  </si>
  <si>
    <t>Changes to Working Capital</t>
  </si>
  <si>
    <t>(Increase)/Decrease in Receivables</t>
  </si>
  <si>
    <t>(Increase)/Decrease in Inventories</t>
  </si>
  <si>
    <t>(Increase)/Decrease in Other Current Assets</t>
  </si>
  <si>
    <t>Net Cash Flows from Operations</t>
  </si>
  <si>
    <t>Cash Flows from Investments</t>
  </si>
  <si>
    <t>Capital Expenditures</t>
  </si>
  <si>
    <t>Purchase of Businesses</t>
  </si>
  <si>
    <t>STATEMENTS OF PROFIT OR LOSS RM’000</t>
  </si>
  <si>
    <t>672,465</t>
  </si>
  <si>
    <t>588,686</t>
  </si>
  <si>
    <t>600,738</t>
  </si>
  <si>
    <t>910,862</t>
  </si>
  <si>
    <t>874,119</t>
  </si>
  <si>
    <t>701,933</t>
  </si>
  <si>
    <t>767,126</t>
  </si>
  <si>
    <t>914,673</t>
  </si>
  <si>
    <t>1,339,635</t>
  </si>
  <si>
    <t>1,317,635</t>
  </si>
  <si>
    <t>1,741,879</t>
  </si>
  <si>
    <t>(483,954)</t>
  </si>
  <si>
    <t>(433,486)</t>
  </si>
  <si>
    <t>(446,344)</t>
  </si>
  <si>
    <t>(681,183)</t>
  </si>
  <si>
    <t>(653,471)</t>
  </si>
  <si>
    <t>(471,783)</t>
  </si>
  <si>
    <t>(316,372)</t>
  </si>
  <si>
    <t>(439,127)</t>
  </si>
  <si>
    <t>(778,799)</t>
  </si>
  <si>
    <t>(748,281)</t>
  </si>
  <si>
    <t>(1,085,098)</t>
  </si>
  <si>
    <t>188,511</t>
  </si>
  <si>
    <t>155,200</t>
  </si>
  <si>
    <t>154,394</t>
  </si>
  <si>
    <t>229,679</t>
  </si>
  <si>
    <t>220,648</t>
  </si>
  <si>
    <t>230,150</t>
  </si>
  <si>
    <t>450,754</t>
  </si>
  <si>
    <t>475,546</t>
  </si>
  <si>
    <t>560,836</t>
  </si>
  <si>
    <t>569,354</t>
  </si>
  <si>
    <t>656,781</t>
  </si>
  <si>
    <t>Distribution Costs</t>
  </si>
  <si>
    <t>(5,661)</t>
  </si>
  <si>
    <t>(4,282)</t>
  </si>
  <si>
    <t>(5,325)</t>
  </si>
  <si>
    <t>(5,780)</t>
  </si>
  <si>
    <t>(25,036)</t>
  </si>
  <si>
    <t>(26,421)</t>
  </si>
  <si>
    <t>(30,366)</t>
  </si>
  <si>
    <t>(46,537)</t>
  </si>
  <si>
    <t>(61,341)</t>
  </si>
  <si>
    <t>(62,111)</t>
  </si>
  <si>
    <t>(80,718)</t>
  </si>
  <si>
    <t>Administrative Expenses</t>
  </si>
  <si>
    <t>(29,688)</t>
  </si>
  <si>
    <t>(36,254)</t>
  </si>
  <si>
    <t>(24,295)</t>
  </si>
  <si>
    <t>(36,147)</t>
  </si>
  <si>
    <t>(4,726)</t>
  </si>
  <si>
    <t>(14,036)</t>
  </si>
  <si>
    <t>(19,421)</t>
  </si>
  <si>
    <t>(13,741)</t>
  </si>
  <si>
    <t>(9,895)</t>
  </si>
  <si>
    <t>(13,003)</t>
  </si>
  <si>
    <t>(17,522)</t>
  </si>
  <si>
    <t>(26,049)</t>
  </si>
  <si>
    <t>(17,209)</t>
  </si>
  <si>
    <t>(53,406)</t>
  </si>
  <si>
    <t>(29,156)</t>
  </si>
  <si>
    <t>Net Impairment Losses on Financial Assets</t>
  </si>
  <si>
    <t>(27,941)</t>
  </si>
  <si>
    <t>(31,488)</t>
  </si>
  <si>
    <t>(10,270)</t>
  </si>
  <si>
    <t>Other Income</t>
  </si>
  <si>
    <t>9,371</t>
  </si>
  <si>
    <t>52,321</t>
  </si>
  <si>
    <t>38,297</t>
  </si>
  <si>
    <t>25,690</t>
  </si>
  <si>
    <t>19,467</t>
  </si>
  <si>
    <t>6,111</t>
  </si>
  <si>
    <t>8,741</t>
  </si>
  <si>
    <t>36,623</t>
  </si>
  <si>
    <t>48,673</t>
  </si>
  <si>
    <t>108,118</t>
  </si>
  <si>
    <t>101,107</t>
  </si>
  <si>
    <t>Profit From Operations</t>
  </si>
  <si>
    <t>157,807</t>
  </si>
  <si>
    <t>152,949</t>
  </si>
  <si>
    <t>143,650</t>
  </si>
  <si>
    <t>199,701</t>
  </si>
  <si>
    <t>205,184</t>
  </si>
  <si>
    <t>196,837</t>
  </si>
  <si>
    <t>411,607</t>
  </si>
  <si>
    <t>439,583</t>
  </si>
  <si>
    <t>503,018</t>
  </si>
  <si>
    <t>530,467</t>
  </si>
  <si>
    <t>637,744</t>
  </si>
  <si>
    <t>(3,981)</t>
  </si>
  <si>
    <t>(5,425)</t>
  </si>
  <si>
    <t>(6,090)</t>
  </si>
  <si>
    <t>(6,766)</t>
  </si>
  <si>
    <t>(7,743)</t>
  </si>
  <si>
    <t>(8,433)</t>
  </si>
  <si>
    <t>(22,331)</t>
  </si>
  <si>
    <t>(21,967)</t>
  </si>
  <si>
    <t>(29,589)</t>
  </si>
  <si>
    <t>(40,079)</t>
  </si>
  <si>
    <t>(62,183)</t>
  </si>
  <si>
    <t>Share Of Results in Equity Accounted Investments</t>
  </si>
  <si>
    <t>(806)</t>
  </si>
  <si>
    <t>(1)</t>
  </si>
  <si>
    <t>–</t>
  </si>
  <si>
    <t>(11)</t>
  </si>
  <si>
    <t>121,964</t>
  </si>
  <si>
    <t>17,140</t>
  </si>
  <si>
    <t>(13,600)</t>
  </si>
  <si>
    <t>(66,242)</t>
  </si>
  <si>
    <t>Profit Before Tax</t>
  </si>
  <si>
    <t>153,020</t>
  </si>
  <si>
    <t>147,524</t>
  </si>
  <si>
    <t>137,560</t>
  </si>
  <si>
    <t>192,935</t>
  </si>
  <si>
    <t>197,440</t>
  </si>
  <si>
    <t>188,404</t>
  </si>
  <si>
    <t>389,265</t>
  </si>
  <si>
    <t>539,580</t>
  </si>
  <si>
    <t>490,569</t>
  </si>
  <si>
    <t>476,788</t>
  </si>
  <si>
    <t>509,319</t>
  </si>
  <si>
    <t>(45,724)</t>
  </si>
  <si>
    <t>(39,870)</t>
  </si>
  <si>
    <t>(22,004)</t>
  </si>
  <si>
    <t>(35,225)</t>
  </si>
  <si>
    <t>(37,908)</t>
  </si>
  <si>
    <t>(11,984)</t>
  </si>
  <si>
    <t>(11,085)</t>
  </si>
  <si>
    <t>(8,915)</t>
  </si>
  <si>
    <t>(14,842)</t>
  </si>
  <si>
    <t>(25,148)</t>
  </si>
  <si>
    <t>(18,301)</t>
  </si>
  <si>
    <t>Profit After Tax from Continuing Operations</t>
  </si>
  <si>
    <t>115,556</t>
  </si>
  <si>
    <t>157,710</t>
  </si>
  <si>
    <t>159,532</t>
  </si>
  <si>
    <t>176,420</t>
  </si>
  <si>
    <t>Profit After Tax from Discontinued Operations</t>
  </si>
  <si>
    <t>41,682</t>
  </si>
  <si>
    <t>9,263</t>
  </si>
  <si>
    <t>(13,746)</t>
  </si>
  <si>
    <t>(1,311)</t>
  </si>
  <si>
    <t>Profit After Tax For The Financial Year</t>
  </si>
  <si>
    <t>107,296</t>
  </si>
  <si>
    <t>107,654</t>
  </si>
  <si>
    <t>157,238</t>
  </si>
  <si>
    <t>166,973</t>
  </si>
  <si>
    <t>145,786</t>
  </si>
  <si>
    <t>175,109</t>
  </si>
  <si>
    <t>378,180</t>
  </si>
  <si>
    <t>530,665</t>
  </si>
  <si>
    <t>475,727</t>
  </si>
  <si>
    <t>451,640</t>
  </si>
  <si>
    <t>491,018</t>
  </si>
  <si>
    <t>Balance Sheet</t>
  </si>
  <si>
    <t>ASSETS</t>
  </si>
  <si>
    <t>Non-Current Assets</t>
  </si>
  <si>
    <t>Service Concession Asset</t>
  </si>
  <si>
    <t>Property, Plant And Equipment</t>
  </si>
  <si>
    <t>Water Rights</t>
  </si>
  <si>
    <t>Development Expenditures</t>
  </si>
  <si>
    <t>Joint Venture and Associate</t>
  </si>
  <si>
    <t>Investment In Quoted Shares</t>
  </si>
  <si>
    <t>Investment In Unquoted Shares</t>
  </si>
  <si>
    <t>Goodwill On Consolidation</t>
  </si>
  <si>
    <t>Deferred Tax Assets</t>
  </si>
  <si>
    <t>Land Use Rights</t>
  </si>
  <si>
    <t>Land Held For Property Development</t>
  </si>
  <si>
    <t>Project Development Expenditure</t>
  </si>
  <si>
    <t>Long-Term Prepayment</t>
  </si>
  <si>
    <t>Intangible asset</t>
  </si>
  <si>
    <t>Current Assets</t>
  </si>
  <si>
    <t>Biological Assets, at Fair Value</t>
  </si>
  <si>
    <t>Contract Assets</t>
  </si>
  <si>
    <t>Receivables</t>
  </si>
  <si>
    <t>Bank Balances And Deposits</t>
  </si>
  <si>
    <t>Short-Term Investments</t>
  </si>
  <si>
    <t>Derivative Asset</t>
  </si>
  <si>
    <t>Property Development</t>
  </si>
  <si>
    <t>Assets classified as held for sale</t>
  </si>
  <si>
    <t>TOTAL ASSETS</t>
  </si>
  <si>
    <t>Equity and Liabilities</t>
  </si>
  <si>
    <t>Share Capital</t>
  </si>
  <si>
    <t>743,121</t>
  </si>
  <si>
    <t>Treasury Shares</t>
  </si>
  <si>
    <t>(37,261)</t>
  </si>
  <si>
    <t>(45,517)</t>
  </si>
  <si>
    <t>Reserves</t>
  </si>
  <si>
    <t>2,044,787</t>
  </si>
  <si>
    <t>2,359,304</t>
  </si>
  <si>
    <t>Equity Attributable To Owners Of The Company</t>
  </si>
  <si>
    <t>2,750,647</t>
  </si>
  <si>
    <t>3,056,908</t>
  </si>
  <si>
    <t>Non-controlling Interests</t>
  </si>
  <si>
    <t>440,379</t>
  </si>
  <si>
    <t>167,110</t>
  </si>
  <si>
    <t>3,191,026</t>
  </si>
  <si>
    <t>3,224,018</t>
  </si>
  <si>
    <t>Non-Current Liabilities</t>
  </si>
  <si>
    <t>Long-Term Borrowings</t>
  </si>
  <si>
    <t>Deferred Tax Liabilities</t>
  </si>
  <si>
    <t>Put Option Liability</t>
  </si>
  <si>
    <t>Hire Purchase Liabilities</t>
  </si>
  <si>
    <t>Payables</t>
  </si>
  <si>
    <t>Current Liabilities</t>
  </si>
  <si>
    <t>Short-Term Borrowings</t>
  </si>
  <si>
    <t>Derivative Liability</t>
  </si>
  <si>
    <t>Current Tax Liabilities</t>
  </si>
  <si>
    <t>Liabilities classified as held for sale</t>
  </si>
  <si>
    <t>Net Assets Per Ordinary Share (sen)</t>
  </si>
  <si>
    <t>Assumptions</t>
  </si>
  <si>
    <t>No.</t>
  </si>
  <si>
    <t>Past Free Cash Flows</t>
  </si>
  <si>
    <t>Chaoju Eye Care Holdings Ltd (RMB '000), Past Performance</t>
  </si>
  <si>
    <t>Sales, Costs and Profits</t>
  </si>
  <si>
    <t>Base Year</t>
  </si>
  <si>
    <t>Revenue Growth</t>
  </si>
  <si>
    <t>COGS, Selling and Admin Expenses</t>
  </si>
  <si>
    <t>Tax Rate</t>
  </si>
  <si>
    <t>Taxes</t>
  </si>
  <si>
    <t>Zakat</t>
  </si>
  <si>
    <t>Operating Earnings Growth</t>
  </si>
  <si>
    <t>Operating Earnings After Tax</t>
  </si>
  <si>
    <t>FCFF Bridge</t>
  </si>
  <si>
    <t>Invested Capital Growth</t>
  </si>
  <si>
    <t>Return on Invested Capital</t>
  </si>
  <si>
    <t>Reinvestment Rate</t>
  </si>
  <si>
    <t>Free Cash Flow to Firm</t>
  </si>
  <si>
    <t>FCFE Bridge</t>
  </si>
  <si>
    <t>Payment of Debt</t>
  </si>
  <si>
    <t>Cost of Debt</t>
  </si>
  <si>
    <t>Cost of Lease</t>
  </si>
  <si>
    <t>Free Cash Flow to Equity</t>
  </si>
  <si>
    <t>Drivers and Inputs</t>
  </si>
  <si>
    <t>Forecast Values</t>
  </si>
  <si>
    <t xml:space="preserve"> Revenue Driver</t>
  </si>
  <si>
    <t>2025</t>
  </si>
  <si>
    <t>2026</t>
  </si>
  <si>
    <t>2027</t>
  </si>
  <si>
    <t>2028</t>
  </si>
  <si>
    <t>2029</t>
  </si>
  <si>
    <t>2030</t>
  </si>
  <si>
    <t>2031</t>
  </si>
  <si>
    <t>2032</t>
  </si>
  <si>
    <t>2033</t>
  </si>
  <si>
    <t>Inputs Summary</t>
  </si>
  <si>
    <t>Invested Capital Levers</t>
  </si>
  <si>
    <t>Operating Current Assets</t>
  </si>
  <si>
    <t>Operating Current Liabilities</t>
  </si>
  <si>
    <t>Property Plant and Equipment, %</t>
  </si>
  <si>
    <t>Net Working Capital (O)</t>
  </si>
  <si>
    <t>Right-of-Use Assets, %</t>
  </si>
  <si>
    <t>% of Invested capital</t>
  </si>
  <si>
    <t>Goodwill and Intangibles, %</t>
  </si>
  <si>
    <t>Revenue Levers</t>
  </si>
  <si>
    <t>Sales to Capital Ratio</t>
  </si>
  <si>
    <t>Cost Levers</t>
  </si>
  <si>
    <t>Cost of Debt, %</t>
  </si>
  <si>
    <t>Cost of Lease, %</t>
  </si>
  <si>
    <t>Goodwill and Intangibles</t>
  </si>
  <si>
    <t>Current Valuation</t>
  </si>
  <si>
    <t>Share price</t>
  </si>
  <si>
    <t>Number of Shares</t>
  </si>
  <si>
    <t>Market Cap</t>
  </si>
  <si>
    <t>Net of Invested Capital</t>
  </si>
  <si>
    <t>Past Values</t>
  </si>
  <si>
    <t>Time Series Forecasts for Costs</t>
  </si>
  <si>
    <t>Cost of Goods</t>
  </si>
  <si>
    <t>% of Revenue</t>
  </si>
  <si>
    <t>Cost of Marketing</t>
  </si>
  <si>
    <t>Cost of Administration</t>
  </si>
  <si>
    <t>Other Costs</t>
  </si>
  <si>
    <t xml:space="preserve">Net of Cost </t>
  </si>
  <si>
    <t>% of Operating Earnings</t>
  </si>
  <si>
    <t>Operating Earnings (1-t)</t>
  </si>
  <si>
    <t>Returns on Invested Capital</t>
  </si>
  <si>
    <t>Bridge to Free Cash Flow to Firm</t>
  </si>
  <si>
    <t>Invested Capital Growth, %</t>
  </si>
  <si>
    <t>Bridge to Free Cash Flow to Equity</t>
  </si>
  <si>
    <t xml:space="preserve">Debt </t>
  </si>
  <si>
    <t>Leases</t>
  </si>
  <si>
    <t>Weighted Average Cost of Debt</t>
  </si>
  <si>
    <t>Payment of debt</t>
  </si>
  <si>
    <t xml:space="preserve">Interest Cost </t>
  </si>
  <si>
    <t>Forecast Free Cash Flows</t>
  </si>
  <si>
    <t>Chaoju Eye Care Holdings Ltd (RMB '000), Forecasted Performance</t>
  </si>
  <si>
    <t>Primary Drivers</t>
  </si>
  <si>
    <t>Settlement of Debt</t>
  </si>
  <si>
    <t>Discounted Cash Flows Valuation</t>
  </si>
  <si>
    <t>Modified Rate of Return Valuation</t>
  </si>
  <si>
    <t>Chaoju Eye Care Holdings Ltd (RMB '000), Valuations</t>
  </si>
  <si>
    <t>Discounted Cash Flow Method</t>
  </si>
  <si>
    <t>Modified Rate of Return Method</t>
  </si>
  <si>
    <t>DCF Assumptions</t>
  </si>
  <si>
    <t>Risk Free Rate</t>
  </si>
  <si>
    <t>Market Capitalization</t>
  </si>
  <si>
    <t>Market Returns</t>
  </si>
  <si>
    <t>Required FCFE Yield</t>
  </si>
  <si>
    <t>Beta</t>
  </si>
  <si>
    <t>Required annual return, %</t>
  </si>
  <si>
    <t>Discount Rate</t>
  </si>
  <si>
    <t>Terminal Growth Rate</t>
  </si>
  <si>
    <t>Capital Gains and Cash Distribution</t>
  </si>
  <si>
    <t>Distributable Free Cash Flow</t>
  </si>
  <si>
    <t xml:space="preserve">Discounted Cash Flow </t>
  </si>
  <si>
    <t>Terminal Year</t>
  </si>
  <si>
    <t>Free Cash Flow to Equity Growth</t>
  </si>
  <si>
    <t>Free Cash Flow to Equity Yield</t>
  </si>
  <si>
    <t>Terminal Cash Flow</t>
  </si>
  <si>
    <t>Cumulative market cap</t>
  </si>
  <si>
    <t>Capital Gains</t>
  </si>
  <si>
    <t>Discount Factor</t>
  </si>
  <si>
    <t>Discounted Free Cash Flow</t>
  </si>
  <si>
    <t>Valuation Summary</t>
  </si>
  <si>
    <t>Market Cap and FCFE Yield Requirement Threshold</t>
  </si>
  <si>
    <t>Final Market Cap</t>
  </si>
  <si>
    <t>Required Yield</t>
  </si>
  <si>
    <t>Discounted Terminal Value Possibilities</t>
  </si>
  <si>
    <t>Total Cash Distributed</t>
  </si>
  <si>
    <t>Sum of Present Value</t>
  </si>
  <si>
    <t>Cost of Capital</t>
  </si>
  <si>
    <t>Terminal Growth</t>
  </si>
  <si>
    <t>Sum of Profits</t>
  </si>
  <si>
    <t xml:space="preserve"> - Debt</t>
  </si>
  <si>
    <t>CAGR</t>
  </si>
  <si>
    <t xml:space="preserve"> - Minority Interest</t>
  </si>
  <si>
    <t>Investable?</t>
  </si>
  <si>
    <t xml:space="preserve"> + Cash</t>
  </si>
  <si>
    <t xml:space="preserve"> + Non-Operating Assets</t>
  </si>
  <si>
    <t>Value of Equity</t>
  </si>
  <si>
    <t>Expected Annual Returns</t>
  </si>
  <si>
    <t>Value of Equity Per Share</t>
  </si>
  <si>
    <t>Market Price</t>
  </si>
  <si>
    <t>Upside</t>
  </si>
  <si>
    <t xml:space="preserve">Investment banking </t>
  </si>
  <si>
    <t>Equity trading</t>
  </si>
  <si>
    <t>Asset management</t>
  </si>
  <si>
    <t xml:space="preserve">Debt trading </t>
  </si>
  <si>
    <t>Industry</t>
  </si>
  <si>
    <t>LEH</t>
  </si>
  <si>
    <t>Increase/(Decrease) in Payables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</si>
</sst>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3" formatCode="_-* #,##0.00_-;\-* #,##0.00_-;_-* &quot;-&quot;??_-;_-@_-"/>
    <numFmt numFmtId="164" formatCode="0.000%"/>
    <numFmt numFmtId="165" formatCode="_ [$¥-804]* #,##0.00_ ;_ [$¥-804]* \-#,##0.00_ ;_ [$¥-804]* &quot;-&quot;??_ ;_ @_ "/>
    <numFmt numFmtId="166" formatCode="_-* #,##0_-;\-* #,##0_-;_-* &quot;-&quot;??_-;_-@_-"/>
    <numFmt numFmtId="167" formatCode="_ [$¥-804]* #,##0_ ;_ [$¥-804]* \-#,##0_ ;_ [$¥-804]* &quot;-&quot;??_ ;_ @_ "/>
    <numFmt numFmtId="168" formatCode="_-[$€-2]\ * #,##0.00_-;\-[$€-2]\ * #,##0.00_-;_-[$€-2]\ * &quot;-&quot;??_-;_-@_-"/>
    <numFmt numFmtId="169" formatCode="_-[$RM-4409]* #,##0.00_-;\-[$RM-4409]* #,##0.00_-;_-[$RM-4409]* &quot;-&quot;??_-;_-@_-"/>
    <numFmt numFmtId="170" formatCode="0000"/>
    <numFmt numFmtId="171" formatCode="#,##0_ ;\-#,##0\ "/>
    <numFmt numFmtId="172" formatCode="#,##0;\(#,##0\);&quot;-&quot;"/>
    <numFmt numFmtId="173" formatCode="#,##0.00;\(#,##0.00\);&quot;-&quot;"/>
    <numFmt numFmtId="174" formatCode="#,##0.0000;\(#,##0.0000\);&quot;-&quot;"/>
    <numFmt numFmtId="175" formatCode="0.0000"/>
  </numFmts>
  <fonts count="33">
    <font>
      <sz val="11"/>
      <color theme="1"/>
      <name val="Aptos Narrow"/>
      <family val="2"/>
      <scheme val="minor"/>
    </font>
    <font>
      <sz val="11"/>
      <color theme="1"/>
      <name val="Aptos Narrow"/>
      <family val="2"/>
      <scheme val="minor"/>
    </font>
    <font>
      <sz val="8"/>
      <name val="Aptos Narrow"/>
      <family val="2"/>
      <scheme val="minor"/>
    </font>
    <font>
      <sz val="11"/>
      <color theme="1"/>
      <name val="Georgia"/>
      <family val="1"/>
    </font>
    <font>
      <sz val="11"/>
      <color theme="1"/>
      <name val="Calibri"/>
      <family val="2"/>
    </font>
    <font>
      <sz val="10"/>
      <color theme="1"/>
      <name val="Aptos Narrow"/>
      <family val="2"/>
      <scheme val="minor"/>
    </font>
    <font>
      <b/>
      <sz val="11"/>
      <color theme="1"/>
      <name val="Aptos Narrow"/>
      <family val="2"/>
      <scheme val="minor"/>
    </font>
    <font>
      <i/>
      <sz val="16"/>
      <color theme="1"/>
      <name val="Times"/>
    </font>
    <font>
      <sz val="11"/>
      <name val="Aptos Narrow"/>
      <family val="2"/>
      <scheme val="minor"/>
    </font>
    <font>
      <b/>
      <sz val="11"/>
      <color theme="0"/>
      <name val="Aptos Narrow"/>
      <family val="2"/>
      <scheme val="minor"/>
    </font>
    <font>
      <sz val="11"/>
      <color theme="0"/>
      <name val="Aptos Narrow"/>
      <family val="2"/>
      <scheme val="minor"/>
    </font>
    <font>
      <sz val="11"/>
      <color theme="0"/>
      <name val="Calibri"/>
      <family val="2"/>
    </font>
    <font>
      <sz val="11"/>
      <color theme="0"/>
      <name val="Georgia"/>
      <family val="1"/>
    </font>
    <font>
      <sz val="16"/>
      <color theme="0"/>
      <name val="Georgia"/>
      <family val="1"/>
    </font>
    <font>
      <i/>
      <sz val="11"/>
      <color theme="1"/>
      <name val="Times"/>
    </font>
    <font>
      <b/>
      <sz val="11"/>
      <color theme="1"/>
      <name val="Cambria"/>
      <family val="1"/>
    </font>
    <font>
      <i/>
      <sz val="12"/>
      <color theme="1"/>
      <name val="Times"/>
    </font>
    <font>
      <b/>
      <i/>
      <sz val="12"/>
      <color theme="1"/>
      <name val="Times"/>
    </font>
    <font>
      <i/>
      <sz val="12"/>
      <color theme="1"/>
      <name val="Aptos Narrow"/>
      <family val="2"/>
      <scheme val="minor"/>
    </font>
    <font>
      <b/>
      <i/>
      <sz val="12"/>
      <color theme="1"/>
      <name val="Aptos Narrow"/>
      <family val="2"/>
      <scheme val="minor"/>
    </font>
    <font>
      <sz val="11"/>
      <color theme="1"/>
      <name val="Arial"/>
      <family val="2"/>
    </font>
    <font>
      <sz val="11"/>
      <color theme="3" tint="0.249977111117893"/>
      <name val="Aptos Narrow"/>
      <family val="2"/>
      <scheme val="minor"/>
    </font>
    <font>
      <sz val="11"/>
      <color theme="6" tint="-0.249977111117893"/>
      <name val="Aptos Narrow"/>
      <family val="2"/>
      <scheme val="minor"/>
    </font>
    <font>
      <sz val="11"/>
      <color theme="1"/>
      <name val="YAFdJjTk5UU_0"/>
    </font>
    <font>
      <b/>
      <sz val="10"/>
      <color rgb="FF0070C0"/>
      <name val="Aptos Narrow"/>
      <family val="2"/>
      <scheme val="minor"/>
    </font>
    <font>
      <b/>
      <sz val="11"/>
      <color rgb="FF0070C0"/>
      <name val="Aptos Narrow"/>
      <family val="2"/>
      <scheme val="minor"/>
    </font>
    <font>
      <sz val="11"/>
      <color rgb="FF0070C0"/>
      <name val="Aptos Narrow"/>
      <family val="2"/>
      <scheme val="minor"/>
    </font>
    <font>
      <sz val="11"/>
      <color theme="0"/>
      <name val="Georgia"/>
      <family val="2"/>
    </font>
    <font>
      <sz val="36"/>
      <color theme="0"/>
      <name val="Aptos Narrow"/>
      <family val="2"/>
      <scheme val="minor"/>
    </font>
    <font>
      <sz val="11"/>
      <color theme="0"/>
      <name val="FZYaoTi"/>
      <charset val="134"/>
    </font>
    <font>
      <i/>
      <sz val="11"/>
      <color theme="0"/>
      <name val="FZYaoTi"/>
    </font>
    <font>
      <sz val="16"/>
      <color theme="1"/>
      <name val="Aptos Narrow"/>
      <family val="2"/>
      <scheme val="minor"/>
    </font>
    <font>
      <sz val="20"/>
      <color theme="0"/>
      <name val="Aptos Narrow"/>
      <family val="2"/>
      <scheme val="minor"/>
    </font>
  </fonts>
  <fills count="2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3" tint="0.249977111117893"/>
        <bgColor indexed="64"/>
      </patternFill>
    </fill>
    <fill>
      <patternFill patternType="solid">
        <fgColor theme="3" tint="9.9978637043366805E-2"/>
        <bgColor indexed="64"/>
      </patternFill>
    </fill>
    <fill>
      <patternFill patternType="solid">
        <fgColor theme="1"/>
        <bgColor indexed="64"/>
      </patternFill>
    </fill>
    <fill>
      <patternFill patternType="solid">
        <fgColor theme="4"/>
        <bgColor indexed="64"/>
      </patternFill>
    </fill>
    <fill>
      <patternFill patternType="solid">
        <fgColor theme="3" tint="0.24994659260841701"/>
        <bgColor indexed="64"/>
      </patternFill>
    </fill>
    <fill>
      <patternFill patternType="solid">
        <fgColor theme="6" tint="0.79998168889431442"/>
        <bgColor indexed="64"/>
      </patternFill>
    </fill>
    <fill>
      <patternFill patternType="solid">
        <fgColor rgb="FF1F4E79"/>
        <bgColor indexed="64"/>
      </patternFill>
    </fill>
    <fill>
      <patternFill patternType="solid">
        <fgColor rgb="FF117A65"/>
        <bgColor indexed="64"/>
      </patternFill>
    </fill>
    <fill>
      <patternFill patternType="solid">
        <fgColor rgb="FF239B56"/>
        <bgColor indexed="64"/>
      </patternFill>
    </fill>
    <fill>
      <patternFill patternType="solid">
        <fgColor rgb="FFF39C12"/>
        <bgColor indexed="64"/>
      </patternFill>
    </fill>
    <fill>
      <patternFill patternType="solid">
        <fgColor rgb="FFC0392B"/>
        <bgColor indexed="64"/>
      </patternFill>
    </fill>
    <fill>
      <patternFill patternType="solid">
        <fgColor rgb="FF5D6D7E"/>
        <bgColor indexed="64"/>
      </patternFill>
    </fill>
    <fill>
      <patternFill patternType="solid">
        <fgColor rgb="FFFF0000"/>
        <bgColor indexed="64"/>
      </patternFill>
    </fill>
    <fill>
      <patternFill patternType="solid">
        <fgColor rgb="FFFFC000"/>
        <bgColor indexed="64"/>
      </patternFill>
    </fill>
    <fill>
      <patternFill patternType="solid">
        <fgColor rgb="FF2E2E2E"/>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double">
        <color indexed="64"/>
      </bottom>
      <diagonal/>
    </border>
    <border>
      <left/>
      <right/>
      <top/>
      <bottom style="thin">
        <color theme="9" tint="0.39997558519241921"/>
      </bottom>
      <diagonal/>
    </border>
    <border>
      <left/>
      <right/>
      <top style="double">
        <color indexed="64"/>
      </top>
      <bottom style="double">
        <color indexed="64"/>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323">
    <xf numFmtId="0" fontId="0" fillId="0" borderId="0" xfId="0"/>
    <xf numFmtId="0" fontId="0" fillId="0" borderId="0" xfId="0" applyAlignment="1">
      <alignment horizontal="center"/>
    </xf>
    <xf numFmtId="9" fontId="0" fillId="0" borderId="0" xfId="1" applyFont="1"/>
    <xf numFmtId="10" fontId="0" fillId="0" borderId="0" xfId="1" applyNumberFormat="1" applyFont="1"/>
    <xf numFmtId="9" fontId="0" fillId="0" borderId="0" xfId="0" applyNumberFormat="1"/>
    <xf numFmtId="10" fontId="0" fillId="0" borderId="0" xfId="0" applyNumberFormat="1"/>
    <xf numFmtId="164" fontId="0" fillId="0" borderId="0" xfId="0" applyNumberFormat="1"/>
    <xf numFmtId="0" fontId="0" fillId="0" borderId="0" xfId="0" applyAlignment="1">
      <alignment horizontal="right"/>
    </xf>
    <xf numFmtId="0" fontId="0" fillId="2" borderId="0" xfId="0" applyFill="1" applyAlignment="1">
      <alignment horizontal="center"/>
    </xf>
    <xf numFmtId="0" fontId="0" fillId="2" borderId="0" xfId="0" applyFill="1"/>
    <xf numFmtId="10" fontId="0" fillId="2" borderId="0" xfId="1" applyNumberFormat="1" applyFont="1" applyFill="1"/>
    <xf numFmtId="0" fontId="0" fillId="0" borderId="0" xfId="0" applyAlignment="1">
      <alignment horizontal="left"/>
    </xf>
    <xf numFmtId="0" fontId="0" fillId="0" borderId="0" xfId="0" applyAlignment="1">
      <alignment horizontal="center" vertical="center"/>
    </xf>
    <xf numFmtId="0" fontId="3" fillId="0" borderId="0" xfId="0" applyFont="1"/>
    <xf numFmtId="0" fontId="0" fillId="3" borderId="0" xfId="0" applyFill="1"/>
    <xf numFmtId="0" fontId="3" fillId="3" borderId="2" xfId="0" applyFont="1" applyFill="1" applyBorder="1" applyAlignment="1">
      <alignment horizontal="center"/>
    </xf>
    <xf numFmtId="0" fontId="3" fillId="3" borderId="3" xfId="0" applyFont="1" applyFill="1" applyBorder="1"/>
    <xf numFmtId="0" fontId="3" fillId="3" borderId="8" xfId="0" applyFont="1" applyFill="1" applyBorder="1"/>
    <xf numFmtId="0" fontId="3" fillId="0" borderId="0" xfId="0" applyFont="1" applyAlignment="1">
      <alignment horizontal="center" vertical="center"/>
    </xf>
    <xf numFmtId="0" fontId="4" fillId="3" borderId="2" xfId="0" applyFont="1" applyFill="1" applyBorder="1" applyAlignment="1">
      <alignment horizontal="center"/>
    </xf>
    <xf numFmtId="165" fontId="0" fillId="0" borderId="0" xfId="0" applyNumberFormat="1"/>
    <xf numFmtId="0" fontId="0" fillId="0" borderId="7" xfId="0" applyBorder="1"/>
    <xf numFmtId="165" fontId="0" fillId="0" borderId="7" xfId="0" applyNumberFormat="1" applyBorder="1"/>
    <xf numFmtId="10" fontId="0" fillId="0" borderId="7" xfId="1" applyNumberFormat="1" applyFont="1" applyBorder="1"/>
    <xf numFmtId="0" fontId="0" fillId="0" borderId="3" xfId="0" applyBorder="1"/>
    <xf numFmtId="10" fontId="0" fillId="0" borderId="0" xfId="1" applyNumberFormat="1" applyFont="1" applyBorder="1"/>
    <xf numFmtId="0" fontId="0" fillId="0" borderId="11" xfId="0" applyBorder="1"/>
    <xf numFmtId="10" fontId="0" fillId="0" borderId="4" xfId="1" applyNumberFormat="1" applyFont="1" applyBorder="1"/>
    <xf numFmtId="10" fontId="0" fillId="0" borderId="12" xfId="1" applyNumberFormat="1" applyFont="1" applyBorder="1"/>
    <xf numFmtId="167" fontId="0" fillId="0" borderId="0" xfId="0" applyNumberFormat="1"/>
    <xf numFmtId="167" fontId="0" fillId="0" borderId="7" xfId="0" applyNumberFormat="1" applyBorder="1"/>
    <xf numFmtId="168" fontId="0" fillId="0" borderId="0" xfId="0" applyNumberFormat="1"/>
    <xf numFmtId="168" fontId="0" fillId="0" borderId="7" xfId="0" applyNumberFormat="1" applyBorder="1"/>
    <xf numFmtId="169" fontId="0" fillId="0" borderId="0" xfId="0" applyNumberFormat="1"/>
    <xf numFmtId="169" fontId="0" fillId="0" borderId="7" xfId="0" applyNumberFormat="1" applyBorder="1"/>
    <xf numFmtId="10" fontId="0" fillId="0" borderId="0" xfId="1" applyNumberFormat="1" applyFont="1" applyFill="1" applyBorder="1"/>
    <xf numFmtId="0" fontId="6" fillId="0" borderId="0" xfId="0" applyFont="1"/>
    <xf numFmtId="3" fontId="0" fillId="0" borderId="0" xfId="0" applyNumberFormat="1"/>
    <xf numFmtId="0" fontId="0" fillId="0" borderId="13" xfId="0" applyBorder="1"/>
    <xf numFmtId="0" fontId="7" fillId="3" borderId="0" xfId="0" applyFont="1" applyFill="1" applyAlignment="1">
      <alignment vertical="center"/>
    </xf>
    <xf numFmtId="0" fontId="9" fillId="6" borderId="0" xfId="0" applyFont="1" applyFill="1" applyAlignment="1">
      <alignment vertical="center"/>
    </xf>
    <xf numFmtId="0" fontId="0" fillId="0" borderId="0" xfId="0" applyAlignment="1">
      <alignment vertical="center"/>
    </xf>
    <xf numFmtId="172" fontId="0" fillId="0" borderId="0" xfId="0" applyNumberFormat="1"/>
    <xf numFmtId="172" fontId="0" fillId="0" borderId="0" xfId="1" applyNumberFormat="1" applyFont="1" applyFill="1" applyBorder="1"/>
    <xf numFmtId="3" fontId="0" fillId="0" borderId="0" xfId="1" applyNumberFormat="1" applyFont="1" applyFill="1"/>
    <xf numFmtId="3" fontId="0" fillId="0" borderId="0" xfId="1" applyNumberFormat="1" applyFont="1" applyFill="1" applyBorder="1"/>
    <xf numFmtId="0" fontId="9" fillId="7" borderId="0" xfId="0" applyFont="1" applyFill="1" applyAlignment="1">
      <alignment horizontal="left" vertical="center"/>
    </xf>
    <xf numFmtId="0" fontId="6" fillId="7" borderId="0" xfId="0" applyFont="1" applyFill="1" applyAlignment="1">
      <alignment horizontal="left" vertical="center"/>
    </xf>
    <xf numFmtId="9" fontId="0" fillId="0" borderId="0" xfId="1" applyFont="1" applyFill="1" applyBorder="1" applyAlignment="1">
      <alignment horizontal="right"/>
    </xf>
    <xf numFmtId="166" fontId="0" fillId="0" borderId="0" xfId="2" applyNumberFormat="1" applyFont="1" applyFill="1" applyBorder="1" applyAlignment="1">
      <alignment horizontal="right"/>
    </xf>
    <xf numFmtId="3" fontId="0" fillId="0" borderId="0" xfId="2" applyNumberFormat="1" applyFont="1" applyFill="1" applyBorder="1" applyAlignment="1">
      <alignment horizontal="right"/>
    </xf>
    <xf numFmtId="10" fontId="0" fillId="0" borderId="0" xfId="1" applyNumberFormat="1" applyFont="1" applyFill="1" applyBorder="1" applyAlignment="1">
      <alignment horizontal="right"/>
    </xf>
    <xf numFmtId="171" fontId="0" fillId="0" borderId="0" xfId="2" applyNumberFormat="1" applyFont="1" applyFill="1" applyBorder="1" applyAlignment="1">
      <alignment horizontal="right"/>
    </xf>
    <xf numFmtId="9" fontId="0" fillId="0" borderId="0" xfId="1" applyFont="1" applyFill="1" applyAlignment="1">
      <alignment horizontal="right"/>
    </xf>
    <xf numFmtId="0" fontId="0" fillId="0" borderId="0" xfId="0" applyAlignment="1">
      <alignment horizontal="left" vertical="center"/>
    </xf>
    <xf numFmtId="0" fontId="0" fillId="0" borderId="0" xfId="0" applyAlignment="1">
      <alignment horizontal="left" indent="1"/>
    </xf>
    <xf numFmtId="10" fontId="0" fillId="0" borderId="0" xfId="1" applyNumberFormat="1" applyFont="1" applyFill="1"/>
    <xf numFmtId="9" fontId="0" fillId="0" borderId="0" xfId="1" applyFont="1" applyFill="1"/>
    <xf numFmtId="9" fontId="0" fillId="0" borderId="0" xfId="1" applyFont="1" applyFill="1" applyBorder="1"/>
    <xf numFmtId="172" fontId="0" fillId="0" borderId="0" xfId="2" applyNumberFormat="1" applyFont="1" applyFill="1" applyBorder="1" applyAlignment="1">
      <alignment horizontal="right"/>
    </xf>
    <xf numFmtId="0" fontId="0" fillId="0" borderId="0" xfId="0" applyAlignment="1">
      <alignment horizontal="left" vertical="center" indent="1"/>
    </xf>
    <xf numFmtId="9" fontId="0" fillId="0" borderId="0" xfId="1" applyFont="1" applyAlignment="1">
      <alignment horizontal="right"/>
    </xf>
    <xf numFmtId="172" fontId="0" fillId="0" borderId="0" xfId="1" applyNumberFormat="1" applyFont="1"/>
    <xf numFmtId="172" fontId="0" fillId="0" borderId="0" xfId="1" applyNumberFormat="1" applyFont="1" applyFill="1" applyBorder="1" applyAlignment="1">
      <alignment horizontal="right"/>
    </xf>
    <xf numFmtId="173" fontId="0" fillId="0" borderId="0" xfId="0" applyNumberFormat="1"/>
    <xf numFmtId="0" fontId="10" fillId="0" borderId="0" xfId="0" applyFont="1"/>
    <xf numFmtId="0" fontId="3" fillId="3" borderId="5" xfId="0" applyFont="1" applyFill="1" applyBorder="1"/>
    <xf numFmtId="0" fontId="3" fillId="3" borderId="11" xfId="0" applyFont="1" applyFill="1" applyBorder="1"/>
    <xf numFmtId="0" fontId="0" fillId="0" borderId="2" xfId="0" applyBorder="1"/>
    <xf numFmtId="0" fontId="14" fillId="0" borderId="0" xfId="0" applyFont="1"/>
    <xf numFmtId="0" fontId="0" fillId="0" borderId="5" xfId="0" applyBorder="1"/>
    <xf numFmtId="0" fontId="16" fillId="0" borderId="0" xfId="0" applyFont="1"/>
    <xf numFmtId="0" fontId="17" fillId="0" borderId="0" xfId="0" applyFont="1"/>
    <xf numFmtId="0" fontId="16" fillId="0" borderId="0" xfId="0" applyFont="1" applyAlignment="1">
      <alignment vertical="top" wrapText="1"/>
    </xf>
    <xf numFmtId="0" fontId="3" fillId="0" borderId="8" xfId="0" applyFont="1" applyBorder="1"/>
    <xf numFmtId="0" fontId="20" fillId="0" borderId="0" xfId="0" applyFont="1"/>
    <xf numFmtId="10" fontId="20" fillId="0" borderId="0" xfId="1" applyNumberFormat="1" applyFont="1"/>
    <xf numFmtId="173" fontId="0" fillId="0" borderId="0" xfId="1" applyNumberFormat="1" applyFont="1"/>
    <xf numFmtId="9" fontId="5" fillId="0" borderId="0" xfId="1" applyFont="1" applyFill="1" applyBorder="1" applyAlignment="1">
      <alignment horizontal="right"/>
    </xf>
    <xf numFmtId="0" fontId="19" fillId="0" borderId="0" xfId="0" applyFont="1"/>
    <xf numFmtId="0" fontId="8" fillId="0" borderId="0" xfId="0" applyFont="1"/>
    <xf numFmtId="0" fontId="8" fillId="0" borderId="0" xfId="0" applyFont="1" applyAlignment="1">
      <alignment horizontal="left" indent="1"/>
    </xf>
    <xf numFmtId="172" fontId="0" fillId="0" borderId="0" xfId="0" applyNumberFormat="1" applyAlignment="1">
      <alignment horizontal="right"/>
    </xf>
    <xf numFmtId="0" fontId="21" fillId="0" borderId="0" xfId="0" applyFont="1"/>
    <xf numFmtId="172" fontId="21" fillId="0" borderId="0" xfId="0" applyNumberFormat="1" applyFont="1" applyAlignment="1">
      <alignment horizontal="right"/>
    </xf>
    <xf numFmtId="10" fontId="5" fillId="0" borderId="4" xfId="1" applyNumberFormat="1" applyFont="1" applyFill="1" applyBorder="1"/>
    <xf numFmtId="0" fontId="9" fillId="8" borderId="0" xfId="0" applyFont="1" applyFill="1" applyAlignment="1">
      <alignment vertical="center"/>
    </xf>
    <xf numFmtId="0" fontId="9" fillId="8" borderId="0" xfId="0" applyFont="1" applyFill="1"/>
    <xf numFmtId="9" fontId="0" fillId="8" borderId="0" xfId="1" applyFont="1" applyFill="1"/>
    <xf numFmtId="9" fontId="6" fillId="0" borderId="0" xfId="1" applyFont="1" applyFill="1"/>
    <xf numFmtId="0" fontId="9" fillId="6" borderId="0" xfId="0" applyFont="1" applyFill="1" applyAlignment="1">
      <alignment horizontal="right" vertical="center"/>
    </xf>
    <xf numFmtId="9" fontId="0" fillId="0" borderId="0" xfId="1" applyFont="1" applyFill="1" applyAlignment="1">
      <alignment horizontal="left"/>
    </xf>
    <xf numFmtId="9" fontId="0" fillId="0" borderId="0" xfId="1" applyFont="1" applyFill="1" applyAlignment="1">
      <alignment horizontal="left" indent="1"/>
    </xf>
    <xf numFmtId="172" fontId="0" fillId="0" borderId="0" xfId="0" applyNumberFormat="1" applyAlignment="1">
      <alignment vertical="center"/>
    </xf>
    <xf numFmtId="166" fontId="0" fillId="0" borderId="5" xfId="0" applyNumberFormat="1" applyBorder="1"/>
    <xf numFmtId="9" fontId="0" fillId="0" borderId="1" xfId="1" applyFont="1" applyBorder="1"/>
    <xf numFmtId="9" fontId="0" fillId="0" borderId="6" xfId="1" applyFont="1" applyBorder="1"/>
    <xf numFmtId="9" fontId="0" fillId="0" borderId="3" xfId="1" applyFont="1" applyBorder="1"/>
    <xf numFmtId="166" fontId="0" fillId="0" borderId="0" xfId="2" applyNumberFormat="1" applyFont="1" applyFill="1" applyBorder="1"/>
    <xf numFmtId="166" fontId="0" fillId="0" borderId="7" xfId="2" applyNumberFormat="1" applyFont="1" applyFill="1" applyBorder="1"/>
    <xf numFmtId="9" fontId="0" fillId="0" borderId="11" xfId="1" applyFont="1" applyBorder="1"/>
    <xf numFmtId="166" fontId="0" fillId="0" borderId="4" xfId="2" applyNumberFormat="1" applyFont="1" applyFill="1" applyBorder="1"/>
    <xf numFmtId="166" fontId="0" fillId="0" borderId="12" xfId="2" applyNumberFormat="1" applyFont="1" applyFill="1" applyBorder="1"/>
    <xf numFmtId="0" fontId="0" fillId="0" borderId="1" xfId="0" applyBorder="1"/>
    <xf numFmtId="172" fontId="0" fillId="0" borderId="10" xfId="0" applyNumberFormat="1" applyBorder="1"/>
    <xf numFmtId="10" fontId="0" fillId="0" borderId="0" xfId="1" applyNumberFormat="1" applyFont="1" applyAlignment="1">
      <alignment vertical="center"/>
    </xf>
    <xf numFmtId="10" fontId="0" fillId="0" borderId="5"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6" xfId="0" applyNumberFormat="1" applyBorder="1" applyAlignment="1">
      <alignment horizontal="center" vertical="center" wrapText="1"/>
    </xf>
    <xf numFmtId="10" fontId="0" fillId="0" borderId="3" xfId="0" applyNumberFormat="1" applyBorder="1" applyAlignment="1">
      <alignment vertical="center" wrapText="1"/>
    </xf>
    <xf numFmtId="10" fontId="0" fillId="0" borderId="0" xfId="0" applyNumberFormat="1" applyAlignment="1">
      <alignment vertical="center" wrapText="1"/>
    </xf>
    <xf numFmtId="0" fontId="0" fillId="0" borderId="0" xfId="0" applyAlignment="1">
      <alignment vertical="center" wrapText="1"/>
    </xf>
    <xf numFmtId="0" fontId="0" fillId="0" borderId="7" xfId="0" applyBorder="1" applyAlignment="1">
      <alignment vertical="center" wrapText="1"/>
    </xf>
    <xf numFmtId="10" fontId="0" fillId="0" borderId="11" xfId="0" applyNumberFormat="1" applyBorder="1" applyAlignment="1">
      <alignment vertical="center" wrapText="1"/>
    </xf>
    <xf numFmtId="0" fontId="0" fillId="0" borderId="4" xfId="0" applyBorder="1" applyAlignment="1">
      <alignment vertical="center" wrapText="1"/>
    </xf>
    <xf numFmtId="0" fontId="0" fillId="0" borderId="12" xfId="0" applyBorder="1" applyAlignment="1">
      <alignment vertical="center" wrapText="1"/>
    </xf>
    <xf numFmtId="10" fontId="0" fillId="0" borderId="0" xfId="1" applyNumberFormat="1" applyFont="1" applyBorder="1" applyAlignment="1">
      <alignment vertical="center" wrapText="1"/>
    </xf>
    <xf numFmtId="10" fontId="0" fillId="0" borderId="7" xfId="1" applyNumberFormat="1" applyFont="1" applyBorder="1" applyAlignment="1">
      <alignment vertical="center" wrapText="1"/>
    </xf>
    <xf numFmtId="10" fontId="0" fillId="0" borderId="4" xfId="1" applyNumberFormat="1" applyFont="1" applyBorder="1" applyAlignment="1">
      <alignment vertical="center" wrapText="1"/>
    </xf>
    <xf numFmtId="10" fontId="0" fillId="0" borderId="12" xfId="1" applyNumberFormat="1" applyFont="1" applyBorder="1" applyAlignment="1">
      <alignment vertical="center" wrapText="1"/>
    </xf>
    <xf numFmtId="10" fontId="0" fillId="0" borderId="5" xfId="1" applyNumberFormat="1" applyFont="1" applyBorder="1" applyAlignment="1">
      <alignment vertical="center" wrapText="1"/>
    </xf>
    <xf numFmtId="10" fontId="0" fillId="0" borderId="1" xfId="1" applyNumberFormat="1" applyFont="1" applyBorder="1" applyAlignment="1">
      <alignment vertical="center" wrapText="1"/>
    </xf>
    <xf numFmtId="10" fontId="0" fillId="0" borderId="3" xfId="1" applyNumberFormat="1" applyFont="1" applyBorder="1" applyAlignment="1">
      <alignment vertical="center" wrapText="1"/>
    </xf>
    <xf numFmtId="167" fontId="0" fillId="4" borderId="0" xfId="0" applyNumberFormat="1" applyFill="1"/>
    <xf numFmtId="167" fontId="0" fillId="4" borderId="7" xfId="0" applyNumberFormat="1" applyFill="1" applyBorder="1"/>
    <xf numFmtId="9" fontId="0" fillId="4" borderId="0" xfId="1" applyFont="1" applyFill="1" applyBorder="1"/>
    <xf numFmtId="9" fontId="0" fillId="4" borderId="7" xfId="1" applyFont="1" applyFill="1" applyBorder="1"/>
    <xf numFmtId="165" fontId="0" fillId="4" borderId="0" xfId="0" applyNumberFormat="1" applyFill="1"/>
    <xf numFmtId="165" fontId="0" fillId="4" borderId="7" xfId="0" applyNumberFormat="1" applyFill="1" applyBorder="1"/>
    <xf numFmtId="10" fontId="0" fillId="4" borderId="12" xfId="1" applyNumberFormat="1" applyFont="1" applyFill="1" applyBorder="1"/>
    <xf numFmtId="10" fontId="0" fillId="4" borderId="7" xfId="0" applyNumberFormat="1" applyFill="1" applyBorder="1"/>
    <xf numFmtId="9" fontId="0" fillId="0" borderId="0" xfId="1" applyFont="1" applyBorder="1"/>
    <xf numFmtId="9" fontId="0" fillId="0" borderId="7" xfId="1" applyFont="1" applyBorder="1"/>
    <xf numFmtId="10" fontId="0" fillId="0" borderId="7" xfId="0" applyNumberFormat="1" applyBorder="1"/>
    <xf numFmtId="10" fontId="0" fillId="0" borderId="11" xfId="1" applyNumberFormat="1" applyFont="1" applyBorder="1" applyAlignment="1">
      <alignment vertical="center" wrapText="1"/>
    </xf>
    <xf numFmtId="0" fontId="23" fillId="0" borderId="0" xfId="0" applyFont="1" applyAlignment="1">
      <alignment vertical="center"/>
    </xf>
    <xf numFmtId="10" fontId="24" fillId="0" borderId="4" xfId="1" applyNumberFormat="1" applyFont="1" applyFill="1" applyBorder="1"/>
    <xf numFmtId="10" fontId="25" fillId="0" borderId="0" xfId="1" applyNumberFormat="1" applyFont="1" applyFill="1" applyBorder="1"/>
    <xf numFmtId="172" fontId="25" fillId="0" borderId="0" xfId="1" applyNumberFormat="1" applyFont="1" applyFill="1" applyBorder="1"/>
    <xf numFmtId="172" fontId="0" fillId="0" borderId="10" xfId="1" applyNumberFormat="1" applyFont="1" applyFill="1" applyBorder="1"/>
    <xf numFmtId="0" fontId="0" fillId="7" borderId="0" xfId="0" applyFill="1"/>
    <xf numFmtId="0" fontId="10" fillId="7" borderId="0" xfId="0" applyFont="1" applyFill="1"/>
    <xf numFmtId="0" fontId="9" fillId="7" borderId="0" xfId="0" applyFont="1" applyFill="1"/>
    <xf numFmtId="0" fontId="9" fillId="6" borderId="3" xfId="0" applyFont="1" applyFill="1" applyBorder="1" applyAlignment="1">
      <alignment vertical="center"/>
    </xf>
    <xf numFmtId="0" fontId="9" fillId="6" borderId="7" xfId="0" applyFont="1" applyFill="1" applyBorder="1" applyAlignment="1">
      <alignment horizontal="right" vertical="center"/>
    </xf>
    <xf numFmtId="172" fontId="0" fillId="0" borderId="7" xfId="0" applyNumberFormat="1" applyBorder="1"/>
    <xf numFmtId="0" fontId="0" fillId="0" borderId="11" xfId="0" applyBorder="1" applyAlignment="1">
      <alignment vertical="center"/>
    </xf>
    <xf numFmtId="9" fontId="0" fillId="0" borderId="12" xfId="1" applyFont="1" applyBorder="1"/>
    <xf numFmtId="0" fontId="0" fillId="0" borderId="3" xfId="0" applyBorder="1" applyAlignment="1">
      <alignment vertical="center"/>
    </xf>
    <xf numFmtId="10" fontId="0" fillId="0" borderId="0" xfId="1" applyNumberFormat="1" applyFont="1" applyBorder="1" applyAlignment="1">
      <alignment horizontal="left"/>
    </xf>
    <xf numFmtId="166" fontId="0" fillId="0" borderId="0" xfId="2" applyNumberFormat="1" applyFont="1" applyBorder="1"/>
    <xf numFmtId="175" fontId="0" fillId="0" borderId="0" xfId="0" applyNumberFormat="1"/>
    <xf numFmtId="172" fontId="0" fillId="0" borderId="0" xfId="1" applyNumberFormat="1" applyFont="1" applyBorder="1"/>
    <xf numFmtId="0" fontId="0" fillId="0" borderId="13" xfId="0" applyBorder="1" applyAlignment="1">
      <alignment horizontal="center"/>
    </xf>
    <xf numFmtId="0" fontId="18" fillId="0" borderId="0" xfId="0" applyFont="1" applyAlignment="1">
      <alignment horizontal="center" vertical="top" wrapText="1"/>
    </xf>
    <xf numFmtId="0" fontId="0" fillId="0" borderId="0" xfId="0" applyAlignment="1">
      <alignment horizontal="center" vertical="center" wrapText="1"/>
    </xf>
    <xf numFmtId="0" fontId="0" fillId="2" borderId="13" xfId="0" applyFill="1" applyBorder="1" applyAlignment="1">
      <alignment horizontal="center" vertical="center"/>
    </xf>
    <xf numFmtId="0" fontId="0" fillId="0" borderId="13" xfId="0" applyBorder="1" applyAlignment="1">
      <alignment horizontal="center" vertical="center" wrapText="1"/>
    </xf>
    <xf numFmtId="0" fontId="10" fillId="18" borderId="13" xfId="0" applyFont="1" applyFill="1" applyBorder="1" applyAlignment="1">
      <alignment horizontal="center" vertical="center" wrapText="1"/>
    </xf>
    <xf numFmtId="0" fontId="0" fillId="0" borderId="4" xfId="0" applyBorder="1"/>
    <xf numFmtId="0" fontId="0" fillId="0" borderId="12" xfId="0" applyBorder="1"/>
    <xf numFmtId="0" fontId="0" fillId="0" borderId="13" xfId="0" applyBorder="1" applyAlignment="1">
      <alignment horizontal="center" vertical="center"/>
    </xf>
    <xf numFmtId="10" fontId="0" fillId="0" borderId="6" xfId="1" applyNumberFormat="1" applyFont="1" applyBorder="1" applyAlignment="1">
      <alignment vertical="center" wrapText="1"/>
    </xf>
    <xf numFmtId="173" fontId="0" fillId="0" borderId="0" xfId="1" applyNumberFormat="1" applyFont="1" applyFill="1" applyBorder="1"/>
    <xf numFmtId="9" fontId="6" fillId="0" borderId="0" xfId="1" applyFont="1" applyFill="1" applyBorder="1" applyAlignment="1">
      <alignment horizontal="left"/>
    </xf>
    <xf numFmtId="9" fontId="0" fillId="0" borderId="0" xfId="1" applyFont="1" applyFill="1" applyBorder="1" applyAlignment="1">
      <alignment horizontal="left" indent="1"/>
    </xf>
    <xf numFmtId="9" fontId="26" fillId="0" borderId="0" xfId="1" applyFont="1" applyFill="1" applyBorder="1"/>
    <xf numFmtId="9" fontId="26" fillId="0" borderId="0" xfId="0" applyNumberFormat="1" applyFont="1"/>
    <xf numFmtId="0" fontId="26" fillId="0" borderId="0" xfId="0" applyFont="1"/>
    <xf numFmtId="174" fontId="26" fillId="0" borderId="0" xfId="1" applyNumberFormat="1" applyFont="1" applyFill="1" applyBorder="1"/>
    <xf numFmtId="10" fontId="26" fillId="0" borderId="0" xfId="1" applyNumberFormat="1" applyFont="1" applyFill="1" applyBorder="1"/>
    <xf numFmtId="10" fontId="26" fillId="0" borderId="0" xfId="0" applyNumberFormat="1" applyFont="1"/>
    <xf numFmtId="0" fontId="9" fillId="10" borderId="0" xfId="0" applyFont="1" applyFill="1" applyAlignment="1">
      <alignment horizontal="right"/>
    </xf>
    <xf numFmtId="10" fontId="5" fillId="0" borderId="0" xfId="1" applyNumberFormat="1" applyFont="1" applyFill="1" applyBorder="1"/>
    <xf numFmtId="0" fontId="6" fillId="0" borderId="3" xfId="0" applyFont="1" applyBorder="1" applyAlignment="1">
      <alignment horizontal="left" indent="1"/>
    </xf>
    <xf numFmtId="10" fontId="1" fillId="0" borderId="0" xfId="1" applyNumberFormat="1" applyFont="1" applyFill="1" applyBorder="1"/>
    <xf numFmtId="0" fontId="9" fillId="10" borderId="0" xfId="0" applyFont="1" applyFill="1" applyAlignment="1">
      <alignment vertical="center"/>
    </xf>
    <xf numFmtId="0" fontId="6" fillId="0" borderId="0" xfId="0" applyFont="1" applyAlignment="1">
      <alignment horizontal="left" indent="1"/>
    </xf>
    <xf numFmtId="0" fontId="6" fillId="0" borderId="0" xfId="0" applyFont="1" applyAlignment="1">
      <alignment horizontal="left"/>
    </xf>
    <xf numFmtId="9" fontId="25" fillId="0" borderId="0" xfId="1" applyFont="1" applyFill="1" applyBorder="1"/>
    <xf numFmtId="0" fontId="9" fillId="6" borderId="1" xfId="0" applyFont="1" applyFill="1" applyBorder="1" applyAlignment="1">
      <alignment vertical="center"/>
    </xf>
    <xf numFmtId="172" fontId="0" fillId="0" borderId="7" xfId="1" applyNumberFormat="1" applyFont="1" applyFill="1" applyBorder="1"/>
    <xf numFmtId="0" fontId="0" fillId="0" borderId="3" xfId="0" applyBorder="1" applyAlignment="1">
      <alignment horizontal="left" vertical="center" indent="1"/>
    </xf>
    <xf numFmtId="10" fontId="0" fillId="0" borderId="7" xfId="1" applyNumberFormat="1" applyFont="1" applyFill="1" applyBorder="1"/>
    <xf numFmtId="0" fontId="0" fillId="0" borderId="3" xfId="0" applyBorder="1" applyAlignment="1">
      <alignment horizontal="left" vertical="center"/>
    </xf>
    <xf numFmtId="172" fontId="0" fillId="0" borderId="14" xfId="1" applyNumberFormat="1" applyFont="1" applyFill="1" applyBorder="1"/>
    <xf numFmtId="0" fontId="22" fillId="11" borderId="3" xfId="0" applyFont="1" applyFill="1" applyBorder="1"/>
    <xf numFmtId="0" fontId="6" fillId="0" borderId="3" xfId="0" applyFont="1" applyBorder="1" applyAlignment="1">
      <alignment horizontal="left" vertical="center" indent="1"/>
    </xf>
    <xf numFmtId="172" fontId="0" fillId="0" borderId="4" xfId="0" applyNumberFormat="1" applyBorder="1"/>
    <xf numFmtId="0" fontId="6" fillId="0" borderId="0" xfId="0" applyFont="1" applyAlignment="1">
      <alignment horizontal="left" vertical="center" indent="1"/>
    </xf>
    <xf numFmtId="10" fontId="0" fillId="0" borderId="3" xfId="1" applyNumberFormat="1" applyFont="1" applyFill="1" applyBorder="1"/>
    <xf numFmtId="0" fontId="6" fillId="0" borderId="3" xfId="0" applyFont="1" applyBorder="1" applyAlignment="1">
      <alignment vertical="center"/>
    </xf>
    <xf numFmtId="172" fontId="0" fillId="0" borderId="4" xfId="1" applyNumberFormat="1" applyFont="1" applyFill="1" applyBorder="1"/>
    <xf numFmtId="172" fontId="0" fillId="0" borderId="12" xfId="1" applyNumberFormat="1" applyFont="1" applyFill="1" applyBorder="1"/>
    <xf numFmtId="0" fontId="9" fillId="6" borderId="1" xfId="0" applyFont="1" applyFill="1" applyBorder="1" applyAlignment="1">
      <alignment horizontal="right" vertical="center"/>
    </xf>
    <xf numFmtId="0" fontId="9" fillId="6" borderId="1" xfId="0" applyFont="1" applyFill="1" applyBorder="1" applyAlignment="1">
      <alignment horizontal="left" vertical="center"/>
    </xf>
    <xf numFmtId="0" fontId="9" fillId="6" borderId="6" xfId="0" applyFont="1" applyFill="1" applyBorder="1" applyAlignment="1">
      <alignment horizontal="right" vertical="center"/>
    </xf>
    <xf numFmtId="3" fontId="0" fillId="0" borderId="7" xfId="0" applyNumberFormat="1" applyBorder="1"/>
    <xf numFmtId="0" fontId="6" fillId="0" borderId="0" xfId="0" applyFont="1" applyAlignment="1">
      <alignment vertical="center"/>
    </xf>
    <xf numFmtId="0" fontId="0" fillId="0" borderId="5" xfId="0" applyBorder="1" applyAlignment="1">
      <alignment vertical="center"/>
    </xf>
    <xf numFmtId="172" fontId="0" fillId="0" borderId="1" xfId="1" applyNumberFormat="1" applyFont="1" applyFill="1" applyBorder="1"/>
    <xf numFmtId="172" fontId="0" fillId="0" borderId="6" xfId="1" applyNumberFormat="1" applyFont="1" applyFill="1" applyBorder="1"/>
    <xf numFmtId="9" fontId="0" fillId="8" borderId="7" xfId="1" applyFont="1" applyFill="1" applyBorder="1"/>
    <xf numFmtId="172" fontId="0" fillId="0" borderId="7" xfId="1" applyNumberFormat="1" applyFont="1" applyFill="1" applyBorder="1" applyAlignment="1">
      <alignment horizontal="right"/>
    </xf>
    <xf numFmtId="9" fontId="0" fillId="0" borderId="7" xfId="1" applyFont="1" applyFill="1" applyBorder="1"/>
    <xf numFmtId="0" fontId="9" fillId="0" borderId="0" xfId="0" applyFont="1" applyAlignment="1">
      <alignment vertical="center"/>
    </xf>
    <xf numFmtId="0" fontId="10" fillId="0" borderId="0" xfId="0" applyFont="1" applyAlignment="1">
      <alignment horizontal="right"/>
    </xf>
    <xf numFmtId="9" fontId="5" fillId="0" borderId="0" xfId="1" applyFont="1" applyBorder="1" applyAlignment="1">
      <alignment horizontal="right"/>
    </xf>
    <xf numFmtId="0" fontId="0" fillId="6" borderId="0" xfId="0" applyFill="1"/>
    <xf numFmtId="172" fontId="0" fillId="6" borderId="0" xfId="0" applyNumberFormat="1" applyFill="1"/>
    <xf numFmtId="0" fontId="11" fillId="0" borderId="0" xfId="0" applyFont="1" applyAlignment="1">
      <alignment horizontal="right"/>
    </xf>
    <xf numFmtId="0" fontId="12" fillId="0" borderId="0" xfId="0" applyFont="1" applyAlignment="1">
      <alignment horizontal="right"/>
    </xf>
    <xf numFmtId="172" fontId="0" fillId="0" borderId="4" xfId="0" applyNumberFormat="1" applyBorder="1" applyAlignment="1">
      <alignment horizontal="right"/>
    </xf>
    <xf numFmtId="172" fontId="0" fillId="0" borderId="10" xfId="0" applyNumberFormat="1" applyBorder="1" applyAlignment="1">
      <alignment horizontal="right"/>
    </xf>
    <xf numFmtId="3" fontId="0" fillId="0" borderId="10" xfId="0" applyNumberFormat="1" applyBorder="1" applyAlignment="1">
      <alignment horizontal="right"/>
    </xf>
    <xf numFmtId="172" fontId="0" fillId="0" borderId="15" xfId="0" applyNumberFormat="1" applyBorder="1" applyAlignment="1">
      <alignment horizontal="right"/>
    </xf>
    <xf numFmtId="0" fontId="9" fillId="0" borderId="0" xfId="0" applyFont="1"/>
    <xf numFmtId="0" fontId="9" fillId="0" borderId="0" xfId="0" applyFont="1" applyAlignment="1">
      <alignment horizontal="right"/>
    </xf>
    <xf numFmtId="0" fontId="9" fillId="10" borderId="0" xfId="0" applyFont="1" applyFill="1"/>
    <xf numFmtId="0" fontId="6" fillId="0" borderId="10" xfId="0" applyFont="1" applyBorder="1"/>
    <xf numFmtId="172" fontId="6" fillId="0" borderId="10" xfId="0" applyNumberFormat="1" applyFont="1" applyBorder="1" applyAlignment="1">
      <alignment horizontal="right"/>
    </xf>
    <xf numFmtId="172" fontId="6" fillId="0" borderId="10" xfId="1" applyNumberFormat="1" applyFont="1" applyFill="1" applyBorder="1" applyAlignment="1">
      <alignment horizontal="right"/>
    </xf>
    <xf numFmtId="0" fontId="6" fillId="0" borderId="4" xfId="0" applyFont="1" applyBorder="1"/>
    <xf numFmtId="172" fontId="6" fillId="0" borderId="4" xfId="1" applyNumberFormat="1" applyFont="1" applyFill="1" applyBorder="1" applyAlignment="1">
      <alignment horizontal="right"/>
    </xf>
    <xf numFmtId="172" fontId="6" fillId="0" borderId="4" xfId="0" applyNumberFormat="1" applyFont="1" applyBorder="1" applyAlignment="1">
      <alignment horizontal="right"/>
    </xf>
    <xf numFmtId="0" fontId="9" fillId="10" borderId="5" xfId="0" applyFont="1" applyFill="1" applyBorder="1"/>
    <xf numFmtId="0" fontId="9" fillId="10" borderId="1" xfId="0" applyFont="1" applyFill="1" applyBorder="1" applyAlignment="1">
      <alignment horizontal="right"/>
    </xf>
    <xf numFmtId="0" fontId="9" fillId="10" borderId="6" xfId="0" applyFont="1" applyFill="1" applyBorder="1" applyAlignment="1">
      <alignment horizontal="right"/>
    </xf>
    <xf numFmtId="10" fontId="0" fillId="0" borderId="0" xfId="1" applyNumberFormat="1" applyFont="1" applyBorder="1" applyAlignment="1">
      <alignment horizontal="right"/>
    </xf>
    <xf numFmtId="10" fontId="0" fillId="0" borderId="7" xfId="1" applyNumberFormat="1" applyFont="1" applyBorder="1" applyAlignment="1">
      <alignment horizontal="right"/>
    </xf>
    <xf numFmtId="172" fontId="0" fillId="0" borderId="7" xfId="0" applyNumberFormat="1" applyBorder="1" applyAlignment="1">
      <alignment horizontal="right"/>
    </xf>
    <xf numFmtId="10" fontId="0" fillId="0" borderId="4" xfId="1" applyNumberFormat="1" applyFont="1" applyBorder="1" applyAlignment="1">
      <alignment horizontal="right"/>
    </xf>
    <xf numFmtId="10" fontId="0" fillId="0" borderId="12" xfId="1" applyNumberFormat="1" applyFont="1" applyBorder="1" applyAlignment="1">
      <alignment horizontal="right"/>
    </xf>
    <xf numFmtId="0" fontId="9" fillId="10" borderId="7" xfId="0" applyFont="1" applyFill="1" applyBorder="1" applyAlignment="1">
      <alignment horizontal="right"/>
    </xf>
    <xf numFmtId="172" fontId="0" fillId="0" borderId="12" xfId="0" applyNumberFormat="1" applyBorder="1" applyAlignment="1">
      <alignment horizontal="right"/>
    </xf>
    <xf numFmtId="172" fontId="0" fillId="0" borderId="14" xfId="0" applyNumberFormat="1" applyBorder="1" applyAlignment="1">
      <alignment horizontal="right"/>
    </xf>
    <xf numFmtId="0" fontId="9" fillId="10" borderId="3" xfId="0" applyFont="1" applyFill="1" applyBorder="1"/>
    <xf numFmtId="172" fontId="6" fillId="0" borderId="0" xfId="0" applyNumberFormat="1" applyFont="1" applyAlignment="1">
      <alignment horizontal="right"/>
    </xf>
    <xf numFmtId="10" fontId="0" fillId="0" borderId="0" xfId="1" applyNumberFormat="1" applyFont="1" applyAlignment="1">
      <alignment horizontal="right"/>
    </xf>
    <xf numFmtId="166" fontId="0" fillId="0" borderId="0" xfId="2" applyNumberFormat="1" applyFont="1"/>
    <xf numFmtId="166" fontId="0" fillId="0" borderId="0" xfId="0" applyNumberFormat="1"/>
    <xf numFmtId="172" fontId="6" fillId="0" borderId="16" xfId="0" applyNumberFormat="1" applyFont="1" applyBorder="1" applyAlignment="1">
      <alignment horizontal="right"/>
    </xf>
    <xf numFmtId="0" fontId="32" fillId="20" borderId="13" xfId="0" applyFont="1" applyFill="1" applyBorder="1" applyAlignment="1">
      <alignment horizontal="center" vertical="center"/>
    </xf>
    <xf numFmtId="0" fontId="0" fillId="0" borderId="13" xfId="0" applyBorder="1" applyAlignment="1">
      <alignment horizontal="center"/>
    </xf>
    <xf numFmtId="9" fontId="27" fillId="17" borderId="13" xfId="0" applyNumberFormat="1" applyFont="1" applyFill="1" applyBorder="1" applyAlignment="1">
      <alignment horizontal="center" vertical="top" wrapText="1"/>
    </xf>
    <xf numFmtId="0" fontId="12" fillId="17" borderId="13" xfId="0" applyFont="1" applyFill="1" applyBorder="1" applyAlignment="1">
      <alignment horizontal="center" vertical="top" wrapText="1"/>
    </xf>
    <xf numFmtId="9" fontId="27" fillId="13" borderId="13" xfId="0" applyNumberFormat="1" applyFont="1" applyFill="1" applyBorder="1" applyAlignment="1">
      <alignment horizontal="center" wrapText="1"/>
    </xf>
    <xf numFmtId="0" fontId="12" fillId="13" borderId="13" xfId="0" applyFont="1" applyFill="1" applyBorder="1" applyAlignment="1">
      <alignment horizontal="center" wrapText="1"/>
    </xf>
    <xf numFmtId="9" fontId="27" fillId="14" borderId="13" xfId="0" applyNumberFormat="1" applyFont="1" applyFill="1" applyBorder="1" applyAlignment="1">
      <alignment horizontal="center" vertical="top" wrapText="1"/>
    </xf>
    <xf numFmtId="0" fontId="12" fillId="14" borderId="13" xfId="0" applyFont="1" applyFill="1" applyBorder="1" applyAlignment="1">
      <alignment horizontal="center" vertical="top" wrapText="1"/>
    </xf>
    <xf numFmtId="9" fontId="27" fillId="15" borderId="13" xfId="0" applyNumberFormat="1" applyFont="1" applyFill="1" applyBorder="1" applyAlignment="1">
      <alignment horizontal="center" vertical="top" wrapText="1"/>
    </xf>
    <xf numFmtId="0" fontId="12" fillId="15" borderId="13" xfId="0" applyFont="1" applyFill="1" applyBorder="1" applyAlignment="1">
      <alignment horizontal="center" vertical="top" wrapText="1"/>
    </xf>
    <xf numFmtId="9" fontId="27" fillId="16" borderId="13" xfId="0" applyNumberFormat="1" applyFont="1" applyFill="1" applyBorder="1" applyAlignment="1">
      <alignment horizontal="center" vertical="top" wrapText="1"/>
    </xf>
    <xf numFmtId="0" fontId="12" fillId="16" borderId="13" xfId="0" applyFont="1" applyFill="1" applyBorder="1" applyAlignment="1">
      <alignment horizontal="center" vertical="top" wrapText="1"/>
    </xf>
    <xf numFmtId="9" fontId="27" fillId="12" borderId="13" xfId="0" applyNumberFormat="1" applyFont="1" applyFill="1" applyBorder="1" applyAlignment="1">
      <alignment horizontal="center" vertical="top" wrapText="1"/>
    </xf>
    <xf numFmtId="0" fontId="12" fillId="12" borderId="13" xfId="0" applyFont="1" applyFill="1"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top"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11" xfId="0" applyBorder="1" applyAlignment="1">
      <alignment horizontal="center" vertical="top" wrapText="1"/>
    </xf>
    <xf numFmtId="0" fontId="0" fillId="0" borderId="4"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left"/>
    </xf>
    <xf numFmtId="0" fontId="18" fillId="0" borderId="0" xfId="0" applyFont="1" applyAlignment="1">
      <alignment horizontal="center" vertical="top" wrapText="1"/>
    </xf>
    <xf numFmtId="0" fontId="3" fillId="3" borderId="1" xfId="0" applyFont="1" applyFill="1" applyBorder="1" applyAlignment="1">
      <alignment horizontal="center"/>
    </xf>
    <xf numFmtId="0" fontId="3" fillId="4" borderId="0" xfId="0" applyFont="1" applyFill="1" applyAlignment="1">
      <alignment horizontal="center"/>
    </xf>
    <xf numFmtId="0" fontId="15" fillId="0" borderId="0" xfId="0" applyFont="1" applyAlignment="1">
      <alignment horizontal="center" vertical="center"/>
    </xf>
    <xf numFmtId="0" fontId="15" fillId="0" borderId="4" xfId="0" applyFont="1" applyBorder="1" applyAlignment="1">
      <alignment horizontal="center" vertical="center"/>
    </xf>
    <xf numFmtId="0" fontId="15" fillId="0" borderId="1" xfId="0" applyFont="1" applyBorder="1" applyAlignment="1">
      <alignment horizontal="center" vertical="center"/>
    </xf>
    <xf numFmtId="0" fontId="3" fillId="0" borderId="1" xfId="0" applyFont="1" applyBorder="1" applyAlignment="1">
      <alignment horizontal="center"/>
    </xf>
    <xf numFmtId="0" fontId="4" fillId="3" borderId="0" xfId="0" applyFont="1" applyFill="1" applyAlignment="1">
      <alignment horizontal="center"/>
    </xf>
    <xf numFmtId="0" fontId="4" fillId="3" borderId="7" xfId="0" applyFont="1" applyFill="1" applyBorder="1" applyAlignment="1">
      <alignment horizontal="center"/>
    </xf>
    <xf numFmtId="9" fontId="15" fillId="0" borderId="1" xfId="0" applyNumberFormat="1" applyFont="1" applyBorder="1" applyAlignment="1">
      <alignment horizontal="center" vertical="center"/>
    </xf>
    <xf numFmtId="0" fontId="4" fillId="3" borderId="2" xfId="0" applyFont="1" applyFill="1" applyBorder="1" applyAlignment="1">
      <alignment horizontal="center"/>
    </xf>
    <xf numFmtId="0" fontId="4" fillId="3" borderId="9" xfId="0" applyFont="1" applyFill="1" applyBorder="1" applyAlignment="1">
      <alignment horizontal="center"/>
    </xf>
    <xf numFmtId="0" fontId="3" fillId="3" borderId="6" xfId="0" applyFont="1" applyFill="1" applyBorder="1" applyAlignment="1">
      <alignment horizontal="center"/>
    </xf>
    <xf numFmtId="0" fontId="18" fillId="0" borderId="0" xfId="0" applyFont="1" applyAlignment="1">
      <alignment horizontal="center" wrapText="1"/>
    </xf>
    <xf numFmtId="0" fontId="13" fillId="9" borderId="3" xfId="0" applyFont="1" applyFill="1" applyBorder="1" applyAlignment="1">
      <alignment horizontal="center" vertical="center"/>
    </xf>
    <xf numFmtId="0" fontId="13" fillId="9" borderId="0" xfId="0" applyFont="1" applyFill="1" applyAlignment="1">
      <alignment horizontal="center" vertical="center"/>
    </xf>
    <xf numFmtId="0" fontId="14" fillId="0" borderId="0" xfId="0" applyFont="1" applyAlignment="1">
      <alignment horizontal="center" vertical="center" wrapText="1"/>
    </xf>
    <xf numFmtId="0" fontId="14" fillId="0" borderId="4" xfId="0" applyFont="1" applyBorder="1" applyAlignment="1">
      <alignment horizontal="center" vertical="center" wrapText="1"/>
    </xf>
    <xf numFmtId="0" fontId="0" fillId="0" borderId="2" xfId="0" applyBorder="1" applyAlignment="1">
      <alignment horizontal="center"/>
    </xf>
    <xf numFmtId="0" fontId="0" fillId="0" borderId="9" xfId="0" applyBorder="1" applyAlignment="1">
      <alignment horizontal="center"/>
    </xf>
    <xf numFmtId="0" fontId="3" fillId="0" borderId="6" xfId="0" applyFont="1" applyBorder="1" applyAlignment="1">
      <alignment horizontal="center"/>
    </xf>
    <xf numFmtId="0" fontId="0" fillId="0" borderId="0" xfId="0"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12" xfId="0" applyBorder="1" applyAlignment="1">
      <alignment horizontal="center"/>
    </xf>
    <xf numFmtId="9" fontId="0" fillId="4" borderId="0" xfId="0" applyNumberFormat="1" applyFill="1" applyAlignment="1">
      <alignment horizontal="center"/>
    </xf>
    <xf numFmtId="0" fontId="0" fillId="4" borderId="0" xfId="0" applyFill="1" applyAlignment="1">
      <alignment horizontal="center"/>
    </xf>
    <xf numFmtId="0" fontId="0" fillId="3" borderId="13" xfId="0" applyFill="1" applyBorder="1" applyAlignment="1">
      <alignment horizontal="center"/>
    </xf>
    <xf numFmtId="170" fontId="0" fillId="3" borderId="13" xfId="0" applyNumberFormat="1" applyFill="1" applyBorder="1" applyAlignment="1">
      <alignment horizontal="center"/>
    </xf>
    <xf numFmtId="170" fontId="0" fillId="5" borderId="13" xfId="0" applyNumberFormat="1" applyFill="1" applyBorder="1" applyAlignment="1">
      <alignment horizontal="center"/>
    </xf>
    <xf numFmtId="0" fontId="0" fillId="5" borderId="13" xfId="0" applyFill="1" applyBorder="1" applyAlignment="1">
      <alignment horizontal="center"/>
    </xf>
    <xf numFmtId="0" fontId="0" fillId="0" borderId="0" xfId="0"/>
    <xf numFmtId="0" fontId="0" fillId="0" borderId="13" xfId="0" applyBorder="1" applyAlignment="1">
      <alignment horizontal="center" vertical="center" wrapText="1"/>
    </xf>
    <xf numFmtId="0" fontId="31" fillId="19" borderId="13" xfId="0" applyFont="1" applyFill="1" applyBorder="1" applyAlignment="1">
      <alignment horizontal="center" vertical="center"/>
    </xf>
    <xf numFmtId="0" fontId="0" fillId="0" borderId="0" xfId="0" applyAlignment="1">
      <alignment horizontal="left"/>
    </xf>
    <xf numFmtId="0" fontId="0" fillId="0" borderId="7" xfId="0" applyBorder="1" applyAlignment="1">
      <alignment horizontal="left"/>
    </xf>
    <xf numFmtId="0" fontId="13" fillId="9" borderId="11" xfId="0" applyFont="1" applyFill="1" applyBorder="1" applyAlignment="1">
      <alignment horizontal="center" vertical="center"/>
    </xf>
    <xf numFmtId="0" fontId="13" fillId="9" borderId="4" xfId="0" applyFont="1" applyFill="1" applyBorder="1" applyAlignment="1">
      <alignment horizontal="center" vertical="center"/>
    </xf>
    <xf numFmtId="0" fontId="9" fillId="7" borderId="0" xfId="0" applyFont="1" applyFill="1" applyAlignment="1">
      <alignment horizontal="left" vertical="center"/>
    </xf>
    <xf numFmtId="0" fontId="6" fillId="7" borderId="0" xfId="0" applyFont="1" applyFill="1" applyAlignment="1">
      <alignment horizontal="left" vertical="center"/>
    </xf>
    <xf numFmtId="0" fontId="9" fillId="6" borderId="8" xfId="0" applyFont="1" applyFill="1" applyBorder="1" applyAlignment="1">
      <alignment horizontal="left" vertical="center"/>
    </xf>
    <xf numFmtId="0" fontId="9" fillId="6" borderId="2" xfId="0" applyFont="1" applyFill="1" applyBorder="1" applyAlignment="1">
      <alignment horizontal="left" vertical="center"/>
    </xf>
    <xf numFmtId="0" fontId="9" fillId="6" borderId="9" xfId="0" applyFont="1" applyFill="1" applyBorder="1" applyAlignment="1">
      <alignment horizontal="left" vertical="center"/>
    </xf>
    <xf numFmtId="0" fontId="6" fillId="0" borderId="5" xfId="0" applyFont="1" applyBorder="1" applyAlignment="1">
      <alignment horizontal="center" vertical="center" textRotation="90" wrapText="1"/>
    </xf>
    <xf numFmtId="0" fontId="6" fillId="0" borderId="3" xfId="0" applyFont="1" applyBorder="1" applyAlignment="1">
      <alignment horizontal="center" vertical="center" textRotation="90" wrapText="1"/>
    </xf>
    <xf numFmtId="0" fontId="6" fillId="0" borderId="11" xfId="0" applyFont="1" applyBorder="1" applyAlignment="1">
      <alignment horizontal="center" vertical="center" textRotation="90" wrapText="1"/>
    </xf>
    <xf numFmtId="0" fontId="6" fillId="0" borderId="2" xfId="0" applyFont="1" applyBorder="1" applyAlignment="1">
      <alignment horizontal="center"/>
    </xf>
    <xf numFmtId="0" fontId="6" fillId="0" borderId="9" xfId="0" applyFont="1" applyBorder="1" applyAlignment="1">
      <alignment horizontal="center"/>
    </xf>
    <xf numFmtId="0" fontId="13" fillId="9" borderId="7" xfId="0" applyFont="1" applyFill="1" applyBorder="1" applyAlignment="1">
      <alignment horizontal="center" vertical="center"/>
    </xf>
    <xf numFmtId="0" fontId="9" fillId="8" borderId="5" xfId="0" applyFont="1" applyFill="1" applyBorder="1" applyAlignment="1">
      <alignment horizontal="center"/>
    </xf>
    <xf numFmtId="0" fontId="9" fillId="8" borderId="6" xfId="0" applyFont="1" applyFill="1" applyBorder="1" applyAlignment="1">
      <alignment horizontal="center"/>
    </xf>
    <xf numFmtId="0" fontId="9" fillId="6" borderId="4" xfId="0" applyFont="1" applyFill="1" applyBorder="1" applyAlignment="1">
      <alignment horizontal="left" vertical="center"/>
    </xf>
    <xf numFmtId="0" fontId="0" fillId="0" borderId="1" xfId="0" applyBorder="1" applyAlignment="1">
      <alignment horizontal="center"/>
    </xf>
    <xf numFmtId="0" fontId="0" fillId="0" borderId="6" xfId="0" applyBorder="1" applyAlignment="1">
      <alignment horizontal="center"/>
    </xf>
    <xf numFmtId="0" fontId="0" fillId="0" borderId="5" xfId="0" applyBorder="1" applyAlignment="1">
      <alignment horizontal="center" vertical="center" textRotation="90" wrapText="1"/>
    </xf>
    <xf numFmtId="0" fontId="0" fillId="0" borderId="3" xfId="0" applyBorder="1" applyAlignment="1">
      <alignment horizontal="center" vertical="center" textRotation="90" wrapText="1"/>
    </xf>
    <xf numFmtId="0" fontId="0" fillId="0" borderId="11" xfId="0" applyBorder="1" applyAlignment="1">
      <alignment horizontal="center" vertical="center" textRotation="90" wrapText="1"/>
    </xf>
  </cellXfs>
  <cellStyles count="3">
    <cellStyle name="Comma" xfId="2" builtinId="3"/>
    <cellStyle name="Normal" xfId="0" builtinId="0"/>
    <cellStyle name="Percent" xfId="1" builtinId="5"/>
  </cellStyles>
  <dxfs count="20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FF0000"/>
      </font>
    </dxf>
    <dxf>
      <font>
        <color rgb="FF006100"/>
      </font>
      <fill>
        <patternFill>
          <bgColor rgb="FFC6EFCE"/>
        </patternFill>
      </fill>
    </dxf>
    <dxf>
      <font>
        <color rgb="FFFF0000"/>
      </font>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theme="1"/>
        <name val="Aptos Narrow"/>
        <family val="2"/>
        <scheme val="minor"/>
      </font>
      <numFmt numFmtId="14" formatCode="0.00%"/>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ptos Narrow"/>
        <family val="2"/>
        <scheme val="minor"/>
      </font>
      <numFmt numFmtId="14" formatCode="0.00%"/>
    </dxf>
    <dxf>
      <font>
        <b/>
        <i val="0"/>
        <strike val="0"/>
        <condense val="0"/>
        <extend val="0"/>
        <outline val="0"/>
        <shadow val="0"/>
        <u val="none"/>
        <vertAlign val="baseline"/>
        <sz val="11"/>
        <color theme="0"/>
        <name val="Aptos Narrow"/>
        <family val="2"/>
        <scheme val="minor"/>
      </font>
      <fill>
        <patternFill patternType="solid">
          <fgColor indexed="64"/>
          <bgColor theme="3"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4" formatCode="0.00%"/>
    </dxf>
    <dxf>
      <font>
        <b/>
        <i val="0"/>
        <strike val="0"/>
        <condense val="0"/>
        <extend val="0"/>
        <outline val="0"/>
        <shadow val="0"/>
        <u val="none"/>
        <vertAlign val="baseline"/>
        <sz val="11"/>
        <color theme="0"/>
        <name val="Aptos Narrow"/>
        <family val="2"/>
        <scheme val="minor"/>
      </font>
      <fill>
        <patternFill patternType="solid">
          <fgColor indexed="64"/>
          <bgColor theme="3" tint="0.249977111117893"/>
        </patternFill>
      </fill>
      <alignment horizontal="general" vertical="center" textRotation="0" wrapText="0" indent="0" justifyLastLine="0" shrinkToFit="0" readingOrder="0"/>
    </dxf>
    <dxf>
      <alignment horizontal="left" vertical="bottom" textRotation="0" wrapText="0" indent="1" justifyLastLine="0" shrinkToFit="0" readingOrder="0"/>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numFmt numFmtId="172" formatCode="#,##0;\(#,##0\);&quot;-&quot;"/>
    </dxf>
    <dxf>
      <numFmt numFmtId="172" formatCode="#,##0;\(#,##0\);&quot;-&quot;"/>
    </dxf>
    <dxf>
      <numFmt numFmtId="172" formatCode="#,##0;\(#,##0\);&quot;-&quot;"/>
    </dxf>
    <dxf>
      <numFmt numFmtId="172" formatCode="#,##0;\(#,##0\);&quot;-&quot;"/>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Aptos Narrow"/>
        <family val="2"/>
        <scheme val="minor"/>
      </font>
      <alignment horizontal="right" vertical="bottom" textRotation="0" wrapText="0" indent="0" justifyLastLine="0" shrinkToFit="0" readingOrder="0"/>
    </dxf>
    <dxf>
      <numFmt numFmtId="172" formatCode="#,##0;\(#,##0\);&quot;-&quot;"/>
    </dxf>
    <dxf>
      <numFmt numFmtId="172" formatCode="#,##0;\(#,##0\);&quot;-&quot;"/>
    </dxf>
    <dxf>
      <numFmt numFmtId="172" formatCode="#,##0;\(#,##0\);&quot;-&quot;"/>
    </dxf>
    <dxf>
      <numFmt numFmtId="172" formatCode="#,##0;\(#,##0\);&quot;-&quot;"/>
    </dxf>
    <dxf>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Aptos Narrow"/>
        <family val="2"/>
        <scheme val="minor"/>
      </font>
      <alignment horizontal="right" vertical="bottom" textRotation="0" wrapText="0" indent="0" justifyLastLine="0" shrinkToFit="0" readingOrder="0"/>
    </dxf>
    <dxf>
      <alignment horizontal="general" vertical="center" textRotation="0" wrapText="0" indent="0" justifyLastLine="0" shrinkToFit="0" readingOrder="0"/>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ptos Narrow"/>
        <family val="2"/>
        <scheme val="minor"/>
      </font>
      <fill>
        <patternFill patternType="solid">
          <fgColor indexed="64"/>
          <bgColor theme="3" tint="0.249977111117893"/>
        </patternFill>
      </fill>
      <alignment horizontal="right" vertical="center" textRotation="0" wrapText="0" indent="0" justifyLastLine="0" shrinkToFit="0" readingOrder="0"/>
    </dxf>
    <dxf>
      <border diagonalUp="0" diagonalDown="0">
        <left style="thin">
          <color indexed="64"/>
        </left>
        <right/>
        <top/>
        <bottom/>
        <vertical/>
        <horizontal/>
      </border>
    </dxf>
    <dxf>
      <border outline="0">
        <right style="thin">
          <color indexed="64"/>
        </right>
        <top style="thin">
          <color indexed="64"/>
        </top>
        <bottom style="thin">
          <color indexed="64"/>
        </bottom>
      </border>
    </dxf>
    <dxf>
      <font>
        <b/>
        <i val="0"/>
        <strike val="0"/>
        <condense val="0"/>
        <extend val="0"/>
        <outline val="0"/>
        <shadow val="0"/>
        <u val="none"/>
        <vertAlign val="baseline"/>
        <sz val="11"/>
        <color theme="0"/>
        <name val="Aptos Narrow"/>
        <family val="2"/>
        <scheme val="minor"/>
      </font>
      <fill>
        <patternFill patternType="solid">
          <fgColor indexed="64"/>
          <bgColor theme="3" tint="0.249977111117893"/>
        </patternFill>
      </fill>
      <alignment horizontal="general" vertical="center" textRotation="0" wrapText="0" indent="0" justifyLastLine="0" shrinkToFit="0" readingOrder="0"/>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Aptos Narrow"/>
        <family val="2"/>
        <scheme val="minor"/>
      </font>
      <fill>
        <patternFill patternType="solid">
          <fgColor indexed="64"/>
          <bgColor theme="3" tint="0.24994659260841701"/>
        </patternFill>
      </fill>
      <alignment horizontal="right" vertical="bottom" textRotation="0" wrapText="0" indent="0" justifyLastLine="0" shrinkToFit="0" readingOrder="0"/>
    </dxf>
    <dxf>
      <border outline="0">
        <left style="thin">
          <color indexed="64"/>
        </left>
        <right style="thin">
          <color indexed="64"/>
        </right>
        <bottom style="thin">
          <color indexed="64"/>
        </bottom>
      </border>
    </dxf>
    <dxf>
      <font>
        <b/>
        <i val="0"/>
        <strike val="0"/>
        <condense val="0"/>
        <extend val="0"/>
        <outline val="0"/>
        <shadow val="0"/>
        <u val="none"/>
        <vertAlign val="baseline"/>
        <sz val="11"/>
        <color theme="0"/>
        <name val="Aptos Narrow"/>
        <family val="2"/>
        <scheme val="minor"/>
      </font>
      <fill>
        <patternFill patternType="solid">
          <fgColor indexed="64"/>
          <bgColor theme="3" tint="0.249977111117893"/>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border diagonalUp="0" diagonalDown="0">
        <left/>
        <right style="thin">
          <color indexed="64"/>
        </right>
        <top/>
        <bottom/>
        <vertical/>
        <horizontal/>
      </border>
    </dxf>
    <dxf>
      <alignment horizontal="general" vertical="center" textRotation="0" wrapText="0" indent="0" justifyLastLine="0" shrinkToFit="0" readingOrder="0"/>
      <border diagonalUp="0" diagonalDown="0">
        <left style="thin">
          <color indexed="64"/>
        </left>
        <right/>
        <top/>
        <bottom/>
        <vertical/>
        <horizontal/>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i val="0"/>
        <strike val="0"/>
        <condense val="0"/>
        <extend val="0"/>
        <outline val="0"/>
        <shadow val="0"/>
        <u val="none"/>
        <vertAlign val="baseline"/>
        <sz val="11"/>
        <color theme="0"/>
        <name val="Aptos Narrow"/>
        <family val="2"/>
        <scheme val="minor"/>
      </font>
      <fill>
        <patternFill patternType="solid">
          <fgColor indexed="64"/>
          <bgColor theme="3" tint="0.249977111117893"/>
        </patternFill>
      </fill>
      <alignment horizontal="general"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11"/>
        <color theme="0"/>
        <name val="Calibri"/>
        <family val="2"/>
        <scheme val="none"/>
      </font>
      <fill>
        <patternFill patternType="none">
          <fgColor indexed="64"/>
          <bgColor auto="1"/>
        </patternFill>
      </fill>
      <alignment horizontal="righ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indexed="64"/>
          <bgColor theme="3" tint="0.24994659260841701"/>
        </patternFill>
      </fill>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alignment horizontal="left" vertical="bottom" textRotation="0" wrapText="0" indent="1"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indexed="64"/>
          <bgColor theme="3" tint="0.24994659260841701"/>
        </patternFill>
      </fill>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indexed="64"/>
          <bgColor theme="3" tint="0.24994659260841701"/>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0" formatCode="General"/>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indexed="64"/>
          <bgColor theme="3" tint="0.24994659260841701"/>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vertical/>
      </border>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0" formatCode="General"/>
      <border diagonalUp="0" diagonalDown="0">
        <left style="thin">
          <color indexed="64"/>
        </left>
        <right/>
        <top/>
        <bottom/>
        <vertical/>
        <horizontal/>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indexed="64"/>
          <bgColor theme="3" tint="0.24994659260841701"/>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auto="1"/>
        </patternFill>
      </fill>
      <alignment horizontal="right" vertical="bottom" textRotation="0" wrapText="0" indent="0" justifyLastLine="0" shrinkToFit="0" readingOrder="0"/>
    </dxf>
    <dxf>
      <numFmt numFmtId="172" formatCode="#,##0;\(#,##0\);&quot;-&quot;"/>
      <fill>
        <patternFill patternType="none">
          <fgColor indexed="64"/>
          <bgColor auto="1"/>
        </patternFill>
      </fill>
      <alignment horizontal="right" vertical="bottom" textRotation="0" wrapText="0" indent="0" justifyLastLine="0" shrinkToFit="0" readingOrder="0"/>
    </dxf>
    <dxf>
      <numFmt numFmtId="172" formatCode="#,##0;\(#,##0\);&quot;-&quot;"/>
      <fill>
        <patternFill patternType="none">
          <fgColor indexed="64"/>
          <bgColor auto="1"/>
        </patternFill>
      </fill>
      <alignment horizontal="right" vertical="bottom" textRotation="0" wrapText="0" indent="0" justifyLastLine="0" shrinkToFit="0" readingOrder="0"/>
    </dxf>
    <dxf>
      <numFmt numFmtId="172" formatCode="#,##0;\(#,##0\);&quot;-&quot;"/>
      <fill>
        <patternFill patternType="none">
          <fgColor indexed="64"/>
          <bgColor auto="1"/>
        </patternFill>
      </fill>
      <alignment horizontal="right" vertical="bottom" textRotation="0" wrapText="0" indent="0" justifyLastLine="0" shrinkToFit="0" readingOrder="0"/>
    </dxf>
    <dxf>
      <numFmt numFmtId="172" formatCode="#,##0;\(#,##0\);&quot;-&quot;"/>
      <fill>
        <patternFill patternType="none">
          <fgColor indexed="64"/>
          <bgColor auto="1"/>
        </patternFill>
      </fill>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0" formatCode="General"/>
    </dxf>
    <dxf>
      <font>
        <b/>
        <strike val="0"/>
        <outline val="0"/>
        <shadow val="0"/>
        <u val="none"/>
        <vertAlign val="baseline"/>
        <sz val="11"/>
        <color theme="0"/>
        <name val="Aptos Narrow"/>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strike val="0"/>
        <outline val="0"/>
        <shadow val="0"/>
        <u val="none"/>
        <vertAlign val="baseline"/>
        <sz val="11"/>
        <color theme="0"/>
        <name val="Aptos Narrow"/>
        <family val="2"/>
        <scheme val="minor"/>
      </font>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0" formatCode="General"/>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alignment horizontal="right" vertical="bottom" textRotation="0" wrapText="0" indent="0" justifyLastLine="0" shrinkToFit="0" readingOrder="0"/>
    </dxf>
    <dxf>
      <numFmt numFmtId="172" formatCode="#,##0;\(#,##0\);&quot;-&quot;"/>
      <fill>
        <patternFill patternType="none">
          <fgColor indexed="64"/>
          <bgColor auto="1"/>
        </patternFill>
      </fill>
      <alignment horizontal="right" vertical="bottom" textRotation="0" wrapText="0" indent="0" justifyLastLine="0" shrinkToFit="0" readingOrder="0"/>
    </dxf>
    <dxf>
      <numFmt numFmtId="172" formatCode="#,##0;\(#,##0\);&quot;-&quot;"/>
      <fill>
        <patternFill patternType="none">
          <fgColor indexed="64"/>
          <bgColor auto="1"/>
        </patternFill>
      </fill>
      <alignment horizontal="right" vertical="bottom" textRotation="0" wrapText="0" indent="0" justifyLastLine="0" shrinkToFit="0" readingOrder="0"/>
    </dxf>
    <dxf>
      <numFmt numFmtId="172" formatCode="#,##0;\(#,##0\);&quot;-&quot;"/>
      <alignment horizontal="right" vertical="bottom" textRotation="0" wrapText="0" indent="0" justifyLastLine="0" shrinkToFit="0" readingOrder="0"/>
    </dxf>
    <dxf>
      <numFmt numFmtId="172" formatCode="#,##0;\(#,##0\);&quot;-&quot;"/>
      <fill>
        <patternFill patternType="none">
          <fgColor indexed="64"/>
          <bgColor indexed="65"/>
        </patternFill>
      </fill>
      <alignment horizontal="right" vertical="bottom" textRotation="0" wrapText="0" indent="0" justifyLastLine="0" shrinkToFit="0" readingOrder="0"/>
    </dxf>
    <dxf>
      <numFmt numFmtId="0" formatCode="General"/>
    </dxf>
    <dxf>
      <font>
        <b/>
        <strike val="0"/>
        <outline val="0"/>
        <shadow val="0"/>
        <u val="none"/>
        <vertAlign val="baseline"/>
        <sz val="11"/>
        <color theme="0"/>
        <name val="Aptos Narrow"/>
        <family val="2"/>
        <scheme val="minor"/>
      </font>
    </dxf>
    <dxf>
      <alignment horizontal="center" vertical="bottom" textRotation="0" wrapText="0" indent="0" justifyLastLine="0" shrinkToFit="0" readingOrder="0"/>
    </dxf>
    <dxf>
      <fill>
        <patternFill>
          <bgColor theme="3" tint="0.89996032593768116"/>
        </patternFill>
      </fill>
    </dxf>
    <dxf>
      <fill>
        <patternFill>
          <bgColor theme="3" tint="0.24994659260841701"/>
        </patternFill>
      </fill>
    </dxf>
    <dxf>
      <fill>
        <patternFill>
          <bgColor theme="3" tint="0.24994659260841701"/>
        </patternFill>
      </fill>
    </dxf>
  </dxfs>
  <tableStyles count="2" defaultTableStyle="TableStyleMedium2" defaultPivotStyle="PivotStyleLight16">
    <tableStyle name="Secundus" pivot="0" count="1" xr9:uid="{A58765A3-6433-48E4-B8DC-BF2E8B0EABB4}">
      <tableStyleElement type="headerRow" dxfId="199"/>
    </tableStyle>
    <tableStyle name="Table Style 1" pivot="0" count="2" xr9:uid="{AA603CBC-9B68-48A2-93AF-CDC95245C04B}">
      <tableStyleElement type="headerRow" dxfId="198"/>
      <tableStyleElement type="secondRowStripe" dxfId="197"/>
    </tableStyle>
  </tableStyles>
  <colors>
    <mruColors>
      <color rgb="FF2E2E2E"/>
      <color rgb="FFFDFDFD"/>
      <color rgb="FF005F73"/>
      <color rgb="FF5D6D7E"/>
      <color rgb="FF6F42C1"/>
      <color rgb="FFB97B59"/>
      <color rgb="FFFD7E14"/>
      <color rgb="FFF39C12"/>
      <color rgb="FFC0392B"/>
      <color rgb="FF239B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'Financial Statements'!$A$2</c:f>
              <c:strCache>
                <c:ptCount val="1"/>
                <c:pt idx="0">
                  <c:v>Revenue</c:v>
                </c:pt>
              </c:strCache>
            </c:strRef>
          </c:tx>
          <c:spPr>
            <a:solidFill>
              <a:schemeClr val="accent1"/>
            </a:solidFill>
            <a:ln>
              <a:noFill/>
            </a:ln>
            <a:effectLst/>
          </c:spPr>
          <c:invertIfNegative val="0"/>
          <c:cat>
            <c:strRef>
              <c:f>'Financial Statements'!$B$1:$L$1</c:f>
              <c:strCache>
                <c:ptCount val="11"/>
                <c:pt idx="0">
                  <c:v>2014</c:v>
                </c:pt>
                <c:pt idx="1">
                  <c:v>2015</c:v>
                </c:pt>
                <c:pt idx="2">
                  <c:v>2016</c:v>
                </c:pt>
                <c:pt idx="3">
                  <c:v>2017</c:v>
                </c:pt>
                <c:pt idx="4">
                  <c:v>2018</c:v>
                </c:pt>
                <c:pt idx="5">
                  <c:v>2019</c:v>
                </c:pt>
                <c:pt idx="6">
                  <c:v>2020</c:v>
                </c:pt>
                <c:pt idx="7">
                  <c:v>2021</c:v>
                </c:pt>
                <c:pt idx="8">
                  <c:v>2022</c:v>
                </c:pt>
                <c:pt idx="9">
                  <c:v>2023</c:v>
                </c:pt>
                <c:pt idx="10">
                  <c:v>2024</c:v>
                </c:pt>
              </c:strCache>
            </c:strRef>
          </c:cat>
          <c:val>
            <c:numRef>
              <c:f>'Financial Statements'!$B$2:$L$2</c:f>
              <c:numCache>
                <c:formatCode>#,##0;\(#,##0\);"-"</c:formatCode>
                <c:ptCount val="11"/>
                <c:pt idx="0">
                  <c:v>672465</c:v>
                </c:pt>
                <c:pt idx="1">
                  <c:v>588686</c:v>
                </c:pt>
                <c:pt idx="2">
                  <c:v>600738</c:v>
                </c:pt>
                <c:pt idx="3">
                  <c:v>910862</c:v>
                </c:pt>
                <c:pt idx="4">
                  <c:v>874119</c:v>
                </c:pt>
                <c:pt idx="5">
                  <c:v>701933</c:v>
                </c:pt>
                <c:pt idx="6">
                  <c:v>767126</c:v>
                </c:pt>
                <c:pt idx="7">
                  <c:v>914673</c:v>
                </c:pt>
                <c:pt idx="8">
                  <c:v>1339635</c:v>
                </c:pt>
                <c:pt idx="9">
                  <c:v>1317635</c:v>
                </c:pt>
                <c:pt idx="10">
                  <c:v>1741879</c:v>
                </c:pt>
              </c:numCache>
            </c:numRef>
          </c:val>
          <c:extLst>
            <c:ext xmlns:c16="http://schemas.microsoft.com/office/drawing/2014/chart" uri="{C3380CC4-5D6E-409C-BE32-E72D297353CC}">
              <c16:uniqueId val="{00000000-CF37-4F29-B128-CBAFB5383F13}"/>
            </c:ext>
          </c:extLst>
        </c:ser>
        <c:dLbls>
          <c:showLegendKey val="0"/>
          <c:showVal val="0"/>
          <c:showCatName val="0"/>
          <c:showSerName val="0"/>
          <c:showPercent val="0"/>
          <c:showBubbleSize val="0"/>
        </c:dLbls>
        <c:gapWidth val="219"/>
        <c:overlap val="-27"/>
        <c:axId val="1716051663"/>
        <c:axId val="1716055983"/>
      </c:barChart>
      <c:catAx>
        <c:axId val="1716051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055983"/>
        <c:crosses val="autoZero"/>
        <c:auto val="1"/>
        <c:lblAlgn val="ctr"/>
        <c:lblOffset val="100"/>
        <c:noMultiLvlLbl val="0"/>
      </c:catAx>
      <c:valAx>
        <c:axId val="1716055983"/>
        <c:scaling>
          <c:orientation val="minMax"/>
        </c:scaling>
        <c:delete val="0"/>
        <c:axPos val="l"/>
        <c:majorGridlines>
          <c:spPr>
            <a:ln w="9525" cap="flat" cmpd="sng" algn="ctr">
              <a:solidFill>
                <a:schemeClr val="tx1">
                  <a:lumMod val="15000"/>
                  <a:lumOff val="85000"/>
                </a:schemeClr>
              </a:solidFill>
              <a:round/>
            </a:ln>
            <a:effectLst/>
          </c:spPr>
        </c:majorGridlines>
        <c:numFmt formatCode="#,##0;\(#,##0\);&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051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v>Industry</c:v>
          </c:tx>
          <c:spPr>
            <a:solidFill>
              <a:schemeClr val="tx2">
                <a:lumMod val="25000"/>
                <a:lumOff val="75000"/>
              </a:schemeClr>
            </a:solidFill>
            <a:ln>
              <a:noFill/>
            </a:ln>
            <a:effectLst/>
          </c:spPr>
          <c:invertIfNegative val="0"/>
          <c:cat>
            <c:strRef>
              <c:f>Sheet1!$A$2:$A$5</c:f>
              <c:strCache>
                <c:ptCount val="4"/>
                <c:pt idx="0">
                  <c:v>Investment banking </c:v>
                </c:pt>
                <c:pt idx="1">
                  <c:v>Debt trading </c:v>
                </c:pt>
                <c:pt idx="2">
                  <c:v>Equity trading</c:v>
                </c:pt>
                <c:pt idx="3">
                  <c:v>Asset management</c:v>
                </c:pt>
              </c:strCache>
            </c:strRef>
          </c:cat>
          <c:val>
            <c:numRef>
              <c:f>Sheet1!$B$2:$B$5</c:f>
              <c:numCache>
                <c:formatCode>0.00%</c:formatCode>
                <c:ptCount val="4"/>
                <c:pt idx="0">
                  <c:v>0.2</c:v>
                </c:pt>
                <c:pt idx="1">
                  <c:v>0.2</c:v>
                </c:pt>
                <c:pt idx="2">
                  <c:v>0.2</c:v>
                </c:pt>
                <c:pt idx="3">
                  <c:v>0.4</c:v>
                </c:pt>
              </c:numCache>
            </c:numRef>
          </c:val>
          <c:extLst>
            <c:ext xmlns:c16="http://schemas.microsoft.com/office/drawing/2014/chart" uri="{C3380CC4-5D6E-409C-BE32-E72D297353CC}">
              <c16:uniqueId val="{00000000-4CA2-4920-86D5-CCD73682B306}"/>
            </c:ext>
          </c:extLst>
        </c:ser>
        <c:dLbls>
          <c:showLegendKey val="0"/>
          <c:showVal val="0"/>
          <c:showCatName val="0"/>
          <c:showSerName val="0"/>
          <c:showPercent val="0"/>
          <c:showBubbleSize val="0"/>
        </c:dLbls>
        <c:gapWidth val="150"/>
        <c:overlap val="100"/>
        <c:axId val="1620057168"/>
        <c:axId val="1620064848"/>
      </c:barChart>
      <c:barChart>
        <c:barDir val="bar"/>
        <c:grouping val="stacked"/>
        <c:varyColors val="0"/>
        <c:ser>
          <c:idx val="1"/>
          <c:order val="1"/>
          <c:tx>
            <c:v>LEH</c:v>
          </c:tx>
          <c:spPr>
            <a:solidFill>
              <a:schemeClr val="tx2"/>
            </a:solidFill>
            <a:ln w="0" cmpd="sng">
              <a:noFill/>
            </a:ln>
            <a:effectLst/>
          </c:spPr>
          <c:invertIfNegative val="0"/>
          <c:cat>
            <c:strRef>
              <c:f>Sheet1!$A$2:$A$5</c:f>
              <c:strCache>
                <c:ptCount val="4"/>
                <c:pt idx="0">
                  <c:v>Investment banking </c:v>
                </c:pt>
                <c:pt idx="1">
                  <c:v>Debt trading </c:v>
                </c:pt>
                <c:pt idx="2">
                  <c:v>Equity trading</c:v>
                </c:pt>
                <c:pt idx="3">
                  <c:v>Asset management</c:v>
                </c:pt>
              </c:strCache>
            </c:strRef>
          </c:cat>
          <c:val>
            <c:numRef>
              <c:f>Sheet1!$C$2:$C$5</c:f>
              <c:numCache>
                <c:formatCode>General</c:formatCode>
                <c:ptCount val="4"/>
                <c:pt idx="0">
                  <c:v>0.15</c:v>
                </c:pt>
                <c:pt idx="1">
                  <c:v>0.15</c:v>
                </c:pt>
                <c:pt idx="2">
                  <c:v>0.4</c:v>
                </c:pt>
                <c:pt idx="3">
                  <c:v>0.3</c:v>
                </c:pt>
              </c:numCache>
            </c:numRef>
          </c:val>
          <c:extLst>
            <c:ext xmlns:c16="http://schemas.microsoft.com/office/drawing/2014/chart" uri="{C3380CC4-5D6E-409C-BE32-E72D297353CC}">
              <c16:uniqueId val="{00000001-4CA2-4920-86D5-CCD73682B306}"/>
            </c:ext>
          </c:extLst>
        </c:ser>
        <c:dLbls>
          <c:showLegendKey val="0"/>
          <c:showVal val="0"/>
          <c:showCatName val="0"/>
          <c:showSerName val="0"/>
          <c:showPercent val="0"/>
          <c:showBubbleSize val="0"/>
        </c:dLbls>
        <c:gapWidth val="400"/>
        <c:overlap val="100"/>
        <c:axId val="1620100848"/>
        <c:axId val="1620100368"/>
      </c:barChart>
      <c:catAx>
        <c:axId val="162005716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t"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620064848"/>
        <c:crosses val="autoZero"/>
        <c:auto val="1"/>
        <c:lblAlgn val="ctr"/>
        <c:lblOffset val="100"/>
        <c:noMultiLvlLbl val="0"/>
      </c:catAx>
      <c:valAx>
        <c:axId val="1620064848"/>
        <c:scaling>
          <c:orientation val="minMax"/>
          <c:max val="0.4"/>
        </c:scaling>
        <c:delete val="0"/>
        <c:axPos val="t"/>
        <c:title>
          <c:tx>
            <c:rich>
              <a:bodyPr rot="0" spcFirstLastPara="1" vertOverflow="ellipsis" vert="horz" wrap="square" anchor="ctr" anchorCtr="1"/>
              <a:lstStyle/>
              <a:p>
                <a:pPr>
                  <a:defRPr sz="1200" b="1" i="0" u="sng" strike="noStrike" kern="1200" baseline="0">
                    <a:solidFill>
                      <a:sysClr val="windowText" lastClr="000000"/>
                    </a:solidFill>
                    <a:latin typeface="Arial" panose="020B0604020202020204" pitchFamily="34" charset="0"/>
                    <a:ea typeface="+mn-ea"/>
                    <a:cs typeface="Arial" panose="020B0604020202020204" pitchFamily="34" charset="0"/>
                  </a:defRPr>
                </a:pPr>
                <a:r>
                  <a:rPr lang="en-MY" sz="1200" b="1" u="sng">
                    <a:solidFill>
                      <a:sysClr val="windowText" lastClr="000000"/>
                    </a:solidFill>
                    <a:latin typeface="Arial" panose="020B0604020202020204" pitchFamily="34" charset="0"/>
                    <a:cs typeface="Arial" panose="020B0604020202020204" pitchFamily="34" charset="0"/>
                  </a:rPr>
                  <a:t>Product</a:t>
                </a:r>
              </a:p>
            </c:rich>
          </c:tx>
          <c:layout>
            <c:manualLayout>
              <c:xMode val="edge"/>
              <c:yMode val="edge"/>
              <c:x val="1.8954724409448818E-2"/>
              <c:y val="0.15740740740740741"/>
            </c:manualLayout>
          </c:layout>
          <c:overlay val="0"/>
          <c:spPr>
            <a:noFill/>
            <a:ln>
              <a:noFill/>
            </a:ln>
            <a:effectLst/>
          </c:spPr>
          <c:txPr>
            <a:bodyPr rot="0" spcFirstLastPara="1" vertOverflow="ellipsis" vert="horz" wrap="square" anchor="ctr" anchorCtr="1"/>
            <a:lstStyle/>
            <a:p>
              <a:pPr>
                <a:defRPr sz="1200" b="1" i="0" u="sng"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high"/>
        <c:spPr>
          <a:noFill/>
          <a:ln w="12700">
            <a:solidFill>
              <a:schemeClr val="bg2">
                <a:lumMod val="75000"/>
              </a:schemeClr>
            </a:solidFill>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620057168"/>
        <c:crosses val="max"/>
        <c:crossBetween val="between"/>
        <c:majorUnit val="0.1"/>
      </c:valAx>
      <c:valAx>
        <c:axId val="1620100368"/>
        <c:scaling>
          <c:orientation val="minMax"/>
        </c:scaling>
        <c:delete val="1"/>
        <c:axPos val="b"/>
        <c:numFmt formatCode="General" sourceLinked="1"/>
        <c:majorTickMark val="out"/>
        <c:minorTickMark val="none"/>
        <c:tickLblPos val="nextTo"/>
        <c:crossAx val="1620100848"/>
        <c:crosses val="autoZero"/>
        <c:crossBetween val="between"/>
      </c:valAx>
      <c:catAx>
        <c:axId val="1620100848"/>
        <c:scaling>
          <c:orientation val="minMax"/>
        </c:scaling>
        <c:delete val="1"/>
        <c:axPos val="l"/>
        <c:numFmt formatCode="General" sourceLinked="1"/>
        <c:majorTickMark val="out"/>
        <c:minorTickMark val="none"/>
        <c:tickLblPos val="nextTo"/>
        <c:crossAx val="1620100368"/>
        <c:crosses val="autoZero"/>
        <c:auto val="1"/>
        <c:lblAlgn val="ctr"/>
        <c:lblOffset val="100"/>
        <c:noMultiLvlLbl val="0"/>
      </c:catAx>
      <c:spPr>
        <a:noFill/>
        <a:ln>
          <a:noFill/>
        </a:ln>
        <a:effectLst/>
      </c:spPr>
    </c:plotArea>
    <c:legend>
      <c:legendPos val="r"/>
      <c:layout>
        <c:manualLayout>
          <c:xMode val="edge"/>
          <c:yMode val="edge"/>
          <c:x val="0.53201741420547688"/>
          <c:y val="0.87094854680409683"/>
          <c:w val="0.27954615048118986"/>
          <c:h val="0.12847331583552055"/>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14</xdr:col>
      <xdr:colOff>609600</xdr:colOff>
      <xdr:row>23</xdr:row>
      <xdr:rowOff>171450</xdr:rowOff>
    </xdr:from>
    <xdr:to>
      <xdr:col>22</xdr:col>
      <xdr:colOff>0</xdr:colOff>
      <xdr:row>38</xdr:row>
      <xdr:rowOff>76200</xdr:rowOff>
    </xdr:to>
    <xdr:graphicFrame macro="">
      <xdr:nvGraphicFramePr>
        <xdr:cNvPr id="2" name="Chart 1">
          <a:extLst>
            <a:ext uri="{FF2B5EF4-FFF2-40B4-BE49-F238E27FC236}">
              <a16:creationId xmlns:a16="http://schemas.microsoft.com/office/drawing/2014/main" id="{955F2CEA-2DAB-2FB2-DE1F-28746807BC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742950</xdr:colOff>
      <xdr:row>6</xdr:row>
      <xdr:rowOff>180974</xdr:rowOff>
    </xdr:from>
    <xdr:to>
      <xdr:col>11</xdr:col>
      <xdr:colOff>38100</xdr:colOff>
      <xdr:row>21</xdr:row>
      <xdr:rowOff>19050</xdr:rowOff>
    </xdr:to>
    <xdr:graphicFrame macro="">
      <xdr:nvGraphicFramePr>
        <xdr:cNvPr id="2" name="Chart 1">
          <a:extLst>
            <a:ext uri="{FF2B5EF4-FFF2-40B4-BE49-F238E27FC236}">
              <a16:creationId xmlns:a16="http://schemas.microsoft.com/office/drawing/2014/main" id="{19E3CC31-1543-0F08-F1CB-3477727FEB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HMAD ZARRUQ BIN MOHD. AZLAN" id="{6913920C-53B3-404B-BF89-09EC5C799490}" userId="S::2024905559@isiswa.uitm.edu.my::7ff239f2-6499-4ab1-9d82-877e7cfe582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21787F-2796-4005-A492-80B3332ADE52}" name="Name" displayName="Name" ref="A13:I21" totalsRowShown="0">
  <autoFilter ref="A13:I21" xr:uid="{DD21787F-2796-4005-A492-80B3332ADE5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14:J21">
    <sortCondition ref="D13:D21"/>
  </sortState>
  <tableColumns count="9">
    <tableColumn id="1" xr3:uid="{F4F85A53-AA42-4B2B-9739-5042AA0611BE}" name="Name"/>
    <tableColumn id="2" xr3:uid="{76D7C8FF-0EA2-4D5C-8F29-F2A72ABAEA13}" name="Revenue, B" dataDxfId="196"/>
    <tableColumn id="3" xr3:uid="{25E455C3-17A5-44EE-8E8B-37DB94F5735C}" name="CAGR 4Y"/>
    <tableColumn id="4" xr3:uid="{D74D194C-45FA-45AC-AD3D-205AB918C032}" name="P/E"/>
    <tableColumn id="5" xr3:uid="{D12D1617-1B76-42F4-989B-D4A1868FA952}" name="P/FCF"/>
    <tableColumn id="7" xr3:uid="{A9D52C98-7539-412C-A80D-1E5D772D51E0}" name="Gross Margin"/>
    <tableColumn id="8" xr3:uid="{CCDAE76F-A3BD-4992-8E24-B36C6F674EC0}" name="Operating Margin"/>
    <tableColumn id="6" xr3:uid="{6BFB7499-5503-465B-BA2A-647F29B60751}" name="Net Margin"/>
    <tableColumn id="9" xr3:uid="{78A92F91-12DA-42BA-8DEA-505833974E92}" name="ROIC, %"/>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4F34A3F-CA52-4642-B74A-BD06E97EE3E8}" name="Page001" displayName="Page001" ref="A146:L163" totalsRowShown="0" headerRowDxfId="195">
  <autoFilter ref="A146:L163" xr:uid="{54F34A3F-CA52-4642-B74A-BD06E97EE3E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AC5D4B3C-F4CA-4095-8283-C49754B9D320}" name="STATEMENTS OF PROFIT OR LOSS RM’000" dataDxfId="194"/>
    <tableColumn id="3" xr3:uid="{8EBE4AEA-2F42-42F7-9122-22B63E5C372F}" name="2014" dataDxfId="193"/>
    <tableColumn id="2" xr3:uid="{D21E80BC-E31D-493F-A4C0-55E917529E5A}" name="2015" dataDxfId="192"/>
    <tableColumn id="5" xr3:uid="{5D785D3A-4D48-4765-BCA3-2E32225BFA06}" name="2016" dataDxfId="191"/>
    <tableColumn id="4" xr3:uid="{2ED5576B-B33B-4403-AD5C-D4744785D573}" name="2017" dataDxfId="190"/>
    <tableColumn id="8" xr3:uid="{452750D0-59D8-4693-9AFD-8358FBD31D1E}" name="2018" dataDxfId="189"/>
    <tableColumn id="6" xr3:uid="{C48AD05D-6D75-4B51-8E92-1A1EFCCF35E9}" name="2019" dataDxfId="188"/>
    <tableColumn id="7" xr3:uid="{C88838D6-560D-4EC6-A411-1AC5E7667724}" name="2020" dataDxfId="187"/>
    <tableColumn id="9" xr3:uid="{BBFAA588-766C-4B86-A20E-21E9B5E96F29}" name="2021" dataDxfId="186"/>
    <tableColumn id="10" xr3:uid="{C450D2B4-D704-4E38-939A-C00BD3D50CB1}" name="2022" dataDxfId="185"/>
    <tableColumn id="11" xr3:uid="{F101A778-A794-4FEB-9F0B-EBE6B229950B}" name="2023" dataDxfId="184"/>
    <tableColumn id="12" xr3:uid="{9EF9F6E2-62FF-4AC7-85C9-A8ABFB965C0A}" name="2024" dataDxfId="18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360FDC1A-959A-4E9A-B616-33AAE837A842}" name="Page003__231" displayName="Page003__231" ref="A165:L233" totalsRowShown="0" headerRowDxfId="182">
  <autoFilter ref="A165:L233" xr:uid="{360FDC1A-959A-4E9A-B616-33AAE837A84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93BA2452-D76C-410C-8C71-0958ABB19C20}" name="Balance Sheet" dataDxfId="181"/>
    <tableColumn id="3" xr3:uid="{328EE649-18AD-47C3-9B1A-14FA6E57A98A}" name="2014" dataDxfId="180"/>
    <tableColumn id="2" xr3:uid="{9AA64E13-DBDC-42CC-8B2A-C1E2A3360AC5}" name="2015" dataDxfId="179"/>
    <tableColumn id="4" xr3:uid="{8C0944BE-5656-489C-BC10-204EEAF3C0FF}" name="2016" dataDxfId="178"/>
    <tableColumn id="6" xr3:uid="{0B57D50C-D08F-4E3E-B4D5-2525AF3EF1CE}" name="2017" dataDxfId="177"/>
    <tableColumn id="8" xr3:uid="{0FE73D60-1CE7-4BFC-87ED-156C821F6A7B}" name="2018" dataDxfId="176"/>
    <tableColumn id="7" xr3:uid="{C0B49F71-92A3-4B11-9176-E289E37FEB9F}" name="2019" dataDxfId="175"/>
    <tableColumn id="5" xr3:uid="{42A64F9D-5973-41C0-B1E3-2DD851A3CE61}" name="2020" dataDxfId="174"/>
    <tableColumn id="9" xr3:uid="{72F43D76-0C63-4472-9AAE-CC320737732B}" name="2021" dataDxfId="173"/>
    <tableColumn id="12" xr3:uid="{4917063B-9EE3-46D5-BB26-7E19E0585EBE}" name="2022" dataDxfId="172"/>
    <tableColumn id="11" xr3:uid="{DDDB19D5-C975-47A3-8A1E-15C513303998}" name="2023" dataDxfId="171"/>
    <tableColumn id="10" xr3:uid="{8B6CB31D-906C-43F7-BB75-377E8E68A15B}" name="2024" dataDxfId="17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80C3188-9AE9-4C01-9A9B-EEDECADCA9CF}" name="Page00110" displayName="Page00110" ref="N1:Y12" totalsRowShown="0" headerRowDxfId="169">
  <autoFilter ref="N1:Y12" xr:uid="{280C3188-9AE9-4C01-9A9B-EEDECADCA9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6638D40C-D414-455F-94BE-5CE82F31F9CA}" name="Common Size Income Statement" dataDxfId="168"/>
    <tableColumn id="3" xr3:uid="{0B9EC55A-3DA9-4794-B39D-564232D53B5A}" name="2014" dataDxfId="167"/>
    <tableColumn id="2" xr3:uid="{7CC2BC3D-83E6-481F-9107-2694A73BB141}" name="2015" dataDxfId="166"/>
    <tableColumn id="5" xr3:uid="{9DE9BC8B-A390-4307-9C88-A156F0509C95}" name="2016" dataDxfId="165"/>
    <tableColumn id="4" xr3:uid="{01337A6E-3B41-4CEA-9765-5284BCB7EC28}" name="2017" dataDxfId="164"/>
    <tableColumn id="8" xr3:uid="{5EB6D2C3-F49E-4DD7-B59E-A609A16A74AA}" name="2018" dataDxfId="163"/>
    <tableColumn id="6" xr3:uid="{196ED180-E871-4B88-8522-696E3A2F4CD5}" name="2019" dataDxfId="162"/>
    <tableColumn id="7" xr3:uid="{615B4642-FE3B-4B27-9A2F-7035D3D2A8A7}" name="2020" dataDxfId="161"/>
    <tableColumn id="9" xr3:uid="{2EC51DC5-680D-4E05-95E8-976BFD742AE6}" name="2021" dataDxfId="160"/>
    <tableColumn id="10" xr3:uid="{9C10FD3E-6C5E-4A3A-AA85-7238D1AAFAF4}" name="2022" dataDxfId="159"/>
    <tableColumn id="11" xr3:uid="{FE87EE09-3E3C-4BEE-8285-4E8A94A66C6D}" name="2023" dataDxfId="158"/>
    <tableColumn id="12" xr3:uid="{C8320C56-52B5-4F61-A872-DE819F149B7D}" name="2024" dataDxfId="157"/>
  </tableColumns>
  <tableStyleInfo name="Secundus"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E3D37FC-CBA9-47D2-BD61-0850064109FC}" name="Table11" displayName="Table11" ref="A1:L13" totalsRowShown="0" headerRowDxfId="156" dataDxfId="155">
  <autoFilter ref="A1:L13" xr:uid="{6E3D37FC-CBA9-47D2-BD61-0850064109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730CB2C-8A2A-4B89-A5B1-063427AD81D7}" name="Simplified Income Statement RM’000" dataDxfId="154"/>
    <tableColumn id="2" xr3:uid="{D055651B-8E52-49FB-9582-DB2FAE702BFE}" name="2014" dataDxfId="153"/>
    <tableColumn id="3" xr3:uid="{2A2AA51D-DB42-4269-8B0A-B2952D604788}" name="2015" dataDxfId="152"/>
    <tableColumn id="4" xr3:uid="{C8885D00-4C2D-4637-A445-FD803F5474BF}" name="2016" dataDxfId="151"/>
    <tableColumn id="5" xr3:uid="{A5D6805C-F2DD-4E4A-84D9-177051176AF6}" name="2017" dataDxfId="150"/>
    <tableColumn id="6" xr3:uid="{2D0820F9-7ECC-4FFC-8354-61B4E709DA8B}" name="2018" dataDxfId="149"/>
    <tableColumn id="7" xr3:uid="{B2077096-6544-4D78-9939-B7212C00B4F7}" name="2019" dataDxfId="148"/>
    <tableColumn id="8" xr3:uid="{B8CA202A-E0E5-4ADD-B584-23BA1C53EFE0}" name="2020" dataDxfId="147"/>
    <tableColumn id="9" xr3:uid="{5CA1604F-CA5F-4242-973B-B50F6948F30A}" name="2021" dataDxfId="146"/>
    <tableColumn id="10" xr3:uid="{77BF1C99-8896-463A-A658-60E30F2410D5}" name="2022" dataDxfId="145"/>
    <tableColumn id="11" xr3:uid="{2942E48F-C447-47EB-84C1-801671CE3382}" name="2023" dataDxfId="144"/>
    <tableColumn id="12" xr3:uid="{B51F59B5-FCBD-45BA-A44C-77E2E89B77B1}" name="2024" dataDxfId="143"/>
  </tableColumns>
  <tableStyleInfo name="Secundus"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8FB5FD-6FF1-4C48-B725-5BAC6374824D}" name="Table1113" displayName="Table1113" ref="A15:L62" totalsRowShown="0" headerRowDxfId="142" dataDxfId="141">
  <autoFilter ref="A15:L62" xr:uid="{C08FB5FD-6FF1-4C48-B725-5BAC6374824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C66E1EEC-A7D6-4BD2-B63D-0B05299020E0}" name="Simplified Balance Sheet" dataDxfId="140"/>
    <tableColumn id="2" xr3:uid="{1E6B3397-4ACE-46E2-B8AD-723D8E0A3223}" name="2014" dataDxfId="139"/>
    <tableColumn id="3" xr3:uid="{5C76E35F-6976-4EC3-8EF4-3210023F3409}" name="2015" dataDxfId="138"/>
    <tableColumn id="4" xr3:uid="{A010DF35-2EB6-467F-A343-E00B28689A9E}" name="2016" dataDxfId="137"/>
    <tableColumn id="5" xr3:uid="{2E791D72-BDAE-4A77-B5A9-CB8D4FD59472}" name="2017" dataDxfId="136"/>
    <tableColumn id="6" xr3:uid="{5A1DFEB2-7EEE-4421-915B-241DE4C29D57}" name="2018" dataDxfId="135"/>
    <tableColumn id="7" xr3:uid="{DEA3918C-FAC9-4CA1-BF4E-59C70E48B3F2}" name="2019" dataDxfId="134"/>
    <tableColumn id="8" xr3:uid="{D1891F23-43FB-4A8D-9E31-9F4086ECEAF9}" name="2020" dataDxfId="133"/>
    <tableColumn id="9" xr3:uid="{D8E7C328-63D5-46C6-B564-90081BE561B7}" name="2021" dataDxfId="132"/>
    <tableColumn id="10" xr3:uid="{993505F3-4F5F-4745-9EA5-E33D07A2B0D3}" name="2022" dataDxfId="131"/>
    <tableColumn id="11" xr3:uid="{83730A31-364C-4751-9DF5-92E80CCEAD4B}" name="2023" dataDxfId="130"/>
    <tableColumn id="12" xr3:uid="{36B7B773-4866-489A-83D4-69E848BFB22E}" name="2024" dataDxfId="129"/>
  </tableColumns>
  <tableStyleInfo name="Secundus"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B44A84B-B868-4CA3-9C6A-D29130A1D43A}" name="Table13" displayName="Table13" ref="A65:L89" totalsRowShown="0" headerRowDxfId="128" dataDxfId="127">
  <autoFilter ref="A65:L89" xr:uid="{2B44A84B-B868-4CA3-9C6A-D29130A1D43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F5653B82-A531-43A6-9920-6163100634EE}" name="Acquisition Model"/>
    <tableColumn id="2" xr3:uid="{3077701B-0D81-4523-873B-AA1DC401A35C}" name="2014" dataDxfId="126"/>
    <tableColumn id="3" xr3:uid="{9DD60334-47C0-425D-A71E-D8C5FAF24C15}" name="2015" dataDxfId="125"/>
    <tableColumn id="4" xr3:uid="{C0A138DA-BDAE-4ED0-8BC1-927C84320AE1}" name="2016"/>
    <tableColumn id="5" xr3:uid="{502744A0-B856-4253-8C15-50C6F2D9AF26}" name="2017" dataDxfId="124"/>
    <tableColumn id="6" xr3:uid="{6AAC39A3-B798-4B7F-9521-C7100D4E27A6}" name="2018" dataDxfId="123"/>
    <tableColumn id="7" xr3:uid="{E9CEE941-BCF7-4A21-A95F-7AB38773FE58}" name="2019" dataDxfId="122"/>
    <tableColumn id="8" xr3:uid="{3CC486F5-D06B-4829-ACFB-04677E730015}" name="2020" dataDxfId="121"/>
    <tableColumn id="9" xr3:uid="{4610D579-1F04-4443-A0E7-D63BF44388B5}" name="2021" dataDxfId="120"/>
    <tableColumn id="10" xr3:uid="{6A7D1F5A-CB92-40BF-9167-F066F89642D2}" name="2022" dataDxfId="119"/>
    <tableColumn id="11" xr3:uid="{6657ADA0-CF7D-4D1A-986F-324EEDF3C59E}" name="2023" dataDxfId="118"/>
    <tableColumn id="12" xr3:uid="{77C83D57-4ED4-47A0-BBC1-4B4393B85A65}" name="2024" dataDxfId="117"/>
  </tableColumns>
  <tableStyleInfo name="Secundus"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9C1B52A-F0FD-41D7-87F1-8567F656E886}" name="Table18" displayName="Table18" ref="A91:L107" totalsRowShown="0" headerRowDxfId="116" dataDxfId="115">
  <autoFilter ref="A91:L107" xr:uid="{39C1B52A-F0FD-41D7-87F1-8567F656E88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21C9EFCE-8BB4-4B31-8656-8AB53DD2CAC1}" name="Lease Model" dataDxfId="114"/>
    <tableColumn id="2" xr3:uid="{DB24200B-102D-4923-A8E7-797D8AFF1E63}" name="2014" dataDxfId="113"/>
    <tableColumn id="3" xr3:uid="{52300F13-59CE-46F1-B91B-E402F3EBA3EF}" name="2015" dataDxfId="112"/>
    <tableColumn id="4" xr3:uid="{CBCE61E7-6018-4193-8B32-C17F958CA70E}" name="2016" dataDxfId="111"/>
    <tableColumn id="5" xr3:uid="{09FFE752-00BA-465E-A2BB-3CD88543BA55}" name="2017" dataDxfId="110"/>
    <tableColumn id="6" xr3:uid="{3BC6091B-3CC1-4809-A55E-DE0CA4A05D89}" name="2018" dataDxfId="109"/>
    <tableColumn id="7" xr3:uid="{99AC2D49-ADC5-44FA-B12F-0B5B98B86841}" name="2019" dataDxfId="108"/>
    <tableColumn id="8" xr3:uid="{6B858466-2CCC-4C7F-A8D4-AF9CF4762149}" name="2020" dataDxfId="107"/>
    <tableColumn id="9" xr3:uid="{ED1F991D-214E-4E27-80EC-1E030C92CA53}" name="2021" dataDxfId="106"/>
    <tableColumn id="10" xr3:uid="{1DEDE1DD-F5A2-4D69-BC29-13E33B8E003B}" name="2022" dataDxfId="105"/>
    <tableColumn id="11" xr3:uid="{E87A60DB-3DE3-419E-9E6E-323DFDDAAEA8}" name="2023" dataDxfId="104"/>
    <tableColumn id="12" xr3:uid="{EEEA91A3-7E4B-4F77-82F6-1A104020010E}" name="2024" dataDxfId="103"/>
  </tableColumns>
  <tableStyleInfo name="Secundus"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0C43A2F-E113-4FA3-B21C-7F2AC7D96BF6}" name="Table22" displayName="Table22" ref="A109:L137" totalsRowShown="0" headerRowDxfId="102">
  <autoFilter ref="A109:L137" xr:uid="{90C43A2F-E113-4FA3-B21C-7F2AC7D96BF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734C1BAA-5586-40BE-A69B-B286511764E6}" name="Simplified Cash Flows Statement" dataDxfId="101"/>
    <tableColumn id="2" xr3:uid="{56AB2696-8F88-4D2E-821C-0B3510AE4B31}" name="2014"/>
    <tableColumn id="3" xr3:uid="{15133059-C9A1-4647-B851-15DBAEFA212F}" name="2015"/>
    <tableColumn id="4" xr3:uid="{EF5104F7-6BCD-4730-B476-2961CD976E86}" name="2016"/>
    <tableColumn id="5" xr3:uid="{A2986748-10CD-4E34-8F07-355EB35F0E5D}" name="2017"/>
    <tableColumn id="6" xr3:uid="{E9214D51-DA2E-4B9B-BE30-6CC5BA879BAE}" name="2018"/>
    <tableColumn id="7" xr3:uid="{517C7101-8361-464E-BDA9-99590C643EC7}" name="2019"/>
    <tableColumn id="8" xr3:uid="{AF844EFA-715E-48CD-877F-77D9F8BA453E}" name="2020"/>
    <tableColumn id="9" xr3:uid="{E5074877-75DE-43DA-A349-E225198236B9}" name="2021"/>
    <tableColumn id="10" xr3:uid="{C4739F71-0B35-46DA-9021-EE611B5CE1CE}" name="2022"/>
    <tableColumn id="11" xr3:uid="{CF676C71-300D-4645-8662-BFDAFD3F66DC}" name="2023"/>
    <tableColumn id="12" xr3:uid="{46786673-2C3F-4348-AF38-8778E52F4551}" name="2024"/>
  </tableColumns>
  <tableStyleInfo name="Secundus"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61F33C-3648-4178-96C9-68436E0830C6}" name="Table4" displayName="Table4" ref="A6:G28" totalsRowShown="0" headerRowDxfId="100" dataDxfId="99" tableBorderDxfId="98">
  <autoFilter ref="A6:G28" xr:uid="{2461F33C-3648-4178-96C9-68436E0830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BB4FE11-C6BB-462D-9031-9A164208DE0F}" name="Sales, Costs and Profits" dataDxfId="97"/>
    <tableColumn id="2" xr3:uid="{1AB15543-166F-4CCE-9361-8B4A20F7D515}" name="2018" dataDxfId="96"/>
    <tableColumn id="3" xr3:uid="{79A57A56-E397-4C5E-AB56-099A6E3C0DFB}" name="2019" dataDxfId="95"/>
    <tableColumn id="4" xr3:uid="{921ECD0B-D86C-472E-8C99-928AFE6B043C}" name="2020" dataDxfId="94"/>
    <tableColumn id="5" xr3:uid="{95B31BEF-140F-4613-BC8A-63E8C72BBB8D}" name="2021" dataDxfId="93"/>
    <tableColumn id="6" xr3:uid="{9AD00154-D092-4FDF-9AE4-74E9892B5924}" name="2022" dataDxfId="92"/>
    <tableColumn id="7" xr3:uid="{BD1C53A5-949F-430B-9346-A2A06BE84349}" name="Base Year" dataDxfId="91"/>
  </tableColumns>
  <tableStyleInfo name="Secundus"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7F313A-430B-48D3-923B-EA89C73B1FD1}" name="Table5" displayName="Table5" ref="A5:K18" totalsRowShown="0" headerRowDxfId="90" dataDxfId="89" tableBorderDxfId="88" dataCellStyle="Percent">
  <autoFilter ref="A5:K18" xr:uid="{5B7F313A-430B-48D3-923B-EA89C73B1F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07EA5B1-2731-4665-9934-3584245CEB45}" name="Inputs Summary"/>
    <tableColumn id="2" xr3:uid="{C086A057-8D38-412F-A330-B6381EC95F7F}" name="2024"/>
    <tableColumn id="3" xr3:uid="{013C5E43-34F9-403D-86F8-AE2CCA611059}" name="2025" dataDxfId="87" dataCellStyle="Percent"/>
    <tableColumn id="4" xr3:uid="{D5739C82-75D2-4E67-A7CB-125D339FDF92}" name="2026" dataDxfId="86" dataCellStyle="Percent"/>
    <tableColumn id="5" xr3:uid="{A95EB449-AC90-4219-A1D3-2D6A6D59E87F}" name="2027" dataDxfId="85" dataCellStyle="Percent"/>
    <tableColumn id="6" xr3:uid="{CA9D4369-5DA7-4FAC-A5AB-DA890781F8E1}" name="2028" dataDxfId="84" dataCellStyle="Percent"/>
    <tableColumn id="7" xr3:uid="{86930F4D-23AD-4537-9B69-22EC75FC984C}" name="2029" dataDxfId="83" dataCellStyle="Percent"/>
    <tableColumn id="8" xr3:uid="{5AAD95CA-8966-439E-9BB5-35CA3F182179}" name="2030" dataDxfId="82" dataCellStyle="Percent"/>
    <tableColumn id="9" xr3:uid="{0C93C764-0737-4945-BF47-5A4E7C575261}" name="2031" dataDxfId="81" dataCellStyle="Percent"/>
    <tableColumn id="10" xr3:uid="{B42045DE-D49D-46D9-823D-B83E7B1B0782}" name="2032" dataDxfId="80" dataCellStyle="Percent"/>
    <tableColumn id="11" xr3:uid="{E396074F-BFC0-4D69-A2C3-C0D0047FEB16}" name="2033" dataDxfId="79" dataCellStyle="Percent"/>
  </tableColumns>
  <tableStyleInfo name="Secundus"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8A910A-A2D4-47E2-8559-9962DA5F3436}" name="Table1" displayName="Table1" ref="A25:G44" totalsRowShown="0" headerRowDxfId="78" tableBorderDxfId="77" headerRowCellStyle="Percent">
  <autoFilter ref="A25:G44" xr:uid="{108A910A-A2D4-47E2-8559-9962DA5F343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73519C2-721C-4509-BDD0-B700B7E1459F}" name=" Revenue Driver"/>
    <tableColumn id="2" xr3:uid="{EB870B7D-E69C-48DF-B1C6-1412688416EE}" name="2018"/>
    <tableColumn id="3" xr3:uid="{4F6D57DE-AB91-438A-8BD9-E9C3E8EBF1F3}" name="2019"/>
    <tableColumn id="4" xr3:uid="{70A0CB0E-0150-4AAC-A34C-2BD451E499E9}" name="2020"/>
    <tableColumn id="5" xr3:uid="{8A05C4BD-2F44-4FAA-B8B8-F8B69AA818D4}" name="2021"/>
    <tableColumn id="6" xr3:uid="{C48BDD45-4569-4FFA-9C4B-02F2493EC935}" name="2022"/>
    <tableColumn id="7" xr3:uid="{26C692CE-E281-4959-B7C1-76D40249DE72}" name="Base Year"/>
  </tableColumns>
  <tableStyleInfo name="Secundus"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1B85CE5-253D-405F-8076-AFDB8349A9C4}" name="Table1417" displayName="Table1417" ref="A68:G74" totalsRowShown="0" tableBorderDxfId="76">
  <autoFilter ref="A68:G74" xr:uid="{51B85CE5-253D-405F-8076-AFDB8349A9C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826B6E7-62A8-4551-A3ED-DEB86F23145E}" name="Bridge to Free Cash Flow to Firm"/>
    <tableColumn id="2" xr3:uid="{4CB6C084-FCA7-4843-86C9-B5B46CEED99F}" name="2018"/>
    <tableColumn id="3" xr3:uid="{8C475E18-48EE-4588-8A28-D8B0BBF9A083}" name="2019"/>
    <tableColumn id="4" xr3:uid="{DD662648-1FF9-4E00-A84F-3A8E88F99897}" name="2020"/>
    <tableColumn id="5" xr3:uid="{6B5B3CEF-9078-4B55-B73E-9322BC4E6D4A}" name="2021"/>
    <tableColumn id="6" xr3:uid="{C9A7A371-1A37-4730-A236-BAA3D899707C}" name="2022"/>
    <tableColumn id="7" xr3:uid="{505B04DD-28AE-4032-819D-65BDE8852D82}" name="2023"/>
  </tableColumns>
  <tableStyleInfo name="Secundus"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A936704-4DED-43F8-92CD-9820992C0E0D}" name="Table141718" displayName="Table141718" ref="A76:G87" totalsRowShown="0" tableBorderDxfId="75">
  <autoFilter ref="A76:G87" xr:uid="{EA936704-4DED-43F8-92CD-9820992C0E0D}">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D8A0D1C-AEB2-4F19-B09E-96A9929E31A2}" name="Bridge to Free Cash Flow to Equity" dataDxfId="74"/>
    <tableColumn id="2" xr3:uid="{20D69756-40D5-4CBD-BAD0-874C132A860F}" name="2018"/>
    <tableColumn id="3" xr3:uid="{90FCFBCF-9A83-446A-87D8-50162483F598}" name="2019"/>
    <tableColumn id="4" xr3:uid="{007DED8F-269A-467B-A25E-AA0B6CF34261}" name="2020"/>
    <tableColumn id="5" xr3:uid="{488DF8C1-4EE4-4582-A51C-47964E2CB60E}" name="2021"/>
    <tableColumn id="6" xr3:uid="{E6454261-2D16-4CFB-85A6-82F9FDDABF81}" name="2022"/>
    <tableColumn id="7" xr3:uid="{931DE955-228C-491D-BE31-2B90D9C8998C}" name="2023" dataDxfId="73"/>
  </tableColumns>
  <tableStyleInfo name="Secundus"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96A15B-C1D6-46DC-877A-933C3E1169D5}" name="Table3" displayName="Table3" ref="A19:B22" totalsRowShown="0" dataDxfId="72" tableBorderDxfId="71" dataCellStyle="Percent">
  <autoFilter ref="A19:B22" xr:uid="{F596A15B-C1D6-46DC-877A-933C3E1169D5}">
    <filterColumn colId="0" hiddenButton="1"/>
    <filterColumn colId="1" hiddenButton="1"/>
  </autoFilter>
  <tableColumns count="2">
    <tableColumn id="1" xr3:uid="{E7863419-66D4-4B2C-9B8B-259D4F205928}" name="Current Valuation" dataDxfId="70" dataCellStyle="Percent"/>
    <tableColumn id="2" xr3:uid="{3B6DC197-06D2-4000-94D7-1BF935336C9C}" name="Values" dataDxfId="69" dataCellStyle="Percent"/>
  </tableColumns>
  <tableStyleInfo name="Secundus"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1C2B96C-1155-4848-BCE3-75712B691706}" name="Table14" displayName="Table14" ref="M48:W54" totalsRowShown="0" headerRowDxfId="68" tableBorderDxfId="67">
  <autoFilter ref="M48:W54" xr:uid="{D1C2B96C-1155-4848-BCE3-75712B69170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E1B9508-8782-41C9-A89D-26CDD089B56B}" name="Bridge to Free Cash Flow to Firm"/>
    <tableColumn id="2" xr3:uid="{4F7D38C1-6EB0-4E80-B1D2-97328D32EF23}" name="2024"/>
    <tableColumn id="3" xr3:uid="{45AEC34F-5ED0-47E3-AA59-DCF7A7B17C1A}" name="2025"/>
    <tableColumn id="4" xr3:uid="{80258C7C-6D04-4575-84B7-1E8D0CE1EECC}" name="2026"/>
    <tableColumn id="5" xr3:uid="{B307C47C-0221-42EB-B439-AD95FDBBC4E8}" name="2027"/>
    <tableColumn id="6" xr3:uid="{F8DBED25-1A95-468D-B631-F0D864A91B8E}" name="2028"/>
    <tableColumn id="7" xr3:uid="{C24C5228-AD31-4792-A222-2FE412076BC3}" name="2029"/>
    <tableColumn id="8" xr3:uid="{D35A2429-FA3D-4E6B-A12A-1939A8464388}" name="2030"/>
    <tableColumn id="9" xr3:uid="{10EE594E-1CB3-4869-929B-B9FA4FD45D2A}" name="2031"/>
    <tableColumn id="10" xr3:uid="{80D8475F-9182-4804-8D87-F641D1850C72}" name="2032"/>
    <tableColumn id="11" xr3:uid="{00CBB050-AEE0-45B6-A14B-5115B5206834}" name="2033"/>
  </tableColumns>
  <tableStyleInfo name="Secundus"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408E6F0C-156D-4A4D-B27A-EED7D30559F3}" name="Table24" displayName="Table24" ref="M4:W23" totalsRowShown="0" headerRowDxfId="66" tableBorderDxfId="65">
  <autoFilter ref="M4:W23" xr:uid="{408E6F0C-156D-4A4D-B27A-EED7D30559F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2B5EAD87-742E-4BA8-AAEC-BDE85382CC9C}" name=" Revenue Driver"/>
    <tableColumn id="2" xr3:uid="{80F13122-CE19-4A5C-9068-4F60B7E26BCD}" name="2024"/>
    <tableColumn id="3" xr3:uid="{FD7560F4-463F-42E2-B110-5999BCE0A023}" name="2025"/>
    <tableColumn id="4" xr3:uid="{38ADC712-107C-4131-AB7E-B67B051B72C9}" name="2026"/>
    <tableColumn id="5" xr3:uid="{CA220816-8513-4003-939F-7D45789897D5}" name="2027"/>
    <tableColumn id="6" xr3:uid="{B29EAFA0-D06C-4106-965F-FBD92458013E}" name="2028"/>
    <tableColumn id="7" xr3:uid="{DBEA313F-6928-4194-A342-39ECAF8361C3}" name="2029"/>
    <tableColumn id="8" xr3:uid="{74081202-3F81-44DE-8BAA-7ACD7910F530}" name="2030"/>
    <tableColumn id="9" xr3:uid="{BFB6F1F2-5A2E-4BCB-811D-85850899E117}" name="2031"/>
    <tableColumn id="10" xr3:uid="{20A44FA4-C3A3-420E-BE6A-91A6CCB6DFD6}" name="2032"/>
    <tableColumn id="11" xr3:uid="{6DDC5C47-4D51-42BB-8E84-1A32DAB6AEE2}" name="2033"/>
  </tableColumns>
  <tableStyleInfo name="Secundus"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16A922F-5CAB-435F-8B07-B0EEAF6488ED}" name="Table25" displayName="Table25" ref="M26:W44" totalsRowShown="0" headerRowDxfId="64" tableBorderDxfId="63">
  <autoFilter ref="M26:W44" xr:uid="{016A922F-5CAB-435F-8B07-B0EEAF6488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8BD325C8-2776-4BCB-B603-DFFF04B3D0F5}" name="Time Series Forecasts for Costs" dataDxfId="62"/>
    <tableColumn id="2" xr3:uid="{89C267A8-933C-4B7F-8D22-4E66CA4D46A2}" name="2024"/>
    <tableColumn id="3" xr3:uid="{9BCB939C-E51E-4DB0-8F39-24EDB1BC209A}" name="2025"/>
    <tableColumn id="4" xr3:uid="{602BCBF8-A273-42BE-91F8-A8598EB1E405}" name="2026"/>
    <tableColumn id="5" xr3:uid="{806FD327-5172-4FEA-9258-C1BF503ECF62}" name="2027"/>
    <tableColumn id="6" xr3:uid="{1E576184-6324-4DA1-A966-99564AB7ACFD}" name="2028"/>
    <tableColumn id="7" xr3:uid="{8F2AD705-9FE1-4587-99B5-0BBFA85D576D}" name="2029"/>
    <tableColumn id="8" xr3:uid="{53ABC8BB-E108-482B-81DB-0D0F9287759E}" name="2030"/>
    <tableColumn id="9" xr3:uid="{8C5C721D-A449-4BE6-A9C1-D4613BC54CD4}" name="2031"/>
    <tableColumn id="10" xr3:uid="{CDF9799A-5D31-4BBC-876F-B4D6ADE36F4B}" name="2032"/>
    <tableColumn id="11" xr3:uid="{76E0C235-5D24-4595-BD3A-E1EC86DA4F0E}" name="2033"/>
  </tableColumns>
  <tableStyleInfo name="Secundus"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91DABE4C-3A9E-4972-AC99-B435EBF187E5}" name="Table26" displayName="Table26" ref="M58:W69" totalsRowShown="0" headerRowDxfId="61" tableBorderDxfId="60">
  <autoFilter ref="M58:W69" xr:uid="{91DABE4C-3A9E-4972-AC99-B435EBF187E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A1C55735-B351-4285-9ECE-8577C5123FAC}" name="Bridge to Free Cash Flow to Equity" dataDxfId="59"/>
    <tableColumn id="2" xr3:uid="{C081E4B8-9697-4A26-A15F-CFDD3D80DDA6}" name="2024"/>
    <tableColumn id="3" xr3:uid="{9ACC0B1F-F13D-40D0-977B-C4C1F17F75C4}" name="2025"/>
    <tableColumn id="4" xr3:uid="{24AA8113-A0BA-461C-A119-5B8F94D43B87}" name="2026"/>
    <tableColumn id="5" xr3:uid="{5042261B-3AB5-4C96-9249-429A50FD4639}" name="2027"/>
    <tableColumn id="6" xr3:uid="{793AD5C1-EEDD-466A-8180-64453DD81E21}" name="2028"/>
    <tableColumn id="7" xr3:uid="{8C2DCBEC-A495-4FF0-A0AA-061D32885D7E}" name="2029"/>
    <tableColumn id="8" xr3:uid="{7DC01E9D-9161-4C8A-B037-5BEC32E1AA6F}" name="2030"/>
    <tableColumn id="9" xr3:uid="{C18F12FD-BE4B-47C3-8B7B-2F09DEE1E72F}" name="2031"/>
    <tableColumn id="10" xr3:uid="{035A9C28-3EDE-462A-81DA-924A158263AC}" name="2032"/>
    <tableColumn id="11" xr3:uid="{2A5F8064-60E3-453A-81BA-920597BF266B}" name="2033"/>
  </tableColumns>
  <tableStyleInfo name="Secundus"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EA8FFCB-C3AF-466C-98F9-F86504626183}" name="Table8" displayName="Table8" ref="A6:K27" totalsRowShown="0" headerRowDxfId="58" tableBorderDxfId="57">
  <autoFilter ref="A6:K27" xr:uid="{BEA8FFCB-C3AF-466C-98F9-F865046261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8E33965-7AE5-449F-8A6C-3D25D9EE3DAD}" name="Sales, Costs and Profits" dataDxfId="56"/>
    <tableColumn id="2" xr3:uid="{76E3FCFE-2B11-4CF6-91F3-6563C60801C9}" name="2024"/>
    <tableColumn id="3" xr3:uid="{C202EC14-45E6-4190-84A4-0259C90D6C6A}" name="2025"/>
    <tableColumn id="4" xr3:uid="{643408EA-3B92-4D0C-8572-0126E29DF431}" name="2026"/>
    <tableColumn id="5" xr3:uid="{7D98AAFE-98C8-4FF1-AECA-8AF6CB955160}" name="2027"/>
    <tableColumn id="6" xr3:uid="{3BA0895C-E798-4D08-B34D-67B61EF341F5}" name="2028"/>
    <tableColumn id="7" xr3:uid="{9297ECAF-2537-4503-B899-006895C0FBE4}" name="2029"/>
    <tableColumn id="8" xr3:uid="{77547B23-64ED-4406-969E-30080EDBD01A}" name="2030" dataDxfId="55"/>
    <tableColumn id="9" xr3:uid="{6BCDEA44-C4AF-434B-A057-AA93E79204B5}" name="2031" dataDxfId="54"/>
    <tableColumn id="10" xr3:uid="{34B8DE38-AB80-4445-A77B-15500FAD8EEA}" name="2032" dataDxfId="53"/>
    <tableColumn id="11" xr3:uid="{6B156AC8-91B6-4C39-B25A-42C38C65E50D}" name="2033" dataDxfId="52"/>
  </tableColumns>
  <tableStyleInfo name="Secundus"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6EC75AF-14D2-4D5D-99BC-1535D485DC1E}" name="Table87" displayName="Table87" ref="N12:X17" totalsRowShown="0" headerRowDxfId="51" tableBorderDxfId="50">
  <autoFilter ref="N12:X17" xr:uid="{B6EC75AF-14D2-4D5D-99BC-1535D485DC1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F9ECA03-1229-4F86-8A0D-3897DB1DE9FF}" name="Capital Gains and Cash Distribution" dataDxfId="49"/>
    <tableColumn id="2" xr3:uid="{7B3AD9FD-0073-4765-8132-D5B82C25AE99}" name="2024"/>
    <tableColumn id="3" xr3:uid="{5F7F3395-A492-436E-A378-AE822E6F3321}" name="2025"/>
    <tableColumn id="4" xr3:uid="{9084A7B8-5E8D-41DC-AB84-BA5501B7CB5C}" name="2026"/>
    <tableColumn id="5" xr3:uid="{1A300D1D-8682-403F-ABF7-5F94670EDD6B}" name="2027"/>
    <tableColumn id="6" xr3:uid="{4DB73766-3DEB-492D-89E4-AA90B670AF3C}" name="2028"/>
    <tableColumn id="7" xr3:uid="{B86B5B75-A207-47AC-BD9A-6F318C9014DB}" name="2029"/>
    <tableColumn id="8" xr3:uid="{1CAE3484-5CF3-462E-891A-C59CE114F055}" name="2030" dataDxfId="48"/>
    <tableColumn id="9" xr3:uid="{FEF71AE7-FFFD-4599-B8B9-43A292642CC7}" name="2031" dataDxfId="47"/>
    <tableColumn id="10" xr3:uid="{113D6A5D-8064-444F-9D46-BE0D2FC193F3}" name="2032" dataDxfId="46"/>
    <tableColumn id="11" xr3:uid="{CC352C70-E934-46CE-930D-B8B885D3784F}" name="2033" dataDxfId="45"/>
  </tableColumns>
  <tableStyleInfo name="Secundus"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BBD71A3-07DE-4FD9-860D-62503E90EECF}" name="Table10" displayName="Table10" ref="A14:L19" totalsRowShown="0" tableBorderDxfId="44">
  <autoFilter ref="A14:L19" xr:uid="{6BBD71A3-07DE-4FD9-860D-62503E90EE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A2F62D69-026D-48E5-B1F2-649629005206}" name="Discounted Cash Flow "/>
    <tableColumn id="2" xr3:uid="{CFE9D13A-B524-4C42-ACF6-03B22026E9FB}" name="2024"/>
    <tableColumn id="3" xr3:uid="{8ABA2AC9-A696-4487-B86F-57D732E76EBF}" name="2025"/>
    <tableColumn id="4" xr3:uid="{0D8F35F8-B770-40D7-AC88-2815966FEC97}" name="2026"/>
    <tableColumn id="5" xr3:uid="{2FF5E6E5-3783-42C0-9CB7-E37B104D1AFB}" name="2027"/>
    <tableColumn id="6" xr3:uid="{08E198A3-D663-421D-9355-E182E6E68C39}" name="2028"/>
    <tableColumn id="7" xr3:uid="{1B1BCCE0-88FF-4383-B5D6-6D50ED253EDA}" name="2029"/>
    <tableColumn id="8" xr3:uid="{4B4589DF-CF7D-4464-88FE-D805FF02842F}" name="2030"/>
    <tableColumn id="9" xr3:uid="{141D5548-868A-469E-8223-D0095E58CB0C}" name="2031"/>
    <tableColumn id="10" xr3:uid="{1CD59849-8E7D-4C03-832C-DEB7D37512FE}" name="2032"/>
    <tableColumn id="11" xr3:uid="{19716431-EEB5-439F-9EF2-09C92CF61E76}" name="2033"/>
    <tableColumn id="12" xr3:uid="{D1C4A342-9B36-4C20-8772-CF4C57BABB22}" name="Terminal Year"/>
  </tableColumns>
  <tableStyleInfo name="Secundus"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D0E0FDE-9E27-4302-8665-012B05FA5E14}" name="Table15" displayName="Table15" ref="A21:B31" totalsRowShown="0" tableBorderDxfId="43">
  <autoFilter ref="A21:B31" xr:uid="{6D0E0FDE-9E27-4302-8665-012B05FA5E14}">
    <filterColumn colId="0" hiddenButton="1"/>
    <filterColumn colId="1" hiddenButton="1"/>
  </autoFilter>
  <tableColumns count="2">
    <tableColumn id="1" xr3:uid="{EDEFA097-072B-43AC-8E26-80A870A6F0D1}" name="Intrinsic Value" dataDxfId="42"/>
    <tableColumn id="2" xr3:uid="{037B2F99-EC15-4C36-BE25-A4ED92419022}" name="Values"/>
  </tableColumns>
  <tableStyleInfo name="Secundus"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D1014E-39CD-4564-B660-8E0114187386}" name="Table19" displayName="Table19" ref="A7:B12" totalsRowShown="0" headerRowDxfId="41">
  <autoFilter ref="A7:B12" xr:uid="{11D1014E-39CD-4564-B660-8E0114187386}">
    <filterColumn colId="0" hiddenButton="1"/>
    <filterColumn colId="1" hiddenButton="1"/>
  </autoFilter>
  <tableColumns count="2">
    <tableColumn id="1" xr3:uid="{C064381E-E91C-4098-8B6A-4B5085E1F562}" name="DCF Assumptions"/>
    <tableColumn id="2" xr3:uid="{132428F2-3B91-47AD-8A97-E74AAF8B4A77}" name="Values" dataDxfId="40" dataCellStyle="Percent"/>
  </tableColumns>
  <tableStyleInfo name="Secundus"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39CBE86-F9D9-49CA-BC29-3D166D0C5E04}" name="Table1921" displayName="Table1921" ref="N7:O10" totalsRowShown="0" headerRowDxfId="39">
  <autoFilter ref="N7:O10" xr:uid="{E39CBE86-F9D9-49CA-BC29-3D166D0C5E04}">
    <filterColumn colId="0" hiddenButton="1"/>
    <filterColumn colId="1" hiddenButton="1"/>
  </autoFilter>
  <tableColumns count="2">
    <tableColumn id="1" xr3:uid="{4DAB2535-F6EA-4E01-B079-68CC3DA08DE5}" name="Assumptions"/>
    <tableColumn id="2" xr3:uid="{C5A991CD-F54B-4FC0-A9C0-2E1AD95598CB}" name="Values" dataDxfId="38" dataCellStyle="Percent"/>
  </tableColumns>
  <tableStyleInfo name="Secundus"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ABE65AE-9F76-4878-BE2A-2794383845C8}" name="Table21" displayName="Table21" ref="N19:O24" totalsRowShown="0" tableBorderDxfId="37">
  <autoFilter ref="N19:O24" xr:uid="{AABE65AE-9F76-4878-BE2A-2794383845C8}">
    <filterColumn colId="0" hiddenButton="1"/>
    <filterColumn colId="1" hiddenButton="1"/>
  </autoFilter>
  <tableColumns count="2">
    <tableColumn id="1" xr3:uid="{3F802B61-D44F-45F8-9C4E-CCB7892E6631}" name="Valuation Summary" dataDxfId="36"/>
    <tableColumn id="2" xr3:uid="{D07988EA-DADF-400B-9B29-04A0A31494FA}" name="Values" dataDxfId="35" dataCellStyle="Percent"/>
  </tableColumns>
  <tableStyleInfo name="Secundus"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M4" dT="2025-08-16T02:34:32.68" personId="{6913920C-53B3-404B-BF89-09EC5C799490}" id="{825D286F-0BB2-4CE2-86B9-BCBD35EB8A35}">
    <text>I used the amount of invested capital to be the determinant of future revenues. This is because operating assets are needed to generate revenues. Assuming at optimal capacity, invested capital increase is proportional to revenue increase. The industry average is used to consider the degree of proportionality between the two. Since the net working capital has been consistently negative, I make the assumption that it is zero going forward.</text>
  </threadedComment>
  <threadedComment ref="A25" dT="2025-08-16T02:34:32.68" personId="{6913920C-53B3-404B-BF89-09EC5C799490}" id="{0E7D31A6-327C-4BB2-B792-D12CFACAE1A3}">
    <text>I used the amount of invested capital to be the determinant of future revenues. This is because operating assets are needed to generate revenues. Assuming at optimal capacity, invested capital increase is proportional to revenue increase. The industry average is used to consider the degree of proportionality between the two. Since the net working capital has been consistently negative, I make the assumption that it is zero going forward.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table" Target="../tables/table16.xml"/><Relationship Id="rId13" Type="http://schemas.microsoft.com/office/2017/10/relationships/threadedComment" Target="../threadedComments/threadedComment1.xml"/><Relationship Id="rId3" Type="http://schemas.openxmlformats.org/officeDocument/2006/relationships/table" Target="../tables/table11.xml"/><Relationship Id="rId7" Type="http://schemas.openxmlformats.org/officeDocument/2006/relationships/table" Target="../tables/table15.xml"/><Relationship Id="rId12"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 Id="rId6" Type="http://schemas.openxmlformats.org/officeDocument/2006/relationships/table" Target="../tables/table14.xml"/><Relationship Id="rId11" Type="http://schemas.openxmlformats.org/officeDocument/2006/relationships/table" Target="../tables/table19.xml"/><Relationship Id="rId5" Type="http://schemas.openxmlformats.org/officeDocument/2006/relationships/table" Target="../tables/table13.xml"/><Relationship Id="rId10" Type="http://schemas.openxmlformats.org/officeDocument/2006/relationships/table" Target="../tables/table18.xml"/><Relationship Id="rId4" Type="http://schemas.openxmlformats.org/officeDocument/2006/relationships/table" Target="../tables/table12.xml"/><Relationship Id="rId9"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22.xml"/><Relationship Id="rId7" Type="http://schemas.openxmlformats.org/officeDocument/2006/relationships/table" Target="../tables/table26.xml"/><Relationship Id="rId2" Type="http://schemas.openxmlformats.org/officeDocument/2006/relationships/table" Target="../tables/table21.xml"/><Relationship Id="rId1" Type="http://schemas.openxmlformats.org/officeDocument/2006/relationships/printerSettings" Target="../printerSettings/printerSettings10.bin"/><Relationship Id="rId6" Type="http://schemas.openxmlformats.org/officeDocument/2006/relationships/table" Target="../tables/table25.xml"/><Relationship Id="rId5" Type="http://schemas.openxmlformats.org/officeDocument/2006/relationships/table" Target="../tables/table24.xml"/><Relationship Id="rId4" Type="http://schemas.openxmlformats.org/officeDocument/2006/relationships/table" Target="../tables/table2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EDD7E-2DE9-43AB-9B36-EB82A3AA2195}">
  <sheetPr codeName="Sheet1"/>
  <dimension ref="D1:N41"/>
  <sheetViews>
    <sheetView showGridLines="0" zoomScaleNormal="100" zoomScaleSheetLayoutView="100" workbookViewId="0">
      <selection activeCell="K17" sqref="K17"/>
    </sheetView>
  </sheetViews>
  <sheetFormatPr defaultRowHeight="15"/>
  <cols>
    <col min="1" max="3" width="15.7109375" customWidth="1"/>
    <col min="4" max="4" width="16.7109375" customWidth="1"/>
    <col min="5" max="17" width="15.7109375" customWidth="1"/>
  </cols>
  <sheetData>
    <row r="1" spans="4:14" ht="15" customHeight="1">
      <c r="D1" s="242" t="s">
        <v>0</v>
      </c>
      <c r="E1" s="242"/>
      <c r="F1" s="242"/>
      <c r="G1" s="242"/>
      <c r="H1" s="242"/>
      <c r="I1" s="242"/>
    </row>
    <row r="2" spans="4:14" ht="14.45" customHeight="1">
      <c r="D2" s="242"/>
      <c r="E2" s="242"/>
      <c r="F2" s="242"/>
      <c r="G2" s="242"/>
      <c r="H2" s="242"/>
      <c r="I2" s="242"/>
    </row>
    <row r="3" spans="4:14" ht="14.45" customHeight="1">
      <c r="D3" s="243" t="s">
        <v>1</v>
      </c>
      <c r="E3" s="243"/>
      <c r="F3" s="243"/>
      <c r="G3" s="243"/>
      <c r="H3" s="243"/>
      <c r="I3" s="243"/>
    </row>
    <row r="4" spans="4:14" ht="15" customHeight="1">
      <c r="D4" s="254" t="s">
        <v>2</v>
      </c>
      <c r="E4" s="246" t="s">
        <v>3</v>
      </c>
      <c r="F4" s="248" t="s">
        <v>4</v>
      </c>
      <c r="G4" s="250" t="s">
        <v>5</v>
      </c>
      <c r="H4" s="252" t="s">
        <v>6</v>
      </c>
      <c r="I4" s="244" t="s">
        <v>7</v>
      </c>
    </row>
    <row r="5" spans="4:14">
      <c r="D5" s="255"/>
      <c r="E5" s="247"/>
      <c r="F5" s="249"/>
      <c r="G5" s="251"/>
      <c r="H5" s="253"/>
      <c r="I5" s="245"/>
    </row>
    <row r="6" spans="4:14">
      <c r="D6" s="255"/>
      <c r="E6" s="247"/>
      <c r="F6" s="249"/>
      <c r="G6" s="251"/>
      <c r="H6" s="253"/>
      <c r="I6" s="245"/>
    </row>
    <row r="7" spans="4:14">
      <c r="D7" s="255"/>
      <c r="E7" s="247"/>
      <c r="F7" s="249"/>
      <c r="G7" s="251"/>
      <c r="H7" s="253"/>
      <c r="I7" s="245"/>
    </row>
    <row r="8" spans="4:14">
      <c r="D8" s="255"/>
      <c r="E8" s="247"/>
      <c r="F8" s="249"/>
      <c r="G8" s="251"/>
      <c r="H8" s="253"/>
      <c r="I8" s="245"/>
    </row>
    <row r="9" spans="4:14">
      <c r="D9" s="255"/>
      <c r="E9" s="247"/>
      <c r="F9" s="249"/>
      <c r="G9" s="251"/>
      <c r="H9" s="253"/>
      <c r="I9" s="245"/>
    </row>
    <row r="11" spans="4:14">
      <c r="D11" s="243" t="s">
        <v>8</v>
      </c>
      <c r="E11" s="243"/>
      <c r="F11" s="243"/>
      <c r="G11" s="243"/>
      <c r="H11" s="243"/>
      <c r="I11" s="243"/>
    </row>
    <row r="12" spans="4:14" ht="15" customHeight="1">
      <c r="D12" s="256"/>
      <c r="E12" s="257"/>
      <c r="F12" s="257"/>
      <c r="G12" s="257"/>
      <c r="H12" s="257"/>
      <c r="I12" s="258"/>
    </row>
    <row r="13" spans="4:14">
      <c r="D13" s="259"/>
      <c r="E13" s="260"/>
      <c r="F13" s="260"/>
      <c r="G13" s="260"/>
      <c r="H13" s="260"/>
      <c r="I13" s="261"/>
    </row>
    <row r="14" spans="4:14">
      <c r="D14" s="259"/>
      <c r="E14" s="260"/>
      <c r="F14" s="260"/>
      <c r="G14" s="260"/>
      <c r="H14" s="260"/>
      <c r="I14" s="261"/>
    </row>
    <row r="15" spans="4:14">
      <c r="D15" s="259"/>
      <c r="E15" s="260"/>
      <c r="F15" s="260"/>
      <c r="G15" s="260"/>
      <c r="H15" s="260"/>
      <c r="I15" s="261"/>
      <c r="J15" s="75"/>
      <c r="L15" s="75"/>
      <c r="N15" s="75"/>
    </row>
    <row r="16" spans="4:14">
      <c r="D16" s="262"/>
      <c r="E16" s="263"/>
      <c r="F16" s="263"/>
      <c r="G16" s="263"/>
      <c r="H16" s="263"/>
      <c r="I16" s="264"/>
      <c r="J16" s="75"/>
      <c r="L16" s="75"/>
      <c r="N16" s="75"/>
    </row>
    <row r="17" spans="4:14">
      <c r="J17" s="75"/>
      <c r="L17" s="75"/>
      <c r="M17" s="3"/>
      <c r="N17" s="76"/>
    </row>
    <row r="18" spans="4:14">
      <c r="D18" s="243" t="s">
        <v>9</v>
      </c>
      <c r="E18" s="243"/>
      <c r="F18" s="243"/>
      <c r="G18" s="243"/>
      <c r="H18" s="243"/>
      <c r="I18" s="243"/>
      <c r="J18" s="75"/>
      <c r="L18" s="75"/>
    </row>
    <row r="19" spans="4:14">
      <c r="D19" s="38" t="s">
        <v>10</v>
      </c>
      <c r="E19" s="243" t="s">
        <v>11</v>
      </c>
      <c r="F19" s="243"/>
      <c r="G19" s="243" t="s">
        <v>12</v>
      </c>
      <c r="H19" s="243"/>
      <c r="I19" s="243"/>
      <c r="J19" s="75"/>
      <c r="L19" s="75"/>
      <c r="N19" s="5"/>
    </row>
    <row r="20" spans="4:14">
      <c r="D20" s="38"/>
      <c r="E20" s="243"/>
      <c r="F20" s="243"/>
      <c r="G20" s="243"/>
      <c r="H20" s="243"/>
      <c r="I20" s="243"/>
      <c r="J20" s="75"/>
      <c r="L20" s="75"/>
    </row>
    <row r="21" spans="4:14">
      <c r="D21" s="38"/>
      <c r="E21" s="243"/>
      <c r="F21" s="243"/>
      <c r="G21" s="243"/>
      <c r="H21" s="243"/>
      <c r="I21" s="243"/>
      <c r="J21" s="75"/>
      <c r="L21" s="75"/>
    </row>
    <row r="22" spans="4:14">
      <c r="D22" s="38"/>
      <c r="E22" s="243"/>
      <c r="F22" s="243"/>
      <c r="G22" s="243"/>
      <c r="H22" s="243"/>
      <c r="I22" s="243"/>
    </row>
    <row r="23" spans="4:14">
      <c r="D23" s="38"/>
      <c r="E23" s="243"/>
      <c r="F23" s="243"/>
      <c r="G23" s="243"/>
      <c r="H23" s="243"/>
      <c r="I23" s="243"/>
    </row>
    <row r="24" spans="4:14">
      <c r="D24" s="38"/>
      <c r="E24" s="243"/>
      <c r="F24" s="243"/>
      <c r="G24" s="243"/>
      <c r="H24" s="243"/>
      <c r="I24" s="243"/>
    </row>
    <row r="25" spans="4:14">
      <c r="D25" s="38"/>
      <c r="E25" s="243"/>
      <c r="F25" s="243"/>
      <c r="G25" s="243"/>
      <c r="H25" s="243"/>
      <c r="I25" s="243"/>
    </row>
    <row r="26" spans="4:14">
      <c r="D26" s="38"/>
      <c r="E26" s="243"/>
      <c r="F26" s="243"/>
      <c r="G26" s="243"/>
      <c r="H26" s="243"/>
      <c r="I26" s="243"/>
    </row>
    <row r="27" spans="4:14">
      <c r="D27" s="38"/>
      <c r="E27" s="243"/>
      <c r="F27" s="243"/>
      <c r="G27" s="243"/>
      <c r="H27" s="243"/>
      <c r="I27" s="243"/>
    </row>
    <row r="28" spans="4:14">
      <c r="D28" s="38"/>
      <c r="E28" s="243"/>
      <c r="F28" s="243"/>
      <c r="G28" s="243"/>
      <c r="H28" s="243"/>
      <c r="I28" s="243"/>
    </row>
    <row r="29" spans="4:14">
      <c r="D29" s="38"/>
      <c r="E29" s="243"/>
      <c r="F29" s="243"/>
      <c r="G29" s="243"/>
      <c r="H29" s="243"/>
      <c r="I29" s="243"/>
    </row>
    <row r="30" spans="4:14">
      <c r="D30" s="38"/>
      <c r="E30" s="243"/>
      <c r="F30" s="243"/>
      <c r="G30" s="243"/>
      <c r="H30" s="243"/>
      <c r="I30" s="243"/>
    </row>
    <row r="32" spans="4:14">
      <c r="D32" s="243" t="s">
        <v>13</v>
      </c>
      <c r="E32" s="243"/>
      <c r="F32" s="243"/>
      <c r="G32" s="243"/>
      <c r="H32" s="243"/>
      <c r="I32" s="243"/>
    </row>
    <row r="33" spans="4:9">
      <c r="D33" s="265" t="s">
        <v>14</v>
      </c>
      <c r="E33" s="265"/>
      <c r="F33" s="265"/>
      <c r="G33" s="265"/>
      <c r="H33" s="265"/>
      <c r="I33" s="265"/>
    </row>
    <row r="34" spans="4:9">
      <c r="D34" s="265" t="s">
        <v>15</v>
      </c>
      <c r="E34" s="265"/>
      <c r="F34" s="265"/>
      <c r="G34" s="265"/>
      <c r="H34" s="265"/>
      <c r="I34" s="265"/>
    </row>
    <row r="35" spans="4:9">
      <c r="D35" s="265" t="s">
        <v>16</v>
      </c>
      <c r="E35" s="265"/>
      <c r="F35" s="265"/>
      <c r="G35" s="265"/>
      <c r="H35" s="265"/>
      <c r="I35" s="265"/>
    </row>
    <row r="36" spans="4:9">
      <c r="D36" s="265" t="s">
        <v>17</v>
      </c>
      <c r="E36" s="265"/>
      <c r="F36" s="265"/>
      <c r="G36" s="265"/>
      <c r="H36" s="265"/>
      <c r="I36" s="265"/>
    </row>
    <row r="37" spans="4:9">
      <c r="D37" s="265" t="s">
        <v>18</v>
      </c>
      <c r="E37" s="265"/>
      <c r="F37" s="265"/>
      <c r="G37" s="265"/>
      <c r="H37" s="265"/>
      <c r="I37" s="265"/>
    </row>
    <row r="38" spans="4:9">
      <c r="D38" s="265" t="s">
        <v>19</v>
      </c>
      <c r="E38" s="265"/>
      <c r="F38" s="265"/>
      <c r="G38" s="265"/>
      <c r="H38" s="265"/>
      <c r="I38" s="265"/>
    </row>
    <row r="39" spans="4:9">
      <c r="D39" s="265" t="s">
        <v>19</v>
      </c>
      <c r="E39" s="265"/>
      <c r="F39" s="265"/>
      <c r="G39" s="265"/>
      <c r="H39" s="265"/>
      <c r="I39" s="265"/>
    </row>
    <row r="40" spans="4:9">
      <c r="D40" s="265" t="s">
        <v>20</v>
      </c>
      <c r="E40" s="265"/>
      <c r="F40" s="265"/>
      <c r="G40" s="265"/>
      <c r="H40" s="265"/>
      <c r="I40" s="265"/>
    </row>
    <row r="41" spans="4:9">
      <c r="D41" s="265" t="s">
        <v>21</v>
      </c>
      <c r="E41" s="265"/>
      <c r="F41" s="265"/>
      <c r="G41" s="265"/>
      <c r="H41" s="265"/>
      <c r="I41" s="265"/>
    </row>
  </sheetData>
  <mergeCells count="54">
    <mergeCell ref="F34:I34"/>
    <mergeCell ref="G24:I24"/>
    <mergeCell ref="G25:I25"/>
    <mergeCell ref="G26:I26"/>
    <mergeCell ref="D18:I18"/>
    <mergeCell ref="G19:I19"/>
    <mergeCell ref="G20:I20"/>
    <mergeCell ref="G21:I21"/>
    <mergeCell ref="E24:F24"/>
    <mergeCell ref="E23:F23"/>
    <mergeCell ref="E20:F20"/>
    <mergeCell ref="G23:I23"/>
    <mergeCell ref="D41:E41"/>
    <mergeCell ref="F36:I36"/>
    <mergeCell ref="F37:I37"/>
    <mergeCell ref="F38:I38"/>
    <mergeCell ref="F39:I39"/>
    <mergeCell ref="F40:I40"/>
    <mergeCell ref="F41:I41"/>
    <mergeCell ref="D38:E38"/>
    <mergeCell ref="D37:E37"/>
    <mergeCell ref="D39:E39"/>
    <mergeCell ref="D36:E36"/>
    <mergeCell ref="D40:E40"/>
    <mergeCell ref="D35:E35"/>
    <mergeCell ref="E25:F25"/>
    <mergeCell ref="E26:F26"/>
    <mergeCell ref="E27:F27"/>
    <mergeCell ref="E28:F28"/>
    <mergeCell ref="E29:F29"/>
    <mergeCell ref="E30:F30"/>
    <mergeCell ref="F35:I35"/>
    <mergeCell ref="G27:I27"/>
    <mergeCell ref="G28:I28"/>
    <mergeCell ref="G29:I29"/>
    <mergeCell ref="D33:E33"/>
    <mergeCell ref="D34:E34"/>
    <mergeCell ref="G30:I30"/>
    <mergeCell ref="D32:I32"/>
    <mergeCell ref="F33:I33"/>
    <mergeCell ref="D1:I2"/>
    <mergeCell ref="D3:I3"/>
    <mergeCell ref="I4:I9"/>
    <mergeCell ref="E21:F21"/>
    <mergeCell ref="E22:F22"/>
    <mergeCell ref="E19:F19"/>
    <mergeCell ref="E4:E9"/>
    <mergeCell ref="F4:F9"/>
    <mergeCell ref="G4:G9"/>
    <mergeCell ref="H4:H9"/>
    <mergeCell ref="D4:D9"/>
    <mergeCell ref="D12:I16"/>
    <mergeCell ref="G22:I22"/>
    <mergeCell ref="D11:I11"/>
  </mergeCells>
  <phoneticPr fontId="2" type="noConversion"/>
  <pageMargins left="0.25" right="0.25" top="0.75" bottom="0.75" header="0.3" footer="0.3"/>
  <pageSetup paperSize="3" scale="105" fitToWidth="3" fitToHeight="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9132F-F483-4605-8AF9-AACC78E92D5B}">
  <sheetPr codeName="Sheet2"/>
  <dimension ref="A1:U97"/>
  <sheetViews>
    <sheetView showGridLines="0" zoomScaleNormal="100" zoomScaleSheetLayoutView="100" workbookViewId="0">
      <selection activeCell="X7" sqref="X7"/>
    </sheetView>
  </sheetViews>
  <sheetFormatPr defaultRowHeight="15"/>
  <cols>
    <col min="1" max="2" width="9.140625" customWidth="1"/>
    <col min="12" max="12" width="25.7109375" customWidth="1"/>
    <col min="13" max="13" width="9.140625" customWidth="1"/>
    <col min="15" max="18" width="5.7109375" customWidth="1"/>
    <col min="19" max="21" width="7.7109375" customWidth="1"/>
  </cols>
  <sheetData>
    <row r="1" spans="1:21" ht="14.45" customHeight="1">
      <c r="A1" s="280" t="s">
        <v>22</v>
      </c>
      <c r="B1" s="281"/>
      <c r="C1" s="281"/>
      <c r="D1" s="281"/>
      <c r="E1" s="281"/>
      <c r="F1" s="281"/>
      <c r="G1" s="281"/>
      <c r="H1" s="281"/>
      <c r="I1" s="281"/>
      <c r="J1" s="281"/>
      <c r="L1" s="280" t="s">
        <v>23</v>
      </c>
      <c r="M1" s="281"/>
      <c r="N1" s="281"/>
      <c r="O1" s="281"/>
      <c r="P1" s="281"/>
      <c r="Q1" s="281"/>
      <c r="R1" s="281"/>
      <c r="S1" s="281"/>
      <c r="T1" s="281"/>
      <c r="U1" s="281"/>
    </row>
    <row r="2" spans="1:21" ht="14.45" customHeight="1">
      <c r="A2" s="280"/>
      <c r="B2" s="281"/>
      <c r="C2" s="281"/>
      <c r="D2" s="281"/>
      <c r="E2" s="281"/>
      <c r="F2" s="281"/>
      <c r="G2" s="281"/>
      <c r="H2" s="281"/>
      <c r="I2" s="281"/>
      <c r="J2" s="281"/>
      <c r="L2" s="280"/>
      <c r="M2" s="281"/>
      <c r="N2" s="281"/>
      <c r="O2" s="281"/>
      <c r="P2" s="281"/>
      <c r="Q2" s="281"/>
      <c r="R2" s="281"/>
      <c r="S2" s="281"/>
      <c r="T2" s="281"/>
      <c r="U2" s="281"/>
    </row>
    <row r="3" spans="1:21" ht="15.6" customHeight="1">
      <c r="A3" s="279" t="s">
        <v>24</v>
      </c>
      <c r="B3" s="279"/>
      <c r="C3" s="279"/>
      <c r="D3" s="279"/>
      <c r="E3" s="279"/>
      <c r="F3" s="279"/>
      <c r="G3" s="279"/>
      <c r="H3" s="279"/>
      <c r="I3" s="279"/>
      <c r="J3" s="279"/>
    </row>
    <row r="4" spans="1:21" ht="14.45" customHeight="1">
      <c r="A4" s="279"/>
      <c r="B4" s="279"/>
      <c r="C4" s="279"/>
      <c r="D4" s="279"/>
      <c r="E4" s="279"/>
      <c r="F4" s="279"/>
      <c r="G4" s="279"/>
      <c r="H4" s="279"/>
      <c r="I4" s="279"/>
      <c r="J4" s="279"/>
      <c r="L4" s="69" t="s">
        <v>25</v>
      </c>
      <c r="M4" s="282" t="s">
        <v>26</v>
      </c>
      <c r="N4" s="282"/>
      <c r="O4" s="282"/>
      <c r="P4" s="282"/>
      <c r="Q4" s="282"/>
      <c r="R4" s="282"/>
      <c r="S4" s="282"/>
      <c r="T4" s="282"/>
      <c r="U4" s="282"/>
    </row>
    <row r="5" spans="1:21" ht="14.45" customHeight="1">
      <c r="A5" s="279"/>
      <c r="B5" s="279"/>
      <c r="C5" s="279"/>
      <c r="D5" s="279"/>
      <c r="E5" s="279"/>
      <c r="F5" s="279"/>
      <c r="G5" s="279"/>
      <c r="H5" s="279"/>
      <c r="I5" s="279"/>
      <c r="J5" s="279"/>
      <c r="L5" s="36" t="s">
        <v>27</v>
      </c>
      <c r="M5" s="283"/>
      <c r="N5" s="283"/>
      <c r="O5" s="283"/>
      <c r="P5" s="283"/>
      <c r="Q5" s="283"/>
      <c r="R5" s="283"/>
      <c r="S5" s="283"/>
      <c r="T5" s="283"/>
      <c r="U5" s="283"/>
    </row>
    <row r="6" spans="1:21" ht="14.45" customHeight="1">
      <c r="A6" s="279"/>
      <c r="B6" s="279"/>
      <c r="C6" s="279"/>
      <c r="D6" s="279"/>
      <c r="E6" s="279"/>
      <c r="F6" s="279"/>
      <c r="G6" s="279"/>
      <c r="H6" s="279"/>
      <c r="I6" s="279"/>
      <c r="J6" s="279"/>
      <c r="L6" s="66"/>
      <c r="M6" s="267" t="s">
        <v>28</v>
      </c>
      <c r="N6" s="267"/>
      <c r="O6" s="267" t="s">
        <v>29</v>
      </c>
      <c r="P6" s="267"/>
      <c r="Q6" s="267" t="s">
        <v>30</v>
      </c>
      <c r="R6" s="267"/>
      <c r="S6" s="267" t="s">
        <v>31</v>
      </c>
      <c r="T6" s="267"/>
      <c r="U6" s="278"/>
    </row>
    <row r="7" spans="1:21" ht="14.45" customHeight="1">
      <c r="A7" s="279"/>
      <c r="B7" s="279"/>
      <c r="C7" s="279"/>
      <c r="D7" s="279"/>
      <c r="E7" s="279"/>
      <c r="F7" s="279"/>
      <c r="G7" s="279"/>
      <c r="H7" s="279"/>
      <c r="I7" s="279"/>
      <c r="J7" s="279"/>
      <c r="L7" s="16" t="s">
        <v>32</v>
      </c>
      <c r="M7" s="268" t="s">
        <v>33</v>
      </c>
      <c r="N7" s="268"/>
      <c r="O7" s="273" cm="1">
        <f t="array" ref="O7">_xlfn.XLOOKUP(M7, {"Monopoly","Major Oligopoly","Minor Oligopoly","Small Firm"}, {1,0.8,0.75,0.5})</f>
        <v>0.8</v>
      </c>
      <c r="P7" s="273"/>
      <c r="Q7" s="273">
        <v>0.2</v>
      </c>
      <c r="R7" s="273"/>
      <c r="S7" s="273">
        <f>(O7*Q7)</f>
        <v>0.16000000000000003</v>
      </c>
      <c r="T7" s="273"/>
      <c r="U7" s="274"/>
    </row>
    <row r="8" spans="1:21" ht="14.45" customHeight="1">
      <c r="A8" s="279"/>
      <c r="B8" s="279"/>
      <c r="C8" s="279"/>
      <c r="D8" s="279"/>
      <c r="E8" s="279"/>
      <c r="F8" s="279"/>
      <c r="G8" s="279"/>
      <c r="H8" s="279"/>
      <c r="I8" s="279"/>
      <c r="J8" s="279"/>
      <c r="L8" s="16" t="s">
        <v>34</v>
      </c>
      <c r="M8" s="268" t="s">
        <v>35</v>
      </c>
      <c r="N8" s="268"/>
      <c r="O8" s="273" cm="1">
        <f t="array" ref="O8">_xlfn.XLOOKUP(M8, {"Perfect Inelastic","Inelastic","Elastic","Perfect Elastic"}, {1,0.8,0.5,0.25})</f>
        <v>0.8</v>
      </c>
      <c r="P8" s="273"/>
      <c r="Q8" s="273">
        <v>0.2</v>
      </c>
      <c r="R8" s="273"/>
      <c r="S8" s="273">
        <f t="shared" ref="S8:S14" si="0">(O8*Q8)</f>
        <v>0.16000000000000003</v>
      </c>
      <c r="T8" s="273"/>
      <c r="U8" s="274"/>
    </row>
    <row r="9" spans="1:21" ht="14.45" customHeight="1">
      <c r="A9" s="279"/>
      <c r="B9" s="279"/>
      <c r="C9" s="279"/>
      <c r="D9" s="279"/>
      <c r="E9" s="279"/>
      <c r="F9" s="279"/>
      <c r="G9" s="279"/>
      <c r="H9" s="279"/>
      <c r="I9" s="279"/>
      <c r="J9" s="279"/>
      <c r="L9" s="16" t="s">
        <v>36</v>
      </c>
      <c r="M9" s="268" t="s">
        <v>37</v>
      </c>
      <c r="N9" s="268"/>
      <c r="O9" s="273" cm="1">
        <f t="array" ref="O9">_xlfn.XLOOKUP(M9,{"Critical","Essential","Important","Discretionary"},{1,0.8,0.75,0.5})</f>
        <v>0.8</v>
      </c>
      <c r="P9" s="273"/>
      <c r="Q9" s="273">
        <v>0.1</v>
      </c>
      <c r="R9" s="273"/>
      <c r="S9" s="273">
        <f t="shared" si="0"/>
        <v>8.0000000000000016E-2</v>
      </c>
      <c r="T9" s="273"/>
      <c r="U9" s="274"/>
    </row>
    <row r="10" spans="1:21" ht="14.45" customHeight="1">
      <c r="A10" s="73"/>
      <c r="B10" s="73"/>
      <c r="C10" s="73"/>
      <c r="D10" s="73"/>
      <c r="E10" s="73"/>
      <c r="F10" s="73"/>
      <c r="G10" s="73"/>
      <c r="H10" s="73"/>
      <c r="I10" s="73"/>
      <c r="J10" s="73"/>
      <c r="L10" s="16" t="s">
        <v>38</v>
      </c>
      <c r="M10" s="268" t="s">
        <v>39</v>
      </c>
      <c r="N10" s="268"/>
      <c r="O10" s="273" cm="1">
        <f t="array" ref="O10">_xlfn.XLOOKUP(M10,{"None","Few","Many"},{1,0.8,0.5})</f>
        <v>0.8</v>
      </c>
      <c r="P10" s="273"/>
      <c r="Q10" s="273">
        <v>0.1</v>
      </c>
      <c r="R10" s="273"/>
      <c r="S10" s="273">
        <f t="shared" si="0"/>
        <v>8.0000000000000016E-2</v>
      </c>
      <c r="T10" s="273"/>
      <c r="U10" s="274"/>
    </row>
    <row r="11" spans="1:21" ht="15" customHeight="1">
      <c r="L11" s="16" t="s">
        <v>40</v>
      </c>
      <c r="M11" s="268" t="s">
        <v>41</v>
      </c>
      <c r="N11" s="268"/>
      <c r="O11" s="273" cm="1">
        <f t="array" ref="O11">_xlfn.XLOOKUP(M11,{"High Growth","Growth","Low Growth","Stagnant"},{1,0.8,0.5,0.25})</f>
        <v>1</v>
      </c>
      <c r="P11" s="273"/>
      <c r="Q11" s="273">
        <v>0.1</v>
      </c>
      <c r="R11" s="273"/>
      <c r="S11" s="273">
        <f t="shared" si="0"/>
        <v>0.1</v>
      </c>
      <c r="T11" s="273"/>
      <c r="U11" s="274"/>
    </row>
    <row r="12" spans="1:21" ht="15.75">
      <c r="A12" s="72" t="s">
        <v>42</v>
      </c>
      <c r="B12" s="69"/>
      <c r="C12" s="69"/>
      <c r="D12" s="69"/>
      <c r="L12" s="16" t="s">
        <v>43</v>
      </c>
      <c r="M12" s="268" t="s">
        <v>44</v>
      </c>
      <c r="N12" s="268"/>
      <c r="O12" s="273" cm="1">
        <f t="array" ref="O12">_xlfn.XLOOKUP(M12,{"High Growth","Growth","Low Growth","Stagnant"},{1,0.8,0.5,0.25})</f>
        <v>0.8</v>
      </c>
      <c r="P12" s="273"/>
      <c r="Q12" s="273">
        <v>0.15</v>
      </c>
      <c r="R12" s="273"/>
      <c r="S12" s="273">
        <f t="shared" si="0"/>
        <v>0.12</v>
      </c>
      <c r="T12" s="273"/>
      <c r="U12" s="274"/>
    </row>
    <row r="13" spans="1:21" ht="15" customHeight="1">
      <c r="B13" s="269" t="s">
        <v>45</v>
      </c>
      <c r="C13" s="269"/>
      <c r="D13" s="269"/>
      <c r="E13" s="269"/>
      <c r="F13" s="269"/>
      <c r="G13" s="269"/>
      <c r="H13" s="269"/>
      <c r="L13" s="16" t="s">
        <v>46</v>
      </c>
      <c r="M13" s="268" t="s">
        <v>44</v>
      </c>
      <c r="N13" s="268"/>
      <c r="O13" s="273" cm="1">
        <f t="array" ref="O13">_xlfn.XLOOKUP(M13,{"High Growth","Growth","Low Growth","Stagnant"},{1,0.8,0.5,0.25})</f>
        <v>0.8</v>
      </c>
      <c r="P13" s="273"/>
      <c r="Q13" s="273">
        <v>0.1</v>
      </c>
      <c r="R13" s="273"/>
      <c r="S13" s="273">
        <f t="shared" si="0"/>
        <v>8.0000000000000016E-2</v>
      </c>
      <c r="T13" s="273"/>
      <c r="U13" s="274"/>
    </row>
    <row r="14" spans="1:21" ht="15" customHeight="1">
      <c r="B14" s="270"/>
      <c r="C14" s="270"/>
      <c r="D14" s="270"/>
      <c r="E14" s="270"/>
      <c r="F14" s="270"/>
      <c r="G14" s="270"/>
      <c r="H14" s="270"/>
      <c r="L14" s="16" t="s">
        <v>47</v>
      </c>
      <c r="M14" s="268" t="s">
        <v>48</v>
      </c>
      <c r="N14" s="268"/>
      <c r="O14" s="273" cm="1">
        <f t="array" ref="O14">_xlfn.XLOOKUP(M14,{"Sparse","Saturated","Bottleneck"},{1,0.5,0.25})</f>
        <v>0.5</v>
      </c>
      <c r="P14" s="273"/>
      <c r="Q14" s="273">
        <v>0.05</v>
      </c>
      <c r="R14" s="273"/>
      <c r="S14" s="273">
        <f t="shared" si="0"/>
        <v>2.5000000000000001E-2</v>
      </c>
      <c r="T14" s="273"/>
      <c r="U14" s="274"/>
    </row>
    <row r="15" spans="1:21" ht="15" customHeight="1">
      <c r="B15" s="271" t="s">
        <v>49</v>
      </c>
      <c r="C15" s="271"/>
      <c r="D15" s="271"/>
      <c r="E15" s="271"/>
      <c r="F15" s="271"/>
      <c r="G15" s="271"/>
      <c r="H15" s="271"/>
      <c r="L15" s="17" t="s">
        <v>50</v>
      </c>
      <c r="M15" s="15"/>
      <c r="N15" s="15"/>
      <c r="O15" s="19"/>
      <c r="P15" s="19"/>
      <c r="Q15" s="276">
        <f>SUM(Q7:R14)</f>
        <v>1</v>
      </c>
      <c r="R15" s="276"/>
      <c r="S15" s="276">
        <f>SUM(S7:U14)</f>
        <v>0.80500000000000005</v>
      </c>
      <c r="T15" s="276"/>
      <c r="U15" s="277"/>
    </row>
    <row r="16" spans="1:21">
      <c r="B16" s="269"/>
      <c r="C16" s="269"/>
      <c r="D16" s="269"/>
      <c r="E16" s="269"/>
      <c r="F16" s="269"/>
      <c r="G16" s="269"/>
      <c r="H16" s="269"/>
    </row>
    <row r="17" spans="1:21" ht="15.75">
      <c r="A17" s="71"/>
      <c r="L17" s="36" t="s">
        <v>51</v>
      </c>
    </row>
    <row r="18" spans="1:21" ht="15.6" customHeight="1">
      <c r="A18" s="266" t="s">
        <v>52</v>
      </c>
      <c r="B18" s="266"/>
      <c r="C18" s="266"/>
      <c r="D18" s="266"/>
      <c r="E18" s="266"/>
      <c r="F18" s="266"/>
      <c r="G18" s="266"/>
      <c r="H18" s="266"/>
      <c r="I18" s="266"/>
      <c r="J18" s="266"/>
      <c r="L18" s="70"/>
      <c r="M18" s="267" t="s">
        <v>28</v>
      </c>
      <c r="N18" s="267"/>
      <c r="O18" s="267" t="s">
        <v>29</v>
      </c>
      <c r="P18" s="267"/>
      <c r="Q18" s="267" t="s">
        <v>30</v>
      </c>
      <c r="R18" s="267"/>
      <c r="S18" s="267" t="s">
        <v>31</v>
      </c>
      <c r="T18" s="267"/>
      <c r="U18" s="278"/>
    </row>
    <row r="19" spans="1:21" ht="14.45" customHeight="1">
      <c r="A19" s="266"/>
      <c r="B19" s="266"/>
      <c r="C19" s="266"/>
      <c r="D19" s="266"/>
      <c r="E19" s="266"/>
      <c r="F19" s="266"/>
      <c r="G19" s="266"/>
      <c r="H19" s="266"/>
      <c r="I19" s="266"/>
      <c r="J19" s="266"/>
      <c r="L19" s="16" t="s">
        <v>53</v>
      </c>
      <c r="M19" s="291">
        <v>0.15</v>
      </c>
      <c r="N19" s="292"/>
      <c r="O19" s="273" cm="1">
        <f t="array" ref="O19">_xlfn.XLOOKUP(M19, {0.05,0.1,0.15}, {0.5,0.8,1})</f>
        <v>1</v>
      </c>
      <c r="P19" s="273"/>
      <c r="Q19" s="273">
        <v>0.5</v>
      </c>
      <c r="R19" s="273"/>
      <c r="S19" s="273">
        <f>(O19*Q19)</f>
        <v>0.5</v>
      </c>
      <c r="T19" s="273"/>
      <c r="U19" s="274"/>
    </row>
    <row r="20" spans="1:21" ht="14.45" customHeight="1">
      <c r="A20" s="266"/>
      <c r="B20" s="266"/>
      <c r="C20" s="266"/>
      <c r="D20" s="266"/>
      <c r="E20" s="266"/>
      <c r="F20" s="266"/>
      <c r="G20" s="266"/>
      <c r="H20" s="266"/>
      <c r="I20" s="266"/>
      <c r="J20" s="266"/>
      <c r="L20" s="16" t="s">
        <v>54</v>
      </c>
      <c r="M20" s="291">
        <v>0.05</v>
      </c>
      <c r="N20" s="292"/>
      <c r="O20" s="273" cm="1">
        <f t="array" ref="O20">_xlfn.XLOOKUP(M20, {0.04,0.05,0.06,0.07}, {0.5,0.8,0.9,1})</f>
        <v>0.8</v>
      </c>
      <c r="P20" s="273"/>
      <c r="Q20" s="273">
        <v>0.3</v>
      </c>
      <c r="R20" s="273"/>
      <c r="S20" s="273">
        <f>(O20*Q20)</f>
        <v>0.24</v>
      </c>
      <c r="T20" s="273"/>
      <c r="U20" s="274"/>
    </row>
    <row r="21" spans="1:21" ht="14.45" customHeight="1">
      <c r="A21" s="266"/>
      <c r="B21" s="266"/>
      <c r="C21" s="266"/>
      <c r="D21" s="266"/>
      <c r="E21" s="266"/>
      <c r="F21" s="266"/>
      <c r="G21" s="266"/>
      <c r="H21" s="266"/>
      <c r="I21" s="266"/>
      <c r="J21" s="266"/>
      <c r="L21" s="16" t="s">
        <v>55</v>
      </c>
      <c r="M21" s="291">
        <v>0.15</v>
      </c>
      <c r="N21" s="292"/>
      <c r="O21" s="273" cm="1">
        <f t="array" ref="O21">_xlfn.XLOOKUP(M21,{0.05,0.1,0.15},{0.5,0.75,1})</f>
        <v>1</v>
      </c>
      <c r="P21" s="273"/>
      <c r="Q21" s="273">
        <v>0.1</v>
      </c>
      <c r="R21" s="273"/>
      <c r="S21" s="273">
        <f>(O21*Q21)</f>
        <v>0.1</v>
      </c>
      <c r="T21" s="273"/>
      <c r="U21" s="274"/>
    </row>
    <row r="22" spans="1:21" ht="14.45" customHeight="1">
      <c r="A22" s="266"/>
      <c r="B22" s="266"/>
      <c r="C22" s="266"/>
      <c r="D22" s="266"/>
      <c r="E22" s="266"/>
      <c r="F22" s="266"/>
      <c r="G22" s="266"/>
      <c r="H22" s="266"/>
      <c r="I22" s="266"/>
      <c r="J22" s="266"/>
      <c r="L22" s="16" t="s">
        <v>56</v>
      </c>
      <c r="M22" s="291">
        <v>0.2</v>
      </c>
      <c r="N22" s="292"/>
      <c r="O22" s="273" cm="1">
        <f t="array" ref="O22">_xlfn.XLOOKUP(M22,{0.1,0.15,0.2},{0.5,0.75,1})</f>
        <v>1</v>
      </c>
      <c r="P22" s="273"/>
      <c r="Q22" s="273">
        <v>0.05</v>
      </c>
      <c r="R22" s="273"/>
      <c r="S22" s="273">
        <f>(O22*Q22)</f>
        <v>0.05</v>
      </c>
      <c r="T22" s="273"/>
      <c r="U22" s="274"/>
    </row>
    <row r="23" spans="1:21" ht="14.45" customHeight="1">
      <c r="A23" s="266"/>
      <c r="B23" s="266"/>
      <c r="C23" s="266"/>
      <c r="D23" s="266"/>
      <c r="E23" s="266"/>
      <c r="F23" s="266"/>
      <c r="G23" s="266"/>
      <c r="H23" s="266"/>
      <c r="I23" s="266"/>
      <c r="J23" s="266"/>
      <c r="L23" s="16" t="s">
        <v>57</v>
      </c>
      <c r="M23" s="291">
        <v>0.2</v>
      </c>
      <c r="N23" s="292"/>
      <c r="O23" s="273" cm="1">
        <f t="array" ref="O23">_xlfn.XLOOKUP(M23,{0.1,0.15,0.2},{0.5,0.75,1})</f>
        <v>1</v>
      </c>
      <c r="P23" s="273"/>
      <c r="Q23" s="273">
        <v>0.05</v>
      </c>
      <c r="R23" s="273"/>
      <c r="S23" s="273">
        <f>(O23*Q23)</f>
        <v>0.05</v>
      </c>
      <c r="T23" s="273"/>
      <c r="U23" s="274"/>
    </row>
    <row r="24" spans="1:21" ht="14.45" customHeight="1">
      <c r="A24" s="266"/>
      <c r="B24" s="266"/>
      <c r="C24" s="266"/>
      <c r="D24" s="266"/>
      <c r="E24" s="266"/>
      <c r="F24" s="266"/>
      <c r="G24" s="266"/>
      <c r="H24" s="266"/>
      <c r="I24" s="266"/>
      <c r="J24" s="266"/>
      <c r="L24" s="17" t="s">
        <v>50</v>
      </c>
      <c r="M24" s="68"/>
      <c r="N24" s="68"/>
      <c r="O24" s="276"/>
      <c r="P24" s="276"/>
      <c r="Q24" s="276">
        <f>SUM(Q19:R23)</f>
        <v>1</v>
      </c>
      <c r="R24" s="276"/>
      <c r="S24" s="276">
        <f>SUM(S19:U23)</f>
        <v>0.94000000000000006</v>
      </c>
      <c r="T24" s="276"/>
      <c r="U24" s="277"/>
    </row>
    <row r="25" spans="1:21" ht="14.45" customHeight="1">
      <c r="A25" s="266"/>
      <c r="B25" s="266"/>
      <c r="C25" s="266"/>
      <c r="D25" s="266"/>
      <c r="E25" s="266"/>
      <c r="F25" s="266"/>
      <c r="G25" s="266"/>
      <c r="H25" s="266"/>
      <c r="I25" s="266"/>
      <c r="J25" s="266"/>
    </row>
    <row r="26" spans="1:21" ht="14.45" customHeight="1">
      <c r="A26" s="266"/>
      <c r="B26" s="266"/>
      <c r="C26" s="266"/>
      <c r="D26" s="266"/>
      <c r="E26" s="266"/>
      <c r="F26" s="266"/>
      <c r="G26" s="266"/>
      <c r="H26" s="266"/>
      <c r="I26" s="266"/>
      <c r="J26" s="266"/>
      <c r="L26" s="70"/>
      <c r="M26" s="272" t="s">
        <v>28</v>
      </c>
      <c r="N26" s="272"/>
      <c r="O26" s="272" t="s">
        <v>29</v>
      </c>
      <c r="P26" s="272"/>
      <c r="Q26" s="272" t="s">
        <v>30</v>
      </c>
      <c r="R26" s="272"/>
      <c r="S26" s="272" t="s">
        <v>31</v>
      </c>
      <c r="T26" s="272"/>
      <c r="U26" s="286"/>
    </row>
    <row r="27" spans="1:21" ht="14.45" customHeight="1">
      <c r="A27" s="266"/>
      <c r="B27" s="266"/>
      <c r="C27" s="266"/>
      <c r="D27" s="266"/>
      <c r="E27" s="266"/>
      <c r="F27" s="266"/>
      <c r="G27" s="266"/>
      <c r="H27" s="266"/>
      <c r="I27" s="266"/>
      <c r="J27" s="266"/>
      <c r="L27" s="16" t="s">
        <v>58</v>
      </c>
      <c r="M27" s="287">
        <f>S15</f>
        <v>0.80500000000000005</v>
      </c>
      <c r="N27" s="287"/>
      <c r="O27" s="287">
        <v>1</v>
      </c>
      <c r="P27" s="287"/>
      <c r="Q27" s="287">
        <v>0.6</v>
      </c>
      <c r="R27" s="287"/>
      <c r="S27" s="287">
        <f>M27*Q27</f>
        <v>0.48299999999999998</v>
      </c>
      <c r="T27" s="287"/>
      <c r="U27" s="289"/>
    </row>
    <row r="28" spans="1:21" ht="14.45" customHeight="1">
      <c r="A28" s="266"/>
      <c r="B28" s="266"/>
      <c r="C28" s="266"/>
      <c r="D28" s="266"/>
      <c r="E28" s="266"/>
      <c r="F28" s="266"/>
      <c r="G28" s="266"/>
      <c r="H28" s="266"/>
      <c r="I28" s="266"/>
      <c r="J28" s="266"/>
      <c r="L28" s="67" t="s">
        <v>59</v>
      </c>
      <c r="M28" s="288">
        <f>S24</f>
        <v>0.94000000000000006</v>
      </c>
      <c r="N28" s="288"/>
      <c r="O28" s="288">
        <v>1</v>
      </c>
      <c r="P28" s="288"/>
      <c r="Q28" s="288">
        <v>0.4</v>
      </c>
      <c r="R28" s="288"/>
      <c r="S28" s="288">
        <f>M28*Q28</f>
        <v>0.37600000000000006</v>
      </c>
      <c r="T28" s="288"/>
      <c r="U28" s="290"/>
    </row>
    <row r="29" spans="1:21" ht="14.45" customHeight="1">
      <c r="A29" s="266"/>
      <c r="B29" s="266"/>
      <c r="C29" s="266"/>
      <c r="D29" s="266"/>
      <c r="E29" s="266"/>
      <c r="F29" s="266"/>
      <c r="G29" s="266"/>
      <c r="H29" s="266"/>
      <c r="I29" s="266"/>
      <c r="J29" s="266"/>
      <c r="L29" s="74" t="s">
        <v>60</v>
      </c>
      <c r="M29" s="68"/>
      <c r="N29" s="68"/>
      <c r="O29" s="68"/>
      <c r="P29" s="68"/>
      <c r="Q29" s="68"/>
      <c r="R29" s="68"/>
      <c r="S29" s="284">
        <f>SUM(S27:U28)</f>
        <v>0.85899999999999999</v>
      </c>
      <c r="T29" s="284"/>
      <c r="U29" s="285"/>
    </row>
    <row r="30" spans="1:21" ht="14.45" customHeight="1">
      <c r="A30" s="266"/>
      <c r="B30" s="266"/>
      <c r="C30" s="266"/>
      <c r="D30" s="266"/>
      <c r="E30" s="266"/>
      <c r="F30" s="266"/>
      <c r="G30" s="266"/>
      <c r="H30" s="266"/>
      <c r="I30" s="266"/>
      <c r="J30" s="266"/>
    </row>
    <row r="31" spans="1:21" ht="14.45" customHeight="1">
      <c r="A31" s="266"/>
      <c r="B31" s="266"/>
      <c r="C31" s="266"/>
      <c r="D31" s="266"/>
      <c r="E31" s="266"/>
      <c r="F31" s="266"/>
      <c r="G31" s="266"/>
      <c r="H31" s="266"/>
      <c r="I31" s="266"/>
      <c r="J31" s="266"/>
      <c r="L31" s="243" t="s">
        <v>61</v>
      </c>
      <c r="M31" s="243"/>
      <c r="N31" s="243"/>
      <c r="O31" s="243"/>
      <c r="P31" s="243"/>
      <c r="Q31" s="243"/>
      <c r="R31" s="243"/>
      <c r="S31" s="243"/>
      <c r="T31" s="243"/>
      <c r="U31" s="243"/>
    </row>
    <row r="32" spans="1:21" ht="15.75" customHeight="1">
      <c r="A32" s="266"/>
      <c r="B32" s="266"/>
      <c r="C32" s="266"/>
      <c r="D32" s="266"/>
      <c r="E32" s="266"/>
      <c r="F32" s="266"/>
      <c r="G32" s="266"/>
      <c r="H32" s="266"/>
      <c r="I32" s="266"/>
      <c r="J32" s="266"/>
      <c r="L32" s="153">
        <v>0.2</v>
      </c>
      <c r="M32" s="243">
        <v>0.4</v>
      </c>
      <c r="N32" s="243"/>
      <c r="O32" s="243"/>
      <c r="P32" s="243">
        <v>0.6</v>
      </c>
      <c r="Q32" s="243"/>
      <c r="R32" s="243"/>
      <c r="S32" s="243">
        <v>0.8</v>
      </c>
      <c r="T32" s="243"/>
      <c r="U32" s="243"/>
    </row>
    <row r="33" spans="1:21" ht="15.75" customHeight="1">
      <c r="A33" s="266"/>
      <c r="B33" s="266"/>
      <c r="C33" s="266"/>
      <c r="D33" s="266"/>
      <c r="E33" s="266"/>
      <c r="F33" s="266"/>
      <c r="G33" s="266"/>
      <c r="H33" s="266"/>
      <c r="I33" s="266"/>
      <c r="J33" s="266"/>
      <c r="L33" s="153" t="s">
        <v>62</v>
      </c>
      <c r="M33" s="243" t="s">
        <v>63</v>
      </c>
      <c r="N33" s="243"/>
      <c r="O33" s="243"/>
      <c r="P33" s="243" t="s">
        <v>64</v>
      </c>
      <c r="Q33" s="243"/>
      <c r="R33" s="243"/>
      <c r="S33" s="243" t="s">
        <v>65</v>
      </c>
      <c r="T33" s="243"/>
      <c r="U33" s="243"/>
    </row>
    <row r="34" spans="1:21" ht="15.75" customHeight="1">
      <c r="A34" s="79" t="s">
        <v>66</v>
      </c>
    </row>
    <row r="35" spans="1:21" ht="15" customHeight="1">
      <c r="B35" s="269" t="s">
        <v>45</v>
      </c>
      <c r="C35" s="269"/>
      <c r="D35" s="269"/>
      <c r="E35" s="269"/>
      <c r="F35" s="269"/>
      <c r="G35" s="269"/>
      <c r="H35" s="269"/>
    </row>
    <row r="36" spans="1:21" ht="15" customHeight="1">
      <c r="B36" s="270"/>
      <c r="C36" s="270"/>
      <c r="D36" s="270"/>
      <c r="E36" s="270"/>
      <c r="F36" s="270"/>
      <c r="G36" s="270"/>
      <c r="H36" s="270"/>
    </row>
    <row r="37" spans="1:21" ht="15" customHeight="1">
      <c r="B37" s="275">
        <v>0.15</v>
      </c>
      <c r="C37" s="271"/>
      <c r="D37" s="271"/>
      <c r="E37" s="271"/>
      <c r="F37" s="271"/>
      <c r="G37" s="271"/>
      <c r="H37" s="271"/>
    </row>
    <row r="38" spans="1:21" ht="15" customHeight="1">
      <c r="B38" s="269"/>
      <c r="C38" s="269"/>
      <c r="D38" s="269"/>
      <c r="E38" s="269"/>
      <c r="F38" s="269"/>
      <c r="G38" s="269"/>
      <c r="H38" s="269"/>
    </row>
    <row r="40" spans="1:21">
      <c r="A40" s="266" t="s">
        <v>67</v>
      </c>
      <c r="B40" s="266"/>
      <c r="C40" s="266"/>
      <c r="D40" s="266"/>
      <c r="E40" s="266"/>
      <c r="F40" s="266"/>
      <c r="G40" s="266"/>
      <c r="H40" s="266"/>
      <c r="I40" s="266"/>
      <c r="J40" s="266"/>
    </row>
    <row r="41" spans="1:21" ht="14.45" customHeight="1">
      <c r="A41" s="266"/>
      <c r="B41" s="266"/>
      <c r="C41" s="266"/>
      <c r="D41" s="266"/>
      <c r="E41" s="266"/>
      <c r="F41" s="266"/>
      <c r="G41" s="266"/>
      <c r="H41" s="266"/>
      <c r="I41" s="266"/>
      <c r="J41" s="266"/>
    </row>
    <row r="42" spans="1:21" ht="14.45" customHeight="1">
      <c r="A42" s="266"/>
      <c r="B42" s="266"/>
      <c r="C42" s="266"/>
      <c r="D42" s="266"/>
      <c r="E42" s="266"/>
      <c r="F42" s="266"/>
      <c r="G42" s="266"/>
      <c r="H42" s="266"/>
      <c r="I42" s="266"/>
      <c r="J42" s="266"/>
    </row>
    <row r="43" spans="1:21" ht="14.45" customHeight="1">
      <c r="A43" s="266"/>
      <c r="B43" s="266"/>
      <c r="C43" s="266"/>
      <c r="D43" s="266"/>
      <c r="E43" s="266"/>
      <c r="F43" s="266"/>
      <c r="G43" s="266"/>
      <c r="H43" s="266"/>
      <c r="I43" s="266"/>
      <c r="J43" s="266"/>
    </row>
    <row r="44" spans="1:21" ht="14.45" customHeight="1">
      <c r="A44" s="266"/>
      <c r="B44" s="266"/>
      <c r="C44" s="266"/>
      <c r="D44" s="266"/>
      <c r="E44" s="266"/>
      <c r="F44" s="266"/>
      <c r="G44" s="266"/>
      <c r="H44" s="266"/>
      <c r="I44" s="266"/>
      <c r="J44" s="266"/>
    </row>
    <row r="45" spans="1:21" ht="14.45" customHeight="1">
      <c r="A45" s="266"/>
      <c r="B45" s="266"/>
      <c r="C45" s="266"/>
      <c r="D45" s="266"/>
      <c r="E45" s="266"/>
      <c r="F45" s="266"/>
      <c r="G45" s="266"/>
      <c r="H45" s="266"/>
      <c r="I45" s="266"/>
      <c r="J45" s="266"/>
    </row>
    <row r="46" spans="1:21" ht="14.45" customHeight="1">
      <c r="A46" s="266"/>
      <c r="B46" s="266"/>
      <c r="C46" s="266"/>
      <c r="D46" s="266"/>
      <c r="E46" s="266"/>
      <c r="F46" s="266"/>
      <c r="G46" s="266"/>
      <c r="H46" s="266"/>
      <c r="I46" s="266"/>
      <c r="J46" s="266"/>
    </row>
    <row r="47" spans="1:21" ht="14.45" customHeight="1">
      <c r="A47" s="154"/>
      <c r="B47" s="154"/>
      <c r="C47" s="154"/>
      <c r="D47" s="154"/>
      <c r="E47" s="154"/>
      <c r="F47" s="154"/>
      <c r="G47" s="154"/>
      <c r="H47" s="154"/>
      <c r="I47" s="154"/>
      <c r="J47" s="154"/>
    </row>
    <row r="48" spans="1:21" ht="14.45" customHeight="1">
      <c r="A48" s="79" t="s">
        <v>68</v>
      </c>
      <c r="B48" s="154"/>
      <c r="C48" s="154"/>
      <c r="D48" s="154"/>
      <c r="E48" s="154"/>
      <c r="F48" s="154"/>
      <c r="G48" s="154"/>
      <c r="H48" s="154"/>
      <c r="I48" s="154"/>
      <c r="J48" s="154"/>
    </row>
    <row r="49" spans="1:10" ht="14.45" customHeight="1">
      <c r="B49" s="269" t="s">
        <v>69</v>
      </c>
      <c r="C49" s="269"/>
      <c r="D49" s="269"/>
      <c r="E49" s="269"/>
      <c r="F49" s="269"/>
      <c r="G49" s="269"/>
      <c r="H49" s="269"/>
      <c r="I49" s="154"/>
      <c r="J49" s="154"/>
    </row>
    <row r="50" spans="1:10" ht="14.45" customHeight="1">
      <c r="A50" s="154"/>
      <c r="B50" s="270"/>
      <c r="C50" s="270"/>
      <c r="D50" s="270"/>
      <c r="E50" s="270"/>
      <c r="F50" s="270"/>
      <c r="G50" s="270"/>
      <c r="H50" s="270"/>
      <c r="I50" s="154"/>
      <c r="J50" s="154"/>
    </row>
    <row r="51" spans="1:10" ht="14.45" customHeight="1">
      <c r="A51" s="154"/>
      <c r="B51" s="275" t="s">
        <v>70</v>
      </c>
      <c r="C51" s="271"/>
      <c r="D51" s="271"/>
      <c r="E51" s="271"/>
      <c r="F51" s="271"/>
      <c r="G51" s="271"/>
      <c r="H51" s="271"/>
      <c r="I51" s="154"/>
      <c r="J51" s="154"/>
    </row>
    <row r="52" spans="1:10" ht="14.45" customHeight="1">
      <c r="A52" s="154"/>
      <c r="B52" s="269"/>
      <c r="C52" s="269"/>
      <c r="D52" s="269"/>
      <c r="E52" s="269"/>
      <c r="F52" s="269"/>
      <c r="G52" s="269"/>
      <c r="H52" s="269"/>
      <c r="I52" s="154"/>
      <c r="J52" s="154"/>
    </row>
    <row r="53" spans="1:10" ht="14.45" customHeight="1">
      <c r="A53" s="154"/>
      <c r="B53" s="154"/>
      <c r="C53" s="154"/>
      <c r="D53" s="154"/>
      <c r="E53" s="154"/>
      <c r="F53" s="154"/>
      <c r="G53" s="154"/>
      <c r="H53" s="154"/>
      <c r="I53" s="154"/>
      <c r="J53" s="154"/>
    </row>
    <row r="54" spans="1:10" ht="14.45" customHeight="1">
      <c r="A54" s="266" t="s">
        <v>71</v>
      </c>
      <c r="B54" s="266"/>
      <c r="C54" s="266"/>
      <c r="D54" s="266"/>
      <c r="E54" s="266"/>
      <c r="F54" s="266"/>
      <c r="G54" s="266"/>
      <c r="H54" s="266"/>
      <c r="I54" s="266"/>
      <c r="J54" s="266"/>
    </row>
    <row r="55" spans="1:10" ht="14.45" customHeight="1">
      <c r="A55" s="266"/>
      <c r="B55" s="266"/>
      <c r="C55" s="266"/>
      <c r="D55" s="266"/>
      <c r="E55" s="266"/>
      <c r="F55" s="266"/>
      <c r="G55" s="266"/>
      <c r="H55" s="266"/>
      <c r="I55" s="266"/>
      <c r="J55" s="266"/>
    </row>
    <row r="56" spans="1:10" ht="14.45" customHeight="1">
      <c r="A56" s="266"/>
      <c r="B56" s="266"/>
      <c r="C56" s="266"/>
      <c r="D56" s="266"/>
      <c r="E56" s="266"/>
      <c r="F56" s="266"/>
      <c r="G56" s="266"/>
      <c r="H56" s="266"/>
      <c r="I56" s="266"/>
      <c r="J56" s="266"/>
    </row>
    <row r="57" spans="1:10" ht="14.45" customHeight="1">
      <c r="A57" s="266"/>
      <c r="B57" s="266"/>
      <c r="C57" s="266"/>
      <c r="D57" s="266"/>
      <c r="E57" s="266"/>
      <c r="F57" s="266"/>
      <c r="G57" s="266"/>
      <c r="H57" s="266"/>
      <c r="I57" s="266"/>
      <c r="J57" s="266"/>
    </row>
    <row r="58" spans="1:10" ht="14.45" customHeight="1">
      <c r="A58" s="266"/>
      <c r="B58" s="266"/>
      <c r="C58" s="266"/>
      <c r="D58" s="266"/>
      <c r="E58" s="266"/>
      <c r="F58" s="266"/>
      <c r="G58" s="266"/>
      <c r="H58" s="266"/>
      <c r="I58" s="266"/>
      <c r="J58" s="266"/>
    </row>
    <row r="59" spans="1:10" ht="14.45" customHeight="1">
      <c r="A59" s="266"/>
      <c r="B59" s="266"/>
      <c r="C59" s="266"/>
      <c r="D59" s="266"/>
      <c r="E59" s="266"/>
      <c r="F59" s="266"/>
      <c r="G59" s="266"/>
      <c r="H59" s="266"/>
      <c r="I59" s="266"/>
      <c r="J59" s="266"/>
    </row>
    <row r="60" spans="1:10" ht="14.45" customHeight="1">
      <c r="A60" s="154"/>
      <c r="B60" s="154"/>
      <c r="C60" s="154"/>
      <c r="D60" s="154"/>
      <c r="E60" s="154"/>
      <c r="F60" s="154"/>
      <c r="G60" s="154"/>
      <c r="H60" s="154"/>
      <c r="I60" s="154"/>
      <c r="J60" s="154"/>
    </row>
    <row r="61" spans="1:10" ht="14.45" customHeight="1">
      <c r="A61" s="79" t="s">
        <v>72</v>
      </c>
      <c r="C61" s="154"/>
      <c r="D61" s="154"/>
      <c r="E61" s="154"/>
      <c r="F61" s="154"/>
      <c r="G61" s="154"/>
      <c r="H61" s="154"/>
      <c r="I61" s="154"/>
      <c r="J61" s="154"/>
    </row>
    <row r="62" spans="1:10" ht="14.45" customHeight="1">
      <c r="A62" s="269" t="s">
        <v>73</v>
      </c>
      <c r="B62" s="269"/>
      <c r="C62" s="269"/>
      <c r="D62" s="269"/>
      <c r="E62" s="269"/>
      <c r="F62" s="269"/>
      <c r="G62" s="269"/>
      <c r="H62" s="269"/>
      <c r="I62" s="269"/>
      <c r="J62" s="269"/>
    </row>
    <row r="63" spans="1:10" ht="14.45" customHeight="1">
      <c r="A63" s="269"/>
      <c r="B63" s="269"/>
      <c r="C63" s="269"/>
      <c r="D63" s="269"/>
      <c r="E63" s="269"/>
      <c r="F63" s="269"/>
      <c r="G63" s="269"/>
      <c r="H63" s="269"/>
      <c r="I63" s="269"/>
      <c r="J63" s="269"/>
    </row>
    <row r="64" spans="1:10" ht="14.45" customHeight="1">
      <c r="A64" s="269"/>
      <c r="B64" s="269"/>
      <c r="C64" s="269"/>
      <c r="D64" s="269"/>
      <c r="E64" s="269"/>
      <c r="F64" s="269"/>
      <c r="G64" s="269"/>
      <c r="H64" s="269"/>
      <c r="I64" s="269"/>
      <c r="J64" s="269"/>
    </row>
    <row r="65" spans="1:10" ht="14.45" customHeight="1">
      <c r="A65" s="269"/>
      <c r="B65" s="269"/>
      <c r="C65" s="269"/>
      <c r="D65" s="269"/>
      <c r="E65" s="269"/>
      <c r="F65" s="269"/>
      <c r="G65" s="269"/>
      <c r="H65" s="269"/>
      <c r="I65" s="269"/>
      <c r="J65" s="269"/>
    </row>
    <row r="66" spans="1:10" ht="14.45" customHeight="1">
      <c r="A66" s="266" t="s">
        <v>74</v>
      </c>
      <c r="B66" s="266"/>
      <c r="C66" s="266"/>
      <c r="D66" s="266"/>
      <c r="E66" s="266"/>
      <c r="F66" s="266"/>
      <c r="G66" s="266"/>
      <c r="H66" s="266"/>
      <c r="I66" s="266"/>
      <c r="J66" s="266"/>
    </row>
    <row r="67" spans="1:10" ht="14.45" customHeight="1">
      <c r="A67" s="266"/>
      <c r="B67" s="266"/>
      <c r="C67" s="266"/>
      <c r="D67" s="266"/>
      <c r="E67" s="266"/>
      <c r="F67" s="266"/>
      <c r="G67" s="266"/>
      <c r="H67" s="266"/>
      <c r="I67" s="266"/>
      <c r="J67" s="266"/>
    </row>
    <row r="68" spans="1:10" ht="14.45" customHeight="1">
      <c r="A68" s="266"/>
      <c r="B68" s="266"/>
      <c r="C68" s="266"/>
      <c r="D68" s="266"/>
      <c r="E68" s="266"/>
      <c r="F68" s="266"/>
      <c r="G68" s="266"/>
      <c r="H68" s="266"/>
      <c r="I68" s="266"/>
      <c r="J68" s="266"/>
    </row>
    <row r="69" spans="1:10" ht="14.45" customHeight="1">
      <c r="A69" s="266"/>
      <c r="B69" s="266"/>
      <c r="C69" s="266"/>
      <c r="D69" s="266"/>
      <c r="E69" s="266"/>
      <c r="F69" s="266"/>
      <c r="G69" s="266"/>
      <c r="H69" s="266"/>
      <c r="I69" s="266"/>
      <c r="J69" s="266"/>
    </row>
    <row r="70" spans="1:10" ht="14.45" customHeight="1">
      <c r="A70" s="79"/>
      <c r="B70" s="73"/>
      <c r="C70" s="73"/>
      <c r="D70" s="73"/>
      <c r="E70" s="73"/>
      <c r="F70" s="73"/>
      <c r="G70" s="73"/>
      <c r="H70" s="73"/>
      <c r="I70" s="73"/>
      <c r="J70" s="73"/>
    </row>
    <row r="71" spans="1:10" ht="14.45" customHeight="1">
      <c r="A71" s="73"/>
      <c r="B71" s="73"/>
      <c r="C71" s="73"/>
      <c r="D71" s="73"/>
      <c r="E71" s="73"/>
      <c r="F71" s="73"/>
      <c r="G71" s="73"/>
      <c r="H71" s="73"/>
      <c r="I71" s="73"/>
      <c r="J71" s="73"/>
    </row>
    <row r="72" spans="1:10" ht="14.45" customHeight="1">
      <c r="A72" s="266"/>
      <c r="B72" s="266"/>
      <c r="C72" s="266"/>
      <c r="D72" s="266"/>
      <c r="E72" s="266"/>
      <c r="F72" s="266"/>
      <c r="G72" s="266"/>
      <c r="H72" s="266"/>
      <c r="I72" s="266"/>
      <c r="J72" s="266"/>
    </row>
    <row r="73" spans="1:10" ht="14.45" customHeight="1">
      <c r="A73" s="266"/>
      <c r="B73" s="266"/>
      <c r="C73" s="266"/>
      <c r="D73" s="266"/>
      <c r="E73" s="266"/>
      <c r="F73" s="266"/>
      <c r="G73" s="266"/>
      <c r="H73" s="266"/>
      <c r="I73" s="266"/>
      <c r="J73" s="266"/>
    </row>
    <row r="74" spans="1:10" ht="14.45" customHeight="1">
      <c r="A74" s="266"/>
      <c r="B74" s="266"/>
      <c r="C74" s="266"/>
      <c r="D74" s="266"/>
      <c r="E74" s="266"/>
      <c r="F74" s="266"/>
      <c r="G74" s="266"/>
      <c r="H74" s="266"/>
      <c r="I74" s="266"/>
      <c r="J74" s="266"/>
    </row>
    <row r="75" spans="1:10" ht="14.45" customHeight="1">
      <c r="A75" s="266"/>
      <c r="B75" s="266"/>
      <c r="C75" s="266"/>
      <c r="D75" s="266"/>
      <c r="E75" s="266"/>
      <c r="F75" s="266"/>
      <c r="G75" s="266"/>
      <c r="H75" s="266"/>
      <c r="I75" s="266"/>
      <c r="J75" s="266"/>
    </row>
    <row r="76" spans="1:10" ht="14.45" customHeight="1">
      <c r="A76" s="266"/>
      <c r="B76" s="266"/>
      <c r="C76" s="266"/>
      <c r="D76" s="266"/>
      <c r="E76" s="266"/>
      <c r="F76" s="266"/>
      <c r="G76" s="266"/>
      <c r="H76" s="266"/>
      <c r="I76" s="266"/>
      <c r="J76" s="266"/>
    </row>
    <row r="77" spans="1:10" ht="14.45" customHeight="1">
      <c r="A77" s="266"/>
      <c r="B77" s="266"/>
      <c r="C77" s="266"/>
      <c r="D77" s="266"/>
      <c r="E77" s="266"/>
      <c r="F77" s="266"/>
      <c r="G77" s="266"/>
      <c r="H77" s="266"/>
      <c r="I77" s="266"/>
      <c r="J77" s="266"/>
    </row>
    <row r="78" spans="1:10" ht="14.45" customHeight="1">
      <c r="A78" s="266"/>
      <c r="B78" s="266"/>
      <c r="C78" s="266"/>
      <c r="D78" s="266"/>
      <c r="E78" s="266"/>
      <c r="F78" s="266"/>
      <c r="G78" s="266"/>
      <c r="H78" s="266"/>
      <c r="I78" s="266"/>
      <c r="J78" s="266"/>
    </row>
    <row r="79" spans="1:10" ht="14.45" customHeight="1">
      <c r="A79" s="266"/>
      <c r="B79" s="266"/>
      <c r="C79" s="266"/>
      <c r="D79" s="266"/>
      <c r="E79" s="266"/>
      <c r="F79" s="266"/>
      <c r="G79" s="266"/>
      <c r="H79" s="266"/>
      <c r="I79" s="266"/>
      <c r="J79" s="266"/>
    </row>
    <row r="80" spans="1:10">
      <c r="A80" s="266"/>
      <c r="B80" s="266"/>
      <c r="C80" s="266"/>
      <c r="D80" s="266"/>
      <c r="E80" s="266"/>
      <c r="F80" s="266"/>
      <c r="G80" s="266"/>
      <c r="H80" s="266"/>
      <c r="I80" s="266"/>
      <c r="J80" s="266"/>
    </row>
    <row r="81" spans="1:10">
      <c r="A81" s="266"/>
      <c r="B81" s="266"/>
      <c r="C81" s="266"/>
      <c r="D81" s="266"/>
      <c r="E81" s="266"/>
      <c r="F81" s="266"/>
      <c r="G81" s="266"/>
      <c r="H81" s="266"/>
      <c r="I81" s="266"/>
      <c r="J81" s="266"/>
    </row>
    <row r="82" spans="1:10">
      <c r="A82" s="266"/>
      <c r="B82" s="266"/>
      <c r="C82" s="266"/>
      <c r="D82" s="266"/>
      <c r="E82" s="266"/>
      <c r="F82" s="266"/>
      <c r="G82" s="266"/>
      <c r="H82" s="266"/>
      <c r="I82" s="266"/>
      <c r="J82" s="266"/>
    </row>
    <row r="83" spans="1:10">
      <c r="A83" s="266"/>
      <c r="B83" s="266"/>
      <c r="C83" s="266"/>
      <c r="D83" s="266"/>
      <c r="E83" s="266"/>
      <c r="F83" s="266"/>
      <c r="G83" s="266"/>
      <c r="H83" s="266"/>
      <c r="I83" s="266"/>
      <c r="J83" s="266"/>
    </row>
    <row r="84" spans="1:10" ht="14.45" customHeight="1"/>
    <row r="85" spans="1:10" ht="14.45" customHeight="1"/>
    <row r="86" spans="1:10" ht="14.45" customHeight="1"/>
    <row r="87" spans="1:10" ht="14.45" customHeight="1"/>
    <row r="88" spans="1:10" ht="14.45" customHeight="1"/>
    <row r="89" spans="1:10" ht="14.45" customHeight="1"/>
    <row r="90" spans="1:10" ht="14.45" customHeight="1"/>
    <row r="91" spans="1:10" ht="14.45" customHeight="1"/>
    <row r="92" spans="1:10" ht="14.45" customHeight="1"/>
    <row r="93" spans="1:10" ht="14.45" customHeight="1"/>
    <row r="94" spans="1:10" ht="14.45" customHeight="1"/>
    <row r="95" spans="1:10" ht="14.45" customHeight="1"/>
    <row r="96" spans="1:10" ht="14.45" customHeight="1"/>
    <row r="97" ht="14.45" customHeight="1"/>
  </sheetData>
  <mergeCells count="101">
    <mergeCell ref="M10:N10"/>
    <mergeCell ref="Q24:R24"/>
    <mergeCell ref="M22:N22"/>
    <mergeCell ref="O21:P21"/>
    <mergeCell ref="O22:P22"/>
    <mergeCell ref="M18:N18"/>
    <mergeCell ref="M19:N19"/>
    <mergeCell ref="M20:N20"/>
    <mergeCell ref="M21:N21"/>
    <mergeCell ref="O14:P14"/>
    <mergeCell ref="Q14:R14"/>
    <mergeCell ref="O19:P19"/>
    <mergeCell ref="O20:P20"/>
    <mergeCell ref="A72:J83"/>
    <mergeCell ref="L1:U2"/>
    <mergeCell ref="S29:U29"/>
    <mergeCell ref="S26:U26"/>
    <mergeCell ref="M27:N27"/>
    <mergeCell ref="M28:N28"/>
    <mergeCell ref="O27:P27"/>
    <mergeCell ref="O28:P28"/>
    <mergeCell ref="Q27:R27"/>
    <mergeCell ref="Q28:R28"/>
    <mergeCell ref="S27:U27"/>
    <mergeCell ref="S28:U28"/>
    <mergeCell ref="L31:U31"/>
    <mergeCell ref="M32:O32"/>
    <mergeCell ref="P32:R32"/>
    <mergeCell ref="S32:U32"/>
    <mergeCell ref="M33:O33"/>
    <mergeCell ref="P33:R33"/>
    <mergeCell ref="S33:U33"/>
    <mergeCell ref="M8:N8"/>
    <mergeCell ref="S24:U24"/>
    <mergeCell ref="M23:N23"/>
    <mergeCell ref="S21:U21"/>
    <mergeCell ref="S22:U22"/>
    <mergeCell ref="S6:U6"/>
    <mergeCell ref="M7:N7"/>
    <mergeCell ref="O7:P7"/>
    <mergeCell ref="Q7:R7"/>
    <mergeCell ref="A3:J9"/>
    <mergeCell ref="S7:U7"/>
    <mergeCell ref="A1:J2"/>
    <mergeCell ref="S18:U18"/>
    <mergeCell ref="S19:U19"/>
    <mergeCell ref="A18:J33"/>
    <mergeCell ref="O26:P26"/>
    <mergeCell ref="Q26:R26"/>
    <mergeCell ref="S23:U23"/>
    <mergeCell ref="O10:P10"/>
    <mergeCell ref="S14:U14"/>
    <mergeCell ref="O11:P11"/>
    <mergeCell ref="Q11:R11"/>
    <mergeCell ref="S11:U11"/>
    <mergeCell ref="M4:U5"/>
    <mergeCell ref="O23:P23"/>
    <mergeCell ref="O24:P24"/>
    <mergeCell ref="Q21:R21"/>
    <mergeCell ref="Q22:R22"/>
    <mergeCell ref="Q23:R23"/>
    <mergeCell ref="S20:U20"/>
    <mergeCell ref="M12:N12"/>
    <mergeCell ref="O12:P12"/>
    <mergeCell ref="Q12:R12"/>
    <mergeCell ref="S12:U12"/>
    <mergeCell ref="Q15:R15"/>
    <mergeCell ref="S15:U15"/>
    <mergeCell ref="M13:N13"/>
    <mergeCell ref="O13:P13"/>
    <mergeCell ref="Q13:R13"/>
    <mergeCell ref="S13:U13"/>
    <mergeCell ref="M14:N14"/>
    <mergeCell ref="Q18:R18"/>
    <mergeCell ref="Q19:R19"/>
    <mergeCell ref="Q20:R20"/>
    <mergeCell ref="O18:P18"/>
    <mergeCell ref="A66:J69"/>
    <mergeCell ref="M6:N6"/>
    <mergeCell ref="M11:N11"/>
    <mergeCell ref="B13:H14"/>
    <mergeCell ref="B15:H16"/>
    <mergeCell ref="M26:N26"/>
    <mergeCell ref="Q10:R10"/>
    <mergeCell ref="S10:U10"/>
    <mergeCell ref="B35:H36"/>
    <mergeCell ref="B37:H38"/>
    <mergeCell ref="A40:J46"/>
    <mergeCell ref="B49:H50"/>
    <mergeCell ref="B51:H52"/>
    <mergeCell ref="A54:J59"/>
    <mergeCell ref="A62:J65"/>
    <mergeCell ref="O8:P8"/>
    <mergeCell ref="Q8:R8"/>
    <mergeCell ref="S8:U8"/>
    <mergeCell ref="M9:N9"/>
    <mergeCell ref="O9:P9"/>
    <mergeCell ref="Q9:R9"/>
    <mergeCell ref="S9:U9"/>
    <mergeCell ref="O6:P6"/>
    <mergeCell ref="Q6:R6"/>
  </mergeCells>
  <conditionalFormatting sqref="L32:U32">
    <cfRule type="colorScale" priority="1">
      <colorScale>
        <cfvo type="min"/>
        <cfvo type="percentile" val="50"/>
        <cfvo type="max"/>
        <color rgb="FFF8696B"/>
        <color rgb="FFFFEB84"/>
        <color rgb="FF63BE7B"/>
      </colorScale>
    </cfRule>
  </conditionalFormatting>
  <dataValidations count="9">
    <dataValidation type="list" allowBlank="1" showInputMessage="1" showErrorMessage="1" sqref="M14:N14" xr:uid="{61219824-A0CE-4812-8E16-CA860BF208B4}">
      <formula1>"Sparse, Saturated, Bottleneck"</formula1>
    </dataValidation>
    <dataValidation type="list" allowBlank="1" showInputMessage="1" showErrorMessage="1" sqref="M11:N13" xr:uid="{D53AE806-EBC3-4C56-A41F-47DCA9010EAA}">
      <formula1>"High Growth, Growth, Low Growth, Stagnant"</formula1>
    </dataValidation>
    <dataValidation type="list" allowBlank="1" showInputMessage="1" showErrorMessage="1" sqref="M10:N10" xr:uid="{8D6419C2-6819-40F4-B9FD-A03C00E624AB}">
      <formula1>"None, Few, Many"</formula1>
    </dataValidation>
    <dataValidation type="list" allowBlank="1" showInputMessage="1" showErrorMessage="1" sqref="M9:N9" xr:uid="{9EFCCC1F-E3C0-4D0C-93E1-88EFF7F27EFA}">
      <formula1>"Critical, Essential, Important, Discretionary"</formula1>
    </dataValidation>
    <dataValidation type="list" allowBlank="1" showInputMessage="1" showErrorMessage="1" sqref="M8:N8" xr:uid="{6528D19D-FB8E-4DB2-9198-126981B11E1B}">
      <formula1>"Perfect Inelastic, Inelastic, Elastic, Perfect Elastic"</formula1>
    </dataValidation>
    <dataValidation type="list" allowBlank="1" showInputMessage="1" showErrorMessage="1" sqref="M7" xr:uid="{A540ECFF-AC6A-4265-81D7-AC6C36905F3C}">
      <formula1>"Monopoly, Major Oligopoly, Minor Oligopoly, Small Firm"</formula1>
    </dataValidation>
    <dataValidation type="list" allowBlank="1" showInputMessage="1" showErrorMessage="1" sqref="M19:N19 M21:N21" xr:uid="{D974F92E-4B98-41D6-82DC-446839ABA291}">
      <formula1>"0.05,0.1,0.15"</formula1>
    </dataValidation>
    <dataValidation type="list" allowBlank="1" showInputMessage="1" showErrorMessage="1" sqref="M22:N23" xr:uid="{BA7D9026-5DE3-45F2-A90E-7EB5BE9588D5}">
      <formula1>"0.1,0.15,0.2"</formula1>
    </dataValidation>
    <dataValidation type="list" allowBlank="1" showInputMessage="1" showErrorMessage="1" sqref="M20:N20" xr:uid="{153AE5FD-B7E5-4450-9399-261DC1DD75D9}">
      <formula1>"0.04,0.05,0.06,0.07"</formula1>
    </dataValidation>
  </dataValidations>
  <pageMargins left="0.7" right="0.7" top="0.75" bottom="0.75" header="0.3" footer="0.3"/>
  <pageSetup paperSize="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B0EF3-7681-4648-9821-6736DEDDE46E}">
  <sheetPr codeName="Sheet3"/>
  <dimension ref="A1:M110"/>
  <sheetViews>
    <sheetView showGridLines="0" zoomScaleNormal="100" zoomScaleSheetLayoutView="85" workbookViewId="0">
      <selection activeCell="I106" sqref="I106"/>
    </sheetView>
  </sheetViews>
  <sheetFormatPr defaultRowHeight="15"/>
  <cols>
    <col min="1" max="1" width="20.7109375" customWidth="1"/>
    <col min="2" max="18" width="15.7109375" customWidth="1"/>
  </cols>
  <sheetData>
    <row r="1" spans="1:13" ht="15" customHeight="1">
      <c r="A1" s="280" t="s">
        <v>75</v>
      </c>
      <c r="B1" s="281"/>
      <c r="C1" s="281"/>
      <c r="D1" s="281"/>
      <c r="E1" s="281"/>
      <c r="F1" s="281"/>
      <c r="G1" s="281"/>
      <c r="H1" s="281"/>
      <c r="I1" s="281"/>
      <c r="J1" s="281"/>
    </row>
    <row r="2" spans="1:13" ht="15" customHeight="1">
      <c r="A2" s="280"/>
      <c r="B2" s="281"/>
      <c r="C2" s="281"/>
      <c r="D2" s="281"/>
      <c r="E2" s="281"/>
      <c r="F2" s="281"/>
      <c r="G2" s="281"/>
      <c r="H2" s="281"/>
      <c r="I2" s="281"/>
      <c r="J2" s="281"/>
    </row>
    <row r="3" spans="1:13" ht="15" customHeight="1">
      <c r="A3" s="142" t="s">
        <v>75</v>
      </c>
      <c r="B3" s="142"/>
      <c r="C3" s="142"/>
      <c r="D3" s="142"/>
      <c r="E3" s="140"/>
      <c r="F3" s="140"/>
      <c r="G3" s="140"/>
      <c r="H3" s="142" t="s">
        <v>76</v>
      </c>
      <c r="I3" s="142"/>
      <c r="J3" s="140"/>
    </row>
    <row r="4" spans="1:13" ht="15" customHeight="1">
      <c r="A4" t="s">
        <v>47</v>
      </c>
      <c r="B4" t="s">
        <v>77</v>
      </c>
      <c r="H4" s="297"/>
      <c r="I4" s="297"/>
      <c r="J4" s="297"/>
      <c r="K4" s="6"/>
      <c r="M4" s="6"/>
    </row>
    <row r="5" spans="1:13" ht="15" customHeight="1">
      <c r="A5" t="s">
        <v>46</v>
      </c>
      <c r="B5" t="s">
        <v>78</v>
      </c>
      <c r="H5" s="297"/>
      <c r="I5" s="297"/>
      <c r="J5" s="297"/>
      <c r="K5" s="5"/>
      <c r="M5" s="5"/>
    </row>
    <row r="6" spans="1:13" ht="15" customHeight="1">
      <c r="A6" t="s">
        <v>79</v>
      </c>
      <c r="B6" t="s">
        <v>80</v>
      </c>
    </row>
    <row r="7" spans="1:13" ht="15" customHeight="1">
      <c r="A7" t="s">
        <v>81</v>
      </c>
      <c r="B7" t="s">
        <v>82</v>
      </c>
    </row>
    <row r="8" spans="1:13" ht="15" customHeight="1">
      <c r="A8" t="s">
        <v>32</v>
      </c>
      <c r="B8" t="s">
        <v>83</v>
      </c>
    </row>
    <row r="9" spans="1:13" ht="15" customHeight="1">
      <c r="A9" t="s">
        <v>84</v>
      </c>
      <c r="B9" t="s">
        <v>85</v>
      </c>
    </row>
    <row r="10" spans="1:13" ht="15" customHeight="1">
      <c r="A10" t="s">
        <v>86</v>
      </c>
      <c r="B10" t="s">
        <v>87</v>
      </c>
    </row>
    <row r="11" spans="1:13" ht="15" customHeight="1"/>
    <row r="12" spans="1:13" ht="15" customHeight="1">
      <c r="A12" s="142" t="s">
        <v>88</v>
      </c>
      <c r="B12" s="142"/>
      <c r="C12" s="142"/>
      <c r="D12" s="142"/>
      <c r="E12" s="142"/>
      <c r="F12" s="142"/>
      <c r="G12" s="142"/>
      <c r="H12" s="142"/>
      <c r="I12" s="142"/>
      <c r="J12" s="142"/>
    </row>
    <row r="13" spans="1:13" ht="15" customHeight="1">
      <c r="A13" s="1" t="s">
        <v>10</v>
      </c>
      <c r="B13" s="7" t="s">
        <v>89</v>
      </c>
      <c r="C13" s="61" t="s">
        <v>90</v>
      </c>
      <c r="D13" s="7" t="s">
        <v>91</v>
      </c>
      <c r="E13" s="7" t="s">
        <v>92</v>
      </c>
      <c r="F13" s="7" t="s">
        <v>93</v>
      </c>
      <c r="G13" s="7" t="s">
        <v>94</v>
      </c>
      <c r="H13" s="7" t="s">
        <v>95</v>
      </c>
      <c r="I13" s="7" t="s">
        <v>96</v>
      </c>
    </row>
    <row r="14" spans="1:13" ht="15" customHeight="1">
      <c r="A14" s="8"/>
      <c r="B14" s="9"/>
      <c r="C14" s="10"/>
      <c r="D14" s="9"/>
      <c r="E14" s="9"/>
      <c r="F14" s="9"/>
      <c r="G14" s="9"/>
      <c r="H14" s="9"/>
      <c r="I14" s="9"/>
    </row>
    <row r="15" spans="1:13" ht="15" customHeight="1">
      <c r="A15" s="1"/>
      <c r="C15" s="3"/>
      <c r="E15" s="7"/>
    </row>
    <row r="16" spans="1:13" ht="15" customHeight="1">
      <c r="A16" s="1"/>
      <c r="C16" s="3"/>
    </row>
    <row r="17" spans="1:10" ht="15" customHeight="1">
      <c r="A17" s="1"/>
      <c r="C17" s="3"/>
    </row>
    <row r="18" spans="1:10" ht="15" customHeight="1">
      <c r="A18" s="1"/>
      <c r="C18" s="3"/>
      <c r="D18" s="7"/>
    </row>
    <row r="19" spans="1:10" ht="15" customHeight="1">
      <c r="A19" s="1"/>
      <c r="C19" s="3"/>
    </row>
    <row r="20" spans="1:10" ht="15" customHeight="1">
      <c r="A20" s="1"/>
      <c r="C20" s="3"/>
      <c r="D20" s="7"/>
    </row>
    <row r="21" spans="1:10" ht="15" customHeight="1">
      <c r="A21" s="1"/>
      <c r="C21" s="3"/>
      <c r="D21" s="7"/>
    </row>
    <row r="22" spans="1:10" ht="15" customHeight="1"/>
    <row r="23" spans="1:10" ht="15" customHeight="1">
      <c r="A23" s="142"/>
      <c r="B23" s="141"/>
      <c r="C23" s="141"/>
      <c r="D23" s="141"/>
      <c r="E23" s="141"/>
      <c r="F23" s="141"/>
      <c r="G23" s="141"/>
      <c r="H23" s="141"/>
      <c r="I23" s="141"/>
      <c r="J23" s="141"/>
    </row>
    <row r="24" spans="1:10" ht="15" customHeight="1">
      <c r="A24" s="293"/>
      <c r="B24" s="293"/>
      <c r="C24" s="293"/>
      <c r="D24" s="293"/>
      <c r="E24" s="293"/>
      <c r="F24" s="293"/>
      <c r="G24" s="293"/>
      <c r="H24" s="293"/>
    </row>
    <row r="25" spans="1:10" ht="15" customHeight="1">
      <c r="A25" s="243"/>
      <c r="B25" s="243"/>
      <c r="C25" s="243"/>
      <c r="D25" s="243"/>
      <c r="E25" s="243"/>
      <c r="F25" s="243"/>
      <c r="G25" s="243"/>
      <c r="H25" s="243"/>
    </row>
    <row r="26" spans="1:10" ht="15" customHeight="1">
      <c r="A26" s="24"/>
      <c r="H26" s="21"/>
    </row>
    <row r="27" spans="1:10" ht="15" customHeight="1">
      <c r="A27" s="24" t="s">
        <v>97</v>
      </c>
      <c r="C27" s="29"/>
      <c r="D27" s="29"/>
      <c r="E27" s="29"/>
      <c r="F27" s="29"/>
      <c r="G27" s="29"/>
      <c r="H27" s="30"/>
    </row>
    <row r="28" spans="1:10" ht="15" customHeight="1">
      <c r="A28" s="24" t="s">
        <v>98</v>
      </c>
      <c r="C28" s="29"/>
      <c r="D28" s="29"/>
      <c r="E28" s="29"/>
      <c r="F28" s="29"/>
      <c r="G28" s="123"/>
      <c r="H28" s="124"/>
    </row>
    <row r="29" spans="1:10" ht="15" customHeight="1">
      <c r="A29" s="24" t="s">
        <v>94</v>
      </c>
      <c r="C29" s="29"/>
      <c r="D29" s="29"/>
      <c r="E29" s="29"/>
      <c r="F29" s="29"/>
      <c r="G29" s="125"/>
      <c r="H29" s="126"/>
    </row>
    <row r="30" spans="1:10" ht="15" customHeight="1">
      <c r="A30" s="24" t="s">
        <v>99</v>
      </c>
      <c r="B30" s="29"/>
      <c r="C30" s="29"/>
      <c r="D30" s="29"/>
      <c r="E30" s="29"/>
      <c r="F30" s="29"/>
      <c r="G30" s="29"/>
      <c r="H30" s="21"/>
    </row>
    <row r="31" spans="1:10" ht="15" customHeight="1">
      <c r="A31" s="24" t="s">
        <v>100</v>
      </c>
      <c r="B31" s="20"/>
      <c r="C31" s="20"/>
      <c r="D31" s="20"/>
      <c r="E31" s="20"/>
      <c r="F31" s="20"/>
      <c r="G31" s="127"/>
      <c r="H31" s="128"/>
    </row>
    <row r="32" spans="1:10" ht="15" customHeight="1">
      <c r="A32" s="24" t="s">
        <v>101</v>
      </c>
      <c r="C32" s="25"/>
      <c r="D32" s="25"/>
      <c r="E32" s="25"/>
      <c r="F32" s="25"/>
      <c r="G32" s="25"/>
      <c r="H32" s="126"/>
    </row>
    <row r="33" spans="1:10" ht="15" customHeight="1">
      <c r="A33" s="26" t="s">
        <v>102</v>
      </c>
      <c r="B33" s="27"/>
      <c r="C33" s="27"/>
      <c r="D33" s="27"/>
      <c r="E33" s="27"/>
      <c r="F33" s="27"/>
      <c r="G33" s="27"/>
      <c r="H33" s="129"/>
    </row>
    <row r="34" spans="1:10" ht="15" customHeight="1"/>
    <row r="35" spans="1:10" ht="15" customHeight="1">
      <c r="A35" s="293"/>
      <c r="B35" s="293"/>
      <c r="C35" s="293"/>
      <c r="D35" s="293"/>
      <c r="E35" s="293"/>
      <c r="F35" s="293"/>
      <c r="G35" s="293"/>
      <c r="H35" s="293"/>
    </row>
    <row r="36" spans="1:10" ht="15" customHeight="1">
      <c r="A36" s="243"/>
      <c r="B36" s="243"/>
      <c r="C36" s="243"/>
      <c r="D36" s="243"/>
      <c r="E36" s="243"/>
      <c r="F36" s="243"/>
      <c r="G36" s="243"/>
      <c r="H36" s="243"/>
    </row>
    <row r="37" spans="1:10" ht="15" customHeight="1">
      <c r="A37" s="24"/>
      <c r="H37" s="21"/>
    </row>
    <row r="38" spans="1:10" ht="15" customHeight="1">
      <c r="A38" s="24" t="s">
        <v>97</v>
      </c>
      <c r="B38" s="20"/>
      <c r="C38" s="20"/>
      <c r="D38" s="20"/>
      <c r="E38" s="20"/>
      <c r="F38" s="20"/>
      <c r="G38" s="20"/>
      <c r="H38" s="22"/>
    </row>
    <row r="39" spans="1:10" ht="15" customHeight="1">
      <c r="A39" s="24" t="s">
        <v>98</v>
      </c>
      <c r="B39" s="20"/>
      <c r="C39" s="20"/>
      <c r="D39" s="20"/>
      <c r="E39" s="20"/>
      <c r="F39" s="20"/>
      <c r="G39" s="127"/>
      <c r="H39" s="128"/>
    </row>
    <row r="40" spans="1:10" ht="15" customHeight="1">
      <c r="A40" s="24" t="s">
        <v>94</v>
      </c>
      <c r="B40" s="20"/>
      <c r="C40" s="20"/>
      <c r="D40" s="20"/>
      <c r="E40" s="20"/>
      <c r="F40" s="20"/>
      <c r="G40" s="125"/>
      <c r="H40" s="126"/>
    </row>
    <row r="41" spans="1:10" ht="15" customHeight="1">
      <c r="A41" s="24" t="s">
        <v>99</v>
      </c>
      <c r="B41" s="20"/>
      <c r="C41" s="20"/>
      <c r="D41" s="20"/>
      <c r="E41" s="20"/>
      <c r="F41" s="20"/>
      <c r="G41" s="20"/>
      <c r="H41" s="21"/>
    </row>
    <row r="42" spans="1:10" ht="15" customHeight="1">
      <c r="A42" s="24" t="s">
        <v>103</v>
      </c>
      <c r="B42" s="20"/>
      <c r="C42" s="20"/>
      <c r="D42" s="20"/>
      <c r="E42" s="20"/>
      <c r="F42" s="20"/>
      <c r="G42" s="127"/>
      <c r="H42" s="128"/>
    </row>
    <row r="43" spans="1:10" ht="15" customHeight="1">
      <c r="A43" s="24" t="s">
        <v>101</v>
      </c>
      <c r="C43" s="25"/>
      <c r="D43" s="25"/>
      <c r="E43" s="25"/>
      <c r="F43" s="25"/>
      <c r="G43" s="25"/>
      <c r="H43" s="130"/>
    </row>
    <row r="44" spans="1:10" ht="15" customHeight="1">
      <c r="A44" s="26" t="s">
        <v>102</v>
      </c>
      <c r="B44" s="27"/>
      <c r="C44" s="27"/>
      <c r="D44" s="27"/>
      <c r="E44" s="27"/>
      <c r="F44" s="27"/>
      <c r="G44" s="27"/>
      <c r="H44" s="129"/>
    </row>
    <row r="45" spans="1:10" ht="15" customHeight="1">
      <c r="A45" s="280" t="s">
        <v>75</v>
      </c>
      <c r="B45" s="281"/>
      <c r="C45" s="281"/>
      <c r="D45" s="281"/>
      <c r="E45" s="281"/>
      <c r="F45" s="281"/>
      <c r="G45" s="281"/>
      <c r="H45" s="281"/>
      <c r="I45" s="281"/>
      <c r="J45" s="281"/>
    </row>
    <row r="46" spans="1:10" ht="15" customHeight="1">
      <c r="A46" s="280"/>
      <c r="B46" s="281"/>
      <c r="C46" s="281"/>
      <c r="D46" s="281"/>
      <c r="E46" s="281"/>
      <c r="F46" s="281"/>
      <c r="G46" s="281"/>
      <c r="H46" s="281"/>
      <c r="I46" s="281"/>
      <c r="J46" s="281"/>
    </row>
    <row r="47" spans="1:10" ht="15" customHeight="1">
      <c r="A47" s="142"/>
      <c r="B47" s="141"/>
      <c r="C47" s="141"/>
      <c r="D47" s="141"/>
      <c r="E47" s="141"/>
      <c r="F47" s="141"/>
      <c r="G47" s="141"/>
      <c r="H47" s="141"/>
      <c r="I47" s="141"/>
      <c r="J47" s="141"/>
    </row>
    <row r="48" spans="1:10" ht="15" customHeight="1">
      <c r="A48" s="296"/>
      <c r="B48" s="296"/>
      <c r="C48" s="296"/>
      <c r="D48" s="296"/>
      <c r="E48" s="296"/>
      <c r="F48" s="296"/>
      <c r="G48" s="296"/>
      <c r="H48" s="296"/>
    </row>
    <row r="49" spans="1:8" ht="15" customHeight="1">
      <c r="A49" s="296"/>
      <c r="B49" s="296"/>
      <c r="C49" s="296"/>
      <c r="D49" s="296"/>
      <c r="E49" s="296"/>
      <c r="F49" s="296"/>
      <c r="G49" s="296"/>
      <c r="H49" s="296"/>
    </row>
    <row r="50" spans="1:8" ht="15" customHeight="1">
      <c r="A50" s="24"/>
      <c r="H50" s="21"/>
    </row>
    <row r="51" spans="1:8" ht="15" customHeight="1">
      <c r="A51" s="24" t="s">
        <v>97</v>
      </c>
      <c r="B51" s="20"/>
      <c r="C51" s="20"/>
      <c r="D51" s="20"/>
      <c r="E51" s="20"/>
      <c r="F51" s="20"/>
      <c r="G51" s="20"/>
      <c r="H51" s="22"/>
    </row>
    <row r="52" spans="1:8" ht="15" customHeight="1">
      <c r="A52" s="24" t="s">
        <v>98</v>
      </c>
      <c r="B52" s="20"/>
      <c r="C52" s="20"/>
      <c r="D52" s="20"/>
      <c r="E52" s="20"/>
      <c r="F52" s="20"/>
      <c r="G52" s="20"/>
      <c r="H52" s="22"/>
    </row>
    <row r="53" spans="1:8" ht="15" customHeight="1">
      <c r="A53" s="24" t="s">
        <v>94</v>
      </c>
      <c r="B53" s="20"/>
      <c r="C53" s="20"/>
      <c r="D53" s="20"/>
      <c r="E53" s="20"/>
      <c r="F53" s="20"/>
      <c r="G53" s="131"/>
      <c r="H53" s="132"/>
    </row>
    <row r="54" spans="1:8" ht="15" customHeight="1">
      <c r="A54" s="24" t="s">
        <v>99</v>
      </c>
      <c r="B54" s="20"/>
      <c r="C54" s="20"/>
      <c r="D54" s="20"/>
      <c r="E54" s="20"/>
      <c r="F54" s="20"/>
      <c r="G54" s="20"/>
      <c r="H54" s="21"/>
    </row>
    <row r="55" spans="1:8" ht="15" customHeight="1">
      <c r="A55" s="24" t="s">
        <v>103</v>
      </c>
      <c r="B55" s="20"/>
      <c r="C55" s="20"/>
      <c r="D55" s="20"/>
      <c r="E55" s="20"/>
      <c r="F55" s="20"/>
      <c r="G55" s="20"/>
      <c r="H55" s="22"/>
    </row>
    <row r="56" spans="1:8" ht="15" customHeight="1">
      <c r="A56" s="24" t="s">
        <v>101</v>
      </c>
      <c r="C56" s="25"/>
      <c r="D56" s="25"/>
      <c r="E56" s="25"/>
      <c r="F56" s="25"/>
      <c r="G56" s="25"/>
      <c r="H56" s="133"/>
    </row>
    <row r="57" spans="1:8" ht="15" customHeight="1">
      <c r="A57" s="26" t="s">
        <v>102</v>
      </c>
      <c r="B57" s="27"/>
      <c r="C57" s="27"/>
      <c r="D57" s="27"/>
      <c r="E57" s="27"/>
      <c r="F57" s="27"/>
      <c r="G57" s="27"/>
      <c r="H57" s="28"/>
    </row>
    <row r="58" spans="1:8" ht="15" customHeight="1"/>
    <row r="59" spans="1:8" ht="15" customHeight="1">
      <c r="A59" s="293"/>
      <c r="B59" s="293"/>
      <c r="C59" s="293"/>
      <c r="D59" s="293"/>
      <c r="E59" s="293"/>
      <c r="F59" s="293"/>
      <c r="G59" s="293"/>
    </row>
    <row r="60" spans="1:8" ht="15" customHeight="1">
      <c r="A60" s="243"/>
      <c r="B60" s="243"/>
      <c r="C60" s="243"/>
      <c r="D60" s="243"/>
      <c r="E60" s="243"/>
      <c r="F60" s="243"/>
      <c r="G60" s="243"/>
    </row>
    <row r="61" spans="1:8" ht="15" customHeight="1">
      <c r="A61" s="24"/>
      <c r="G61" s="21"/>
    </row>
    <row r="62" spans="1:8" ht="15" customHeight="1">
      <c r="A62" s="24" t="s">
        <v>97</v>
      </c>
      <c r="B62" s="20"/>
      <c r="C62" s="20"/>
      <c r="D62" s="20"/>
      <c r="E62" s="20"/>
      <c r="F62" s="20"/>
      <c r="G62" s="22"/>
    </row>
    <row r="63" spans="1:8" ht="15" customHeight="1">
      <c r="A63" s="24" t="s">
        <v>99</v>
      </c>
      <c r="B63" s="20"/>
      <c r="C63" s="20"/>
      <c r="D63" s="20"/>
      <c r="E63" s="20"/>
      <c r="F63" s="20"/>
      <c r="G63" s="22"/>
    </row>
    <row r="64" spans="1:8" ht="15" customHeight="1">
      <c r="A64" s="24" t="s">
        <v>103</v>
      </c>
      <c r="B64" s="20"/>
      <c r="C64" s="20"/>
      <c r="D64" s="20"/>
      <c r="E64" s="20"/>
      <c r="F64" s="20"/>
      <c r="G64" s="22"/>
    </row>
    <row r="65" spans="1:8" ht="15" customHeight="1">
      <c r="A65" s="24" t="s">
        <v>101</v>
      </c>
      <c r="C65" s="25"/>
      <c r="D65" s="25"/>
      <c r="E65" s="25"/>
      <c r="F65" s="25"/>
      <c r="G65" s="23"/>
      <c r="H65" s="5"/>
    </row>
    <row r="66" spans="1:8" ht="15" customHeight="1">
      <c r="A66" s="26" t="s">
        <v>102</v>
      </c>
      <c r="B66" s="27"/>
      <c r="C66" s="27"/>
      <c r="D66" s="27"/>
      <c r="E66" s="27"/>
      <c r="F66" s="27"/>
      <c r="G66" s="28"/>
    </row>
    <row r="67" spans="1:8" ht="15" customHeight="1"/>
    <row r="68" spans="1:8" ht="15" customHeight="1">
      <c r="A68" s="294"/>
      <c r="B68" s="294"/>
      <c r="C68" s="294"/>
      <c r="D68" s="294"/>
      <c r="E68" s="294"/>
      <c r="F68" s="294"/>
      <c r="G68" s="294"/>
    </row>
    <row r="69" spans="1:8" ht="15" customHeight="1">
      <c r="A69" s="243"/>
      <c r="B69" s="243"/>
      <c r="C69" s="243"/>
      <c r="D69" s="243"/>
      <c r="E69" s="243"/>
      <c r="F69" s="243"/>
      <c r="G69" s="243"/>
    </row>
    <row r="70" spans="1:8" ht="15" customHeight="1">
      <c r="A70" s="24"/>
      <c r="G70" s="21"/>
    </row>
    <row r="71" spans="1:8" ht="15" customHeight="1">
      <c r="A71" s="24" t="s">
        <v>97</v>
      </c>
      <c r="B71" s="20"/>
      <c r="C71" s="20"/>
      <c r="D71" s="20"/>
      <c r="E71" s="20"/>
      <c r="F71" s="20"/>
      <c r="G71" s="22"/>
    </row>
    <row r="72" spans="1:8" ht="15" customHeight="1">
      <c r="A72" s="24" t="s">
        <v>99</v>
      </c>
      <c r="B72" s="20"/>
      <c r="C72" s="20"/>
      <c r="D72" s="20"/>
      <c r="E72" s="20"/>
      <c r="F72" s="20"/>
      <c r="G72" s="22"/>
    </row>
    <row r="73" spans="1:8" ht="15" customHeight="1">
      <c r="A73" s="24" t="s">
        <v>103</v>
      </c>
      <c r="B73" s="20"/>
      <c r="C73" s="20"/>
      <c r="D73" s="20"/>
      <c r="E73" s="20"/>
      <c r="F73" s="20"/>
      <c r="G73" s="22"/>
    </row>
    <row r="74" spans="1:8" ht="15" customHeight="1">
      <c r="A74" s="24" t="s">
        <v>101</v>
      </c>
      <c r="C74" s="25"/>
      <c r="D74" s="25"/>
      <c r="E74" s="25"/>
      <c r="F74" s="25"/>
      <c r="G74" s="23"/>
      <c r="H74" s="5"/>
    </row>
    <row r="75" spans="1:8" ht="15" customHeight="1">
      <c r="A75" s="26" t="s">
        <v>102</v>
      </c>
      <c r="B75" s="27"/>
      <c r="C75" s="27"/>
      <c r="D75" s="27"/>
      <c r="E75" s="27"/>
      <c r="F75" s="27"/>
      <c r="G75" s="28"/>
    </row>
    <row r="76" spans="1:8" ht="15" customHeight="1"/>
    <row r="77" spans="1:8" ht="15" customHeight="1">
      <c r="A77" s="295"/>
      <c r="B77" s="295"/>
      <c r="C77" s="295"/>
      <c r="D77" s="295"/>
      <c r="E77" s="295"/>
      <c r="F77" s="295"/>
      <c r="G77" s="295"/>
    </row>
    <row r="78" spans="1:8" ht="15" customHeight="1">
      <c r="A78" s="296"/>
      <c r="B78" s="296"/>
      <c r="C78" s="296"/>
      <c r="D78" s="296"/>
      <c r="E78" s="296"/>
      <c r="F78" s="296"/>
      <c r="G78" s="296"/>
    </row>
    <row r="79" spans="1:8" ht="15" customHeight="1">
      <c r="A79" s="24"/>
      <c r="G79" s="21"/>
    </row>
    <row r="80" spans="1:8" ht="15" customHeight="1">
      <c r="A80" s="24" t="s">
        <v>97</v>
      </c>
      <c r="B80" s="20"/>
      <c r="C80" s="20"/>
      <c r="D80" s="20"/>
      <c r="E80" s="20"/>
      <c r="F80" s="20"/>
      <c r="G80" s="22"/>
    </row>
    <row r="81" spans="1:10" ht="15" customHeight="1">
      <c r="A81" s="24" t="s">
        <v>99</v>
      </c>
      <c r="B81" s="20"/>
      <c r="C81" s="20"/>
      <c r="D81" s="20"/>
      <c r="E81" s="20"/>
      <c r="F81" s="20"/>
      <c r="G81" s="22"/>
    </row>
    <row r="82" spans="1:10" ht="15" customHeight="1">
      <c r="A82" s="24" t="s">
        <v>103</v>
      </c>
      <c r="B82" s="20"/>
      <c r="C82" s="20"/>
      <c r="D82" s="20"/>
      <c r="E82" s="20"/>
      <c r="F82" s="20"/>
      <c r="G82" s="22"/>
    </row>
    <row r="83" spans="1:10" ht="15" customHeight="1">
      <c r="A83" s="24" t="s">
        <v>101</v>
      </c>
      <c r="C83" s="25"/>
      <c r="D83" s="25"/>
      <c r="E83" s="25"/>
      <c r="F83" s="25"/>
      <c r="G83" s="23"/>
      <c r="H83" s="5"/>
    </row>
    <row r="84" spans="1:10" ht="15" customHeight="1">
      <c r="A84" s="26" t="s">
        <v>102</v>
      </c>
      <c r="B84" s="27"/>
      <c r="C84" s="27"/>
      <c r="D84" s="27"/>
      <c r="E84" s="27"/>
      <c r="F84" s="27"/>
      <c r="G84" s="28"/>
    </row>
    <row r="85" spans="1:10" ht="15" customHeight="1"/>
    <row r="86" spans="1:10" ht="15" customHeight="1"/>
    <row r="87" spans="1:10" ht="15" customHeight="1"/>
    <row r="88" spans="1:10" ht="15" customHeight="1"/>
    <row r="89" spans="1:10" ht="15" customHeight="1">
      <c r="A89" s="280" t="s">
        <v>75</v>
      </c>
      <c r="B89" s="281"/>
      <c r="C89" s="281"/>
      <c r="D89" s="281"/>
      <c r="E89" s="281"/>
      <c r="F89" s="281"/>
      <c r="G89" s="281"/>
      <c r="H89" s="281"/>
      <c r="I89" s="281"/>
      <c r="J89" s="281"/>
    </row>
    <row r="90" spans="1:10" ht="15" customHeight="1">
      <c r="A90" s="280"/>
      <c r="B90" s="281"/>
      <c r="C90" s="281"/>
      <c r="D90" s="281"/>
      <c r="E90" s="281"/>
      <c r="F90" s="281"/>
      <c r="G90" s="281"/>
      <c r="H90" s="281"/>
      <c r="I90" s="281"/>
      <c r="J90" s="281"/>
    </row>
    <row r="91" spans="1:10" ht="15" customHeight="1">
      <c r="A91" s="142"/>
      <c r="B91" s="141"/>
      <c r="C91" s="141"/>
      <c r="D91" s="141"/>
      <c r="E91" s="141"/>
      <c r="F91" s="141"/>
      <c r="G91" s="141"/>
      <c r="H91" s="141"/>
      <c r="I91" s="141"/>
      <c r="J91" s="141"/>
    </row>
    <row r="92" spans="1:10" ht="15" customHeight="1">
      <c r="A92" s="293"/>
      <c r="B92" s="293"/>
      <c r="C92" s="293"/>
      <c r="D92" s="293"/>
      <c r="E92" s="293"/>
      <c r="F92" s="293"/>
      <c r="G92" s="293"/>
    </row>
    <row r="93" spans="1:10" ht="15" customHeight="1">
      <c r="A93" s="243"/>
      <c r="B93" s="243"/>
      <c r="C93" s="243"/>
      <c r="D93" s="243"/>
      <c r="E93" s="243"/>
      <c r="F93" s="243"/>
      <c r="G93" s="243"/>
    </row>
    <row r="94" spans="1:10" ht="15" customHeight="1">
      <c r="A94" s="24"/>
      <c r="G94" s="21"/>
    </row>
    <row r="95" spans="1:10" ht="15" customHeight="1">
      <c r="A95" s="24" t="s">
        <v>97</v>
      </c>
      <c r="B95" s="31"/>
      <c r="C95" s="31"/>
      <c r="D95" s="31"/>
      <c r="E95" s="31"/>
      <c r="F95" s="31"/>
      <c r="G95" s="32"/>
    </row>
    <row r="96" spans="1:10" ht="15" customHeight="1">
      <c r="A96" s="24" t="s">
        <v>98</v>
      </c>
      <c r="B96" s="31"/>
      <c r="C96" s="31"/>
      <c r="D96" s="31"/>
      <c r="E96" s="31"/>
      <c r="F96" s="31"/>
      <c r="G96" s="32"/>
    </row>
    <row r="97" spans="1:7" ht="15" customHeight="1">
      <c r="A97" s="24" t="s">
        <v>103</v>
      </c>
      <c r="B97" s="31"/>
      <c r="C97" s="31"/>
      <c r="D97" s="31"/>
      <c r="E97" s="31"/>
      <c r="F97" s="31"/>
      <c r="G97" s="32"/>
    </row>
    <row r="98" spans="1:7" ht="15" customHeight="1">
      <c r="A98" s="24" t="s">
        <v>101</v>
      </c>
      <c r="C98" s="25"/>
      <c r="D98" s="25"/>
      <c r="E98" s="25"/>
      <c r="F98" s="25"/>
      <c r="G98" s="23"/>
    </row>
    <row r="99" spans="1:7" ht="15" customHeight="1">
      <c r="A99" s="26" t="s">
        <v>102</v>
      </c>
      <c r="B99" s="27"/>
      <c r="C99" s="27"/>
      <c r="D99" s="27"/>
      <c r="E99" s="27"/>
      <c r="F99" s="27"/>
      <c r="G99" s="28"/>
    </row>
    <row r="100" spans="1:7" ht="15" customHeight="1"/>
    <row r="101" spans="1:7" ht="15" customHeight="1">
      <c r="A101" s="293"/>
      <c r="B101" s="293"/>
      <c r="C101" s="293"/>
      <c r="D101" s="293"/>
      <c r="E101" s="293"/>
      <c r="F101" s="293"/>
      <c r="G101" s="293"/>
    </row>
    <row r="102" spans="1:7" ht="15" customHeight="1">
      <c r="A102" s="243"/>
      <c r="B102" s="243"/>
      <c r="C102" s="243"/>
      <c r="D102" s="243"/>
      <c r="E102" s="243"/>
      <c r="F102" s="243"/>
      <c r="G102" s="243"/>
    </row>
    <row r="103" spans="1:7" ht="15" customHeight="1">
      <c r="A103" s="24"/>
      <c r="G103" s="21"/>
    </row>
    <row r="104" spans="1:7" ht="15" customHeight="1">
      <c r="A104" s="24" t="s">
        <v>97</v>
      </c>
      <c r="B104" s="33"/>
      <c r="C104" s="33"/>
      <c r="D104" s="33"/>
      <c r="E104" s="33"/>
      <c r="F104" s="33"/>
      <c r="G104" s="34"/>
    </row>
    <row r="105" spans="1:7" ht="15" customHeight="1">
      <c r="A105" s="24" t="s">
        <v>98</v>
      </c>
      <c r="B105" s="33"/>
      <c r="C105" s="33"/>
      <c r="D105" s="33"/>
      <c r="E105" s="33"/>
      <c r="F105" s="33"/>
      <c r="G105" s="34"/>
    </row>
    <row r="106" spans="1:7" ht="15" customHeight="1">
      <c r="A106" s="24" t="s">
        <v>103</v>
      </c>
      <c r="B106" s="33"/>
      <c r="C106" s="33"/>
      <c r="D106" s="33"/>
      <c r="E106" s="33"/>
      <c r="F106" s="33"/>
      <c r="G106" s="34"/>
    </row>
    <row r="107" spans="1:7" ht="15" customHeight="1">
      <c r="A107" s="24" t="s">
        <v>101</v>
      </c>
      <c r="C107" s="25"/>
      <c r="D107" s="25"/>
      <c r="E107" s="25"/>
      <c r="F107" s="25"/>
      <c r="G107" s="23"/>
    </row>
    <row r="108" spans="1:7" ht="15" customHeight="1">
      <c r="A108" s="26" t="s">
        <v>102</v>
      </c>
      <c r="B108" s="27"/>
      <c r="C108" s="27"/>
      <c r="D108" s="27"/>
      <c r="E108" s="27"/>
      <c r="F108" s="27"/>
      <c r="G108" s="28"/>
    </row>
    <row r="109" spans="1:7" ht="15" customHeight="1"/>
    <row r="110" spans="1:7" ht="15" customHeight="1"/>
  </sheetData>
  <mergeCells count="21">
    <mergeCell ref="A1:J2"/>
    <mergeCell ref="A45:J46"/>
    <mergeCell ref="A89:J90"/>
    <mergeCell ref="H4:J4"/>
    <mergeCell ref="H5:J5"/>
    <mergeCell ref="A24:H24"/>
    <mergeCell ref="A35:H35"/>
    <mergeCell ref="A36:H36"/>
    <mergeCell ref="A48:H48"/>
    <mergeCell ref="A49:H49"/>
    <mergeCell ref="A25:H25"/>
    <mergeCell ref="A102:G102"/>
    <mergeCell ref="A92:G92"/>
    <mergeCell ref="A93:G93"/>
    <mergeCell ref="A101:G101"/>
    <mergeCell ref="A59:G59"/>
    <mergeCell ref="A60:G60"/>
    <mergeCell ref="A68:G68"/>
    <mergeCell ref="A69:G69"/>
    <mergeCell ref="A77:G77"/>
    <mergeCell ref="A78:G78"/>
  </mergeCells>
  <phoneticPr fontId="2" type="noConversion"/>
  <pageMargins left="0.25" right="0.25" top="0.75" bottom="0.75" header="0.3" footer="0.3"/>
  <pageSetup paperSize="3"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470FC-4A98-4FAA-9471-6D4D0B5D3B27}">
  <sheetPr codeName="Sheet4"/>
  <dimension ref="A1:H41"/>
  <sheetViews>
    <sheetView showGridLines="0" workbookViewId="0">
      <selection activeCell="D13" sqref="D13"/>
    </sheetView>
  </sheetViews>
  <sheetFormatPr defaultRowHeight="15"/>
  <cols>
    <col min="1" max="1" width="36.5703125" customWidth="1"/>
    <col min="2" max="2" width="30.7109375" customWidth="1"/>
    <col min="3" max="5" width="20.7109375" customWidth="1"/>
    <col min="6" max="6" width="40.7109375" customWidth="1"/>
  </cols>
  <sheetData>
    <row r="1" spans="1:8" ht="30" customHeight="1">
      <c r="A1" s="299" t="s">
        <v>104</v>
      </c>
      <c r="B1" s="299"/>
      <c r="C1" s="299"/>
      <c r="D1" s="299"/>
      <c r="E1" s="299"/>
      <c r="F1" s="299"/>
    </row>
    <row r="2" spans="1:8" ht="15" customHeight="1">
      <c r="A2" s="1"/>
      <c r="B2" s="1"/>
    </row>
    <row r="3" spans="1:8" s="41" customFormat="1" ht="33" customHeight="1">
      <c r="A3" s="156" t="s">
        <v>105</v>
      </c>
      <c r="B3" s="156" t="s">
        <v>11</v>
      </c>
      <c r="C3" s="156" t="s">
        <v>106</v>
      </c>
      <c r="D3" s="156" t="s">
        <v>107</v>
      </c>
      <c r="E3" s="156" t="s">
        <v>108</v>
      </c>
      <c r="F3" s="156" t="s">
        <v>109</v>
      </c>
    </row>
    <row r="4" spans="1:8" ht="99.95" customHeight="1">
      <c r="A4" s="158"/>
      <c r="B4" s="157"/>
      <c r="C4" s="157"/>
      <c r="D4" s="157"/>
      <c r="E4" s="157"/>
      <c r="F4" s="298"/>
    </row>
    <row r="5" spans="1:8">
      <c r="A5" s="158"/>
      <c r="B5" s="157"/>
      <c r="C5" s="157"/>
      <c r="D5" s="157"/>
      <c r="E5" s="157"/>
      <c r="F5" s="298"/>
      <c r="G5" s="12"/>
      <c r="H5" s="135"/>
    </row>
    <row r="6" spans="1:8" ht="150" customHeight="1">
      <c r="A6" s="158"/>
      <c r="B6" s="157"/>
      <c r="C6" s="157"/>
      <c r="D6" s="157"/>
      <c r="E6" s="157"/>
      <c r="F6" s="157"/>
      <c r="G6" s="12"/>
      <c r="H6" s="135"/>
    </row>
    <row r="7" spans="1:8" ht="99.95" customHeight="1">
      <c r="A7" s="158"/>
      <c r="B7" s="157"/>
      <c r="C7" s="157"/>
      <c r="D7" s="157"/>
      <c r="E7" s="157"/>
      <c r="F7" s="157"/>
      <c r="G7" s="1"/>
      <c r="H7" s="60"/>
    </row>
    <row r="8" spans="1:8">
      <c r="A8" s="155"/>
      <c r="B8" s="155"/>
      <c r="C8" s="155"/>
      <c r="D8" s="155"/>
      <c r="E8" s="155"/>
      <c r="F8" s="155"/>
      <c r="H8" s="60"/>
    </row>
    <row r="9" spans="1:8">
      <c r="A9" s="155"/>
      <c r="B9" s="155"/>
      <c r="C9" s="155"/>
      <c r="D9" s="155"/>
      <c r="E9" s="155"/>
      <c r="F9" s="155"/>
      <c r="H9" s="60"/>
    </row>
    <row r="10" spans="1:8">
      <c r="A10" s="155"/>
      <c r="B10" s="155"/>
      <c r="C10" s="155"/>
      <c r="D10" s="155"/>
      <c r="E10" s="155"/>
      <c r="F10" s="155"/>
      <c r="H10" s="60"/>
    </row>
    <row r="11" spans="1:8">
      <c r="A11" s="155"/>
      <c r="B11" s="155"/>
      <c r="C11" s="155"/>
      <c r="D11" s="155"/>
      <c r="E11" s="155"/>
      <c r="F11" s="155"/>
      <c r="H11" s="60"/>
    </row>
    <row r="12" spans="1:8">
      <c r="A12" s="155"/>
      <c r="B12" s="155"/>
      <c r="C12" s="155"/>
      <c r="D12" s="155"/>
      <c r="E12" s="155"/>
      <c r="F12" s="155"/>
    </row>
    <row r="13" spans="1:8">
      <c r="A13" s="155"/>
      <c r="B13" s="155"/>
      <c r="C13" s="155"/>
      <c r="D13" s="155"/>
      <c r="E13" s="155"/>
      <c r="F13" s="155"/>
    </row>
    <row r="14" spans="1:8">
      <c r="A14" s="155"/>
      <c r="B14" s="155"/>
      <c r="C14" s="155"/>
      <c r="D14" s="155"/>
      <c r="E14" s="155"/>
      <c r="F14" s="155"/>
      <c r="H14" s="135"/>
    </row>
    <row r="15" spans="1:8">
      <c r="A15" s="18"/>
      <c r="H15" s="60"/>
    </row>
    <row r="16" spans="1:8">
      <c r="A16" s="18"/>
      <c r="H16" s="60"/>
    </row>
    <row r="17" spans="1:8">
      <c r="A17" s="18"/>
      <c r="H17" s="60"/>
    </row>
    <row r="18" spans="1:8">
      <c r="A18" s="18"/>
      <c r="H18" s="60"/>
    </row>
    <row r="19" spans="1:8">
      <c r="A19" s="18"/>
    </row>
    <row r="20" spans="1:8">
      <c r="A20" s="18"/>
    </row>
    <row r="21" spans="1:8">
      <c r="A21" s="18"/>
    </row>
    <row r="22" spans="1:8">
      <c r="A22" s="18"/>
    </row>
    <row r="23" spans="1:8">
      <c r="A23" s="18"/>
    </row>
    <row r="24" spans="1:8">
      <c r="A24" s="18"/>
    </row>
    <row r="25" spans="1:8">
      <c r="A25" s="18"/>
    </row>
    <row r="26" spans="1:8">
      <c r="A26" s="18"/>
    </row>
    <row r="27" spans="1:8">
      <c r="A27" s="18"/>
    </row>
    <row r="28" spans="1:8">
      <c r="A28" s="18"/>
    </row>
    <row r="29" spans="1:8">
      <c r="A29" s="18"/>
    </row>
    <row r="30" spans="1:8">
      <c r="A30" s="13"/>
    </row>
    <row r="31" spans="1:8">
      <c r="A31" s="13"/>
    </row>
    <row r="32" spans="1:8">
      <c r="A32" s="13"/>
    </row>
    <row r="33" spans="1:1">
      <c r="A33" s="13"/>
    </row>
    <row r="34" spans="1:1">
      <c r="A34" s="13"/>
    </row>
    <row r="35" spans="1:1">
      <c r="A35" s="13"/>
    </row>
    <row r="36" spans="1:1">
      <c r="A36" s="13"/>
    </row>
    <row r="37" spans="1:1">
      <c r="A37" s="13"/>
    </row>
    <row r="38" spans="1:1">
      <c r="A38" s="13"/>
    </row>
    <row r="39" spans="1:1">
      <c r="A39" s="13"/>
    </row>
    <row r="40" spans="1:1">
      <c r="A40" s="13"/>
    </row>
    <row r="41" spans="1:1">
      <c r="A41" s="13"/>
    </row>
  </sheetData>
  <mergeCells count="2">
    <mergeCell ref="F4:F5"/>
    <mergeCell ref="A1:F1"/>
  </mergeCells>
  <pageMargins left="0.7" right="0.7" top="0.75" bottom="0.75" header="0.3" footer="0.3"/>
  <pageSetup paperSize="3" scale="11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92F3F-CEAC-46EB-82FF-6D288938C51C}">
  <sheetPr codeName="Sheet13"/>
  <dimension ref="A1:Y234"/>
  <sheetViews>
    <sheetView showGridLines="0" tabSelected="1" topLeftCell="A108" zoomScaleNormal="100" workbookViewId="0">
      <selection activeCell="N127" sqref="N127"/>
    </sheetView>
  </sheetViews>
  <sheetFormatPr defaultRowHeight="15"/>
  <cols>
    <col min="1" max="1" width="40.7109375" customWidth="1"/>
    <col min="2" max="13" width="13.7109375" customWidth="1"/>
    <col min="14" max="14" width="16" customWidth="1"/>
    <col min="15" max="15" width="13.7109375" customWidth="1"/>
  </cols>
  <sheetData>
    <row r="1" spans="1:25">
      <c r="A1" s="236" t="s">
        <v>110</v>
      </c>
      <c r="B1" s="172" t="s">
        <v>111</v>
      </c>
      <c r="C1" s="172" t="s">
        <v>112</v>
      </c>
      <c r="D1" s="172" t="s">
        <v>113</v>
      </c>
      <c r="E1" s="172" t="s">
        <v>114</v>
      </c>
      <c r="F1" s="172" t="s">
        <v>115</v>
      </c>
      <c r="G1" s="172" t="s">
        <v>116</v>
      </c>
      <c r="H1" s="172" t="s">
        <v>117</v>
      </c>
      <c r="I1" s="172" t="s">
        <v>118</v>
      </c>
      <c r="J1" s="172" t="s">
        <v>119</v>
      </c>
      <c r="K1" s="172" t="s">
        <v>120</v>
      </c>
      <c r="L1" s="233" t="s">
        <v>121</v>
      </c>
      <c r="N1" s="225" t="s">
        <v>122</v>
      </c>
      <c r="O1" s="226" t="s">
        <v>111</v>
      </c>
      <c r="P1" s="226" t="s">
        <v>112</v>
      </c>
      <c r="Q1" s="226" t="s">
        <v>113</v>
      </c>
      <c r="R1" s="226" t="s">
        <v>114</v>
      </c>
      <c r="S1" s="226" t="s">
        <v>115</v>
      </c>
      <c r="T1" s="226" t="s">
        <v>116</v>
      </c>
      <c r="U1" s="226" t="s">
        <v>117</v>
      </c>
      <c r="V1" s="226" t="s">
        <v>118</v>
      </c>
      <c r="W1" s="226" t="s">
        <v>119</v>
      </c>
      <c r="X1" s="226" t="s">
        <v>120</v>
      </c>
      <c r="Y1" s="227" t="s">
        <v>121</v>
      </c>
    </row>
    <row r="2" spans="1:25">
      <c r="A2" s="24" t="s">
        <v>97</v>
      </c>
      <c r="B2" s="82">
        <v>672465</v>
      </c>
      <c r="C2" s="82">
        <v>588686</v>
      </c>
      <c r="D2" s="82">
        <v>600738</v>
      </c>
      <c r="E2" s="82">
        <v>910862</v>
      </c>
      <c r="F2" s="82">
        <v>874119</v>
      </c>
      <c r="G2" s="82">
        <v>701933</v>
      </c>
      <c r="H2" s="82">
        <v>767126</v>
      </c>
      <c r="I2" s="82">
        <v>914673</v>
      </c>
      <c r="J2" s="82">
        <v>1339635</v>
      </c>
      <c r="K2" s="82">
        <v>1317635</v>
      </c>
      <c r="L2" s="230">
        <v>1741879</v>
      </c>
      <c r="N2" s="24" t="s">
        <v>97</v>
      </c>
      <c r="O2" s="228">
        <f t="shared" ref="O2:Y2" si="0">B2/B2</f>
        <v>1</v>
      </c>
      <c r="P2" s="228">
        <f t="shared" si="0"/>
        <v>1</v>
      </c>
      <c r="Q2" s="228">
        <f t="shared" si="0"/>
        <v>1</v>
      </c>
      <c r="R2" s="228">
        <f t="shared" si="0"/>
        <v>1</v>
      </c>
      <c r="S2" s="228">
        <f t="shared" si="0"/>
        <v>1</v>
      </c>
      <c r="T2" s="228">
        <f t="shared" si="0"/>
        <v>1</v>
      </c>
      <c r="U2" s="228">
        <f t="shared" si="0"/>
        <v>1</v>
      </c>
      <c r="V2" s="228">
        <f t="shared" si="0"/>
        <v>1</v>
      </c>
      <c r="W2" s="228">
        <f t="shared" si="0"/>
        <v>1</v>
      </c>
      <c r="X2" s="228">
        <f t="shared" si="0"/>
        <v>1</v>
      </c>
      <c r="Y2" s="229">
        <f t="shared" si="0"/>
        <v>1</v>
      </c>
    </row>
    <row r="3" spans="1:25">
      <c r="A3" s="24" t="s">
        <v>123</v>
      </c>
      <c r="B3" s="82">
        <v>-483954</v>
      </c>
      <c r="C3" s="82">
        <v>-433486</v>
      </c>
      <c r="D3" s="82">
        <v>-446344</v>
      </c>
      <c r="E3" s="82">
        <v>-681183</v>
      </c>
      <c r="F3" s="82">
        <v>-653471</v>
      </c>
      <c r="G3" s="82">
        <v>-471783</v>
      </c>
      <c r="H3" s="82">
        <v>-316372</v>
      </c>
      <c r="I3" s="82">
        <v>-439127</v>
      </c>
      <c r="J3" s="82">
        <v>-778799</v>
      </c>
      <c r="K3" s="82">
        <v>-748281</v>
      </c>
      <c r="L3" s="230">
        <v>-1085098</v>
      </c>
      <c r="N3" s="24" t="s">
        <v>123</v>
      </c>
      <c r="O3" s="228">
        <f>ABS(B3/B2)</f>
        <v>0.71967165577390646</v>
      </c>
      <c r="P3" s="228">
        <f>ABS(C3/$C$2)</f>
        <v>0.73636199943603209</v>
      </c>
      <c r="Q3" s="228">
        <f>ABS(D3/$D$2)</f>
        <v>0.74299278554045189</v>
      </c>
      <c r="R3" s="228">
        <f>ABS(E3/$E$2)</f>
        <v>0.74784434963803514</v>
      </c>
      <c r="S3" s="228">
        <f>ABS(F3/$F$2)</f>
        <v>0.7475767029431919</v>
      </c>
      <c r="T3" s="228">
        <f>ABS(G3/$G$2)</f>
        <v>0.67211970373240748</v>
      </c>
      <c r="U3" s="228">
        <f>ABS(H3/$H$2)</f>
        <v>0.41241204182885211</v>
      </c>
      <c r="V3" s="228">
        <f>ABS(I3/$I$2)</f>
        <v>0.48009179236732691</v>
      </c>
      <c r="W3" s="228">
        <f>ABS(J3/$J$2)</f>
        <v>0.58135163682644897</v>
      </c>
      <c r="X3" s="228">
        <f>ABS(K3/$K$2)</f>
        <v>0.56789702762904748</v>
      </c>
      <c r="Y3" s="229">
        <f>ABS(L3/$L$2)</f>
        <v>0.62294682925737088</v>
      </c>
    </row>
    <row r="4" spans="1:25">
      <c r="A4" s="24" t="s">
        <v>124</v>
      </c>
      <c r="B4" s="212">
        <v>188511</v>
      </c>
      <c r="C4" s="212">
        <v>155200</v>
      </c>
      <c r="D4" s="212">
        <v>154394</v>
      </c>
      <c r="E4" s="212">
        <v>229679</v>
      </c>
      <c r="F4" s="212">
        <v>220648</v>
      </c>
      <c r="G4" s="212">
        <v>230150</v>
      </c>
      <c r="H4" s="212">
        <v>450754</v>
      </c>
      <c r="I4" s="212">
        <v>475546</v>
      </c>
      <c r="J4" s="212">
        <v>560836</v>
      </c>
      <c r="K4" s="212">
        <v>569354</v>
      </c>
      <c r="L4" s="234">
        <v>656781</v>
      </c>
      <c r="N4" s="24" t="s">
        <v>124</v>
      </c>
      <c r="O4" s="228">
        <f>ABS(B4/$B$2)</f>
        <v>0.28032834422609354</v>
      </c>
      <c r="P4" s="228">
        <f>ABS(C4/$C$2)</f>
        <v>0.26363800056396791</v>
      </c>
      <c r="Q4" s="228">
        <f>ABS(D4/$D$2)</f>
        <v>0.25700721445954811</v>
      </c>
      <c r="R4" s="228">
        <f>ABS(E4/$E$2)</f>
        <v>0.2521556503619648</v>
      </c>
      <c r="S4" s="228">
        <f>ABS(F4/$F$2)</f>
        <v>0.25242329705680805</v>
      </c>
      <c r="T4" s="228">
        <f>ABS(G4/$G$2)</f>
        <v>0.32788029626759246</v>
      </c>
      <c r="U4" s="228">
        <f>ABS(H4/$H$2)</f>
        <v>0.58758795817114784</v>
      </c>
      <c r="V4" s="228">
        <f>ABS(I4/$I$2)</f>
        <v>0.51990820763267309</v>
      </c>
      <c r="W4" s="228">
        <f>ABS(J4/$J$2)</f>
        <v>0.41864836317355103</v>
      </c>
      <c r="X4" s="228">
        <f>ABS(K4/$K$2)</f>
        <v>0.43210297237095252</v>
      </c>
      <c r="Y4" s="229">
        <f>ABS(L4/$L$2)</f>
        <v>0.37705317074262906</v>
      </c>
    </row>
    <row r="5" spans="1:25">
      <c r="A5" s="24"/>
      <c r="B5" s="82"/>
      <c r="C5" s="82"/>
      <c r="D5" s="82"/>
      <c r="E5" s="82"/>
      <c r="F5" s="82"/>
      <c r="G5" s="82"/>
      <c r="H5" s="82"/>
      <c r="I5" s="82"/>
      <c r="J5" s="82"/>
      <c r="K5" s="82"/>
      <c r="L5" s="230"/>
      <c r="N5" s="24"/>
      <c r="O5" s="228"/>
      <c r="P5" s="228"/>
      <c r="Q5" s="228"/>
      <c r="R5" s="228"/>
      <c r="S5" s="228"/>
      <c r="T5" s="228"/>
      <c r="U5" s="228"/>
      <c r="V5" s="228"/>
      <c r="W5" s="228"/>
      <c r="X5" s="228"/>
      <c r="Y5" s="229"/>
    </row>
    <row r="6" spans="1:25">
      <c r="A6" s="24" t="s">
        <v>125</v>
      </c>
      <c r="B6" s="82">
        <f t="shared" ref="B6:L6" si="1">B150+B151+B152</f>
        <v>-35349</v>
      </c>
      <c r="C6" s="82">
        <f t="shared" si="1"/>
        <v>-40536</v>
      </c>
      <c r="D6" s="82">
        <f t="shared" si="1"/>
        <v>-29620</v>
      </c>
      <c r="E6" s="82">
        <f t="shared" si="1"/>
        <v>-41927</v>
      </c>
      <c r="F6" s="82">
        <f t="shared" si="1"/>
        <v>-25036</v>
      </c>
      <c r="G6" s="82">
        <f t="shared" si="1"/>
        <v>-26421</v>
      </c>
      <c r="H6" s="82">
        <f t="shared" si="1"/>
        <v>-30366</v>
      </c>
      <c r="I6" s="82">
        <f t="shared" si="1"/>
        <v>-46537</v>
      </c>
      <c r="J6" s="82">
        <f t="shared" si="1"/>
        <v>-61341</v>
      </c>
      <c r="K6" s="82">
        <f t="shared" si="1"/>
        <v>-62111</v>
      </c>
      <c r="L6" s="230">
        <f t="shared" si="1"/>
        <v>-80718</v>
      </c>
      <c r="N6" s="24" t="s">
        <v>125</v>
      </c>
      <c r="O6" s="228">
        <f>ABS(B6/$B$2)</f>
        <v>5.2566304566036892E-2</v>
      </c>
      <c r="P6" s="228">
        <f>ABS(C6/$C$2)</f>
        <v>6.8858440662764184E-2</v>
      </c>
      <c r="Q6" s="228">
        <f>ABS(D6/$D$2)</f>
        <v>4.9306020261744722E-2</v>
      </c>
      <c r="R6" s="228">
        <f>ABS(E6/$E$2)</f>
        <v>4.6030024306645795E-2</v>
      </c>
      <c r="S6" s="228">
        <f>ABS(F6/$F$2)</f>
        <v>2.8641409236042231E-2</v>
      </c>
      <c r="T6" s="228">
        <f>ABS(G6/$G$2)</f>
        <v>3.7640344591292903E-2</v>
      </c>
      <c r="U6" s="228">
        <f>ABS(H6/$H$2)</f>
        <v>3.9584110041896638E-2</v>
      </c>
      <c r="V6" s="228">
        <f>ABS(I6/$I$2)</f>
        <v>5.0878292023488175E-2</v>
      </c>
      <c r="W6" s="228">
        <f>ABS(J6/$J$2)</f>
        <v>4.578933814061293E-2</v>
      </c>
      <c r="X6" s="228">
        <f>ABS(K6/$K$2)</f>
        <v>4.7138243899107111E-2</v>
      </c>
      <c r="Y6" s="229">
        <f>ABS(L6/$L$2)</f>
        <v>4.6339613715992899E-2</v>
      </c>
    </row>
    <row r="7" spans="1:25">
      <c r="A7" s="24" t="s">
        <v>126</v>
      </c>
      <c r="B7" s="82" t="str">
        <f t="shared" ref="B7:L7" si="2">B153</f>
        <v>(4,726)</v>
      </c>
      <c r="C7" s="82" t="str">
        <f t="shared" si="2"/>
        <v>(14,036)</v>
      </c>
      <c r="D7" s="82" t="str">
        <f t="shared" si="2"/>
        <v>(19,421)</v>
      </c>
      <c r="E7" s="82" t="str">
        <f t="shared" si="2"/>
        <v>(13,741)</v>
      </c>
      <c r="F7" s="82" t="str">
        <f t="shared" si="2"/>
        <v>(9,895)</v>
      </c>
      <c r="G7" s="82" t="str">
        <f t="shared" si="2"/>
        <v>(13,003)</v>
      </c>
      <c r="H7" s="82" t="str">
        <f t="shared" si="2"/>
        <v>(17,522)</v>
      </c>
      <c r="I7" s="82" t="str">
        <f t="shared" si="2"/>
        <v>(26,049)</v>
      </c>
      <c r="J7" s="82" t="str">
        <f t="shared" si="2"/>
        <v>(17,209)</v>
      </c>
      <c r="K7" s="82" t="str">
        <f t="shared" si="2"/>
        <v>(53,406)</v>
      </c>
      <c r="L7" s="230" t="str">
        <f t="shared" si="2"/>
        <v>(29,156)</v>
      </c>
      <c r="N7" s="24" t="s">
        <v>126</v>
      </c>
      <c r="O7" s="228">
        <f>ABS(B7/$B$2)</f>
        <v>7.0278750566944003E-3</v>
      </c>
      <c r="P7" s="228">
        <f>ABS(C7/$C$2)</f>
        <v>2.3842931545849572E-2</v>
      </c>
      <c r="Q7" s="228">
        <f>ABS(D7/$D$2)</f>
        <v>3.2328569193225666E-2</v>
      </c>
      <c r="R7" s="228">
        <f>ABS(E7/$E$2)</f>
        <v>1.5085710019739544E-2</v>
      </c>
      <c r="S7" s="228">
        <f>ABS(F7/$F$2)</f>
        <v>1.1319969020236376E-2</v>
      </c>
      <c r="T7" s="228">
        <f>ABS(G7/$G$2)</f>
        <v>1.8524560036356746E-2</v>
      </c>
      <c r="U7" s="228">
        <f>ABS(H7/$H$2)</f>
        <v>2.2841097811832738E-2</v>
      </c>
      <c r="V7" s="228">
        <f>ABS(I7/$I$2)</f>
        <v>2.8479030210796646E-2</v>
      </c>
      <c r="W7" s="228">
        <f>ABS(J7/$J$2)</f>
        <v>1.2846036420368235E-2</v>
      </c>
      <c r="X7" s="228">
        <f>ABS(K7/$K$2)</f>
        <v>4.0531710223240883E-2</v>
      </c>
      <c r="Y7" s="229">
        <f>ABS(L7/$L$2)</f>
        <v>1.6738246456843443E-2</v>
      </c>
    </row>
    <row r="8" spans="1:25">
      <c r="A8" s="24" t="s">
        <v>127</v>
      </c>
      <c r="B8" s="82" t="str">
        <f t="shared" ref="B8:L8" si="3">B157</f>
        <v>(3,981)</v>
      </c>
      <c r="C8" s="82" t="str">
        <f t="shared" si="3"/>
        <v>(5,425)</v>
      </c>
      <c r="D8" s="82" t="str">
        <f t="shared" si="3"/>
        <v>(6,090)</v>
      </c>
      <c r="E8" s="82" t="str">
        <f t="shared" si="3"/>
        <v>(6,766)</v>
      </c>
      <c r="F8" s="82" t="str">
        <f t="shared" si="3"/>
        <v>(7,743)</v>
      </c>
      <c r="G8" s="82" t="str">
        <f t="shared" si="3"/>
        <v>(8,433)</v>
      </c>
      <c r="H8" s="82" t="str">
        <f t="shared" si="3"/>
        <v>(22,331)</v>
      </c>
      <c r="I8" s="82" t="str">
        <f t="shared" si="3"/>
        <v>(21,967)</v>
      </c>
      <c r="J8" s="82" t="str">
        <f t="shared" si="3"/>
        <v>(29,589)</v>
      </c>
      <c r="K8" s="82" t="str">
        <f t="shared" si="3"/>
        <v>(40,079)</v>
      </c>
      <c r="L8" s="230" t="str">
        <f t="shared" si="3"/>
        <v>(62,183)</v>
      </c>
      <c r="N8" s="24" t="s">
        <v>127</v>
      </c>
      <c r="O8" s="228">
        <f>ABS(B8/$B$2)</f>
        <v>5.9200107068769379E-3</v>
      </c>
      <c r="P8" s="228">
        <f>ABS(C8/$C$2)</f>
        <v>9.2154391305381816E-3</v>
      </c>
      <c r="Q8" s="228">
        <f>ABS(D8/$D$2)</f>
        <v>1.0137530837070403E-2</v>
      </c>
      <c r="R8" s="228">
        <f>ABS(E8/$E$2)</f>
        <v>7.4281285200173026E-3</v>
      </c>
      <c r="S8" s="228">
        <f>ABS(F8/$F$2)</f>
        <v>8.8580616597968929E-3</v>
      </c>
      <c r="T8" s="228">
        <f>ABS(G8/$G$2)</f>
        <v>1.2013967145012416E-2</v>
      </c>
      <c r="U8" s="228">
        <f>ABS(H8/$H$2)</f>
        <v>2.9109950646960214E-2</v>
      </c>
      <c r="V8" s="228">
        <f>ABS(I8/$I$2)</f>
        <v>2.4016233123750237E-2</v>
      </c>
      <c r="W8" s="228">
        <f>ABS(J8/$J$2)</f>
        <v>2.2087359616611988E-2</v>
      </c>
      <c r="X8" s="228">
        <f>ABS(K8/$K$2)</f>
        <v>3.0417376587598233E-2</v>
      </c>
      <c r="Y8" s="229">
        <f>ABS(L8/$L$2)</f>
        <v>3.5698805714977903E-2</v>
      </c>
    </row>
    <row r="9" spans="1:25">
      <c r="A9" s="24" t="s">
        <v>128</v>
      </c>
      <c r="B9" s="212">
        <f t="shared" ref="B9:L9" si="4">B4+B12+B6+B7+B8</f>
        <v>144455</v>
      </c>
      <c r="C9" s="212">
        <f t="shared" si="4"/>
        <v>95203</v>
      </c>
      <c r="D9" s="212">
        <f t="shared" si="4"/>
        <v>140945</v>
      </c>
      <c r="E9" s="212">
        <f t="shared" si="4"/>
        <v>176508</v>
      </c>
      <c r="F9" s="212">
        <f t="shared" si="4"/>
        <v>164228</v>
      </c>
      <c r="G9" s="212">
        <f t="shared" si="4"/>
        <v>180982</v>
      </c>
      <c r="H9" s="212">
        <f t="shared" si="4"/>
        <v>380535</v>
      </c>
      <c r="I9" s="212">
        <f t="shared" si="4"/>
        <v>380993</v>
      </c>
      <c r="J9" s="212">
        <f t="shared" si="4"/>
        <v>452697</v>
      </c>
      <c r="K9" s="212">
        <f t="shared" si="4"/>
        <v>413758</v>
      </c>
      <c r="L9" s="234">
        <f t="shared" si="4"/>
        <v>484724</v>
      </c>
      <c r="N9" s="24" t="s">
        <v>128</v>
      </c>
      <c r="O9" s="228">
        <f>ABS(B9/$B$2)</f>
        <v>0.21481415389648531</v>
      </c>
      <c r="P9" s="228">
        <f>ABS(C9/$C$2)</f>
        <v>0.16172118922481596</v>
      </c>
      <c r="Q9" s="228">
        <f>ABS(D9/$D$2)</f>
        <v>0.23461975103955468</v>
      </c>
      <c r="R9" s="228">
        <f>ABS(E9/$E$2)</f>
        <v>0.19378127531942271</v>
      </c>
      <c r="S9" s="228">
        <f>ABS(F9/$F$2)</f>
        <v>0.18787830947502571</v>
      </c>
      <c r="T9" s="228">
        <f>ABS(G9/$G$2)</f>
        <v>0.25783372487117717</v>
      </c>
      <c r="U9" s="228">
        <f>ABS(H9/$H$2)</f>
        <v>0.49605279967045829</v>
      </c>
      <c r="V9" s="228">
        <f>ABS(I9/$I$2)</f>
        <v>0.41653465227463804</v>
      </c>
      <c r="W9" s="228">
        <f>ABS(J9/$J$2)</f>
        <v>0.33792562899595785</v>
      </c>
      <c r="X9" s="228">
        <f>ABS(K9/$K$2)</f>
        <v>0.31401564166100626</v>
      </c>
      <c r="Y9" s="229">
        <f>ABS(L9/$L$2)</f>
        <v>0.27827650485481481</v>
      </c>
    </row>
    <row r="10" spans="1:25">
      <c r="A10" s="24"/>
      <c r="B10" s="82"/>
      <c r="C10" s="82"/>
      <c r="D10" s="82"/>
      <c r="E10" s="82"/>
      <c r="F10" s="82"/>
      <c r="G10" s="82"/>
      <c r="H10" s="82"/>
      <c r="I10" s="82"/>
      <c r="J10" s="82"/>
      <c r="K10" s="82"/>
      <c r="L10" s="230"/>
      <c r="N10" s="24"/>
      <c r="O10" s="228"/>
      <c r="P10" s="228"/>
      <c r="Q10" s="228"/>
      <c r="R10" s="228"/>
      <c r="S10" s="228"/>
      <c r="T10" s="228"/>
      <c r="U10" s="228"/>
      <c r="V10" s="228"/>
      <c r="W10" s="228"/>
      <c r="X10" s="228"/>
      <c r="Y10" s="229"/>
    </row>
    <row r="11" spans="1:25">
      <c r="A11" s="24" t="s">
        <v>129</v>
      </c>
      <c r="B11" s="82" t="str">
        <f t="shared" ref="B11:L11" si="5">B160</f>
        <v>(45,724)</v>
      </c>
      <c r="C11" s="82" t="str">
        <f t="shared" si="5"/>
        <v>(39,870)</v>
      </c>
      <c r="D11" s="82" t="str">
        <f t="shared" si="5"/>
        <v>(22,004)</v>
      </c>
      <c r="E11" s="82" t="str">
        <f t="shared" si="5"/>
        <v>(35,225)</v>
      </c>
      <c r="F11" s="82" t="str">
        <f t="shared" si="5"/>
        <v>(37,908)</v>
      </c>
      <c r="G11" s="82" t="str">
        <f t="shared" si="5"/>
        <v>(11,984)</v>
      </c>
      <c r="H11" s="82" t="str">
        <f t="shared" si="5"/>
        <v>(11,085)</v>
      </c>
      <c r="I11" s="82" t="str">
        <f t="shared" si="5"/>
        <v>(8,915)</v>
      </c>
      <c r="J11" s="82" t="str">
        <f t="shared" si="5"/>
        <v>(14,842)</v>
      </c>
      <c r="K11" s="82" t="str">
        <f t="shared" si="5"/>
        <v>(25,148)</v>
      </c>
      <c r="L11" s="230" t="str">
        <f t="shared" si="5"/>
        <v>(18,301)</v>
      </c>
      <c r="N11" s="24" t="s">
        <v>129</v>
      </c>
      <c r="O11" s="228">
        <f>ABS(B11/$B$2)</f>
        <v>6.7994616820206258E-2</v>
      </c>
      <c r="P11" s="228">
        <f>ABS(C11/$C$2)</f>
        <v>6.7727107490240981E-2</v>
      </c>
      <c r="Q11" s="228">
        <f>ABS(D11/$D$2)</f>
        <v>3.6628280548258972E-2</v>
      </c>
      <c r="R11" s="228">
        <f>ABS(E11/$E$2)</f>
        <v>3.8672158900030958E-2</v>
      </c>
      <c r="S11" s="228">
        <f>ABS(F11/$F$2)</f>
        <v>4.3367093038819658E-2</v>
      </c>
      <c r="T11" s="228">
        <f>ABS(G11/$G$2)</f>
        <v>1.7072854531700318E-2</v>
      </c>
      <c r="U11" s="228">
        <f>ABS(H11/$H$2)</f>
        <v>1.4450038194507813E-2</v>
      </c>
      <c r="V11" s="228">
        <f>ABS(I11/$I$2)</f>
        <v>9.7466526288629927E-3</v>
      </c>
      <c r="W11" s="228">
        <f>ABS(J11/$J$2)</f>
        <v>1.1079137227677689E-2</v>
      </c>
      <c r="X11" s="228">
        <f>ABS(K11/$K$2)</f>
        <v>1.9085710382617339E-2</v>
      </c>
      <c r="Y11" s="229">
        <f>ABS(L11/$L$2)</f>
        <v>1.0506470311657698E-2</v>
      </c>
    </row>
    <row r="12" spans="1:25">
      <c r="A12" s="24" t="s">
        <v>130</v>
      </c>
      <c r="B12" s="82">
        <v>0</v>
      </c>
      <c r="C12" s="82">
        <v>0</v>
      </c>
      <c r="D12" s="82">
        <v>41682</v>
      </c>
      <c r="E12" s="82">
        <v>9263</v>
      </c>
      <c r="F12" s="82">
        <v>-13746</v>
      </c>
      <c r="G12" s="82">
        <v>-1311</v>
      </c>
      <c r="H12" s="82">
        <v>0</v>
      </c>
      <c r="I12" s="82">
        <v>0</v>
      </c>
      <c r="J12" s="82">
        <v>0</v>
      </c>
      <c r="K12" s="82">
        <v>0</v>
      </c>
      <c r="L12" s="230">
        <v>0</v>
      </c>
      <c r="N12" s="24"/>
      <c r="O12" s="82"/>
      <c r="P12" s="82"/>
      <c r="Q12" s="82"/>
      <c r="R12" s="82"/>
      <c r="S12" s="82"/>
      <c r="T12" s="82"/>
      <c r="U12" s="82"/>
      <c r="V12" s="82"/>
      <c r="W12" s="82"/>
      <c r="X12" s="82"/>
      <c r="Y12" s="230"/>
    </row>
    <row r="13" spans="1:25" ht="15.75" thickBot="1">
      <c r="A13" s="24" t="s">
        <v>131</v>
      </c>
      <c r="B13" s="213">
        <f>B9+B11+B12</f>
        <v>98731</v>
      </c>
      <c r="C13" s="213">
        <f t="shared" ref="C13:L13" si="6">C9+C11+C12</f>
        <v>55333</v>
      </c>
      <c r="D13" s="213">
        <f t="shared" si="6"/>
        <v>160623</v>
      </c>
      <c r="E13" s="213">
        <f t="shared" si="6"/>
        <v>150546</v>
      </c>
      <c r="F13" s="213">
        <f t="shared" si="6"/>
        <v>112574</v>
      </c>
      <c r="G13" s="213">
        <f t="shared" si="6"/>
        <v>167687</v>
      </c>
      <c r="H13" s="213">
        <f t="shared" si="6"/>
        <v>369450</v>
      </c>
      <c r="I13" s="213">
        <f t="shared" si="6"/>
        <v>372078</v>
      </c>
      <c r="J13" s="213">
        <f t="shared" si="6"/>
        <v>437855</v>
      </c>
      <c r="K13" s="213">
        <f t="shared" si="6"/>
        <v>388610</v>
      </c>
      <c r="L13" s="235">
        <f t="shared" si="6"/>
        <v>466423</v>
      </c>
      <c r="N13" s="26" t="s">
        <v>131</v>
      </c>
      <c r="O13" s="231">
        <f>ABS(B13/$B$2)</f>
        <v>0.14681953707627907</v>
      </c>
      <c r="P13" s="231">
        <f>ABS(C13/$C$2)</f>
        <v>9.3994081734574964E-2</v>
      </c>
      <c r="Q13" s="231">
        <f>ABS(D13/$D$2)</f>
        <v>0.2673761273633431</v>
      </c>
      <c r="R13" s="231">
        <f>ABS(E13/$E$2)</f>
        <v>0.16527860422325227</v>
      </c>
      <c r="S13" s="231">
        <f>ABS(F13/$F$2)</f>
        <v>0.12878566877049921</v>
      </c>
      <c r="T13" s="231">
        <f>ABS(G13/$G$2)</f>
        <v>0.23889317071572358</v>
      </c>
      <c r="U13" s="231">
        <f>ABS(H13/$H$2)</f>
        <v>0.48160276147595049</v>
      </c>
      <c r="V13" s="231">
        <f>ABS(I13/$I$2)</f>
        <v>0.40678799964577506</v>
      </c>
      <c r="W13" s="231">
        <f>ABS(J13/$J$2)</f>
        <v>0.32684649176828018</v>
      </c>
      <c r="X13" s="231">
        <f>ABS(K13/$K$2)</f>
        <v>0.29492993127838896</v>
      </c>
      <c r="Y13" s="232">
        <f>ABS(L13/$L$2)</f>
        <v>0.26777003454315712</v>
      </c>
    </row>
    <row r="14" spans="1:25" ht="15.75" thickTop="1"/>
    <row r="15" spans="1:25">
      <c r="A15" s="218" t="s">
        <v>132</v>
      </c>
      <c r="B15" s="172" t="s">
        <v>111</v>
      </c>
      <c r="C15" s="172" t="s">
        <v>112</v>
      </c>
      <c r="D15" s="172" t="s">
        <v>113</v>
      </c>
      <c r="E15" s="172" t="s">
        <v>114</v>
      </c>
      <c r="F15" s="172" t="s">
        <v>115</v>
      </c>
      <c r="G15" s="172" t="s">
        <v>116</v>
      </c>
      <c r="H15" s="172" t="s">
        <v>117</v>
      </c>
      <c r="I15" s="172" t="s">
        <v>118</v>
      </c>
      <c r="J15" s="172" t="s">
        <v>119</v>
      </c>
      <c r="K15" s="172" t="s">
        <v>120</v>
      </c>
      <c r="L15" s="172" t="s">
        <v>121</v>
      </c>
    </row>
    <row r="16" spans="1:25">
      <c r="A16" t="s">
        <v>133</v>
      </c>
      <c r="B16" s="82">
        <f t="shared" ref="B16:L16" si="7">B170</f>
        <v>311540</v>
      </c>
      <c r="C16" s="82">
        <f t="shared" si="7"/>
        <v>333500</v>
      </c>
      <c r="D16" s="82">
        <f t="shared" si="7"/>
        <v>323517</v>
      </c>
      <c r="E16" s="82">
        <f t="shared" si="7"/>
        <v>262151</v>
      </c>
      <c r="F16" s="82">
        <f t="shared" si="7"/>
        <v>287392</v>
      </c>
      <c r="G16" s="82">
        <f t="shared" si="7"/>
        <v>222770</v>
      </c>
      <c r="H16" s="82">
        <f t="shared" si="7"/>
        <v>250229</v>
      </c>
      <c r="I16" s="82">
        <f t="shared" si="7"/>
        <v>410393</v>
      </c>
      <c r="J16" s="82">
        <f t="shared" si="7"/>
        <v>481679</v>
      </c>
      <c r="K16" s="82">
        <f t="shared" si="7"/>
        <v>531945</v>
      </c>
      <c r="L16" s="82">
        <f t="shared" si="7"/>
        <v>775791</v>
      </c>
    </row>
    <row r="17" spans="1:12">
      <c r="A17" t="s">
        <v>134</v>
      </c>
      <c r="B17" s="82">
        <f t="shared" ref="B17:L17" si="8">B172</f>
        <v>128433</v>
      </c>
      <c r="C17" s="82">
        <f t="shared" si="8"/>
        <v>140740</v>
      </c>
      <c r="D17" s="82">
        <f t="shared" si="8"/>
        <v>149356</v>
      </c>
      <c r="E17" s="82">
        <f t="shared" si="8"/>
        <v>167662</v>
      </c>
      <c r="F17" s="82">
        <f t="shared" si="8"/>
        <v>177212</v>
      </c>
      <c r="G17" s="82">
        <f t="shared" si="8"/>
        <v>177212</v>
      </c>
      <c r="H17" s="82">
        <f t="shared" si="8"/>
        <v>177212</v>
      </c>
      <c r="I17" s="82">
        <f t="shared" si="8"/>
        <v>165203</v>
      </c>
      <c r="J17" s="82">
        <f t="shared" si="8"/>
        <v>165203</v>
      </c>
      <c r="K17" s="82">
        <f t="shared" si="8"/>
        <v>168746</v>
      </c>
      <c r="L17" s="82">
        <f t="shared" si="8"/>
        <v>261679</v>
      </c>
    </row>
    <row r="18" spans="1:12" ht="15" customHeight="1">
      <c r="A18" t="s">
        <v>135</v>
      </c>
      <c r="B18" s="82">
        <f t="shared" ref="B18:L18" si="9">B174</f>
        <v>0</v>
      </c>
      <c r="C18" s="82">
        <f t="shared" si="9"/>
        <v>0</v>
      </c>
      <c r="D18" s="82">
        <f t="shared" si="9"/>
        <v>0</v>
      </c>
      <c r="E18" s="82">
        <f t="shared" si="9"/>
        <v>0</v>
      </c>
      <c r="F18" s="82">
        <f t="shared" si="9"/>
        <v>0</v>
      </c>
      <c r="G18" s="82">
        <f t="shared" si="9"/>
        <v>95989</v>
      </c>
      <c r="H18" s="82">
        <f t="shared" si="9"/>
        <v>104298</v>
      </c>
      <c r="I18" s="82">
        <f t="shared" si="9"/>
        <v>129325</v>
      </c>
      <c r="J18" s="82">
        <f t="shared" si="9"/>
        <v>119021</v>
      </c>
      <c r="K18" s="82">
        <f t="shared" si="9"/>
        <v>116312</v>
      </c>
      <c r="L18" s="82">
        <f t="shared" si="9"/>
        <v>117549</v>
      </c>
    </row>
    <row r="19" spans="1:12">
      <c r="A19" t="s">
        <v>136</v>
      </c>
      <c r="B19" s="82">
        <f t="shared" ref="B19:L19" si="10">B178</f>
        <v>10812</v>
      </c>
      <c r="C19" s="82">
        <f t="shared" si="10"/>
        <v>10812</v>
      </c>
      <c r="D19" s="82">
        <f t="shared" si="10"/>
        <v>10812</v>
      </c>
      <c r="E19" s="82">
        <f t="shared" si="10"/>
        <v>10812</v>
      </c>
      <c r="F19" s="82">
        <f t="shared" si="10"/>
        <v>8357</v>
      </c>
      <c r="G19" s="82">
        <f t="shared" si="10"/>
        <v>8357</v>
      </c>
      <c r="H19" s="82">
        <f t="shared" si="10"/>
        <v>8357</v>
      </c>
      <c r="I19" s="82">
        <f t="shared" si="10"/>
        <v>54673</v>
      </c>
      <c r="J19" s="82">
        <f t="shared" si="10"/>
        <v>54673</v>
      </c>
      <c r="K19" s="82">
        <f t="shared" si="10"/>
        <v>54673</v>
      </c>
      <c r="L19" s="82">
        <f t="shared" si="10"/>
        <v>57927</v>
      </c>
    </row>
    <row r="20" spans="1:12">
      <c r="A20" t="s">
        <v>137</v>
      </c>
      <c r="B20" s="82">
        <f t="shared" ref="B20:L20" si="11">B169+B171+B173+B182+B184+B186</f>
        <v>78657</v>
      </c>
      <c r="C20" s="82">
        <f t="shared" si="11"/>
        <v>228393</v>
      </c>
      <c r="D20" s="82">
        <f t="shared" si="11"/>
        <v>459091</v>
      </c>
      <c r="E20" s="82">
        <f t="shared" si="11"/>
        <v>959724</v>
      </c>
      <c r="F20" s="82">
        <f t="shared" si="11"/>
        <v>1656250</v>
      </c>
      <c r="G20" s="82">
        <f t="shared" si="11"/>
        <v>2048137</v>
      </c>
      <c r="H20" s="82">
        <f t="shared" si="11"/>
        <v>1932044</v>
      </c>
      <c r="I20" s="82">
        <f t="shared" si="11"/>
        <v>1922289</v>
      </c>
      <c r="J20" s="82">
        <f t="shared" si="11"/>
        <v>2015397</v>
      </c>
      <c r="K20" s="82">
        <f t="shared" si="11"/>
        <v>2143094</v>
      </c>
      <c r="L20" s="82">
        <f t="shared" si="11"/>
        <v>2514055</v>
      </c>
    </row>
    <row r="21" spans="1:12">
      <c r="A21" t="s">
        <v>138</v>
      </c>
      <c r="B21" s="82">
        <f t="shared" ref="B21:L21" si="12">B175+B176+B177</f>
        <v>65292</v>
      </c>
      <c r="C21" s="82">
        <f t="shared" si="12"/>
        <v>41847</v>
      </c>
      <c r="D21" s="82">
        <f t="shared" si="12"/>
        <v>40650</v>
      </c>
      <c r="E21" s="82">
        <f t="shared" si="12"/>
        <v>57244</v>
      </c>
      <c r="F21" s="82">
        <f t="shared" si="12"/>
        <v>47582</v>
      </c>
      <c r="G21" s="82">
        <f t="shared" si="12"/>
        <v>53720</v>
      </c>
      <c r="H21" s="82">
        <f t="shared" si="12"/>
        <v>102778</v>
      </c>
      <c r="I21" s="82">
        <f t="shared" si="12"/>
        <v>346019</v>
      </c>
      <c r="J21" s="82">
        <f t="shared" si="12"/>
        <v>327219</v>
      </c>
      <c r="K21" s="82">
        <f t="shared" si="12"/>
        <v>300621</v>
      </c>
      <c r="L21" s="82">
        <f t="shared" si="12"/>
        <v>261452</v>
      </c>
    </row>
    <row r="22" spans="1:12">
      <c r="A22" t="s">
        <v>139</v>
      </c>
      <c r="B22" s="82">
        <f t="shared" ref="B22:L22" si="13">B179+B180+B181+B183+B185</f>
        <v>51446</v>
      </c>
      <c r="C22" s="82">
        <f t="shared" si="13"/>
        <v>54823</v>
      </c>
      <c r="D22" s="82">
        <f t="shared" si="13"/>
        <v>47128</v>
      </c>
      <c r="E22" s="82">
        <f t="shared" si="13"/>
        <v>45265</v>
      </c>
      <c r="F22" s="82">
        <f t="shared" si="13"/>
        <v>43443</v>
      </c>
      <c r="G22" s="82">
        <f t="shared" si="13"/>
        <v>43443</v>
      </c>
      <c r="H22" s="82">
        <f t="shared" si="13"/>
        <v>43967</v>
      </c>
      <c r="I22" s="82">
        <f t="shared" si="13"/>
        <v>44600</v>
      </c>
      <c r="J22" s="82">
        <f t="shared" si="13"/>
        <v>43443</v>
      </c>
      <c r="K22" s="82">
        <f t="shared" si="13"/>
        <v>43098</v>
      </c>
      <c r="L22" s="82">
        <f t="shared" si="13"/>
        <v>286611</v>
      </c>
    </row>
    <row r="23" spans="1:12">
      <c r="B23" s="82"/>
      <c r="C23" s="82"/>
      <c r="D23" s="82"/>
      <c r="E23" s="82"/>
      <c r="F23" s="82"/>
      <c r="G23" s="82"/>
      <c r="H23" s="82"/>
      <c r="I23" s="82"/>
      <c r="J23" s="82"/>
      <c r="K23" s="82"/>
      <c r="L23" s="82"/>
    </row>
    <row r="24" spans="1:12">
      <c r="A24" s="222" t="s">
        <v>140</v>
      </c>
      <c r="B24" s="224">
        <f>SUM(B16:B22)</f>
        <v>646180</v>
      </c>
      <c r="C24" s="224">
        <f t="shared" ref="C24:L24" si="14">SUM(C16:C22)</f>
        <v>810115</v>
      </c>
      <c r="D24" s="224">
        <f t="shared" si="14"/>
        <v>1030554</v>
      </c>
      <c r="E24" s="224">
        <f t="shared" si="14"/>
        <v>1502858</v>
      </c>
      <c r="F24" s="224">
        <f t="shared" si="14"/>
        <v>2220236</v>
      </c>
      <c r="G24" s="224">
        <f t="shared" si="14"/>
        <v>2649628</v>
      </c>
      <c r="H24" s="224">
        <f t="shared" si="14"/>
        <v>2618885</v>
      </c>
      <c r="I24" s="224">
        <f>SUM(I16:I22)</f>
        <v>3072502</v>
      </c>
      <c r="J24" s="224">
        <f>SUM(J16:J22)</f>
        <v>3206635</v>
      </c>
      <c r="K24" s="224">
        <f t="shared" si="14"/>
        <v>3358489</v>
      </c>
      <c r="L24" s="224">
        <f t="shared" si="14"/>
        <v>4275064</v>
      </c>
    </row>
    <row r="25" spans="1:12">
      <c r="A25" s="55" t="s">
        <v>141</v>
      </c>
      <c r="B25" s="82" t="b">
        <f t="shared" ref="B25:L25" si="15">IF(B24=B187,TRUE,FALSE)</f>
        <v>1</v>
      </c>
      <c r="C25" s="82" t="b">
        <f t="shared" si="15"/>
        <v>1</v>
      </c>
      <c r="D25" s="82" t="b">
        <f t="shared" si="15"/>
        <v>1</v>
      </c>
      <c r="E25" s="82" t="b">
        <f t="shared" si="15"/>
        <v>1</v>
      </c>
      <c r="F25" s="82" t="b">
        <f t="shared" si="15"/>
        <v>1</v>
      </c>
      <c r="G25" s="82" t="b">
        <f t="shared" si="15"/>
        <v>1</v>
      </c>
      <c r="H25" s="82" t="b">
        <f t="shared" si="15"/>
        <v>1</v>
      </c>
      <c r="I25" s="82" t="b">
        <f t="shared" si="15"/>
        <v>1</v>
      </c>
      <c r="J25" s="82" t="b">
        <f t="shared" si="15"/>
        <v>1</v>
      </c>
      <c r="K25" s="82" t="b">
        <f t="shared" si="15"/>
        <v>1</v>
      </c>
      <c r="L25" s="82" t="b">
        <f t="shared" si="15"/>
        <v>1</v>
      </c>
    </row>
    <row r="26" spans="1:12">
      <c r="B26" s="82"/>
      <c r="C26" s="82"/>
      <c r="D26" s="82"/>
      <c r="E26" s="82"/>
      <c r="F26" s="82"/>
      <c r="G26" s="82"/>
      <c r="H26" s="82"/>
      <c r="I26" s="82"/>
      <c r="J26" s="82"/>
      <c r="K26" s="82"/>
      <c r="L26" s="82"/>
    </row>
    <row r="27" spans="1:12">
      <c r="A27" t="s">
        <v>142</v>
      </c>
      <c r="B27" s="82">
        <f t="shared" ref="B27:L27" si="16">B193</f>
        <v>113637</v>
      </c>
      <c r="C27" s="82">
        <f t="shared" si="16"/>
        <v>123565</v>
      </c>
      <c r="D27" s="82">
        <f t="shared" si="16"/>
        <v>227168</v>
      </c>
      <c r="E27" s="82">
        <f t="shared" si="16"/>
        <v>161787</v>
      </c>
      <c r="F27" s="82">
        <f t="shared" si="16"/>
        <v>93101</v>
      </c>
      <c r="G27" s="82">
        <f t="shared" si="16"/>
        <v>97347</v>
      </c>
      <c r="H27" s="82">
        <f t="shared" si="16"/>
        <v>306995</v>
      </c>
      <c r="I27" s="82">
        <f t="shared" si="16"/>
        <v>408666</v>
      </c>
      <c r="J27" s="82">
        <f t="shared" si="16"/>
        <v>437252</v>
      </c>
      <c r="K27" s="82">
        <f t="shared" si="16"/>
        <v>488684</v>
      </c>
      <c r="L27" s="82">
        <f t="shared" si="16"/>
        <v>391774</v>
      </c>
    </row>
    <row r="28" spans="1:12">
      <c r="A28" t="s">
        <v>143</v>
      </c>
      <c r="B28" s="82">
        <f t="shared" ref="B28:L28" si="17">B190</f>
        <v>69678</v>
      </c>
      <c r="C28" s="82">
        <f t="shared" si="17"/>
        <v>67575</v>
      </c>
      <c r="D28" s="82">
        <f t="shared" si="17"/>
        <v>59874</v>
      </c>
      <c r="E28" s="82">
        <f t="shared" si="17"/>
        <v>42280</v>
      </c>
      <c r="F28" s="82">
        <f t="shared" si="17"/>
        <v>64230</v>
      </c>
      <c r="G28" s="82">
        <f t="shared" si="17"/>
        <v>66974</v>
      </c>
      <c r="H28" s="82">
        <f t="shared" si="17"/>
        <v>61802</v>
      </c>
      <c r="I28" s="82">
        <f t="shared" si="17"/>
        <v>128858</v>
      </c>
      <c r="J28" s="82">
        <f t="shared" si="17"/>
        <v>147882</v>
      </c>
      <c r="K28" s="82">
        <f t="shared" si="17"/>
        <v>131737</v>
      </c>
      <c r="L28" s="82">
        <f t="shared" si="17"/>
        <v>185896</v>
      </c>
    </row>
    <row r="29" spans="1:12">
      <c r="A29" t="s">
        <v>139</v>
      </c>
      <c r="B29" s="82">
        <f t="shared" ref="B29:L29" si="18">B191+B192+B197+B198</f>
        <v>15060</v>
      </c>
      <c r="C29" s="82">
        <f t="shared" si="18"/>
        <v>6370</v>
      </c>
      <c r="D29" s="82">
        <f t="shared" si="18"/>
        <v>0</v>
      </c>
      <c r="E29" s="82">
        <f t="shared" si="18"/>
        <v>0</v>
      </c>
      <c r="F29" s="82">
        <f t="shared" si="18"/>
        <v>1838</v>
      </c>
      <c r="G29" s="82">
        <f t="shared" si="18"/>
        <v>106</v>
      </c>
      <c r="H29" s="82">
        <f t="shared" si="18"/>
        <v>407</v>
      </c>
      <c r="I29" s="82">
        <f t="shared" si="18"/>
        <v>1587</v>
      </c>
      <c r="J29" s="82">
        <f t="shared" si="18"/>
        <v>0</v>
      </c>
      <c r="K29" s="82">
        <f t="shared" si="18"/>
        <v>1414</v>
      </c>
      <c r="L29" s="82">
        <f t="shared" si="18"/>
        <v>301</v>
      </c>
    </row>
    <row r="30" spans="1:12">
      <c r="A30" t="s">
        <v>144</v>
      </c>
      <c r="B30" s="82">
        <f t="shared" ref="B30:L30" si="19">B194+B195+B196</f>
        <v>235473</v>
      </c>
      <c r="C30" s="82">
        <f t="shared" si="19"/>
        <v>198045</v>
      </c>
      <c r="D30" s="82">
        <f t="shared" si="19"/>
        <v>291326</v>
      </c>
      <c r="E30" s="82">
        <f t="shared" si="19"/>
        <v>138750</v>
      </c>
      <c r="F30" s="82">
        <f t="shared" si="19"/>
        <v>131155</v>
      </c>
      <c r="G30" s="82">
        <f t="shared" si="19"/>
        <v>91031</v>
      </c>
      <c r="H30" s="82">
        <f t="shared" si="19"/>
        <v>93607</v>
      </c>
      <c r="I30" s="82">
        <f t="shared" si="19"/>
        <v>257649</v>
      </c>
      <c r="J30" s="82">
        <f t="shared" si="19"/>
        <v>497254</v>
      </c>
      <c r="K30" s="82">
        <f t="shared" si="19"/>
        <v>528087</v>
      </c>
      <c r="L30" s="82">
        <f t="shared" si="19"/>
        <v>268320</v>
      </c>
    </row>
    <row r="31" spans="1:12">
      <c r="B31" s="82"/>
      <c r="C31" s="82"/>
      <c r="D31" s="82"/>
      <c r="E31" s="82"/>
      <c r="F31" s="82"/>
      <c r="G31" s="82"/>
      <c r="H31" s="82"/>
      <c r="I31" s="82"/>
      <c r="J31" s="82"/>
      <c r="K31" s="82"/>
      <c r="L31" s="82"/>
    </row>
    <row r="32" spans="1:12">
      <c r="A32" s="222" t="s">
        <v>145</v>
      </c>
      <c r="B32" s="223">
        <f>SUM(B27:B30)</f>
        <v>433848</v>
      </c>
      <c r="C32" s="223">
        <f t="shared" ref="C32:L32" si="20">SUM(C27:C30)</f>
        <v>395555</v>
      </c>
      <c r="D32" s="223">
        <f t="shared" si="20"/>
        <v>578368</v>
      </c>
      <c r="E32" s="223">
        <f t="shared" si="20"/>
        <v>342817</v>
      </c>
      <c r="F32" s="223">
        <f t="shared" si="20"/>
        <v>290324</v>
      </c>
      <c r="G32" s="223">
        <f t="shared" si="20"/>
        <v>255458</v>
      </c>
      <c r="H32" s="223">
        <f t="shared" si="20"/>
        <v>462811</v>
      </c>
      <c r="I32" s="223">
        <f t="shared" si="20"/>
        <v>796760</v>
      </c>
      <c r="J32" s="223">
        <f t="shared" si="20"/>
        <v>1082388</v>
      </c>
      <c r="K32" s="223">
        <f>SUM(K27:K30)</f>
        <v>1149922</v>
      </c>
      <c r="L32" s="223">
        <f t="shared" si="20"/>
        <v>846291</v>
      </c>
    </row>
    <row r="33" spans="1:12">
      <c r="A33" s="55" t="s">
        <v>141</v>
      </c>
      <c r="B33" s="82" t="b">
        <f t="shared" ref="B33:L33" si="21">IF(B32=B199,TRUE,FALSE)</f>
        <v>1</v>
      </c>
      <c r="C33" s="82" t="b">
        <f t="shared" si="21"/>
        <v>1</v>
      </c>
      <c r="D33" s="82" t="b">
        <f t="shared" si="21"/>
        <v>1</v>
      </c>
      <c r="E33" s="82" t="b">
        <f t="shared" si="21"/>
        <v>1</v>
      </c>
      <c r="F33" s="82" t="b">
        <f t="shared" si="21"/>
        <v>1</v>
      </c>
      <c r="G33" s="82" t="b">
        <f t="shared" si="21"/>
        <v>1</v>
      </c>
      <c r="H33" s="82" t="b">
        <f t="shared" si="21"/>
        <v>1</v>
      </c>
      <c r="I33" s="82" t="b">
        <f t="shared" si="21"/>
        <v>1</v>
      </c>
      <c r="J33" s="82" t="b">
        <f t="shared" si="21"/>
        <v>1</v>
      </c>
      <c r="K33" s="82" t="b">
        <f t="shared" si="21"/>
        <v>1</v>
      </c>
      <c r="L33" s="82" t="b">
        <f t="shared" si="21"/>
        <v>1</v>
      </c>
    </row>
    <row r="34" spans="1:12">
      <c r="B34" s="82"/>
      <c r="C34" s="82"/>
      <c r="D34" s="82"/>
      <c r="E34" s="82"/>
      <c r="F34" s="82"/>
      <c r="G34" s="82"/>
      <c r="H34" s="82"/>
      <c r="I34" s="82"/>
      <c r="J34" s="82"/>
      <c r="K34" s="82"/>
      <c r="L34" s="82"/>
    </row>
    <row r="35" spans="1:12" ht="15.75" thickBot="1">
      <c r="A35" s="219" t="s">
        <v>146</v>
      </c>
      <c r="B35" s="220">
        <f>SUM(B24,B32)</f>
        <v>1080028</v>
      </c>
      <c r="C35" s="220">
        <f t="shared" ref="C35:L35" si="22">SUM(C24,C32)</f>
        <v>1205670</v>
      </c>
      <c r="D35" s="220">
        <f t="shared" si="22"/>
        <v>1608922</v>
      </c>
      <c r="E35" s="220">
        <f t="shared" si="22"/>
        <v>1845675</v>
      </c>
      <c r="F35" s="220">
        <f t="shared" si="22"/>
        <v>2510560</v>
      </c>
      <c r="G35" s="220">
        <f t="shared" si="22"/>
        <v>2905086</v>
      </c>
      <c r="H35" s="220">
        <f t="shared" si="22"/>
        <v>3081696</v>
      </c>
      <c r="I35" s="220">
        <f t="shared" si="22"/>
        <v>3869262</v>
      </c>
      <c r="J35" s="220">
        <f t="shared" si="22"/>
        <v>4289023</v>
      </c>
      <c r="K35" s="220">
        <f t="shared" si="22"/>
        <v>4508411</v>
      </c>
      <c r="L35" s="220">
        <f t="shared" si="22"/>
        <v>5121355</v>
      </c>
    </row>
    <row r="36" spans="1:12" ht="15.75" thickTop="1">
      <c r="A36" s="55" t="s">
        <v>141</v>
      </c>
      <c r="B36" s="82" t="b">
        <f t="shared" ref="B36:L36" si="23">IF(B35=B201,TRUE,FALSE)</f>
        <v>1</v>
      </c>
      <c r="C36" s="82" t="b">
        <f t="shared" si="23"/>
        <v>1</v>
      </c>
      <c r="D36" s="82" t="b">
        <f t="shared" si="23"/>
        <v>1</v>
      </c>
      <c r="E36" s="82" t="b">
        <f t="shared" si="23"/>
        <v>1</v>
      </c>
      <c r="F36" s="82" t="b">
        <f t="shared" si="23"/>
        <v>1</v>
      </c>
      <c r="G36" s="82" t="b">
        <f t="shared" si="23"/>
        <v>1</v>
      </c>
      <c r="H36" s="82" t="b">
        <f t="shared" si="23"/>
        <v>1</v>
      </c>
      <c r="I36" s="82" t="b">
        <f t="shared" si="23"/>
        <v>1</v>
      </c>
      <c r="J36" s="82" t="b">
        <f t="shared" si="23"/>
        <v>1</v>
      </c>
      <c r="K36" s="82" t="b">
        <f t="shared" si="23"/>
        <v>1</v>
      </c>
      <c r="L36" s="82" t="b">
        <f t="shared" si="23"/>
        <v>1</v>
      </c>
    </row>
    <row r="37" spans="1:12">
      <c r="B37" s="82"/>
      <c r="C37" s="82"/>
      <c r="D37" s="82"/>
      <c r="E37" s="82"/>
      <c r="F37" s="82"/>
      <c r="G37" s="82"/>
      <c r="H37" s="82"/>
      <c r="I37" s="82"/>
      <c r="J37" s="82"/>
      <c r="K37" s="82"/>
      <c r="L37" s="82"/>
    </row>
    <row r="38" spans="1:12">
      <c r="A38" t="s">
        <v>147</v>
      </c>
      <c r="B38" s="82">
        <f t="shared" ref="B38:L38" si="24">B212</f>
        <v>21395</v>
      </c>
      <c r="C38" s="82">
        <f t="shared" si="24"/>
        <v>29291</v>
      </c>
      <c r="D38" s="82">
        <f t="shared" si="24"/>
        <v>22642</v>
      </c>
      <c r="E38" s="82">
        <f t="shared" si="24"/>
        <v>112741</v>
      </c>
      <c r="F38" s="82">
        <f t="shared" si="24"/>
        <v>486308</v>
      </c>
      <c r="G38" s="82">
        <f t="shared" si="24"/>
        <v>27929</v>
      </c>
      <c r="H38" s="82">
        <f t="shared" si="24"/>
        <v>534404</v>
      </c>
      <c r="I38" s="82">
        <f t="shared" si="24"/>
        <v>504586</v>
      </c>
      <c r="J38" s="82">
        <f t="shared" si="24"/>
        <v>396749</v>
      </c>
      <c r="K38" s="82">
        <f t="shared" si="24"/>
        <v>466128</v>
      </c>
      <c r="L38" s="82">
        <f t="shared" si="24"/>
        <v>530924</v>
      </c>
    </row>
    <row r="39" spans="1:12">
      <c r="A39" t="s">
        <v>148</v>
      </c>
      <c r="B39" s="82">
        <f t="shared" ref="B39:L39" si="25">B216</f>
        <v>0</v>
      </c>
      <c r="C39" s="82">
        <f t="shared" si="25"/>
        <v>0</v>
      </c>
      <c r="D39" s="82">
        <f t="shared" si="25"/>
        <v>0</v>
      </c>
      <c r="E39" s="82">
        <f t="shared" si="25"/>
        <v>0</v>
      </c>
      <c r="F39" s="82">
        <f t="shared" si="25"/>
        <v>0</v>
      </c>
      <c r="G39" s="82">
        <f t="shared" si="25"/>
        <v>9711</v>
      </c>
      <c r="H39" s="82">
        <f t="shared" si="25"/>
        <v>9004</v>
      </c>
      <c r="I39" s="82">
        <f t="shared" si="25"/>
        <v>15589</v>
      </c>
      <c r="J39" s="82">
        <f t="shared" si="25"/>
        <v>4155</v>
      </c>
      <c r="K39" s="82">
        <f t="shared" si="25"/>
        <v>4191</v>
      </c>
      <c r="L39" s="82">
        <f t="shared" si="25"/>
        <v>7288</v>
      </c>
    </row>
    <row r="40" spans="1:12">
      <c r="A40" t="s">
        <v>149</v>
      </c>
      <c r="B40" s="82">
        <f t="shared" ref="B40:L40" si="26">B214+B215</f>
        <v>0</v>
      </c>
      <c r="C40" s="82">
        <f t="shared" si="26"/>
        <v>0</v>
      </c>
      <c r="D40" s="82">
        <f t="shared" si="26"/>
        <v>0</v>
      </c>
      <c r="E40" s="82">
        <f t="shared" si="26"/>
        <v>0</v>
      </c>
      <c r="F40" s="82">
        <f t="shared" si="26"/>
        <v>0</v>
      </c>
      <c r="G40" s="82">
        <f t="shared" si="26"/>
        <v>0</v>
      </c>
      <c r="H40" s="82">
        <f t="shared" si="26"/>
        <v>0</v>
      </c>
      <c r="I40" s="82">
        <f t="shared" si="26"/>
        <v>89657</v>
      </c>
      <c r="J40" s="82">
        <f t="shared" si="26"/>
        <v>93311</v>
      </c>
      <c r="K40" s="82">
        <f t="shared" si="26"/>
        <v>76511</v>
      </c>
      <c r="L40" s="82">
        <f t="shared" si="26"/>
        <v>70367</v>
      </c>
    </row>
    <row r="41" spans="1:12">
      <c r="A41" t="s">
        <v>150</v>
      </c>
      <c r="B41" s="82">
        <f t="shared" ref="B41:L41" si="27">B213+B217</f>
        <v>21847</v>
      </c>
      <c r="C41" s="82">
        <f t="shared" si="27"/>
        <v>20974</v>
      </c>
      <c r="D41" s="82">
        <f t="shared" si="27"/>
        <v>34277</v>
      </c>
      <c r="E41" s="82">
        <f t="shared" si="27"/>
        <v>63259</v>
      </c>
      <c r="F41" s="82">
        <f t="shared" si="27"/>
        <v>97197</v>
      </c>
      <c r="G41" s="82">
        <f t="shared" si="27"/>
        <v>96379</v>
      </c>
      <c r="H41" s="82">
        <f t="shared" si="27"/>
        <v>101028</v>
      </c>
      <c r="I41" s="82">
        <f t="shared" si="27"/>
        <v>120048</v>
      </c>
      <c r="J41" s="82">
        <f t="shared" si="27"/>
        <v>124860</v>
      </c>
      <c r="K41" s="82">
        <f t="shared" si="27"/>
        <v>127542</v>
      </c>
      <c r="L41" s="82">
        <f t="shared" si="27"/>
        <v>134489</v>
      </c>
    </row>
    <row r="42" spans="1:12">
      <c r="B42" s="82"/>
      <c r="C42" s="82"/>
      <c r="D42" s="82"/>
      <c r="E42" s="82"/>
      <c r="F42" s="82"/>
      <c r="G42" s="82"/>
      <c r="H42" s="82"/>
      <c r="I42" s="82"/>
      <c r="J42" s="82"/>
      <c r="K42" s="82"/>
      <c r="L42" s="82"/>
    </row>
    <row r="43" spans="1:12" ht="15.75" thickBot="1">
      <c r="A43" s="219" t="s">
        <v>151</v>
      </c>
      <c r="B43" s="221">
        <f>SUM(B38:B41)</f>
        <v>43242</v>
      </c>
      <c r="C43" s="221">
        <f t="shared" ref="C43:J43" si="28">SUM(C38:C41)</f>
        <v>50265</v>
      </c>
      <c r="D43" s="221">
        <f t="shared" si="28"/>
        <v>56919</v>
      </c>
      <c r="E43" s="221">
        <f t="shared" si="28"/>
        <v>176000</v>
      </c>
      <c r="F43" s="221">
        <f t="shared" si="28"/>
        <v>583505</v>
      </c>
      <c r="G43" s="221">
        <f t="shared" si="28"/>
        <v>134019</v>
      </c>
      <c r="H43" s="221">
        <f t="shared" si="28"/>
        <v>644436</v>
      </c>
      <c r="I43" s="221">
        <f t="shared" si="28"/>
        <v>729880</v>
      </c>
      <c r="J43" s="221">
        <f t="shared" si="28"/>
        <v>619075</v>
      </c>
      <c r="K43" s="221">
        <f>SUM(K38:K41)</f>
        <v>674372</v>
      </c>
      <c r="L43" s="221">
        <f t="shared" ref="L43" si="29">SUM(L38:L41)</f>
        <v>743068</v>
      </c>
    </row>
    <row r="44" spans="1:12" ht="15.75" thickTop="1">
      <c r="A44" s="55" t="s">
        <v>141</v>
      </c>
      <c r="B44" s="82" t="b">
        <f t="shared" ref="B44:L44" si="30">IF(B43=B218,TRUE,FALSE)</f>
        <v>1</v>
      </c>
      <c r="C44" s="82" t="b">
        <f t="shared" si="30"/>
        <v>1</v>
      </c>
      <c r="D44" s="82" t="b">
        <f t="shared" si="30"/>
        <v>1</v>
      </c>
      <c r="E44" s="82" t="b">
        <f t="shared" si="30"/>
        <v>1</v>
      </c>
      <c r="F44" s="82" t="b">
        <f t="shared" si="30"/>
        <v>1</v>
      </c>
      <c r="G44" s="82" t="b">
        <f t="shared" si="30"/>
        <v>1</v>
      </c>
      <c r="H44" s="82" t="b">
        <f t="shared" si="30"/>
        <v>1</v>
      </c>
      <c r="I44" s="82" t="b">
        <f t="shared" si="30"/>
        <v>1</v>
      </c>
      <c r="J44" s="82" t="b">
        <f t="shared" si="30"/>
        <v>1</v>
      </c>
      <c r="K44" s="82" t="b">
        <f t="shared" si="30"/>
        <v>1</v>
      </c>
      <c r="L44" s="82" t="b">
        <f t="shared" si="30"/>
        <v>1</v>
      </c>
    </row>
    <row r="46" spans="1:12">
      <c r="A46" t="s">
        <v>152</v>
      </c>
      <c r="B46" s="82">
        <f>B223</f>
        <v>71379</v>
      </c>
      <c r="C46" s="82">
        <f>C223</f>
        <v>110685</v>
      </c>
      <c r="D46" s="82">
        <f>E223</f>
        <v>65989</v>
      </c>
      <c r="E46" s="82">
        <f>D223</f>
        <v>108436</v>
      </c>
      <c r="F46" s="82">
        <f t="shared" ref="F46:L46" si="31">F223</f>
        <v>112387</v>
      </c>
      <c r="G46" s="82">
        <f t="shared" si="31"/>
        <v>718211</v>
      </c>
      <c r="H46" s="82">
        <f t="shared" si="31"/>
        <v>123471</v>
      </c>
      <c r="I46" s="82">
        <f t="shared" si="31"/>
        <v>273295</v>
      </c>
      <c r="J46" s="82">
        <f t="shared" si="31"/>
        <v>316204</v>
      </c>
      <c r="K46" s="82">
        <f t="shared" si="31"/>
        <v>435203</v>
      </c>
      <c r="L46" s="82">
        <f t="shared" si="31"/>
        <v>615516</v>
      </c>
    </row>
    <row r="47" spans="1:12">
      <c r="A47" t="s">
        <v>148</v>
      </c>
      <c r="B47" s="82">
        <f>B222</f>
        <v>0</v>
      </c>
      <c r="C47" s="82">
        <f>C222</f>
        <v>0</v>
      </c>
      <c r="D47" s="82">
        <f>E222</f>
        <v>0</v>
      </c>
      <c r="E47" s="82">
        <f>D222</f>
        <v>0</v>
      </c>
      <c r="F47" s="82">
        <f t="shared" ref="F47:L47" si="32">F222</f>
        <v>0</v>
      </c>
      <c r="G47" s="82">
        <f t="shared" si="32"/>
        <v>4117</v>
      </c>
      <c r="H47" s="82">
        <f t="shared" si="32"/>
        <v>5464</v>
      </c>
      <c r="I47" s="82">
        <f t="shared" si="32"/>
        <v>7996</v>
      </c>
      <c r="J47" s="82">
        <f t="shared" si="32"/>
        <v>723</v>
      </c>
      <c r="K47" s="82">
        <f t="shared" si="32"/>
        <v>1129</v>
      </c>
      <c r="L47" s="82">
        <f t="shared" si="32"/>
        <v>1221</v>
      </c>
    </row>
    <row r="48" spans="1:12">
      <c r="A48" t="s">
        <v>153</v>
      </c>
      <c r="B48" s="82">
        <f>B224</f>
        <v>66495</v>
      </c>
      <c r="C48" s="82">
        <f>C224</f>
        <v>63143</v>
      </c>
      <c r="D48" s="82">
        <f>E224</f>
        <v>133283</v>
      </c>
      <c r="E48" s="82">
        <f>D224</f>
        <v>188825</v>
      </c>
      <c r="F48" s="82">
        <f t="shared" ref="F48:L48" si="33">F224</f>
        <v>286995</v>
      </c>
      <c r="G48" s="82">
        <f t="shared" si="33"/>
        <v>314899</v>
      </c>
      <c r="H48" s="82">
        <f t="shared" si="33"/>
        <v>126063</v>
      </c>
      <c r="I48" s="82">
        <f t="shared" si="33"/>
        <v>118515</v>
      </c>
      <c r="J48" s="82">
        <f t="shared" si="33"/>
        <v>155726</v>
      </c>
      <c r="K48" s="82">
        <f t="shared" si="33"/>
        <v>168823</v>
      </c>
      <c r="L48" s="82">
        <f t="shared" si="33"/>
        <v>214530</v>
      </c>
    </row>
    <row r="49" spans="1:12">
      <c r="A49" t="s">
        <v>149</v>
      </c>
      <c r="B49" s="82">
        <f>B221</f>
        <v>0</v>
      </c>
      <c r="C49" s="82">
        <f>C221</f>
        <v>0</v>
      </c>
      <c r="D49" s="82">
        <f>E221</f>
        <v>0</v>
      </c>
      <c r="E49" s="82">
        <f>D221</f>
        <v>0</v>
      </c>
      <c r="F49" s="82">
        <f t="shared" ref="F49:L49" si="34">F221</f>
        <v>0</v>
      </c>
      <c r="G49" s="82">
        <f t="shared" si="34"/>
        <v>0</v>
      </c>
      <c r="H49" s="82">
        <f t="shared" si="34"/>
        <v>0</v>
      </c>
      <c r="I49" s="82">
        <f t="shared" si="34"/>
        <v>0</v>
      </c>
      <c r="J49" s="82">
        <f t="shared" si="34"/>
        <v>6269</v>
      </c>
      <c r="K49" s="82">
        <f t="shared" si="34"/>
        <v>4866</v>
      </c>
      <c r="L49" s="82">
        <f t="shared" si="34"/>
        <v>2566</v>
      </c>
    </row>
    <row r="50" spans="1:12">
      <c r="A50" t="s">
        <v>154</v>
      </c>
      <c r="B50" s="82">
        <f>B225+B226+B227</f>
        <v>13295</v>
      </c>
      <c r="C50" s="82">
        <f>C225+C226+C227</f>
        <v>10944</v>
      </c>
      <c r="D50" s="82">
        <f>E225+E226+E227</f>
        <v>8991</v>
      </c>
      <c r="E50" s="82">
        <f>D225+D226+D227</f>
        <v>2710</v>
      </c>
      <c r="F50" s="82">
        <f t="shared" ref="F50:L50" si="35">F225+F226+F227</f>
        <v>2137</v>
      </c>
      <c r="G50" s="82">
        <f t="shared" si="35"/>
        <v>21952</v>
      </c>
      <c r="H50" s="82">
        <f t="shared" si="35"/>
        <v>16650</v>
      </c>
      <c r="I50" s="82">
        <f t="shared" si="35"/>
        <v>0</v>
      </c>
      <c r="J50" s="82">
        <f t="shared" si="35"/>
        <v>0</v>
      </c>
      <c r="K50" s="82">
        <f t="shared" si="35"/>
        <v>0</v>
      </c>
      <c r="L50" s="82">
        <f t="shared" si="35"/>
        <v>0</v>
      </c>
    </row>
    <row r="51" spans="1:12">
      <c r="B51" s="82"/>
      <c r="C51" s="82"/>
      <c r="D51" s="82"/>
      <c r="E51" s="82"/>
      <c r="F51" s="82"/>
      <c r="G51" s="82"/>
      <c r="H51" s="82"/>
      <c r="I51" s="82"/>
      <c r="J51" s="82"/>
      <c r="K51" s="82"/>
      <c r="L51" s="82"/>
    </row>
    <row r="52" spans="1:12" ht="15.75" thickBot="1">
      <c r="A52" s="219" t="s">
        <v>155</v>
      </c>
      <c r="B52" s="221">
        <f>SUM(B46:B50)</f>
        <v>151169</v>
      </c>
      <c r="C52" s="221">
        <f t="shared" ref="C52:L52" si="36">SUM(C46:C50)</f>
        <v>184772</v>
      </c>
      <c r="D52" s="221">
        <f>SUM(D46:D50)</f>
        <v>208263</v>
      </c>
      <c r="E52" s="221">
        <f>SUM(E46:E50)</f>
        <v>299971</v>
      </c>
      <c r="F52" s="221">
        <f t="shared" si="36"/>
        <v>401519</v>
      </c>
      <c r="G52" s="221">
        <f t="shared" si="36"/>
        <v>1059179</v>
      </c>
      <c r="H52" s="221">
        <f t="shared" si="36"/>
        <v>271648</v>
      </c>
      <c r="I52" s="221">
        <f t="shared" si="36"/>
        <v>399806</v>
      </c>
      <c r="J52" s="221">
        <f t="shared" si="36"/>
        <v>478922</v>
      </c>
      <c r="K52" s="221">
        <f t="shared" si="36"/>
        <v>610021</v>
      </c>
      <c r="L52" s="221">
        <f t="shared" si="36"/>
        <v>833833</v>
      </c>
    </row>
    <row r="53" spans="1:12" ht="15.75" thickTop="1">
      <c r="A53" s="55" t="s">
        <v>141</v>
      </c>
      <c r="B53" s="82" t="b">
        <f t="shared" ref="B53:L53" si="37">IF(B52=B228,TRUE,FALSE)</f>
        <v>1</v>
      </c>
      <c r="C53" s="82" t="b">
        <f t="shared" si="37"/>
        <v>1</v>
      </c>
      <c r="D53" s="82" t="b">
        <f t="shared" si="37"/>
        <v>1</v>
      </c>
      <c r="E53" s="82" t="b">
        <f t="shared" si="37"/>
        <v>1</v>
      </c>
      <c r="F53" s="82" t="b">
        <f t="shared" si="37"/>
        <v>1</v>
      </c>
      <c r="G53" s="82" t="b">
        <f t="shared" si="37"/>
        <v>1</v>
      </c>
      <c r="H53" s="82" t="b">
        <f t="shared" si="37"/>
        <v>1</v>
      </c>
      <c r="I53" s="82" t="b">
        <f t="shared" si="37"/>
        <v>1</v>
      </c>
      <c r="J53" s="82" t="b">
        <f t="shared" si="37"/>
        <v>1</v>
      </c>
      <c r="K53" s="82" t="b">
        <f t="shared" si="37"/>
        <v>1</v>
      </c>
      <c r="L53" s="82" t="b">
        <f t="shared" si="37"/>
        <v>1</v>
      </c>
    </row>
    <row r="54" spans="1:12">
      <c r="B54" s="82"/>
      <c r="C54" s="82"/>
      <c r="D54" s="82"/>
      <c r="E54" s="82"/>
      <c r="F54" s="82"/>
      <c r="G54" s="82"/>
      <c r="H54" s="82"/>
      <c r="I54" s="82"/>
      <c r="J54" s="82"/>
      <c r="K54" s="82"/>
      <c r="L54" s="82"/>
    </row>
    <row r="55" spans="1:12" ht="15.75" thickBot="1">
      <c r="A55" s="219" t="s">
        <v>156</v>
      </c>
      <c r="B55" s="221">
        <f>SUM(B43,B52)</f>
        <v>194411</v>
      </c>
      <c r="C55" s="221">
        <f t="shared" ref="C55:L55" si="38">SUM(C43,C52)</f>
        <v>235037</v>
      </c>
      <c r="D55" s="221">
        <f>SUM(D43,D52)</f>
        <v>265182</v>
      </c>
      <c r="E55" s="221">
        <f>SUM(E43,E52)</f>
        <v>475971</v>
      </c>
      <c r="F55" s="221">
        <f t="shared" si="38"/>
        <v>985024</v>
      </c>
      <c r="G55" s="221">
        <f t="shared" si="38"/>
        <v>1193198</v>
      </c>
      <c r="H55" s="221">
        <f t="shared" si="38"/>
        <v>916084</v>
      </c>
      <c r="I55" s="221">
        <f t="shared" si="38"/>
        <v>1129686</v>
      </c>
      <c r="J55" s="221">
        <f t="shared" si="38"/>
        <v>1097997</v>
      </c>
      <c r="K55" s="221">
        <f t="shared" si="38"/>
        <v>1284393</v>
      </c>
      <c r="L55" s="221">
        <f t="shared" si="38"/>
        <v>1576901</v>
      </c>
    </row>
    <row r="56" spans="1:12" ht="15.75" thickTop="1">
      <c r="A56" s="55" t="s">
        <v>141</v>
      </c>
      <c r="B56" s="82" t="b">
        <f t="shared" ref="B56:L56" si="39">IF(B55=B230,TRUE,FALSE)</f>
        <v>1</v>
      </c>
      <c r="C56" s="82" t="b">
        <f t="shared" si="39"/>
        <v>1</v>
      </c>
      <c r="D56" s="82" t="b">
        <f t="shared" si="39"/>
        <v>1</v>
      </c>
      <c r="E56" s="82" t="b">
        <f t="shared" si="39"/>
        <v>1</v>
      </c>
      <c r="F56" s="82" t="b">
        <f t="shared" si="39"/>
        <v>1</v>
      </c>
      <c r="G56" s="82" t="b">
        <f t="shared" si="39"/>
        <v>1</v>
      </c>
      <c r="H56" s="82" t="b">
        <f t="shared" si="39"/>
        <v>1</v>
      </c>
      <c r="I56" s="82" t="b">
        <f t="shared" si="39"/>
        <v>1</v>
      </c>
      <c r="J56" s="82" t="b">
        <f t="shared" si="39"/>
        <v>1</v>
      </c>
      <c r="K56" s="82" t="b">
        <f t="shared" si="39"/>
        <v>1</v>
      </c>
      <c r="L56" s="82" t="b">
        <f t="shared" si="39"/>
        <v>1</v>
      </c>
    </row>
    <row r="57" spans="1:12">
      <c r="A57" s="55"/>
      <c r="B57" s="82"/>
      <c r="C57" s="82"/>
      <c r="D57" s="82"/>
      <c r="E57" s="82"/>
      <c r="F57" s="82"/>
      <c r="G57" s="82"/>
      <c r="H57" s="82"/>
      <c r="I57" s="82"/>
      <c r="J57" s="82"/>
      <c r="K57" s="82"/>
      <c r="L57" s="82"/>
    </row>
    <row r="58" spans="1:12" ht="15.75" thickBot="1">
      <c r="A58" s="219" t="s">
        <v>157</v>
      </c>
      <c r="B58" s="221">
        <f>B35-B55</f>
        <v>885617</v>
      </c>
      <c r="C58" s="221">
        <f t="shared" ref="C58:L58" si="40">C35-C55</f>
        <v>970633</v>
      </c>
      <c r="D58" s="221">
        <f t="shared" si="40"/>
        <v>1343740</v>
      </c>
      <c r="E58" s="221">
        <f t="shared" si="40"/>
        <v>1369704</v>
      </c>
      <c r="F58" s="221">
        <f t="shared" si="40"/>
        <v>1525536</v>
      </c>
      <c r="G58" s="221">
        <f t="shared" si="40"/>
        <v>1711888</v>
      </c>
      <c r="H58" s="221">
        <f t="shared" si="40"/>
        <v>2165612</v>
      </c>
      <c r="I58" s="221">
        <f t="shared" si="40"/>
        <v>2739576</v>
      </c>
      <c r="J58" s="221">
        <f t="shared" si="40"/>
        <v>3191026</v>
      </c>
      <c r="K58" s="221">
        <f t="shared" si="40"/>
        <v>3224018</v>
      </c>
      <c r="L58" s="221">
        <f t="shared" si="40"/>
        <v>3544454</v>
      </c>
    </row>
    <row r="59" spans="1:12" ht="15.75" thickTop="1">
      <c r="A59" s="55" t="s">
        <v>141</v>
      </c>
      <c r="B59" s="82" t="b">
        <f t="shared" ref="B59:L59" si="41">IF(B58=B232-B230,TRUE,FALSE)</f>
        <v>1</v>
      </c>
      <c r="C59" s="82" t="b">
        <f t="shared" si="41"/>
        <v>1</v>
      </c>
      <c r="D59" s="82" t="b">
        <f t="shared" si="41"/>
        <v>1</v>
      </c>
      <c r="E59" s="82" t="b">
        <f t="shared" si="41"/>
        <v>1</v>
      </c>
      <c r="F59" s="82" t="b">
        <f t="shared" si="41"/>
        <v>1</v>
      </c>
      <c r="G59" s="82" t="b">
        <f t="shared" si="41"/>
        <v>1</v>
      </c>
      <c r="H59" s="82" t="b">
        <f t="shared" si="41"/>
        <v>1</v>
      </c>
      <c r="I59" s="82" t="b">
        <f t="shared" si="41"/>
        <v>1</v>
      </c>
      <c r="J59" s="82" t="b">
        <f t="shared" si="41"/>
        <v>1</v>
      </c>
      <c r="K59" s="82" t="b">
        <f t="shared" si="41"/>
        <v>1</v>
      </c>
      <c r="L59" s="82" t="b">
        <f t="shared" si="41"/>
        <v>1</v>
      </c>
    </row>
    <row r="60" spans="1:12">
      <c r="A60" s="55"/>
      <c r="B60" s="82"/>
      <c r="C60" s="82"/>
      <c r="D60" s="82"/>
      <c r="E60" s="82"/>
      <c r="F60" s="82"/>
      <c r="G60" s="82"/>
      <c r="H60" s="82"/>
      <c r="I60" s="82"/>
      <c r="J60" s="82"/>
      <c r="K60" s="82"/>
      <c r="L60" s="82"/>
    </row>
    <row r="61" spans="1:12" ht="15.75" thickBot="1">
      <c r="A61" s="219" t="s">
        <v>158</v>
      </c>
      <c r="B61" s="221">
        <f>B55+B58</f>
        <v>1080028</v>
      </c>
      <c r="C61" s="221">
        <f t="shared" ref="C61:L61" si="42">C55+C58</f>
        <v>1205670</v>
      </c>
      <c r="D61" s="221">
        <f t="shared" si="42"/>
        <v>1608922</v>
      </c>
      <c r="E61" s="221">
        <f t="shared" si="42"/>
        <v>1845675</v>
      </c>
      <c r="F61" s="221">
        <f t="shared" si="42"/>
        <v>2510560</v>
      </c>
      <c r="G61" s="221">
        <f t="shared" si="42"/>
        <v>2905086</v>
      </c>
      <c r="H61" s="221">
        <f t="shared" si="42"/>
        <v>3081696</v>
      </c>
      <c r="I61" s="221">
        <f t="shared" si="42"/>
        <v>3869262</v>
      </c>
      <c r="J61" s="221">
        <f t="shared" si="42"/>
        <v>4289023</v>
      </c>
      <c r="K61" s="221">
        <f t="shared" si="42"/>
        <v>4508411</v>
      </c>
      <c r="L61" s="221">
        <f t="shared" si="42"/>
        <v>5121355</v>
      </c>
    </row>
    <row r="62" spans="1:12" ht="15.75" thickTop="1">
      <c r="A62" s="55" t="s">
        <v>141</v>
      </c>
      <c r="B62" s="82" t="b">
        <f t="shared" ref="B62:L62" si="43">IF(B61=B232,TRUE,FALSE)</f>
        <v>1</v>
      </c>
      <c r="C62" s="82" t="b">
        <f t="shared" si="43"/>
        <v>1</v>
      </c>
      <c r="D62" s="82" t="b">
        <f t="shared" si="43"/>
        <v>1</v>
      </c>
      <c r="E62" s="82" t="b">
        <f t="shared" si="43"/>
        <v>1</v>
      </c>
      <c r="F62" s="82" t="b">
        <f t="shared" si="43"/>
        <v>1</v>
      </c>
      <c r="G62" s="82" t="b">
        <f t="shared" si="43"/>
        <v>1</v>
      </c>
      <c r="H62" s="82" t="b">
        <f t="shared" si="43"/>
        <v>1</v>
      </c>
      <c r="I62" s="82" t="b">
        <f t="shared" si="43"/>
        <v>1</v>
      </c>
      <c r="J62" s="82" t="b">
        <f t="shared" si="43"/>
        <v>1</v>
      </c>
      <c r="K62" s="82" t="b">
        <f t="shared" si="43"/>
        <v>1</v>
      </c>
      <c r="L62" s="82" t="b">
        <f t="shared" si="43"/>
        <v>1</v>
      </c>
    </row>
    <row r="63" spans="1:12">
      <c r="A63" s="55"/>
      <c r="B63" s="82"/>
      <c r="C63" s="82"/>
      <c r="D63" s="82"/>
      <c r="E63" s="82"/>
      <c r="F63" s="82"/>
      <c r="G63" s="82"/>
      <c r="H63" s="82"/>
      <c r="I63" s="82"/>
      <c r="J63" s="82"/>
      <c r="K63" s="82"/>
      <c r="L63" s="82"/>
    </row>
    <row r="64" spans="1:12">
      <c r="A64" s="55"/>
      <c r="B64" s="82"/>
      <c r="C64" s="82"/>
      <c r="D64" s="82"/>
      <c r="E64" s="82"/>
      <c r="F64" s="82"/>
      <c r="G64" s="82"/>
      <c r="H64" s="82"/>
      <c r="I64" s="82"/>
      <c r="J64" s="82"/>
      <c r="K64" s="82"/>
      <c r="L64" s="82"/>
    </row>
    <row r="65" spans="1:12">
      <c r="A65" s="218" t="s">
        <v>159</v>
      </c>
      <c r="B65" s="172" t="s">
        <v>111</v>
      </c>
      <c r="C65" s="172" t="s">
        <v>112</v>
      </c>
      <c r="D65" s="172" t="s">
        <v>113</v>
      </c>
      <c r="E65" s="172" t="s">
        <v>114</v>
      </c>
      <c r="F65" s="172" t="s">
        <v>115</v>
      </c>
      <c r="G65" s="172" t="s">
        <v>116</v>
      </c>
      <c r="H65" s="172" t="s">
        <v>117</v>
      </c>
      <c r="I65" s="172" t="s">
        <v>118</v>
      </c>
      <c r="J65" s="172" t="s">
        <v>119</v>
      </c>
      <c r="K65" s="172" t="s">
        <v>120</v>
      </c>
      <c r="L65" s="172" t="s">
        <v>121</v>
      </c>
    </row>
    <row r="66" spans="1:12">
      <c r="A66" t="s">
        <v>160</v>
      </c>
      <c r="B66" s="82"/>
      <c r="D66" s="82"/>
      <c r="E66" s="82"/>
      <c r="F66" s="82"/>
      <c r="G66" s="82"/>
      <c r="H66" s="82"/>
      <c r="I66" s="82"/>
      <c r="J66" s="82"/>
      <c r="K66" s="82"/>
      <c r="L66" s="82"/>
    </row>
    <row r="67" spans="1:12">
      <c r="A67" s="55" t="s">
        <v>133</v>
      </c>
      <c r="B67" s="82"/>
      <c r="C67" s="82">
        <v>935</v>
      </c>
      <c r="E67" s="82">
        <v>20885</v>
      </c>
      <c r="F67" s="82"/>
      <c r="G67" s="82"/>
      <c r="H67" s="82"/>
      <c r="I67" s="82">
        <v>76347</v>
      </c>
      <c r="J67" s="82"/>
      <c r="K67" s="82"/>
      <c r="L67" s="82">
        <v>78336</v>
      </c>
    </row>
    <row r="68" spans="1:12">
      <c r="A68" s="55" t="s">
        <v>161</v>
      </c>
      <c r="B68" s="82"/>
      <c r="C68" s="82"/>
      <c r="E68" s="82"/>
      <c r="F68" s="82"/>
      <c r="G68" s="82"/>
      <c r="H68" s="82"/>
      <c r="I68" s="82">
        <v>33047</v>
      </c>
      <c r="J68" s="82"/>
      <c r="K68" s="82"/>
      <c r="L68" s="82">
        <v>4999</v>
      </c>
    </row>
    <row r="69" spans="1:12">
      <c r="A69" s="55" t="s">
        <v>137</v>
      </c>
      <c r="B69" s="82"/>
      <c r="C69" s="82"/>
      <c r="E69" s="82"/>
      <c r="F69" s="82"/>
      <c r="G69" s="82"/>
      <c r="H69" s="82"/>
      <c r="I69" s="82">
        <v>765</v>
      </c>
      <c r="J69" s="82"/>
      <c r="K69" s="82"/>
      <c r="L69" s="82">
        <v>0</v>
      </c>
    </row>
    <row r="70" spans="1:12">
      <c r="A70" s="55" t="s">
        <v>139</v>
      </c>
      <c r="B70" s="82"/>
      <c r="C70" s="82"/>
      <c r="E70" s="82"/>
      <c r="F70" s="82"/>
      <c r="G70" s="82"/>
      <c r="H70" s="82"/>
      <c r="I70" s="82">
        <v>4968</v>
      </c>
      <c r="J70" s="82"/>
      <c r="K70" s="82"/>
      <c r="L70" s="82">
        <f>24521+399</f>
        <v>24920</v>
      </c>
    </row>
    <row r="71" spans="1:12">
      <c r="B71" s="82"/>
      <c r="C71" s="82"/>
      <c r="E71" s="82"/>
      <c r="F71" s="82"/>
      <c r="G71" s="82"/>
      <c r="H71" s="82"/>
      <c r="I71" s="82"/>
      <c r="J71" s="82"/>
      <c r="K71" s="82"/>
      <c r="L71" s="82"/>
    </row>
    <row r="72" spans="1:12">
      <c r="A72" s="55" t="s">
        <v>143</v>
      </c>
      <c r="B72" s="82"/>
      <c r="C72" s="82"/>
      <c r="E72" s="82"/>
      <c r="F72" s="82"/>
      <c r="G72" s="82"/>
      <c r="H72" s="82"/>
      <c r="I72" s="82">
        <v>31327</v>
      </c>
      <c r="J72" s="82"/>
      <c r="K72" s="82"/>
      <c r="L72" s="82">
        <v>1241</v>
      </c>
    </row>
    <row r="73" spans="1:12">
      <c r="A73" s="55" t="s">
        <v>162</v>
      </c>
      <c r="B73" s="82"/>
      <c r="C73" s="82"/>
      <c r="E73" s="82">
        <v>1</v>
      </c>
      <c r="F73" s="82"/>
      <c r="G73" s="82"/>
      <c r="H73" s="82"/>
      <c r="I73" s="82">
        <v>44926</v>
      </c>
      <c r="J73" s="82"/>
      <c r="K73" s="82"/>
      <c r="L73" s="82">
        <f>9542+3338</f>
        <v>12880</v>
      </c>
    </row>
    <row r="74" spans="1:12">
      <c r="A74" s="55" t="s">
        <v>144</v>
      </c>
      <c r="B74" s="82"/>
      <c r="C74" s="82">
        <v>12713</v>
      </c>
      <c r="E74" s="82">
        <v>1</v>
      </c>
      <c r="F74" s="82"/>
      <c r="G74" s="82"/>
      <c r="H74" s="82"/>
      <c r="I74" s="82">
        <v>29435</v>
      </c>
      <c r="J74" s="82"/>
      <c r="K74" s="82"/>
      <c r="L74" s="82">
        <v>21699</v>
      </c>
    </row>
    <row r="75" spans="1:12">
      <c r="B75" s="82"/>
      <c r="C75" s="82"/>
      <c r="E75" s="82"/>
      <c r="F75" s="82"/>
      <c r="G75" s="82"/>
      <c r="H75" s="82"/>
      <c r="I75" s="82"/>
      <c r="J75" s="82"/>
      <c r="K75" s="82"/>
      <c r="L75" s="82"/>
    </row>
    <row r="76" spans="1:12">
      <c r="A76" s="55" t="s">
        <v>163</v>
      </c>
      <c r="B76" s="82"/>
      <c r="C76" s="82"/>
      <c r="E76" s="82"/>
      <c r="F76" s="82"/>
      <c r="G76" s="82"/>
      <c r="H76" s="82"/>
      <c r="I76" s="82">
        <v>-33137</v>
      </c>
      <c r="J76" s="82"/>
      <c r="K76" s="82"/>
      <c r="L76" s="82">
        <v>-27533</v>
      </c>
    </row>
    <row r="77" spans="1:12">
      <c r="A77" s="55" t="s">
        <v>148</v>
      </c>
      <c r="B77" s="82"/>
      <c r="C77" s="82"/>
      <c r="E77" s="82"/>
      <c r="F77" s="82"/>
      <c r="G77" s="82"/>
      <c r="H77" s="82"/>
      <c r="I77" s="82">
        <v>-12033</v>
      </c>
      <c r="J77" s="82"/>
      <c r="K77" s="82"/>
      <c r="L77" s="82">
        <v>-4929</v>
      </c>
    </row>
    <row r="78" spans="1:12">
      <c r="A78" s="55" t="s">
        <v>153</v>
      </c>
      <c r="B78" s="82"/>
      <c r="C78" s="82">
        <v>-753</v>
      </c>
      <c r="E78" s="82">
        <v>-786</v>
      </c>
      <c r="F78" s="82"/>
      <c r="G78" s="82"/>
      <c r="H78" s="82"/>
      <c r="I78" s="82">
        <v>-16159</v>
      </c>
      <c r="J78" s="82"/>
      <c r="K78" s="82"/>
      <c r="L78" s="82">
        <v>-31352</v>
      </c>
    </row>
    <row r="79" spans="1:12">
      <c r="A79" s="55" t="s">
        <v>164</v>
      </c>
      <c r="B79" s="82"/>
      <c r="C79" s="82"/>
      <c r="E79" s="82"/>
      <c r="F79" s="82"/>
      <c r="G79" s="82"/>
      <c r="H79" s="82"/>
      <c r="I79" s="82">
        <v>-16244</v>
      </c>
      <c r="J79" s="82"/>
      <c r="K79" s="82"/>
      <c r="L79" s="82">
        <v>-9370</v>
      </c>
    </row>
    <row r="80" spans="1:12">
      <c r="A80" s="55"/>
      <c r="B80" s="82"/>
      <c r="C80" s="82"/>
      <c r="E80" s="82"/>
      <c r="F80" s="82"/>
      <c r="G80" s="82"/>
      <c r="H80" s="82"/>
      <c r="I80" s="82"/>
      <c r="J80" s="82"/>
      <c r="K80" s="82"/>
      <c r="L80" s="82"/>
    </row>
    <row r="81" spans="1:14">
      <c r="A81" s="11" t="s">
        <v>165</v>
      </c>
      <c r="B81" s="82"/>
      <c r="C81" s="212">
        <f>SUM(C67:C79)</f>
        <v>12895</v>
      </c>
      <c r="D81" s="159"/>
      <c r="E81" s="212">
        <f>SUM(E67:E79)</f>
        <v>20101</v>
      </c>
      <c r="F81" s="212">
        <f t="shared" ref="F81:L81" si="44">SUM(F67:F79)</f>
        <v>0</v>
      </c>
      <c r="G81" s="212">
        <f t="shared" si="44"/>
        <v>0</v>
      </c>
      <c r="H81" s="212">
        <f t="shared" si="44"/>
        <v>0</v>
      </c>
      <c r="I81" s="212">
        <f t="shared" si="44"/>
        <v>143242</v>
      </c>
      <c r="J81" s="212">
        <f t="shared" si="44"/>
        <v>0</v>
      </c>
      <c r="K81" s="212">
        <f t="shared" si="44"/>
        <v>0</v>
      </c>
      <c r="L81" s="212">
        <f t="shared" si="44"/>
        <v>70891</v>
      </c>
    </row>
    <row r="82" spans="1:14">
      <c r="F82" s="82"/>
      <c r="G82" s="82"/>
      <c r="H82" s="82"/>
      <c r="I82" s="82"/>
      <c r="J82" s="82"/>
      <c r="K82" s="82"/>
      <c r="L82" s="82"/>
    </row>
    <row r="83" spans="1:14">
      <c r="A83" s="55" t="s">
        <v>166</v>
      </c>
      <c r="B83" s="82"/>
      <c r="C83" s="82">
        <v>-205</v>
      </c>
      <c r="E83" s="82">
        <v>-10100</v>
      </c>
      <c r="F83" s="82"/>
      <c r="G83" s="82"/>
      <c r="H83" s="82"/>
      <c r="I83" s="82">
        <v>-35810</v>
      </c>
      <c r="J83" s="82"/>
      <c r="K83" s="82"/>
      <c r="L83" s="82">
        <v>-48052</v>
      </c>
    </row>
    <row r="84" spans="1:14">
      <c r="A84" s="177" t="s">
        <v>167</v>
      </c>
      <c r="B84" s="237"/>
      <c r="C84" s="237">
        <v>12690</v>
      </c>
      <c r="D84" s="237"/>
      <c r="E84" s="237">
        <v>10001</v>
      </c>
      <c r="F84" s="237"/>
      <c r="G84" s="237"/>
      <c r="H84" s="237"/>
      <c r="I84" s="237">
        <v>153748</v>
      </c>
      <c r="J84" s="237"/>
      <c r="K84" s="237"/>
      <c r="L84" s="237">
        <v>27083</v>
      </c>
    </row>
    <row r="85" spans="1:14">
      <c r="A85" s="55" t="s">
        <v>168</v>
      </c>
      <c r="B85" s="82"/>
      <c r="C85" s="82">
        <f>-C74</f>
        <v>-12713</v>
      </c>
      <c r="D85" s="82"/>
      <c r="E85" s="82">
        <f>-E74</f>
        <v>-1</v>
      </c>
      <c r="F85" s="82">
        <f t="shared" ref="F85:L85" si="45">-F74</f>
        <v>0</v>
      </c>
      <c r="G85" s="82">
        <f t="shared" si="45"/>
        <v>0</v>
      </c>
      <c r="H85" s="82">
        <f t="shared" si="45"/>
        <v>0</v>
      </c>
      <c r="I85" s="82">
        <f t="shared" si="45"/>
        <v>-29435</v>
      </c>
      <c r="J85" s="82">
        <f t="shared" si="45"/>
        <v>0</v>
      </c>
      <c r="K85" s="82">
        <f t="shared" si="45"/>
        <v>0</v>
      </c>
      <c r="L85" s="82">
        <f t="shared" si="45"/>
        <v>-21699</v>
      </c>
    </row>
    <row r="86" spans="1:14" ht="15.75" thickBot="1">
      <c r="A86" t="s">
        <v>169</v>
      </c>
      <c r="B86" s="82"/>
      <c r="C86" s="213">
        <f>C84+C85</f>
        <v>-23</v>
      </c>
      <c r="D86" s="213"/>
      <c r="E86" s="213">
        <f t="shared" ref="E86:L86" si="46">E84+E85</f>
        <v>10000</v>
      </c>
      <c r="F86" s="213">
        <f t="shared" si="46"/>
        <v>0</v>
      </c>
      <c r="G86" s="213">
        <f t="shared" si="46"/>
        <v>0</v>
      </c>
      <c r="H86" s="213">
        <f t="shared" si="46"/>
        <v>0</v>
      </c>
      <c r="I86" s="213">
        <f t="shared" si="46"/>
        <v>124313</v>
      </c>
      <c r="J86" s="213">
        <f t="shared" si="46"/>
        <v>0</v>
      </c>
      <c r="K86" s="213">
        <f t="shared" si="46"/>
        <v>0</v>
      </c>
      <c r="L86" s="213">
        <f t="shared" si="46"/>
        <v>5384</v>
      </c>
    </row>
    <row r="87" spans="1:14" ht="15.75" thickTop="1">
      <c r="B87" s="82"/>
      <c r="C87" s="82"/>
      <c r="D87" s="82"/>
      <c r="E87" s="82"/>
      <c r="F87" s="82"/>
      <c r="G87" s="82"/>
      <c r="H87" s="82"/>
      <c r="I87" s="82"/>
      <c r="J87" s="82"/>
      <c r="K87" s="82"/>
      <c r="L87" s="82"/>
    </row>
    <row r="88" spans="1:14" ht="15.75" thickBot="1">
      <c r="A88" s="36" t="s">
        <v>170</v>
      </c>
      <c r="B88" s="237"/>
      <c r="C88" s="220">
        <f t="shared" ref="C88:L88" si="47">-C86</f>
        <v>23</v>
      </c>
      <c r="D88" s="220">
        <f t="shared" si="47"/>
        <v>0</v>
      </c>
      <c r="E88" s="220">
        <f t="shared" si="47"/>
        <v>-10000</v>
      </c>
      <c r="F88" s="220">
        <f t="shared" si="47"/>
        <v>0</v>
      </c>
      <c r="G88" s="220">
        <f t="shared" si="47"/>
        <v>0</v>
      </c>
      <c r="H88" s="220">
        <f t="shared" si="47"/>
        <v>0</v>
      </c>
      <c r="I88" s="220">
        <f t="shared" si="47"/>
        <v>-124313</v>
      </c>
      <c r="J88" s="220">
        <f t="shared" si="47"/>
        <v>0</v>
      </c>
      <c r="K88" s="220">
        <f t="shared" si="47"/>
        <v>0</v>
      </c>
      <c r="L88" s="220">
        <f t="shared" si="47"/>
        <v>-5384</v>
      </c>
    </row>
    <row r="89" spans="1:14" ht="16.5" thickTop="1" thickBot="1">
      <c r="A89" s="36" t="s">
        <v>171</v>
      </c>
      <c r="B89" s="237"/>
      <c r="C89" s="241">
        <f t="shared" ref="C89:L89" si="48">C84-(C81+C83)</f>
        <v>0</v>
      </c>
      <c r="D89" s="241">
        <f t="shared" si="48"/>
        <v>0</v>
      </c>
      <c r="E89" s="241">
        <f t="shared" si="48"/>
        <v>0</v>
      </c>
      <c r="F89" s="241">
        <f t="shared" si="48"/>
        <v>0</v>
      </c>
      <c r="G89" s="241">
        <f t="shared" si="48"/>
        <v>0</v>
      </c>
      <c r="H89" s="241">
        <f t="shared" si="48"/>
        <v>0</v>
      </c>
      <c r="I89" s="241">
        <f t="shared" si="48"/>
        <v>46316</v>
      </c>
      <c r="J89" s="241">
        <f t="shared" si="48"/>
        <v>0</v>
      </c>
      <c r="K89" s="241">
        <f t="shared" si="48"/>
        <v>0</v>
      </c>
      <c r="L89" s="241">
        <f t="shared" si="48"/>
        <v>4244</v>
      </c>
    </row>
    <row r="90" spans="1:14" ht="15.75" thickTop="1">
      <c r="B90" s="82"/>
      <c r="C90" s="82"/>
      <c r="D90" s="82"/>
      <c r="E90" s="82"/>
      <c r="F90" s="82"/>
      <c r="G90" s="82"/>
      <c r="H90" s="82"/>
      <c r="I90" s="82"/>
      <c r="J90" s="82"/>
      <c r="K90" s="82"/>
      <c r="L90" s="82"/>
    </row>
    <row r="91" spans="1:14">
      <c r="A91" s="218" t="s">
        <v>172</v>
      </c>
      <c r="B91" s="172" t="s">
        <v>111</v>
      </c>
      <c r="C91" s="172" t="s">
        <v>112</v>
      </c>
      <c r="D91" s="172" t="s">
        <v>113</v>
      </c>
      <c r="E91" s="172" t="s">
        <v>114</v>
      </c>
      <c r="F91" s="172" t="s">
        <v>115</v>
      </c>
      <c r="G91" s="172" t="s">
        <v>116</v>
      </c>
      <c r="H91" s="172" t="s">
        <v>117</v>
      </c>
      <c r="I91" s="172" t="s">
        <v>118</v>
      </c>
      <c r="J91" s="172" t="s">
        <v>119</v>
      </c>
      <c r="K91" s="172" t="s">
        <v>120</v>
      </c>
      <c r="L91" s="172" t="s">
        <v>121</v>
      </c>
    </row>
    <row r="92" spans="1:14">
      <c r="A92" t="s">
        <v>173</v>
      </c>
      <c r="B92" s="82"/>
      <c r="C92" s="82"/>
      <c r="D92" s="82"/>
      <c r="E92" s="82"/>
      <c r="F92" s="82"/>
      <c r="G92" s="82">
        <v>15099</v>
      </c>
      <c r="H92" s="82">
        <f>G216+G222</f>
        <v>13828</v>
      </c>
      <c r="I92" s="82"/>
      <c r="J92" s="82"/>
      <c r="K92" s="82">
        <f>J98</f>
        <v>4878</v>
      </c>
      <c r="L92" s="82">
        <f>K98</f>
        <v>5319.9999999999991</v>
      </c>
    </row>
    <row r="93" spans="1:14">
      <c r="A93" s="55" t="s">
        <v>174</v>
      </c>
      <c r="B93" s="82"/>
      <c r="C93" s="82"/>
      <c r="D93" s="82"/>
      <c r="E93" s="82"/>
      <c r="F93" s="82"/>
      <c r="G93" s="238">
        <f>ABS(G94/G92)</f>
        <v>4.4307570037750842E-2</v>
      </c>
      <c r="H93" s="238">
        <f>ABS(H94/H92)</f>
        <v>7.1738501590974835E-2</v>
      </c>
      <c r="I93" s="238"/>
      <c r="J93" s="238"/>
      <c r="K93" s="238">
        <f t="shared" ref="K93:L93" si="49">ABS(K94/K92)</f>
        <v>5.0635506355063552E-2</v>
      </c>
      <c r="L93" s="238">
        <f t="shared" si="49"/>
        <v>4.9436090225563917E-2</v>
      </c>
      <c r="N93" s="42"/>
    </row>
    <row r="94" spans="1:14">
      <c r="A94" s="55" t="s">
        <v>175</v>
      </c>
      <c r="B94" s="82"/>
      <c r="C94" s="82"/>
      <c r="D94" s="82"/>
      <c r="E94" s="82"/>
      <c r="F94" s="82"/>
      <c r="G94" s="82">
        <v>-669</v>
      </c>
      <c r="H94" s="82">
        <v>-992</v>
      </c>
      <c r="I94" s="82"/>
      <c r="J94" s="82"/>
      <c r="K94" s="82">
        <v>-247</v>
      </c>
      <c r="L94" s="82">
        <v>-263</v>
      </c>
    </row>
    <row r="95" spans="1:14">
      <c r="A95" s="55" t="s">
        <v>176</v>
      </c>
      <c r="B95" s="82"/>
      <c r="C95" s="82"/>
      <c r="D95" s="82"/>
      <c r="E95" s="82"/>
      <c r="F95" s="82"/>
      <c r="G95" s="82">
        <v>0</v>
      </c>
      <c r="H95" s="82">
        <f>H104</f>
        <v>0</v>
      </c>
      <c r="I95" s="82">
        <f t="shared" ref="I95:L95" si="50">I104</f>
        <v>33047</v>
      </c>
      <c r="J95" s="82">
        <f t="shared" si="50"/>
        <v>0</v>
      </c>
      <c r="K95" s="82">
        <f t="shared" si="50"/>
        <v>0</v>
      </c>
      <c r="L95" s="82">
        <f t="shared" si="50"/>
        <v>4999</v>
      </c>
    </row>
    <row r="96" spans="1:14">
      <c r="A96" s="55" t="s">
        <v>177</v>
      </c>
      <c r="B96" s="82"/>
      <c r="C96" s="82"/>
      <c r="D96" s="82"/>
      <c r="E96" s="82"/>
      <c r="F96" s="82"/>
      <c r="G96" s="82">
        <v>3154</v>
      </c>
      <c r="H96" s="82">
        <v>5357.9999999999991</v>
      </c>
      <c r="I96" s="82"/>
      <c r="J96" s="82"/>
      <c r="K96" s="82">
        <v>1250.9999999999993</v>
      </c>
      <c r="L96" s="82">
        <v>-18.000000000001176</v>
      </c>
    </row>
    <row r="97" spans="1:19">
      <c r="A97" s="55" t="s">
        <v>178</v>
      </c>
      <c r="B97" s="82"/>
      <c r="C97" s="82"/>
      <c r="D97" s="82"/>
      <c r="E97" s="82"/>
      <c r="F97" s="82"/>
      <c r="G97" s="82">
        <v>-4425</v>
      </c>
      <c r="H97" s="82">
        <v>-4718</v>
      </c>
      <c r="I97" s="82"/>
      <c r="J97" s="82"/>
      <c r="K97" s="82">
        <v>-809</v>
      </c>
      <c r="L97" s="82">
        <v>-1792</v>
      </c>
    </row>
    <row r="98" spans="1:19">
      <c r="A98" s="11" t="s">
        <v>179</v>
      </c>
      <c r="B98" s="82"/>
      <c r="C98" s="82"/>
      <c r="D98" s="82"/>
      <c r="E98" s="82"/>
      <c r="F98" s="82"/>
      <c r="G98" s="42">
        <f>G92+G95+G96+G97</f>
        <v>13828</v>
      </c>
      <c r="H98" s="42">
        <f>H92+H95+H96+H97</f>
        <v>14468</v>
      </c>
      <c r="I98" s="42">
        <f>I216+I222</f>
        <v>23585</v>
      </c>
      <c r="J98" s="42">
        <f>J216+J222</f>
        <v>4878</v>
      </c>
      <c r="K98" s="42">
        <f>K92+K95+K96+K97</f>
        <v>5319.9999999999991</v>
      </c>
      <c r="L98" s="42">
        <f>L92+L95+L96+L97</f>
        <v>8508.9999999999982</v>
      </c>
    </row>
    <row r="99" spans="1:19">
      <c r="A99" s="55" t="s">
        <v>141</v>
      </c>
      <c r="B99" s="82"/>
      <c r="C99" s="82"/>
      <c r="D99" s="82"/>
      <c r="E99" s="82"/>
      <c r="F99" s="82"/>
      <c r="G99" s="82" t="b">
        <f>IF(G98=G216+G222,TRUE,FALSE)</f>
        <v>1</v>
      </c>
      <c r="H99" s="82" t="b">
        <f>IF(H98=H216+H222,TRUE,FALSE)</f>
        <v>1</v>
      </c>
      <c r="I99" s="82" t="b">
        <f>IF(I98=I216+I222,TRUE,FALSE)</f>
        <v>1</v>
      </c>
      <c r="J99" s="82" t="b">
        <f t="shared" ref="J99" si="51">IF(J98=J216+J222,TRUE,FALSE)</f>
        <v>1</v>
      </c>
      <c r="K99" s="82" t="b">
        <f>IF(K98=K216+K222,TRUE,FALSE)</f>
        <v>1</v>
      </c>
      <c r="L99" s="82" t="b">
        <f>IF(L98=L216+L222,TRUE,FALSE)</f>
        <v>1</v>
      </c>
      <c r="N99" s="82"/>
      <c r="O99" s="82"/>
      <c r="P99" s="82"/>
      <c r="Q99" s="82"/>
      <c r="R99" s="82"/>
      <c r="S99" s="82"/>
    </row>
    <row r="100" spans="1:19">
      <c r="B100" s="82"/>
      <c r="C100" s="82"/>
      <c r="D100" s="82"/>
      <c r="E100" s="82"/>
      <c r="F100" s="82"/>
      <c r="G100" s="82"/>
      <c r="H100" s="82"/>
      <c r="I100" s="82"/>
      <c r="J100" s="82"/>
      <c r="K100" s="82"/>
      <c r="L100" s="82"/>
    </row>
    <row r="101" spans="1:19">
      <c r="A101" s="11" t="s">
        <v>180</v>
      </c>
      <c r="B101" s="82"/>
      <c r="C101" s="82"/>
      <c r="D101" s="82"/>
      <c r="E101" s="82"/>
      <c r="F101" s="82"/>
      <c r="G101" s="82">
        <v>98482</v>
      </c>
      <c r="H101" s="82">
        <f>G106</f>
        <v>95989</v>
      </c>
      <c r="I101" s="82">
        <f t="shared" ref="I101:K101" si="52">H106</f>
        <v>104298</v>
      </c>
      <c r="J101" s="82">
        <f t="shared" si="52"/>
        <v>129325</v>
      </c>
      <c r="K101" s="82">
        <f t="shared" si="52"/>
        <v>119021</v>
      </c>
      <c r="L101" s="82">
        <f>K106</f>
        <v>116312</v>
      </c>
    </row>
    <row r="102" spans="1:19">
      <c r="A102" s="55" t="s">
        <v>181</v>
      </c>
      <c r="B102" s="82"/>
      <c r="C102" s="82"/>
      <c r="D102" s="82"/>
      <c r="E102" s="82"/>
      <c r="F102" s="82"/>
      <c r="G102" s="238">
        <f>ABS(G103/G101)</f>
        <v>6.2082410998964277E-2</v>
      </c>
      <c r="H102" s="238">
        <f t="shared" ref="H102:L102" si="53">ABS(H103/H101)</f>
        <v>5.8485868172394755E-2</v>
      </c>
      <c r="I102" s="238">
        <f t="shared" si="53"/>
        <v>6.7316727070509508E-2</v>
      </c>
      <c r="J102" s="238">
        <f t="shared" si="53"/>
        <v>3.1316450802242414E-2</v>
      </c>
      <c r="K102" s="238">
        <f t="shared" si="53"/>
        <v>3.875786625889549E-2</v>
      </c>
      <c r="L102" s="238">
        <f t="shared" si="53"/>
        <v>4.0735263773299404E-2</v>
      </c>
    </row>
    <row r="103" spans="1:19">
      <c r="A103" s="55" t="s">
        <v>182</v>
      </c>
      <c r="B103" s="82"/>
      <c r="C103" s="82"/>
      <c r="D103" s="82"/>
      <c r="E103" s="82"/>
      <c r="F103" s="82"/>
      <c r="G103" s="42">
        <v>-6114</v>
      </c>
      <c r="H103" s="82">
        <v>-5614</v>
      </c>
      <c r="I103" s="82">
        <v>-7021</v>
      </c>
      <c r="J103" s="82">
        <v>-4050</v>
      </c>
      <c r="K103" s="82">
        <v>-4613</v>
      </c>
      <c r="L103" s="82">
        <v>-4738</v>
      </c>
      <c r="N103" s="239"/>
    </row>
    <row r="104" spans="1:19">
      <c r="A104" s="55" t="s">
        <v>183</v>
      </c>
      <c r="B104" s="82"/>
      <c r="C104" s="82"/>
      <c r="D104" s="82"/>
      <c r="E104" s="82"/>
      <c r="F104" s="82"/>
      <c r="G104" s="82">
        <f t="shared" ref="G104:L104" si="54">G68</f>
        <v>0</v>
      </c>
      <c r="H104" s="82">
        <f t="shared" si="54"/>
        <v>0</v>
      </c>
      <c r="I104" s="82">
        <f t="shared" si="54"/>
        <v>33047</v>
      </c>
      <c r="J104" s="82">
        <f t="shared" si="54"/>
        <v>0</v>
      </c>
      <c r="K104" s="82">
        <f t="shared" si="54"/>
        <v>0</v>
      </c>
      <c r="L104" s="82">
        <f t="shared" si="54"/>
        <v>4999</v>
      </c>
      <c r="N104" s="239"/>
    </row>
    <row r="105" spans="1:19">
      <c r="A105" s="55" t="s">
        <v>184</v>
      </c>
      <c r="B105" s="82"/>
      <c r="C105" s="82"/>
      <c r="D105" s="82"/>
      <c r="E105" s="82"/>
      <c r="F105" s="82"/>
      <c r="G105" s="82">
        <v>3621</v>
      </c>
      <c r="H105" s="82">
        <v>13923</v>
      </c>
      <c r="I105" s="82">
        <v>-999</v>
      </c>
      <c r="J105" s="82">
        <v>-6254</v>
      </c>
      <c r="K105" s="82">
        <v>1904</v>
      </c>
      <c r="L105" s="82">
        <v>976.00000000000307</v>
      </c>
      <c r="N105" s="239"/>
    </row>
    <row r="106" spans="1:19">
      <c r="A106" s="11" t="s">
        <v>185</v>
      </c>
      <c r="B106" s="82"/>
      <c r="C106" s="82"/>
      <c r="D106" s="82"/>
      <c r="E106" s="82"/>
      <c r="F106" s="82"/>
      <c r="G106" s="82">
        <f>G101+G103+G104+G105</f>
        <v>95989</v>
      </c>
      <c r="H106" s="82">
        <f>H101+H103+H104+H105</f>
        <v>104298</v>
      </c>
      <c r="I106" s="82">
        <f>I101+I103+I104+I105</f>
        <v>129325</v>
      </c>
      <c r="J106" s="82">
        <f t="shared" ref="J106:K106" si="55">J101+J103+J104+J105</f>
        <v>119021</v>
      </c>
      <c r="K106" s="82">
        <f t="shared" si="55"/>
        <v>116312</v>
      </c>
      <c r="L106" s="82">
        <f>L101+L103+L104+L105</f>
        <v>117549</v>
      </c>
      <c r="N106" s="42"/>
    </row>
    <row r="107" spans="1:19">
      <c r="A107" s="55" t="s">
        <v>141</v>
      </c>
      <c r="B107" s="82"/>
      <c r="C107" s="82"/>
      <c r="D107" s="82"/>
      <c r="E107" s="82"/>
      <c r="F107" s="82"/>
      <c r="G107" s="82" t="b">
        <f>IF(G106=G174,TRUE,FALSE)</f>
        <v>1</v>
      </c>
      <c r="H107" s="82" t="b">
        <f t="shared" ref="H107:K107" si="56">IF(H106=H174,TRUE,FALSE)</f>
        <v>1</v>
      </c>
      <c r="I107" s="82" t="b">
        <f>IF(I106=I174,TRUE,FALSE)</f>
        <v>1</v>
      </c>
      <c r="J107" s="82" t="b">
        <f t="shared" si="56"/>
        <v>1</v>
      </c>
      <c r="K107" s="82" t="b">
        <f t="shared" si="56"/>
        <v>1</v>
      </c>
      <c r="L107" s="82" t="b">
        <f>IF(L106=L174,TRUE,FALSE)</f>
        <v>1</v>
      </c>
      <c r="N107" s="240"/>
    </row>
    <row r="108" spans="1:19">
      <c r="A108" s="55"/>
      <c r="B108" s="82"/>
      <c r="C108" s="82"/>
      <c r="D108" s="82"/>
      <c r="E108" s="82"/>
      <c r="F108" s="82"/>
      <c r="G108" s="82"/>
      <c r="H108" s="82"/>
      <c r="I108" s="82"/>
      <c r="J108" s="82"/>
      <c r="K108" s="82"/>
      <c r="L108" s="82"/>
    </row>
    <row r="109" spans="1:19">
      <c r="A109" s="218" t="s">
        <v>186</v>
      </c>
      <c r="B109" s="172" t="s">
        <v>111</v>
      </c>
      <c r="C109" s="172" t="s">
        <v>112</v>
      </c>
      <c r="D109" s="172" t="s">
        <v>113</v>
      </c>
      <c r="E109" s="172" t="s">
        <v>114</v>
      </c>
      <c r="F109" s="172" t="s">
        <v>115</v>
      </c>
      <c r="G109" s="172" t="s">
        <v>116</v>
      </c>
      <c r="H109" s="172" t="s">
        <v>117</v>
      </c>
      <c r="I109" s="172" t="s">
        <v>118</v>
      </c>
      <c r="J109" s="172" t="s">
        <v>119</v>
      </c>
      <c r="K109" s="172" t="s">
        <v>120</v>
      </c>
      <c r="L109" s="172" t="s">
        <v>121</v>
      </c>
    </row>
    <row r="110" spans="1:19">
      <c r="A110" t="s">
        <v>187</v>
      </c>
    </row>
    <row r="111" spans="1:19">
      <c r="A111" t="s">
        <v>188</v>
      </c>
      <c r="B111" s="82">
        <f t="shared" ref="B111:L111" si="57">B13</f>
        <v>98731</v>
      </c>
      <c r="C111" s="82">
        <f t="shared" si="57"/>
        <v>55333</v>
      </c>
      <c r="D111" s="82">
        <f t="shared" si="57"/>
        <v>160623</v>
      </c>
      <c r="E111" s="82">
        <f t="shared" si="57"/>
        <v>150546</v>
      </c>
      <c r="F111" s="82">
        <f t="shared" si="57"/>
        <v>112574</v>
      </c>
      <c r="G111" s="82">
        <f t="shared" si="57"/>
        <v>167687</v>
      </c>
      <c r="H111" s="82">
        <f t="shared" si="57"/>
        <v>369450</v>
      </c>
      <c r="I111" s="82">
        <f t="shared" si="57"/>
        <v>372078</v>
      </c>
      <c r="J111" s="82">
        <f t="shared" si="57"/>
        <v>437855</v>
      </c>
      <c r="K111" s="82">
        <f t="shared" si="57"/>
        <v>388610</v>
      </c>
      <c r="L111" s="82">
        <f t="shared" si="57"/>
        <v>466423</v>
      </c>
    </row>
    <row r="112" spans="1:19">
      <c r="A112" t="s">
        <v>189</v>
      </c>
      <c r="B112" s="82"/>
      <c r="C112" s="82"/>
      <c r="D112" s="82"/>
      <c r="E112" s="82"/>
      <c r="F112" s="82"/>
      <c r="G112" s="82"/>
      <c r="H112" s="82"/>
      <c r="I112" s="82"/>
      <c r="J112" s="82"/>
      <c r="K112" s="82"/>
      <c r="L112" s="82"/>
    </row>
    <row r="113" spans="1:12">
      <c r="A113" s="55" t="s">
        <v>190</v>
      </c>
      <c r="B113" s="82">
        <v>31769</v>
      </c>
      <c r="C113" s="82">
        <v>36602</v>
      </c>
      <c r="D113" s="82">
        <v>52219</v>
      </c>
      <c r="E113" s="82">
        <v>46594</v>
      </c>
      <c r="F113" s="82">
        <v>16362</v>
      </c>
      <c r="G113" s="82">
        <v>14979</v>
      </c>
      <c r="H113" s="82">
        <v>15658</v>
      </c>
      <c r="I113" s="82">
        <v>22915</v>
      </c>
      <c r="J113" s="82">
        <v>37350</v>
      </c>
      <c r="K113" s="82">
        <v>38297</v>
      </c>
      <c r="L113" s="82">
        <v>49874</v>
      </c>
    </row>
    <row r="114" spans="1:12">
      <c r="A114" s="55" t="s">
        <v>191</v>
      </c>
      <c r="B114" s="82"/>
      <c r="C114" s="82"/>
      <c r="D114" s="82"/>
      <c r="E114" s="82"/>
      <c r="F114" s="82"/>
      <c r="G114" s="82">
        <v>6114</v>
      </c>
      <c r="H114" s="82">
        <v>5614</v>
      </c>
      <c r="I114" s="82">
        <v>7021</v>
      </c>
      <c r="J114" s="82">
        <v>4050</v>
      </c>
      <c r="K114" s="82">
        <v>4613</v>
      </c>
      <c r="L114" s="82">
        <v>4738</v>
      </c>
    </row>
    <row r="115" spans="1:12">
      <c r="A115" s="55" t="s">
        <v>192</v>
      </c>
      <c r="B115" s="82">
        <v>190</v>
      </c>
      <c r="C115" s="82">
        <v>222</v>
      </c>
      <c r="D115" s="82">
        <v>223</v>
      </c>
      <c r="E115" s="82">
        <v>190</v>
      </c>
      <c r="F115" s="82">
        <v>0</v>
      </c>
      <c r="G115" s="82">
        <v>0</v>
      </c>
      <c r="H115" s="82">
        <v>81675</v>
      </c>
      <c r="I115" s="82">
        <v>80653</v>
      </c>
      <c r="J115" s="82">
        <v>86003</v>
      </c>
      <c r="K115" s="82">
        <v>89146</v>
      </c>
      <c r="L115" s="82">
        <v>89412</v>
      </c>
    </row>
    <row r="116" spans="1:12">
      <c r="A116" s="55" t="s">
        <v>193</v>
      </c>
      <c r="B116" s="82"/>
      <c r="C116" s="82"/>
      <c r="D116" s="82"/>
      <c r="E116" s="82"/>
      <c r="F116" s="82"/>
      <c r="G116" s="82"/>
      <c r="H116" s="82"/>
      <c r="I116" s="82"/>
      <c r="J116" s="82"/>
      <c r="K116" s="82"/>
      <c r="L116" s="82"/>
    </row>
    <row r="117" spans="1:12">
      <c r="A117" s="11" t="s">
        <v>194</v>
      </c>
      <c r="B117" s="82"/>
      <c r="C117" s="82"/>
      <c r="D117" s="82"/>
      <c r="E117" s="82"/>
      <c r="F117" s="82"/>
      <c r="G117" s="82"/>
      <c r="H117" s="82"/>
      <c r="I117" s="82"/>
      <c r="J117" s="82"/>
      <c r="K117" s="82"/>
      <c r="L117" s="82"/>
    </row>
    <row r="118" spans="1:12">
      <c r="A118" s="55" t="s">
        <v>195</v>
      </c>
      <c r="B118" s="82"/>
      <c r="C118" s="82">
        <f>-(C193-C73-B193)</f>
        <v>-9928</v>
      </c>
      <c r="D118" s="82">
        <f t="shared" ref="D118:L118" si="58">-(D193-D73-C193)</f>
        <v>-103603</v>
      </c>
      <c r="E118" s="82">
        <f t="shared" si="58"/>
        <v>65382</v>
      </c>
      <c r="F118" s="82">
        <f t="shared" si="58"/>
        <v>68686</v>
      </c>
      <c r="G118" s="82">
        <f t="shared" si="58"/>
        <v>-4246</v>
      </c>
      <c r="H118" s="82">
        <f t="shared" si="58"/>
        <v>-209648</v>
      </c>
      <c r="I118" s="82">
        <f t="shared" si="58"/>
        <v>-56745</v>
      </c>
      <c r="J118" s="82">
        <f t="shared" si="58"/>
        <v>-28586</v>
      </c>
      <c r="K118" s="82">
        <f t="shared" si="58"/>
        <v>-51432</v>
      </c>
      <c r="L118" s="82">
        <f t="shared" si="58"/>
        <v>109790</v>
      </c>
    </row>
    <row r="119" spans="1:12">
      <c r="A119" s="55" t="s">
        <v>196</v>
      </c>
      <c r="B119" s="82"/>
      <c r="C119" s="82">
        <f>-(C190-C72-B190)</f>
        <v>2103</v>
      </c>
      <c r="D119" s="82">
        <f t="shared" ref="D119:L119" si="59">-(D190-D72-C190)</f>
        <v>7701</v>
      </c>
      <c r="E119" s="82">
        <f t="shared" si="59"/>
        <v>17594</v>
      </c>
      <c r="F119" s="82">
        <f t="shared" si="59"/>
        <v>-21950</v>
      </c>
      <c r="G119" s="82">
        <f t="shared" si="59"/>
        <v>-2744</v>
      </c>
      <c r="H119" s="82">
        <f t="shared" si="59"/>
        <v>5172</v>
      </c>
      <c r="I119" s="82">
        <f t="shared" si="59"/>
        <v>-35729</v>
      </c>
      <c r="J119" s="82">
        <f t="shared" si="59"/>
        <v>-19024</v>
      </c>
      <c r="K119" s="82">
        <f t="shared" si="59"/>
        <v>16145</v>
      </c>
      <c r="L119" s="82">
        <f t="shared" si="59"/>
        <v>-52918</v>
      </c>
    </row>
    <row r="120" spans="1:12">
      <c r="A120" s="55" t="s">
        <v>197</v>
      </c>
      <c r="B120" s="82"/>
      <c r="C120" s="82">
        <f>-SUM(C191-B191,C192-B192,C195-B195,C196-B196,C197-B197,C198-B198)+C70</f>
        <v>8690</v>
      </c>
      <c r="D120" s="82">
        <f t="shared" ref="D120:L120" si="60">-SUM(D191-C191,D192-C192,D195-C195,D196-C196,D197-C197,D198-C198)+D70</f>
        <v>6370</v>
      </c>
      <c r="E120" s="82">
        <f t="shared" si="60"/>
        <v>0</v>
      </c>
      <c r="F120" s="82">
        <f t="shared" si="60"/>
        <v>-2485</v>
      </c>
      <c r="G120" s="82">
        <f t="shared" si="60"/>
        <v>2379</v>
      </c>
      <c r="H120" s="82">
        <f t="shared" si="60"/>
        <v>-301</v>
      </c>
      <c r="I120" s="82">
        <f t="shared" si="60"/>
        <v>3788</v>
      </c>
      <c r="J120" s="82">
        <f t="shared" si="60"/>
        <v>-3413</v>
      </c>
      <c r="K120" s="82">
        <f t="shared" si="60"/>
        <v>-15914</v>
      </c>
      <c r="L120" s="82">
        <f t="shared" si="60"/>
        <v>45533</v>
      </c>
    </row>
    <row r="121" spans="1:12">
      <c r="A121" s="55" t="s">
        <v>543</v>
      </c>
      <c r="B121" s="82"/>
      <c r="C121" s="82">
        <f>C224-ABS(C78)-B224</f>
        <v>-4105</v>
      </c>
      <c r="D121" s="82">
        <f t="shared" ref="D121:L121" si="61">D224-ABS(D78)-C224</f>
        <v>125682</v>
      </c>
      <c r="E121" s="82">
        <f t="shared" si="61"/>
        <v>-56328</v>
      </c>
      <c r="F121" s="82">
        <f t="shared" si="61"/>
        <v>153712</v>
      </c>
      <c r="G121" s="82">
        <f t="shared" si="61"/>
        <v>27904</v>
      </c>
      <c r="H121" s="82">
        <f t="shared" si="61"/>
        <v>-188836</v>
      </c>
      <c r="I121" s="82">
        <f t="shared" si="61"/>
        <v>-23707</v>
      </c>
      <c r="J121" s="82">
        <f t="shared" si="61"/>
        <v>37211</v>
      </c>
      <c r="K121" s="82">
        <f t="shared" si="61"/>
        <v>13097</v>
      </c>
      <c r="L121" s="82">
        <f t="shared" si="61"/>
        <v>14355</v>
      </c>
    </row>
    <row r="122" spans="1:12">
      <c r="A122" s="11"/>
      <c r="B122" s="82"/>
      <c r="C122" s="82"/>
      <c r="D122" s="82"/>
      <c r="E122" s="82"/>
      <c r="F122" s="82"/>
      <c r="G122" s="82"/>
      <c r="H122" s="82"/>
      <c r="I122" s="82"/>
      <c r="J122" s="82"/>
      <c r="K122" s="82"/>
      <c r="L122" s="82"/>
    </row>
    <row r="123" spans="1:12">
      <c r="A123" s="11" t="s">
        <v>198</v>
      </c>
      <c r="B123" s="82"/>
      <c r="C123" s="82">
        <f>SUM(C111:C121)</f>
        <v>88917</v>
      </c>
      <c r="D123" s="82">
        <f t="shared" ref="D123:K123" si="62">SUM(D111:D121)</f>
        <v>249215</v>
      </c>
      <c r="E123" s="82">
        <f t="shared" si="62"/>
        <v>223978</v>
      </c>
      <c r="F123" s="82">
        <f t="shared" si="62"/>
        <v>326899</v>
      </c>
      <c r="G123" s="82">
        <f t="shared" si="62"/>
        <v>212073</v>
      </c>
      <c r="H123" s="82">
        <f t="shared" si="62"/>
        <v>78784</v>
      </c>
      <c r="I123" s="82">
        <f t="shared" si="62"/>
        <v>370274</v>
      </c>
      <c r="J123" s="82">
        <f t="shared" si="62"/>
        <v>551446</v>
      </c>
      <c r="K123" s="82">
        <f t="shared" si="62"/>
        <v>482562</v>
      </c>
      <c r="L123" s="82">
        <f>SUM(L111:L121)</f>
        <v>727207</v>
      </c>
    </row>
    <row r="124" spans="1:12">
      <c r="B124" s="82"/>
      <c r="C124" s="82"/>
      <c r="D124" s="82"/>
      <c r="E124" s="82"/>
      <c r="F124" s="82"/>
      <c r="G124" s="82"/>
      <c r="H124" s="82"/>
      <c r="I124" s="82"/>
      <c r="J124" s="82"/>
      <c r="K124" s="82"/>
      <c r="L124" s="82"/>
    </row>
    <row r="125" spans="1:12">
      <c r="A125" s="11" t="s">
        <v>199</v>
      </c>
      <c r="B125" s="82"/>
      <c r="C125" s="82"/>
      <c r="D125" s="82"/>
      <c r="E125" s="82"/>
      <c r="F125" s="82"/>
      <c r="G125" s="82"/>
      <c r="H125" s="82"/>
      <c r="I125" s="82"/>
      <c r="J125" s="82"/>
      <c r="K125" s="82"/>
      <c r="L125" s="82"/>
    </row>
    <row r="126" spans="1:12">
      <c r="A126" s="11" t="s">
        <v>200</v>
      </c>
    </row>
    <row r="127" spans="1:12">
      <c r="A127" s="11" t="s">
        <v>201</v>
      </c>
    </row>
    <row r="128" spans="1:12">
      <c r="A128" s="11" t="s">
        <v>199</v>
      </c>
    </row>
    <row r="129" spans="1:12">
      <c r="A129" s="11" t="s">
        <v>199</v>
      </c>
    </row>
    <row r="130" spans="1:12">
      <c r="A130" s="11" t="s">
        <v>199</v>
      </c>
      <c r="B130" s="82"/>
      <c r="C130" s="82"/>
      <c r="D130" s="82"/>
      <c r="E130" s="82"/>
      <c r="F130" s="82"/>
      <c r="G130" s="82"/>
      <c r="H130" s="82"/>
      <c r="I130" s="82"/>
      <c r="J130" s="82"/>
      <c r="K130" s="82"/>
      <c r="L130" s="82"/>
    </row>
    <row r="131" spans="1:12">
      <c r="A131" s="11" t="s">
        <v>199</v>
      </c>
    </row>
    <row r="132" spans="1:12">
      <c r="A132" s="11" t="s">
        <v>199</v>
      </c>
    </row>
    <row r="133" spans="1:12">
      <c r="A133" s="11" t="s">
        <v>199</v>
      </c>
    </row>
    <row r="134" spans="1:12">
      <c r="A134" s="11" t="s">
        <v>199</v>
      </c>
    </row>
    <row r="135" spans="1:12">
      <c r="A135" s="11" t="s">
        <v>199</v>
      </c>
    </row>
    <row r="136" spans="1:12">
      <c r="A136" s="11" t="s">
        <v>199</v>
      </c>
    </row>
    <row r="137" spans="1:12">
      <c r="A137" s="11" t="s">
        <v>199</v>
      </c>
    </row>
    <row r="139" spans="1:12">
      <c r="A139" s="11"/>
      <c r="B139" s="82"/>
      <c r="C139" s="82"/>
      <c r="D139" s="82"/>
      <c r="E139" s="82"/>
      <c r="F139" s="82"/>
      <c r="G139" s="82"/>
      <c r="H139" s="82"/>
      <c r="I139" s="82"/>
      <c r="J139" s="82"/>
      <c r="K139" s="82"/>
      <c r="L139" s="82"/>
    </row>
    <row r="140" spans="1:12">
      <c r="A140" s="11"/>
      <c r="B140" s="82"/>
      <c r="C140" s="82"/>
      <c r="D140" s="82"/>
      <c r="E140" s="82"/>
      <c r="F140" s="82"/>
      <c r="G140" s="82"/>
      <c r="H140" s="82"/>
      <c r="I140" s="82"/>
      <c r="J140" s="82"/>
      <c r="K140" s="82"/>
      <c r="L140" s="82"/>
    </row>
    <row r="141" spans="1:12">
      <c r="A141" s="11"/>
      <c r="B141" s="82"/>
      <c r="C141" s="82"/>
      <c r="D141" s="82"/>
      <c r="E141" s="82"/>
      <c r="F141" s="82"/>
      <c r="G141" s="82"/>
      <c r="H141" s="82"/>
      <c r="I141" s="82"/>
      <c r="J141" s="82"/>
      <c r="K141" s="82"/>
      <c r="L141" s="82"/>
    </row>
    <row r="142" spans="1:12">
      <c r="A142" s="11"/>
      <c r="B142" s="82"/>
      <c r="C142" s="82"/>
      <c r="D142" s="82"/>
      <c r="E142" s="82"/>
      <c r="F142" s="82"/>
      <c r="G142" s="82"/>
      <c r="H142" s="82"/>
      <c r="I142" s="82"/>
      <c r="J142" s="82"/>
      <c r="K142" s="82"/>
      <c r="L142" s="82"/>
    </row>
    <row r="143" spans="1:12">
      <c r="A143" s="11"/>
      <c r="B143" s="82"/>
      <c r="C143" s="82"/>
      <c r="D143" s="82"/>
      <c r="E143" s="82"/>
      <c r="F143" s="82"/>
      <c r="G143" s="82"/>
      <c r="H143" s="82"/>
      <c r="I143" s="82"/>
      <c r="J143" s="82"/>
      <c r="K143" s="82"/>
      <c r="L143" s="82"/>
    </row>
    <row r="144" spans="1:12">
      <c r="A144" s="11"/>
      <c r="B144" s="82"/>
      <c r="C144" s="82"/>
      <c r="D144" s="82"/>
      <c r="E144" s="82"/>
      <c r="F144" s="82"/>
      <c r="G144" s="82"/>
      <c r="H144" s="82"/>
      <c r="I144" s="82"/>
      <c r="J144" s="82"/>
      <c r="K144" s="82"/>
      <c r="L144" s="82"/>
    </row>
    <row r="145" spans="1:14">
      <c r="A145" s="11"/>
      <c r="M145" s="7"/>
    </row>
    <row r="146" spans="1:14">
      <c r="A146" s="216" t="s">
        <v>202</v>
      </c>
      <c r="B146" s="217" t="s">
        <v>111</v>
      </c>
      <c r="C146" s="217" t="s">
        <v>112</v>
      </c>
      <c r="D146" s="217" t="s">
        <v>113</v>
      </c>
      <c r="E146" s="217" t="s">
        <v>114</v>
      </c>
      <c r="F146" s="217" t="s">
        <v>115</v>
      </c>
      <c r="G146" s="217" t="s">
        <v>116</v>
      </c>
      <c r="H146" s="217" t="s">
        <v>117</v>
      </c>
      <c r="I146" s="217" t="s">
        <v>118</v>
      </c>
      <c r="J146" s="217" t="s">
        <v>119</v>
      </c>
      <c r="K146" s="217" t="s">
        <v>120</v>
      </c>
      <c r="L146" s="217" t="s">
        <v>121</v>
      </c>
      <c r="M146" s="82"/>
    </row>
    <row r="147" spans="1:14">
      <c r="A147" t="s">
        <v>97</v>
      </c>
      <c r="B147" s="82" t="s">
        <v>203</v>
      </c>
      <c r="C147" s="82" t="s">
        <v>204</v>
      </c>
      <c r="D147" s="82" t="s">
        <v>205</v>
      </c>
      <c r="E147" s="82" t="s">
        <v>206</v>
      </c>
      <c r="F147" s="82" t="s">
        <v>207</v>
      </c>
      <c r="G147" s="82" t="s">
        <v>208</v>
      </c>
      <c r="H147" s="82" t="s">
        <v>209</v>
      </c>
      <c r="I147" s="82" t="s">
        <v>210</v>
      </c>
      <c r="J147" s="82" t="s">
        <v>211</v>
      </c>
      <c r="K147" s="82" t="s">
        <v>212</v>
      </c>
      <c r="L147" s="82" t="s">
        <v>213</v>
      </c>
      <c r="M147" s="82"/>
    </row>
    <row r="148" spans="1:14">
      <c r="A148" t="s">
        <v>123</v>
      </c>
      <c r="B148" s="82" t="s">
        <v>214</v>
      </c>
      <c r="C148" s="82" t="s">
        <v>215</v>
      </c>
      <c r="D148" s="82" t="s">
        <v>216</v>
      </c>
      <c r="E148" s="82" t="s">
        <v>217</v>
      </c>
      <c r="F148" s="82" t="s">
        <v>218</v>
      </c>
      <c r="G148" s="82" t="s">
        <v>219</v>
      </c>
      <c r="H148" s="82" t="s">
        <v>220</v>
      </c>
      <c r="I148" s="82" t="s">
        <v>221</v>
      </c>
      <c r="J148" s="82" t="s">
        <v>222</v>
      </c>
      <c r="K148" s="82" t="s">
        <v>223</v>
      </c>
      <c r="L148" s="82" t="s">
        <v>224</v>
      </c>
      <c r="M148" s="82"/>
    </row>
    <row r="149" spans="1:14">
      <c r="A149" t="s">
        <v>124</v>
      </c>
      <c r="B149" s="82" t="s">
        <v>225</v>
      </c>
      <c r="C149" s="82" t="s">
        <v>226</v>
      </c>
      <c r="D149" s="82" t="s">
        <v>227</v>
      </c>
      <c r="E149" s="82" t="s">
        <v>228</v>
      </c>
      <c r="F149" s="82" t="s">
        <v>229</v>
      </c>
      <c r="G149" s="82" t="s">
        <v>230</v>
      </c>
      <c r="H149" s="82" t="s">
        <v>231</v>
      </c>
      <c r="I149" s="82" t="s">
        <v>232</v>
      </c>
      <c r="J149" s="82" t="s">
        <v>233</v>
      </c>
      <c r="K149" s="82" t="s">
        <v>234</v>
      </c>
      <c r="L149" s="82" t="s">
        <v>235</v>
      </c>
      <c r="M149" s="82"/>
    </row>
    <row r="150" spans="1:14">
      <c r="A150" t="s">
        <v>236</v>
      </c>
      <c r="B150" s="82" t="s">
        <v>237</v>
      </c>
      <c r="C150" s="82" t="s">
        <v>238</v>
      </c>
      <c r="D150" s="82" t="s">
        <v>239</v>
      </c>
      <c r="E150" s="82" t="s">
        <v>240</v>
      </c>
      <c r="F150" s="82">
        <v>0</v>
      </c>
      <c r="G150" s="82">
        <v>0</v>
      </c>
      <c r="H150" s="82">
        <v>0</v>
      </c>
      <c r="I150" s="82">
        <v>0</v>
      </c>
      <c r="J150" s="82">
        <v>0</v>
      </c>
      <c r="K150" s="82">
        <v>0</v>
      </c>
      <c r="L150" s="82">
        <v>0</v>
      </c>
      <c r="M150" s="82"/>
    </row>
    <row r="151" spans="1:14">
      <c r="A151" t="s">
        <v>125</v>
      </c>
      <c r="B151" s="82">
        <v>0</v>
      </c>
      <c r="C151" s="82">
        <v>0</v>
      </c>
      <c r="D151" s="82">
        <v>0</v>
      </c>
      <c r="E151" s="82">
        <v>0</v>
      </c>
      <c r="F151" s="82" t="s">
        <v>241</v>
      </c>
      <c r="G151" s="82" t="s">
        <v>242</v>
      </c>
      <c r="H151" s="82" t="s">
        <v>243</v>
      </c>
      <c r="I151" s="82" t="s">
        <v>244</v>
      </c>
      <c r="J151" s="82" t="s">
        <v>245</v>
      </c>
      <c r="K151" s="82" t="s">
        <v>246</v>
      </c>
      <c r="L151" s="82" t="s">
        <v>247</v>
      </c>
      <c r="M151" s="82"/>
    </row>
    <row r="152" spans="1:14">
      <c r="A152" t="s">
        <v>248</v>
      </c>
      <c r="B152" s="82" t="s">
        <v>249</v>
      </c>
      <c r="C152" s="82" t="s">
        <v>250</v>
      </c>
      <c r="D152" s="82" t="s">
        <v>251</v>
      </c>
      <c r="E152" s="82" t="s">
        <v>252</v>
      </c>
      <c r="F152" s="82">
        <v>0</v>
      </c>
      <c r="G152" s="82">
        <v>0</v>
      </c>
      <c r="H152" s="82">
        <v>0</v>
      </c>
      <c r="I152" s="82">
        <v>0</v>
      </c>
      <c r="J152" s="82">
        <v>0</v>
      </c>
      <c r="K152" s="82">
        <v>0</v>
      </c>
      <c r="L152" s="82">
        <v>0</v>
      </c>
      <c r="M152" s="82"/>
    </row>
    <row r="153" spans="1:14">
      <c r="A153" t="s">
        <v>126</v>
      </c>
      <c r="B153" s="82" t="s">
        <v>253</v>
      </c>
      <c r="C153" s="82" t="s">
        <v>254</v>
      </c>
      <c r="D153" s="82" t="s">
        <v>255</v>
      </c>
      <c r="E153" s="82" t="s">
        <v>256</v>
      </c>
      <c r="F153" s="82" t="s">
        <v>257</v>
      </c>
      <c r="G153" s="82" t="s">
        <v>258</v>
      </c>
      <c r="H153" s="82" t="s">
        <v>259</v>
      </c>
      <c r="I153" s="82" t="s">
        <v>260</v>
      </c>
      <c r="J153" s="82" t="s">
        <v>261</v>
      </c>
      <c r="K153" s="82" t="s">
        <v>262</v>
      </c>
      <c r="L153" s="82" t="s">
        <v>263</v>
      </c>
      <c r="M153" s="82"/>
    </row>
    <row r="154" spans="1:14">
      <c r="A154" t="s">
        <v>264</v>
      </c>
      <c r="B154" s="82">
        <v>0</v>
      </c>
      <c r="C154" s="82">
        <v>0</v>
      </c>
      <c r="D154" s="82">
        <v>0</v>
      </c>
      <c r="E154" s="82">
        <v>0</v>
      </c>
      <c r="F154" s="82">
        <v>0</v>
      </c>
      <c r="G154" s="82">
        <v>0</v>
      </c>
      <c r="H154" s="82">
        <v>0</v>
      </c>
      <c r="I154" s="82">
        <v>0</v>
      </c>
      <c r="J154" s="82" t="s">
        <v>265</v>
      </c>
      <c r="K154" s="82" t="s">
        <v>266</v>
      </c>
      <c r="L154" s="82" t="s">
        <v>267</v>
      </c>
      <c r="M154" s="82"/>
    </row>
    <row r="155" spans="1:14">
      <c r="A155" t="s">
        <v>268</v>
      </c>
      <c r="B155" s="82" t="s">
        <v>269</v>
      </c>
      <c r="C155" s="82" t="s">
        <v>270</v>
      </c>
      <c r="D155" s="82" t="s">
        <v>271</v>
      </c>
      <c r="E155" s="82" t="s">
        <v>272</v>
      </c>
      <c r="F155" s="82" t="s">
        <v>273</v>
      </c>
      <c r="G155" s="82" t="s">
        <v>274</v>
      </c>
      <c r="H155" s="82" t="s">
        <v>275</v>
      </c>
      <c r="I155" s="82" t="s">
        <v>276</v>
      </c>
      <c r="J155" s="82" t="s">
        <v>277</v>
      </c>
      <c r="K155" s="82" t="s">
        <v>278</v>
      </c>
      <c r="L155" s="82" t="s">
        <v>279</v>
      </c>
      <c r="M155" s="82"/>
      <c r="N155" s="42"/>
    </row>
    <row r="156" spans="1:14">
      <c r="A156" t="s">
        <v>280</v>
      </c>
      <c r="B156" s="212" t="s">
        <v>281</v>
      </c>
      <c r="C156" s="212" t="s">
        <v>282</v>
      </c>
      <c r="D156" s="212" t="s">
        <v>283</v>
      </c>
      <c r="E156" s="212" t="s">
        <v>284</v>
      </c>
      <c r="F156" s="212" t="s">
        <v>285</v>
      </c>
      <c r="G156" s="212" t="s">
        <v>286</v>
      </c>
      <c r="H156" s="212" t="s">
        <v>287</v>
      </c>
      <c r="I156" s="212" t="s">
        <v>288</v>
      </c>
      <c r="J156" s="212" t="s">
        <v>289</v>
      </c>
      <c r="K156" s="212" t="s">
        <v>290</v>
      </c>
      <c r="L156" s="212" t="s">
        <v>291</v>
      </c>
      <c r="M156" s="82"/>
    </row>
    <row r="157" spans="1:14">
      <c r="A157" t="s">
        <v>127</v>
      </c>
      <c r="B157" s="82" t="s">
        <v>292</v>
      </c>
      <c r="C157" s="82" t="s">
        <v>293</v>
      </c>
      <c r="D157" s="82" t="s">
        <v>294</v>
      </c>
      <c r="E157" s="82" t="s">
        <v>295</v>
      </c>
      <c r="F157" s="82" t="s">
        <v>296</v>
      </c>
      <c r="G157" s="82" t="s">
        <v>297</v>
      </c>
      <c r="H157" s="82" t="s">
        <v>298</v>
      </c>
      <c r="I157" s="82" t="s">
        <v>299</v>
      </c>
      <c r="J157" s="82" t="s">
        <v>300</v>
      </c>
      <c r="K157" s="82" t="s">
        <v>301</v>
      </c>
      <c r="L157" s="82" t="s">
        <v>302</v>
      </c>
      <c r="M157" s="82"/>
    </row>
    <row r="158" spans="1:14">
      <c r="A158" t="s">
        <v>303</v>
      </c>
      <c r="B158" s="82" t="s">
        <v>304</v>
      </c>
      <c r="C158" s="82">
        <v>0</v>
      </c>
      <c r="D158" s="82">
        <v>0</v>
      </c>
      <c r="E158" s="82">
        <v>0</v>
      </c>
      <c r="F158" s="82" t="s">
        <v>305</v>
      </c>
      <c r="G158" s="82" t="s">
        <v>306</v>
      </c>
      <c r="H158" s="82" t="s">
        <v>307</v>
      </c>
      <c r="I158" s="82" t="s">
        <v>308</v>
      </c>
      <c r="J158" s="82" t="s">
        <v>309</v>
      </c>
      <c r="K158" s="82" t="s">
        <v>310</v>
      </c>
      <c r="L158" s="82" t="s">
        <v>311</v>
      </c>
      <c r="M158" s="82"/>
    </row>
    <row r="159" spans="1:14">
      <c r="A159" t="s">
        <v>312</v>
      </c>
      <c r="B159" s="82" t="s">
        <v>313</v>
      </c>
      <c r="C159" s="82" t="s">
        <v>314</v>
      </c>
      <c r="D159" s="82" t="s">
        <v>315</v>
      </c>
      <c r="E159" s="82" t="s">
        <v>316</v>
      </c>
      <c r="F159" s="82" t="s">
        <v>317</v>
      </c>
      <c r="G159" s="82" t="s">
        <v>318</v>
      </c>
      <c r="H159" s="82" t="s">
        <v>319</v>
      </c>
      <c r="I159" s="82" t="s">
        <v>320</v>
      </c>
      <c r="J159" s="82" t="s">
        <v>321</v>
      </c>
      <c r="K159" s="82" t="s">
        <v>322</v>
      </c>
      <c r="L159" s="82" t="s">
        <v>323</v>
      </c>
      <c r="M159" s="82"/>
    </row>
    <row r="160" spans="1:14">
      <c r="A160" t="s">
        <v>129</v>
      </c>
      <c r="B160" s="82" t="s">
        <v>324</v>
      </c>
      <c r="C160" s="82" t="s">
        <v>325</v>
      </c>
      <c r="D160" s="82" t="s">
        <v>326</v>
      </c>
      <c r="E160" s="82" t="s">
        <v>327</v>
      </c>
      <c r="F160" s="82" t="s">
        <v>328</v>
      </c>
      <c r="G160" s="82" t="s">
        <v>329</v>
      </c>
      <c r="H160" s="82" t="s">
        <v>330</v>
      </c>
      <c r="I160" s="82" t="s">
        <v>331</v>
      </c>
      <c r="J160" s="82" t="s">
        <v>332</v>
      </c>
      <c r="K160" s="82" t="s">
        <v>333</v>
      </c>
      <c r="L160" s="82" t="s">
        <v>334</v>
      </c>
      <c r="M160" s="82"/>
    </row>
    <row r="161" spans="1:13">
      <c r="A161" t="s">
        <v>335</v>
      </c>
      <c r="B161" s="82">
        <v>0</v>
      </c>
      <c r="C161" s="82">
        <v>0</v>
      </c>
      <c r="D161" s="82" t="s">
        <v>336</v>
      </c>
      <c r="E161" s="82" t="s">
        <v>337</v>
      </c>
      <c r="F161" s="82" t="s">
        <v>338</v>
      </c>
      <c r="G161" s="82" t="s">
        <v>339</v>
      </c>
      <c r="H161" s="82">
        <v>0</v>
      </c>
      <c r="I161" s="82">
        <v>0</v>
      </c>
      <c r="J161" s="82">
        <v>0</v>
      </c>
      <c r="K161" s="82">
        <v>0</v>
      </c>
      <c r="L161" s="82">
        <v>0</v>
      </c>
      <c r="M161" s="82"/>
    </row>
    <row r="162" spans="1:13">
      <c r="A162" t="s">
        <v>340</v>
      </c>
      <c r="B162" s="82">
        <v>0</v>
      </c>
      <c r="C162" s="82">
        <v>0</v>
      </c>
      <c r="D162" s="82" t="s">
        <v>341</v>
      </c>
      <c r="E162" s="82" t="s">
        <v>342</v>
      </c>
      <c r="F162" s="82" t="s">
        <v>343</v>
      </c>
      <c r="G162" s="82" t="s">
        <v>344</v>
      </c>
      <c r="H162" s="82">
        <v>0</v>
      </c>
      <c r="I162" s="82">
        <v>0</v>
      </c>
      <c r="J162" s="82">
        <v>0</v>
      </c>
      <c r="K162" s="82">
        <v>0</v>
      </c>
      <c r="L162" s="82">
        <v>0</v>
      </c>
      <c r="M162" s="82"/>
    </row>
    <row r="163" spans="1:13">
      <c r="A163" t="s">
        <v>345</v>
      </c>
      <c r="B163" s="212" t="s">
        <v>346</v>
      </c>
      <c r="C163" s="212" t="s">
        <v>347</v>
      </c>
      <c r="D163" s="212" t="s">
        <v>348</v>
      </c>
      <c r="E163" s="212" t="s">
        <v>349</v>
      </c>
      <c r="F163" s="212" t="s">
        <v>350</v>
      </c>
      <c r="G163" s="212" t="s">
        <v>351</v>
      </c>
      <c r="H163" s="212" t="s">
        <v>352</v>
      </c>
      <c r="I163" s="212" t="s">
        <v>353</v>
      </c>
      <c r="J163" s="212" t="s">
        <v>354</v>
      </c>
      <c r="K163" s="212" t="s">
        <v>355</v>
      </c>
      <c r="L163" s="212" t="s">
        <v>356</v>
      </c>
      <c r="M163" s="82"/>
    </row>
    <row r="164" spans="1:13">
      <c r="B164" s="82"/>
      <c r="C164" s="82"/>
      <c r="D164" s="215"/>
      <c r="E164" s="82"/>
      <c r="F164" s="7"/>
      <c r="H164" s="7"/>
      <c r="I164" s="82"/>
      <c r="J164" s="82"/>
      <c r="K164" s="82"/>
      <c r="L164" s="82"/>
    </row>
    <row r="165" spans="1:13">
      <c r="A165" s="216" t="s">
        <v>357</v>
      </c>
      <c r="B165" s="217" t="s">
        <v>111</v>
      </c>
      <c r="C165" s="217" t="s">
        <v>112</v>
      </c>
      <c r="D165" s="217" t="s">
        <v>113</v>
      </c>
      <c r="E165" s="217" t="s">
        <v>114</v>
      </c>
      <c r="F165" s="217" t="s">
        <v>115</v>
      </c>
      <c r="G165" s="217" t="s">
        <v>116</v>
      </c>
      <c r="H165" s="217" t="s">
        <v>117</v>
      </c>
      <c r="I165" s="217" t="s">
        <v>118</v>
      </c>
      <c r="J165" s="217" t="s">
        <v>119</v>
      </c>
      <c r="K165" s="217" t="s">
        <v>120</v>
      </c>
      <c r="L165" s="217" t="s">
        <v>121</v>
      </c>
    </row>
    <row r="166" spans="1:13">
      <c r="A166" t="s">
        <v>358</v>
      </c>
    </row>
    <row r="168" spans="1:13" ht="15" customHeight="1">
      <c r="A168" t="s">
        <v>359</v>
      </c>
    </row>
    <row r="169" spans="1:13" ht="15" customHeight="1">
      <c r="A169" t="s">
        <v>360</v>
      </c>
      <c r="B169" s="42">
        <v>0</v>
      </c>
      <c r="C169" s="42">
        <v>0</v>
      </c>
      <c r="D169" s="42">
        <v>0</v>
      </c>
      <c r="E169" s="42">
        <v>0</v>
      </c>
      <c r="F169" s="42">
        <v>0</v>
      </c>
      <c r="G169" s="42">
        <v>0</v>
      </c>
      <c r="H169" s="42">
        <v>1932044</v>
      </c>
      <c r="I169" s="42">
        <v>1922289</v>
      </c>
      <c r="J169" s="42">
        <v>1940823</v>
      </c>
      <c r="K169" s="42">
        <v>1940046</v>
      </c>
      <c r="L169" s="42">
        <v>2175656</v>
      </c>
    </row>
    <row r="170" spans="1:13" ht="15" customHeight="1">
      <c r="A170" t="s">
        <v>361</v>
      </c>
      <c r="B170" s="42">
        <v>311540</v>
      </c>
      <c r="C170" s="42">
        <v>333500</v>
      </c>
      <c r="D170" s="42">
        <v>323517</v>
      </c>
      <c r="E170" s="42">
        <v>262151</v>
      </c>
      <c r="F170" s="42">
        <v>287392</v>
      </c>
      <c r="G170" s="42">
        <v>222770</v>
      </c>
      <c r="H170" s="42">
        <v>250229</v>
      </c>
      <c r="I170" s="42">
        <v>410393</v>
      </c>
      <c r="J170" s="42">
        <v>481679</v>
      </c>
      <c r="K170" s="42">
        <v>531945</v>
      </c>
      <c r="L170" s="42">
        <v>775791</v>
      </c>
    </row>
    <row r="171" spans="1:13" ht="15" customHeight="1">
      <c r="A171" t="s">
        <v>362</v>
      </c>
      <c r="B171" s="42">
        <v>0</v>
      </c>
      <c r="C171" s="42">
        <v>0</v>
      </c>
      <c r="D171" s="42">
        <v>0</v>
      </c>
      <c r="E171" s="42">
        <v>0</v>
      </c>
      <c r="F171" s="42">
        <v>0</v>
      </c>
      <c r="G171" s="42">
        <v>0</v>
      </c>
      <c r="H171" s="42">
        <v>0</v>
      </c>
      <c r="I171" s="42">
        <v>0</v>
      </c>
      <c r="J171" s="42">
        <v>0</v>
      </c>
      <c r="K171" s="42">
        <v>0</v>
      </c>
      <c r="L171" s="42">
        <v>337515</v>
      </c>
    </row>
    <row r="172" spans="1:13" ht="15" customHeight="1">
      <c r="A172" t="s">
        <v>134</v>
      </c>
      <c r="B172" s="42">
        <v>128433</v>
      </c>
      <c r="C172" s="42">
        <v>140740</v>
      </c>
      <c r="D172" s="42">
        <v>149356</v>
      </c>
      <c r="E172" s="42">
        <v>167662</v>
      </c>
      <c r="F172" s="42">
        <v>177212</v>
      </c>
      <c r="G172" s="42">
        <v>177212</v>
      </c>
      <c r="H172" s="42">
        <v>177212</v>
      </c>
      <c r="I172" s="42">
        <v>165203</v>
      </c>
      <c r="J172" s="42">
        <v>165203</v>
      </c>
      <c r="K172" s="42">
        <v>168746</v>
      </c>
      <c r="L172" s="42">
        <v>261679</v>
      </c>
    </row>
    <row r="173" spans="1:13">
      <c r="A173" t="s">
        <v>363</v>
      </c>
      <c r="B173" s="42">
        <v>0</v>
      </c>
      <c r="C173" s="42">
        <v>0</v>
      </c>
      <c r="D173" s="42">
        <v>0</v>
      </c>
      <c r="E173" s="42">
        <v>0</v>
      </c>
      <c r="F173" s="42">
        <v>0</v>
      </c>
      <c r="G173" s="42">
        <v>0</v>
      </c>
      <c r="H173" s="42">
        <v>0</v>
      </c>
      <c r="I173" s="42">
        <v>0</v>
      </c>
      <c r="J173" s="42">
        <v>74574</v>
      </c>
      <c r="K173" s="42">
        <v>203048</v>
      </c>
      <c r="L173" s="42">
        <v>884</v>
      </c>
    </row>
    <row r="174" spans="1:13">
      <c r="A174" t="s">
        <v>135</v>
      </c>
      <c r="B174" s="42">
        <v>0</v>
      </c>
      <c r="C174" s="42">
        <v>0</v>
      </c>
      <c r="D174" s="42">
        <v>0</v>
      </c>
      <c r="E174" s="42">
        <v>0</v>
      </c>
      <c r="F174" s="42">
        <v>0</v>
      </c>
      <c r="G174" s="42">
        <v>95989</v>
      </c>
      <c r="H174" s="42">
        <v>104298</v>
      </c>
      <c r="I174" s="42">
        <v>129325</v>
      </c>
      <c r="J174" s="42">
        <v>119021</v>
      </c>
      <c r="K174" s="42">
        <v>116312</v>
      </c>
      <c r="L174" s="42">
        <v>117549</v>
      </c>
    </row>
    <row r="175" spans="1:13">
      <c r="A175" t="s">
        <v>364</v>
      </c>
      <c r="B175" s="42">
        <v>27628</v>
      </c>
      <c r="C175" s="42">
        <v>0</v>
      </c>
      <c r="D175" s="42">
        <v>0</v>
      </c>
      <c r="E175" s="42">
        <v>0</v>
      </c>
      <c r="F175" s="42">
        <v>4000</v>
      </c>
      <c r="G175" s="42">
        <v>4000</v>
      </c>
      <c r="H175" s="42">
        <v>3988</v>
      </c>
      <c r="I175" s="42">
        <f>3988+141964</f>
        <v>145952</v>
      </c>
      <c r="J175" s="42">
        <v>174561</v>
      </c>
      <c r="K175" s="42">
        <v>166674</v>
      </c>
      <c r="L175" s="42">
        <f>104545+68887</f>
        <v>173432</v>
      </c>
    </row>
    <row r="176" spans="1:13">
      <c r="A176" t="s">
        <v>365</v>
      </c>
      <c r="B176" s="42">
        <v>37329</v>
      </c>
      <c r="C176" s="42">
        <v>41512</v>
      </c>
      <c r="D176" s="42">
        <v>40315</v>
      </c>
      <c r="E176" s="42">
        <v>56909</v>
      </c>
      <c r="F176" s="42">
        <v>43247</v>
      </c>
      <c r="G176" s="42">
        <v>49385</v>
      </c>
      <c r="H176" s="42">
        <v>98790</v>
      </c>
      <c r="I176" s="42">
        <v>200067</v>
      </c>
      <c r="J176" s="42">
        <v>152658</v>
      </c>
      <c r="K176" s="42">
        <v>133947</v>
      </c>
      <c r="L176" s="42">
        <v>88020</v>
      </c>
    </row>
    <row r="177" spans="1:12">
      <c r="A177" t="s">
        <v>366</v>
      </c>
      <c r="B177" s="42">
        <v>335</v>
      </c>
      <c r="C177" s="42">
        <v>335</v>
      </c>
      <c r="D177" s="42">
        <v>335</v>
      </c>
      <c r="E177" s="42">
        <v>335</v>
      </c>
      <c r="F177" s="42">
        <v>335</v>
      </c>
      <c r="G177" s="42">
        <v>335</v>
      </c>
      <c r="H177" s="42"/>
      <c r="I177" s="42"/>
      <c r="J177" s="42">
        <v>0</v>
      </c>
      <c r="K177" s="42">
        <v>0</v>
      </c>
      <c r="L177" s="42"/>
    </row>
    <row r="178" spans="1:12">
      <c r="A178" t="s">
        <v>367</v>
      </c>
      <c r="B178" s="42">
        <v>10812</v>
      </c>
      <c r="C178" s="42">
        <v>10812</v>
      </c>
      <c r="D178" s="42">
        <v>10812</v>
      </c>
      <c r="E178" s="42">
        <v>10812</v>
      </c>
      <c r="F178" s="42">
        <v>8357</v>
      </c>
      <c r="G178" s="42">
        <v>8357</v>
      </c>
      <c r="H178" s="42">
        <v>8357</v>
      </c>
      <c r="I178" s="42">
        <v>54673</v>
      </c>
      <c r="J178" s="42">
        <v>54673</v>
      </c>
      <c r="K178" s="42">
        <v>54673</v>
      </c>
      <c r="L178" s="42">
        <v>57927</v>
      </c>
    </row>
    <row r="179" spans="1:12">
      <c r="A179" t="s">
        <v>143</v>
      </c>
      <c r="B179" s="42">
        <v>0</v>
      </c>
      <c r="C179" s="42">
        <v>0</v>
      </c>
      <c r="D179" s="42">
        <v>0</v>
      </c>
      <c r="E179" s="42">
        <v>0</v>
      </c>
      <c r="F179" s="42">
        <v>43443</v>
      </c>
      <c r="G179" s="42">
        <v>43443</v>
      </c>
      <c r="H179" s="42">
        <v>43443</v>
      </c>
      <c r="I179" s="42">
        <v>43443</v>
      </c>
      <c r="J179" s="42">
        <v>43443</v>
      </c>
      <c r="K179" s="42">
        <v>40166</v>
      </c>
      <c r="L179" s="42">
        <v>40166</v>
      </c>
    </row>
    <row r="180" spans="1:12">
      <c r="A180" t="s">
        <v>368</v>
      </c>
      <c r="B180" s="42">
        <v>448</v>
      </c>
      <c r="C180" s="42">
        <v>3068</v>
      </c>
      <c r="D180" s="42">
        <v>2690</v>
      </c>
      <c r="E180" s="42">
        <v>170</v>
      </c>
      <c r="F180" s="42">
        <v>0</v>
      </c>
      <c r="G180" s="42">
        <v>0</v>
      </c>
      <c r="H180" s="42">
        <v>0</v>
      </c>
      <c r="I180" s="42">
        <v>0</v>
      </c>
      <c r="J180" s="42">
        <v>0</v>
      </c>
      <c r="K180" s="42">
        <v>2932</v>
      </c>
      <c r="L180" s="42">
        <v>0</v>
      </c>
    </row>
    <row r="181" spans="1:12">
      <c r="A181" t="s">
        <v>139</v>
      </c>
      <c r="B181" s="42">
        <v>0</v>
      </c>
      <c r="C181" s="42">
        <v>0</v>
      </c>
      <c r="D181" s="42">
        <v>0</v>
      </c>
      <c r="E181" s="42">
        <v>0</v>
      </c>
      <c r="F181" s="42">
        <v>0</v>
      </c>
      <c r="G181" s="42">
        <v>0</v>
      </c>
      <c r="H181" s="42">
        <v>524</v>
      </c>
      <c r="I181" s="42">
        <v>1157</v>
      </c>
      <c r="J181" s="42">
        <v>0</v>
      </c>
      <c r="K181" s="42">
        <v>0</v>
      </c>
      <c r="L181" s="42">
        <v>246445</v>
      </c>
    </row>
    <row r="182" spans="1:12">
      <c r="A182" t="s">
        <v>369</v>
      </c>
      <c r="B182" s="42">
        <v>6198</v>
      </c>
      <c r="C182" s="42">
        <v>6667</v>
      </c>
      <c r="D182" s="42">
        <v>16635</v>
      </c>
      <c r="E182" s="42">
        <v>17327</v>
      </c>
      <c r="F182" s="42">
        <v>21223</v>
      </c>
      <c r="G182" s="42">
        <v>0</v>
      </c>
      <c r="H182" s="42">
        <v>0</v>
      </c>
      <c r="I182" s="42">
        <v>0</v>
      </c>
      <c r="J182" s="42">
        <v>0</v>
      </c>
      <c r="K182" s="42">
        <v>0</v>
      </c>
      <c r="L182" s="42">
        <v>0</v>
      </c>
    </row>
    <row r="183" spans="1:12">
      <c r="A183" t="s">
        <v>370</v>
      </c>
      <c r="B183" s="42">
        <v>50287</v>
      </c>
      <c r="C183" s="42">
        <v>51215</v>
      </c>
      <c r="D183" s="42">
        <v>44438</v>
      </c>
      <c r="E183" s="42">
        <v>45095</v>
      </c>
      <c r="F183" s="42">
        <v>0</v>
      </c>
      <c r="G183" s="42">
        <v>0</v>
      </c>
      <c r="H183" s="42">
        <v>0</v>
      </c>
      <c r="I183" s="42">
        <v>0</v>
      </c>
      <c r="J183" s="42">
        <v>0</v>
      </c>
      <c r="K183" s="42">
        <v>0</v>
      </c>
      <c r="L183" s="42">
        <v>0</v>
      </c>
    </row>
    <row r="184" spans="1:12">
      <c r="A184" t="s">
        <v>371</v>
      </c>
      <c r="B184" s="42">
        <v>72459</v>
      </c>
      <c r="C184" s="42">
        <v>221726</v>
      </c>
      <c r="D184" s="42">
        <v>72065</v>
      </c>
      <c r="E184" s="42">
        <v>601</v>
      </c>
      <c r="F184" s="42">
        <v>0</v>
      </c>
      <c r="G184" s="42">
        <v>0</v>
      </c>
      <c r="H184" s="42">
        <v>0</v>
      </c>
      <c r="I184" s="42">
        <v>0</v>
      </c>
      <c r="J184" s="42">
        <v>0</v>
      </c>
      <c r="K184" s="42">
        <v>0</v>
      </c>
      <c r="L184" s="42">
        <v>0</v>
      </c>
    </row>
    <row r="185" spans="1:12">
      <c r="A185" t="s">
        <v>372</v>
      </c>
      <c r="B185" s="42">
        <v>711</v>
      </c>
      <c r="C185" s="42">
        <v>540</v>
      </c>
      <c r="D185" s="42">
        <v>0</v>
      </c>
      <c r="E185" s="42">
        <v>0</v>
      </c>
      <c r="F185" s="42">
        <v>0</v>
      </c>
      <c r="G185" s="42">
        <v>0</v>
      </c>
      <c r="H185" s="42">
        <v>0</v>
      </c>
      <c r="I185" s="42">
        <v>0</v>
      </c>
      <c r="J185" s="42">
        <v>0</v>
      </c>
      <c r="K185" s="42">
        <v>0</v>
      </c>
      <c r="L185" s="42">
        <v>0</v>
      </c>
    </row>
    <row r="186" spans="1:12">
      <c r="A186" t="s">
        <v>373</v>
      </c>
      <c r="B186" s="42">
        <v>0</v>
      </c>
      <c r="C186" s="42">
        <v>0</v>
      </c>
      <c r="D186" s="42">
        <v>370391</v>
      </c>
      <c r="E186" s="42">
        <v>941796</v>
      </c>
      <c r="F186" s="42">
        <v>1635027</v>
      </c>
      <c r="G186" s="42">
        <v>2048137</v>
      </c>
      <c r="H186" s="42">
        <v>0</v>
      </c>
      <c r="I186" s="42">
        <v>0</v>
      </c>
      <c r="J186" s="42">
        <v>0</v>
      </c>
      <c r="K186" s="42">
        <v>0</v>
      </c>
      <c r="L186" s="42">
        <v>0</v>
      </c>
    </row>
    <row r="187" spans="1:12">
      <c r="B187" s="188">
        <v>646180</v>
      </c>
      <c r="C187" s="188">
        <v>810115</v>
      </c>
      <c r="D187" s="188">
        <v>1030554</v>
      </c>
      <c r="E187" s="188">
        <v>1502858</v>
      </c>
      <c r="F187" s="188">
        <v>2220236</v>
      </c>
      <c r="G187" s="188">
        <v>2649628</v>
      </c>
      <c r="H187" s="188">
        <v>2618885</v>
      </c>
      <c r="I187" s="188">
        <v>3072502</v>
      </c>
      <c r="J187" s="212">
        <v>3206635</v>
      </c>
      <c r="K187" s="212">
        <v>3358489</v>
      </c>
      <c r="L187" s="212">
        <v>4275064</v>
      </c>
    </row>
    <row r="188" spans="1:12">
      <c r="B188" s="42"/>
      <c r="C188" s="42"/>
      <c r="D188" s="42"/>
      <c r="E188" s="42"/>
      <c r="F188" s="42"/>
      <c r="G188" s="42"/>
      <c r="H188" s="42"/>
      <c r="I188" s="42"/>
      <c r="J188" s="82"/>
      <c r="K188" s="82"/>
      <c r="L188" s="42"/>
    </row>
    <row r="189" spans="1:12">
      <c r="A189" t="s">
        <v>374</v>
      </c>
      <c r="B189" s="42"/>
      <c r="C189" s="42"/>
      <c r="D189" s="42"/>
      <c r="E189" s="42"/>
      <c r="F189" s="42"/>
      <c r="G189" s="42"/>
      <c r="H189" s="42"/>
      <c r="I189" s="42"/>
      <c r="J189" s="82"/>
      <c r="K189" s="82"/>
      <c r="L189" s="42"/>
    </row>
    <row r="190" spans="1:12">
      <c r="A190" t="s">
        <v>143</v>
      </c>
      <c r="B190" s="42">
        <v>69678</v>
      </c>
      <c r="C190" s="42">
        <v>67575</v>
      </c>
      <c r="D190" s="42">
        <v>59874</v>
      </c>
      <c r="E190" s="42">
        <v>42280</v>
      </c>
      <c r="F190" s="42">
        <v>64230</v>
      </c>
      <c r="G190" s="42">
        <v>66974</v>
      </c>
      <c r="H190" s="42">
        <v>61802</v>
      </c>
      <c r="I190" s="42">
        <v>128858</v>
      </c>
      <c r="J190" s="82">
        <v>147882</v>
      </c>
      <c r="K190" s="82">
        <v>131737</v>
      </c>
      <c r="L190" s="42">
        <v>185896</v>
      </c>
    </row>
    <row r="191" spans="1:12">
      <c r="A191" t="s">
        <v>375</v>
      </c>
      <c r="B191" s="42">
        <v>0</v>
      </c>
      <c r="C191" s="42">
        <v>0</v>
      </c>
      <c r="D191" s="42">
        <v>0</v>
      </c>
      <c r="E191" s="42">
        <v>0</v>
      </c>
      <c r="F191" s="42">
        <v>0</v>
      </c>
      <c r="G191" s="42">
        <v>0</v>
      </c>
      <c r="H191" s="42">
        <v>0</v>
      </c>
      <c r="I191" s="42">
        <v>0</v>
      </c>
      <c r="J191" s="42">
        <v>0</v>
      </c>
      <c r="K191" s="42">
        <v>0</v>
      </c>
      <c r="L191" s="42">
        <v>301</v>
      </c>
    </row>
    <row r="192" spans="1:12">
      <c r="A192" t="s">
        <v>376</v>
      </c>
      <c r="B192" s="42">
        <v>0</v>
      </c>
      <c r="C192" s="42">
        <v>0</v>
      </c>
      <c r="D192" s="42">
        <v>0</v>
      </c>
      <c r="E192" s="42">
        <v>0</v>
      </c>
      <c r="F192" s="42">
        <v>1838</v>
      </c>
      <c r="G192" s="42">
        <v>104</v>
      </c>
      <c r="H192" s="42">
        <v>404</v>
      </c>
      <c r="I192" s="42">
        <v>1587</v>
      </c>
      <c r="J192" s="42">
        <v>0</v>
      </c>
      <c r="K192" s="82">
        <v>1414</v>
      </c>
      <c r="L192" s="42">
        <v>0</v>
      </c>
    </row>
    <row r="193" spans="1:15">
      <c r="A193" t="s">
        <v>377</v>
      </c>
      <c r="B193" s="42">
        <v>113637</v>
      </c>
      <c r="C193" s="42">
        <v>123565</v>
      </c>
      <c r="D193" s="42">
        <v>227168</v>
      </c>
      <c r="E193" s="42">
        <v>161787</v>
      </c>
      <c r="F193" s="42">
        <v>93101</v>
      </c>
      <c r="G193" s="42">
        <v>97347</v>
      </c>
      <c r="H193" s="42">
        <v>306995</v>
      </c>
      <c r="I193" s="42">
        <v>408666</v>
      </c>
      <c r="J193" s="82">
        <v>437252</v>
      </c>
      <c r="K193" s="82">
        <v>488684</v>
      </c>
      <c r="L193" s="42">
        <v>391774</v>
      </c>
    </row>
    <row r="194" spans="1:15">
      <c r="A194" t="s">
        <v>378</v>
      </c>
      <c r="B194" s="42">
        <v>235473</v>
      </c>
      <c r="C194" s="42">
        <v>198045</v>
      </c>
      <c r="D194" s="42">
        <v>291326</v>
      </c>
      <c r="E194" s="42">
        <v>138750</v>
      </c>
      <c r="F194" s="42">
        <v>130508</v>
      </c>
      <c r="G194" s="42">
        <v>91031</v>
      </c>
      <c r="H194" s="42">
        <v>93607</v>
      </c>
      <c r="I194" s="42">
        <v>257649</v>
      </c>
      <c r="J194" s="82">
        <v>492254</v>
      </c>
      <c r="K194" s="82">
        <v>508587</v>
      </c>
      <c r="L194" s="42">
        <v>268320</v>
      </c>
    </row>
    <row r="195" spans="1:15">
      <c r="A195" t="s">
        <v>379</v>
      </c>
      <c r="B195" s="42">
        <v>0</v>
      </c>
      <c r="C195" s="42">
        <v>0</v>
      </c>
      <c r="D195" s="42">
        <v>0</v>
      </c>
      <c r="E195" s="42">
        <v>0</v>
      </c>
      <c r="F195" s="42">
        <v>0</v>
      </c>
      <c r="G195" s="42">
        <v>0</v>
      </c>
      <c r="H195" s="42">
        <v>0</v>
      </c>
      <c r="I195" s="42">
        <v>0</v>
      </c>
      <c r="J195" s="82">
        <v>5000</v>
      </c>
      <c r="K195" s="82">
        <v>19500</v>
      </c>
      <c r="L195" s="42">
        <v>0</v>
      </c>
    </row>
    <row r="196" spans="1:15">
      <c r="A196" t="s">
        <v>380</v>
      </c>
      <c r="B196" s="42">
        <v>0</v>
      </c>
      <c r="C196" s="42">
        <v>0</v>
      </c>
      <c r="D196" s="42">
        <v>0</v>
      </c>
      <c r="E196" s="42">
        <v>0</v>
      </c>
      <c r="F196" s="42">
        <v>647</v>
      </c>
      <c r="G196" s="42">
        <v>0</v>
      </c>
      <c r="H196" s="42">
        <v>0</v>
      </c>
      <c r="I196" s="42">
        <v>0</v>
      </c>
      <c r="J196" s="82">
        <v>0</v>
      </c>
      <c r="K196" s="82">
        <v>0</v>
      </c>
      <c r="L196" s="42">
        <v>0</v>
      </c>
    </row>
    <row r="197" spans="1:15">
      <c r="A197" t="s">
        <v>381</v>
      </c>
      <c r="B197" s="42">
        <v>15060</v>
      </c>
      <c r="C197" s="42">
        <v>6370</v>
      </c>
      <c r="D197" s="42">
        <v>0</v>
      </c>
      <c r="E197" s="42">
        <v>0</v>
      </c>
      <c r="F197" s="42">
        <v>0</v>
      </c>
      <c r="G197" s="42">
        <v>0</v>
      </c>
      <c r="H197" s="42">
        <v>0</v>
      </c>
      <c r="I197" s="42">
        <v>0</v>
      </c>
      <c r="J197" s="82">
        <v>0</v>
      </c>
      <c r="K197" s="82">
        <v>0</v>
      </c>
      <c r="L197" s="42">
        <v>0</v>
      </c>
    </row>
    <row r="198" spans="1:15">
      <c r="A198" t="s">
        <v>382</v>
      </c>
      <c r="B198" s="42">
        <v>0</v>
      </c>
      <c r="C198" s="42">
        <v>0</v>
      </c>
      <c r="D198" s="42">
        <v>0</v>
      </c>
      <c r="E198" s="42">
        <v>0</v>
      </c>
      <c r="F198" s="42">
        <v>0</v>
      </c>
      <c r="G198" s="42">
        <v>2</v>
      </c>
      <c r="H198" s="42">
        <v>3</v>
      </c>
      <c r="I198" s="42">
        <v>0</v>
      </c>
      <c r="J198" s="82">
        <v>0</v>
      </c>
      <c r="K198" s="82">
        <v>0</v>
      </c>
      <c r="L198" s="42">
        <v>0</v>
      </c>
    </row>
    <row r="199" spans="1:15">
      <c r="B199" s="188">
        <v>433848</v>
      </c>
      <c r="C199" s="188">
        <v>395555</v>
      </c>
      <c r="D199" s="188">
        <v>578368</v>
      </c>
      <c r="E199" s="188">
        <v>342817</v>
      </c>
      <c r="F199" s="188">
        <v>290324</v>
      </c>
      <c r="G199" s="188">
        <v>255458</v>
      </c>
      <c r="H199" s="188">
        <v>462811</v>
      </c>
      <c r="I199" s="188">
        <v>796760</v>
      </c>
      <c r="J199" s="212">
        <v>1082388</v>
      </c>
      <c r="K199" s="212">
        <v>1149922</v>
      </c>
      <c r="L199" s="212">
        <v>846291</v>
      </c>
    </row>
    <row r="200" spans="1:15">
      <c r="B200" s="42"/>
      <c r="C200" s="42"/>
      <c r="D200" s="42"/>
      <c r="E200" s="42"/>
      <c r="F200" s="42"/>
      <c r="G200" s="42"/>
      <c r="H200" s="42"/>
      <c r="I200" s="42"/>
      <c r="J200" s="82"/>
      <c r="K200" s="82"/>
      <c r="L200" s="42"/>
    </row>
    <row r="201" spans="1:15" ht="15.75" thickBot="1">
      <c r="A201" t="s">
        <v>383</v>
      </c>
      <c r="B201" s="104">
        <v>1080028</v>
      </c>
      <c r="C201" s="104">
        <v>1205670</v>
      </c>
      <c r="D201" s="104">
        <v>1608922</v>
      </c>
      <c r="E201" s="104">
        <v>1845675</v>
      </c>
      <c r="F201" s="104">
        <v>2510560</v>
      </c>
      <c r="G201" s="104">
        <v>2905086</v>
      </c>
      <c r="H201" s="104">
        <v>3081696</v>
      </c>
      <c r="I201" s="104">
        <v>3869262</v>
      </c>
      <c r="J201" s="213">
        <v>4289023</v>
      </c>
      <c r="K201" s="213">
        <v>4508411</v>
      </c>
      <c r="L201" s="213">
        <v>5121355</v>
      </c>
    </row>
    <row r="202" spans="1:15" ht="15.75" thickTop="1">
      <c r="B202" s="42"/>
      <c r="C202" s="42"/>
      <c r="D202" s="42"/>
      <c r="E202" s="42"/>
      <c r="F202" s="42"/>
      <c r="G202" s="42"/>
      <c r="H202" s="42"/>
      <c r="I202" s="42"/>
      <c r="J202" s="82"/>
      <c r="K202" s="82"/>
      <c r="L202" s="42"/>
    </row>
    <row r="203" spans="1:15">
      <c r="A203" t="s">
        <v>384</v>
      </c>
      <c r="B203" s="42"/>
      <c r="C203" s="42"/>
      <c r="D203" s="42"/>
      <c r="E203" s="42"/>
      <c r="F203" s="42"/>
      <c r="G203" s="42"/>
      <c r="H203" s="42"/>
      <c r="I203" s="42"/>
      <c r="J203" s="82"/>
      <c r="K203" s="82"/>
      <c r="L203" s="42"/>
    </row>
    <row r="204" spans="1:15">
      <c r="A204" t="s">
        <v>385</v>
      </c>
      <c r="B204" s="42">
        <v>243002</v>
      </c>
      <c r="C204" s="42">
        <v>243345</v>
      </c>
      <c r="D204" s="42">
        <v>401900</v>
      </c>
      <c r="E204" s="42">
        <v>524005</v>
      </c>
      <c r="F204" s="42">
        <v>540667</v>
      </c>
      <c r="G204" s="42">
        <v>593586</v>
      </c>
      <c r="H204" s="42">
        <v>743121</v>
      </c>
      <c r="I204" s="42">
        <v>743121</v>
      </c>
      <c r="J204" s="82" t="s">
        <v>386</v>
      </c>
      <c r="K204" s="82" t="s">
        <v>386</v>
      </c>
      <c r="L204" s="42">
        <v>743121</v>
      </c>
    </row>
    <row r="205" spans="1:15">
      <c r="A205" t="s">
        <v>387</v>
      </c>
      <c r="B205" s="42">
        <v>-30025</v>
      </c>
      <c r="C205" s="42">
        <v>-30046</v>
      </c>
      <c r="D205" s="42">
        <v>-30046</v>
      </c>
      <c r="E205" s="42">
        <v>-30046</v>
      </c>
      <c r="F205" s="42">
        <v>-30046</v>
      </c>
      <c r="G205" s="42">
        <v>-30046</v>
      </c>
      <c r="H205" s="42">
        <v>-30046</v>
      </c>
      <c r="I205" s="42">
        <v>-36869</v>
      </c>
      <c r="J205" s="82" t="s">
        <v>388</v>
      </c>
      <c r="K205" s="82" t="s">
        <v>389</v>
      </c>
      <c r="L205" s="42">
        <v>-46473</v>
      </c>
    </row>
    <row r="206" spans="1:15">
      <c r="A206" t="s">
        <v>390</v>
      </c>
      <c r="B206" s="42">
        <v>525971</v>
      </c>
      <c r="C206" s="42">
        <v>600818</v>
      </c>
      <c r="D206" s="42">
        <v>815198</v>
      </c>
      <c r="E206" s="42">
        <v>741988</v>
      </c>
      <c r="F206" s="42">
        <v>842159</v>
      </c>
      <c r="G206" s="42">
        <v>971706</v>
      </c>
      <c r="H206" s="42">
        <v>1214435</v>
      </c>
      <c r="I206" s="42">
        <v>1686852</v>
      </c>
      <c r="J206" s="82" t="s">
        <v>391</v>
      </c>
      <c r="K206" s="82" t="s">
        <v>392</v>
      </c>
      <c r="L206" s="42">
        <v>2627876</v>
      </c>
    </row>
    <row r="207" spans="1:15">
      <c r="A207" t="s">
        <v>393</v>
      </c>
      <c r="B207" s="42">
        <v>738948</v>
      </c>
      <c r="C207" s="42">
        <v>814117</v>
      </c>
      <c r="D207" s="42">
        <v>1187052</v>
      </c>
      <c r="E207" s="42">
        <v>1235947</v>
      </c>
      <c r="F207" s="42">
        <v>1352780</v>
      </c>
      <c r="G207" s="42">
        <v>1535246</v>
      </c>
      <c r="H207" s="42">
        <v>1927510</v>
      </c>
      <c r="I207" s="42">
        <v>2393104</v>
      </c>
      <c r="J207" s="82" t="s">
        <v>394</v>
      </c>
      <c r="K207" s="82" t="s">
        <v>395</v>
      </c>
      <c r="L207" s="42">
        <v>3324524</v>
      </c>
      <c r="O207" s="42"/>
    </row>
    <row r="208" spans="1:15">
      <c r="A208" t="s">
        <v>396</v>
      </c>
      <c r="B208" s="42">
        <v>146669</v>
      </c>
      <c r="C208" s="42">
        <v>156516</v>
      </c>
      <c r="D208" s="42">
        <v>156688</v>
      </c>
      <c r="E208" s="42">
        <v>133757</v>
      </c>
      <c r="F208" s="42">
        <v>172756</v>
      </c>
      <c r="G208" s="42">
        <v>176642</v>
      </c>
      <c r="H208" s="42">
        <v>238102</v>
      </c>
      <c r="I208" s="42">
        <v>346472</v>
      </c>
      <c r="J208" s="82" t="s">
        <v>397</v>
      </c>
      <c r="K208" s="82" t="s">
        <v>398</v>
      </c>
      <c r="L208" s="42">
        <v>219930</v>
      </c>
    </row>
    <row r="209" spans="1:15" ht="15.75" thickBot="1">
      <c r="A209" t="s">
        <v>157</v>
      </c>
      <c r="B209" s="104">
        <v>885617</v>
      </c>
      <c r="C209" s="104">
        <v>970633</v>
      </c>
      <c r="D209" s="104">
        <v>1343740</v>
      </c>
      <c r="E209" s="104">
        <v>1369704</v>
      </c>
      <c r="F209" s="104">
        <v>1525536</v>
      </c>
      <c r="G209" s="104">
        <v>1711888</v>
      </c>
      <c r="H209" s="104">
        <v>2165612</v>
      </c>
      <c r="I209" s="104">
        <v>2739576</v>
      </c>
      <c r="J209" s="213" t="s">
        <v>399</v>
      </c>
      <c r="K209" s="213" t="s">
        <v>400</v>
      </c>
      <c r="L209" s="213">
        <v>3544454</v>
      </c>
      <c r="O209" s="42"/>
    </row>
    <row r="210" spans="1:15" ht="15.75" thickTop="1">
      <c r="B210" s="42"/>
      <c r="C210" s="42"/>
      <c r="D210" s="42"/>
      <c r="E210" s="42"/>
      <c r="F210" s="42"/>
      <c r="G210" s="42"/>
      <c r="H210" s="42"/>
      <c r="I210" s="42"/>
      <c r="J210" s="82"/>
      <c r="K210" s="82"/>
      <c r="L210" s="42"/>
      <c r="O210" s="42"/>
    </row>
    <row r="211" spans="1:15">
      <c r="A211" t="s">
        <v>401</v>
      </c>
      <c r="B211" s="42"/>
      <c r="C211" s="42"/>
      <c r="D211" s="42"/>
      <c r="E211" s="42"/>
      <c r="F211" s="42"/>
      <c r="G211" s="42"/>
      <c r="H211" s="42"/>
      <c r="I211" s="42"/>
      <c r="J211" s="82"/>
      <c r="K211" s="82"/>
      <c r="L211" s="42"/>
    </row>
    <row r="212" spans="1:15">
      <c r="A212" t="s">
        <v>402</v>
      </c>
      <c r="B212" s="42">
        <v>21395</v>
      </c>
      <c r="C212" s="42">
        <v>29291</v>
      </c>
      <c r="D212" s="42">
        <v>22642</v>
      </c>
      <c r="E212" s="42">
        <v>112741</v>
      </c>
      <c r="F212" s="42">
        <v>486308</v>
      </c>
      <c r="G212" s="42">
        <v>27929</v>
      </c>
      <c r="H212" s="42">
        <v>534404</v>
      </c>
      <c r="I212" s="42">
        <v>504586</v>
      </c>
      <c r="J212" s="82">
        <v>396749</v>
      </c>
      <c r="K212" s="82">
        <v>466128</v>
      </c>
      <c r="L212" s="42">
        <v>530924</v>
      </c>
      <c r="O212" s="42"/>
    </row>
    <row r="213" spans="1:15">
      <c r="A213" t="s">
        <v>403</v>
      </c>
      <c r="B213" s="42">
        <v>21035</v>
      </c>
      <c r="C213" s="42">
        <v>19296</v>
      </c>
      <c r="D213" s="42">
        <v>33054</v>
      </c>
      <c r="E213" s="42">
        <v>56176</v>
      </c>
      <c r="F213" s="42">
        <v>88342</v>
      </c>
      <c r="G213" s="42">
        <v>95935</v>
      </c>
      <c r="H213" s="42">
        <v>100536</v>
      </c>
      <c r="I213" s="42">
        <v>119508</v>
      </c>
      <c r="J213" s="82">
        <v>124320</v>
      </c>
      <c r="K213" s="82">
        <v>126954</v>
      </c>
      <c r="L213" s="42">
        <v>133853</v>
      </c>
    </row>
    <row r="214" spans="1:15">
      <c r="A214" t="s">
        <v>404</v>
      </c>
      <c r="B214" s="42">
        <v>0</v>
      </c>
      <c r="C214" s="42">
        <v>0</v>
      </c>
      <c r="D214" s="42">
        <v>0</v>
      </c>
      <c r="E214" s="42">
        <v>0</v>
      </c>
      <c r="F214" s="42">
        <v>0</v>
      </c>
      <c r="G214" s="42">
        <v>0</v>
      </c>
      <c r="H214" s="42">
        <v>0</v>
      </c>
      <c r="I214" s="42">
        <v>89657</v>
      </c>
      <c r="J214" s="82">
        <v>84702</v>
      </c>
      <c r="K214" s="82">
        <v>70759</v>
      </c>
      <c r="L214" s="42">
        <v>69220</v>
      </c>
    </row>
    <row r="215" spans="1:15">
      <c r="A215" t="s">
        <v>405</v>
      </c>
      <c r="B215" s="42">
        <v>0</v>
      </c>
      <c r="C215" s="42">
        <v>0</v>
      </c>
      <c r="D215" s="42">
        <v>0</v>
      </c>
      <c r="E215" s="42">
        <v>0</v>
      </c>
      <c r="F215" s="42">
        <v>0</v>
      </c>
      <c r="G215" s="42">
        <v>0</v>
      </c>
      <c r="H215" s="42">
        <v>0</v>
      </c>
      <c r="I215" s="42">
        <v>0</v>
      </c>
      <c r="J215" s="82">
        <v>8609</v>
      </c>
      <c r="K215" s="82">
        <v>5752</v>
      </c>
      <c r="L215" s="42">
        <v>1147</v>
      </c>
    </row>
    <row r="216" spans="1:15">
      <c r="A216" t="s">
        <v>148</v>
      </c>
      <c r="B216" s="42">
        <v>0</v>
      </c>
      <c r="C216" s="42">
        <v>0</v>
      </c>
      <c r="D216" s="42">
        <v>0</v>
      </c>
      <c r="E216" s="42">
        <v>0</v>
      </c>
      <c r="F216" s="42">
        <v>0</v>
      </c>
      <c r="G216" s="42">
        <v>9711</v>
      </c>
      <c r="H216" s="42">
        <v>9004</v>
      </c>
      <c r="I216" s="42">
        <v>15589</v>
      </c>
      <c r="J216" s="82">
        <v>4155</v>
      </c>
      <c r="K216" s="82">
        <v>4191</v>
      </c>
      <c r="L216" s="42">
        <v>7288</v>
      </c>
    </row>
    <row r="217" spans="1:15">
      <c r="A217" t="s">
        <v>406</v>
      </c>
      <c r="B217" s="42">
        <v>812</v>
      </c>
      <c r="C217" s="42">
        <v>1678</v>
      </c>
      <c r="D217" s="42">
        <v>1223</v>
      </c>
      <c r="E217" s="42">
        <v>7083</v>
      </c>
      <c r="F217" s="42">
        <v>8855</v>
      </c>
      <c r="G217" s="42">
        <v>444</v>
      </c>
      <c r="H217" s="42">
        <v>492</v>
      </c>
      <c r="I217" s="42">
        <v>540</v>
      </c>
      <c r="J217" s="82">
        <v>540</v>
      </c>
      <c r="K217" s="82">
        <v>588</v>
      </c>
      <c r="L217" s="42">
        <v>636</v>
      </c>
    </row>
    <row r="218" spans="1:15">
      <c r="B218" s="188">
        <v>43242</v>
      </c>
      <c r="C218" s="188">
        <v>50265</v>
      </c>
      <c r="D218" s="188">
        <v>56919</v>
      </c>
      <c r="E218" s="188">
        <v>176000</v>
      </c>
      <c r="F218" s="188">
        <v>583505</v>
      </c>
      <c r="G218" s="188">
        <v>134019</v>
      </c>
      <c r="H218" s="188">
        <v>644436</v>
      </c>
      <c r="I218" s="188">
        <v>729880</v>
      </c>
      <c r="J218" s="212">
        <v>619075</v>
      </c>
      <c r="K218" s="212">
        <v>674372</v>
      </c>
      <c r="L218" s="212">
        <v>743068</v>
      </c>
    </row>
    <row r="219" spans="1:15">
      <c r="B219" s="42"/>
      <c r="C219" s="42"/>
      <c r="D219" s="42"/>
      <c r="E219" s="42"/>
      <c r="F219" s="42"/>
      <c r="G219" s="42"/>
      <c r="H219" s="42"/>
      <c r="I219" s="42"/>
      <c r="J219" s="82"/>
      <c r="K219" s="82"/>
      <c r="L219" s="42"/>
    </row>
    <row r="220" spans="1:15">
      <c r="A220" t="s">
        <v>407</v>
      </c>
      <c r="B220" s="42"/>
      <c r="C220" s="42"/>
      <c r="D220" s="42"/>
      <c r="E220" s="42"/>
      <c r="F220" s="42"/>
      <c r="G220" s="42"/>
      <c r="H220" s="42"/>
      <c r="I220" s="42"/>
      <c r="J220" s="82"/>
      <c r="K220" s="82"/>
      <c r="L220" s="42"/>
    </row>
    <row r="221" spans="1:15">
      <c r="A221" t="s">
        <v>405</v>
      </c>
      <c r="B221" s="42">
        <v>0</v>
      </c>
      <c r="C221" s="42">
        <v>0</v>
      </c>
      <c r="D221" s="42">
        <v>0</v>
      </c>
      <c r="E221" s="42">
        <v>0</v>
      </c>
      <c r="F221" s="42">
        <v>0</v>
      </c>
      <c r="G221" s="42">
        <v>0</v>
      </c>
      <c r="H221" s="42">
        <v>0</v>
      </c>
      <c r="I221" s="42">
        <v>0</v>
      </c>
      <c r="J221" s="82">
        <v>6269</v>
      </c>
      <c r="K221" s="82">
        <v>4866</v>
      </c>
      <c r="L221" s="42">
        <v>2566</v>
      </c>
    </row>
    <row r="222" spans="1:15">
      <c r="A222" t="s">
        <v>148</v>
      </c>
      <c r="B222" s="42">
        <v>0</v>
      </c>
      <c r="C222" s="42">
        <v>0</v>
      </c>
      <c r="D222" s="42">
        <v>0</v>
      </c>
      <c r="E222" s="42">
        <v>0</v>
      </c>
      <c r="F222" s="42">
        <v>0</v>
      </c>
      <c r="G222" s="42">
        <v>4117</v>
      </c>
      <c r="H222" s="42">
        <v>5464</v>
      </c>
      <c r="I222" s="42">
        <v>7996</v>
      </c>
      <c r="J222" s="82">
        <v>723</v>
      </c>
      <c r="K222" s="82">
        <v>1129</v>
      </c>
      <c r="L222" s="42">
        <v>1221</v>
      </c>
    </row>
    <row r="223" spans="1:15">
      <c r="A223" t="s">
        <v>408</v>
      </c>
      <c r="B223" s="42">
        <v>71379</v>
      </c>
      <c r="C223" s="42">
        <v>110685</v>
      </c>
      <c r="D223" s="42">
        <v>108436</v>
      </c>
      <c r="E223" s="42">
        <v>65989</v>
      </c>
      <c r="F223" s="42">
        <v>112387</v>
      </c>
      <c r="G223" s="42">
        <v>718211</v>
      </c>
      <c r="H223" s="42">
        <v>123471</v>
      </c>
      <c r="I223" s="42">
        <v>273295</v>
      </c>
      <c r="J223" s="82">
        <v>316204</v>
      </c>
      <c r="K223" s="82">
        <v>435203</v>
      </c>
      <c r="L223" s="42">
        <v>615516</v>
      </c>
    </row>
    <row r="224" spans="1:15">
      <c r="A224" t="s">
        <v>406</v>
      </c>
      <c r="B224" s="42">
        <v>66495</v>
      </c>
      <c r="C224" s="42">
        <v>63143</v>
      </c>
      <c r="D224" s="42">
        <v>188825</v>
      </c>
      <c r="E224" s="42">
        <v>133283</v>
      </c>
      <c r="F224" s="42">
        <v>286995</v>
      </c>
      <c r="G224" s="42">
        <v>314899</v>
      </c>
      <c r="H224" s="42">
        <v>126063</v>
      </c>
      <c r="I224" s="42">
        <v>118515</v>
      </c>
      <c r="J224" s="82">
        <v>155726</v>
      </c>
      <c r="K224" s="82">
        <v>168823</v>
      </c>
      <c r="L224" s="42">
        <v>214530</v>
      </c>
    </row>
    <row r="225" spans="1:12">
      <c r="A225" t="s">
        <v>409</v>
      </c>
      <c r="B225" s="42">
        <v>0</v>
      </c>
      <c r="C225" s="42">
        <v>0</v>
      </c>
      <c r="D225" s="42">
        <v>2351</v>
      </c>
      <c r="E225" s="42">
        <v>0</v>
      </c>
      <c r="F225" s="42">
        <v>0</v>
      </c>
      <c r="G225" s="42">
        <v>4391</v>
      </c>
      <c r="H225" s="42">
        <v>0</v>
      </c>
      <c r="I225" s="42">
        <v>0</v>
      </c>
      <c r="J225" s="82">
        <v>0</v>
      </c>
      <c r="K225" s="82">
        <v>0</v>
      </c>
      <c r="L225" s="42">
        <v>0</v>
      </c>
    </row>
    <row r="226" spans="1:12">
      <c r="A226" t="s">
        <v>410</v>
      </c>
      <c r="B226" s="42">
        <v>13295</v>
      </c>
      <c r="C226" s="42">
        <v>10944</v>
      </c>
      <c r="D226" s="42">
        <v>359</v>
      </c>
      <c r="E226" s="42">
        <v>8991</v>
      </c>
      <c r="F226" s="42">
        <v>2137</v>
      </c>
      <c r="G226" s="42">
        <v>911</v>
      </c>
      <c r="H226" s="42">
        <v>0</v>
      </c>
      <c r="I226" s="42">
        <v>0</v>
      </c>
      <c r="J226" s="82">
        <v>0</v>
      </c>
      <c r="K226" s="82">
        <v>0</v>
      </c>
      <c r="L226" s="42">
        <v>0</v>
      </c>
    </row>
    <row r="227" spans="1:12">
      <c r="A227" t="s">
        <v>411</v>
      </c>
      <c r="B227" s="42">
        <v>0</v>
      </c>
      <c r="C227" s="42">
        <v>0</v>
      </c>
      <c r="D227" s="42">
        <v>0</v>
      </c>
      <c r="E227" s="42">
        <v>0</v>
      </c>
      <c r="F227" s="42">
        <v>0</v>
      </c>
      <c r="G227" s="42">
        <v>16650</v>
      </c>
      <c r="H227" s="42">
        <v>16650</v>
      </c>
      <c r="I227" s="42">
        <v>0</v>
      </c>
      <c r="J227" s="82">
        <v>0</v>
      </c>
      <c r="K227" s="82">
        <v>0</v>
      </c>
      <c r="L227" s="42">
        <v>0</v>
      </c>
    </row>
    <row r="228" spans="1:12">
      <c r="B228" s="188">
        <v>151169</v>
      </c>
      <c r="C228" s="188">
        <v>184772</v>
      </c>
      <c r="D228" s="188">
        <v>208263</v>
      </c>
      <c r="E228" s="188">
        <v>299971</v>
      </c>
      <c r="F228" s="188">
        <v>401519</v>
      </c>
      <c r="G228" s="188">
        <v>1059179</v>
      </c>
      <c r="H228" s="188">
        <v>271648</v>
      </c>
      <c r="I228" s="188">
        <v>399806</v>
      </c>
      <c r="J228" s="212">
        <v>478922</v>
      </c>
      <c r="K228" s="212">
        <v>610021</v>
      </c>
      <c r="L228" s="212">
        <v>833833</v>
      </c>
    </row>
    <row r="229" spans="1:12">
      <c r="B229" s="42"/>
      <c r="C229" s="42"/>
      <c r="D229" s="42"/>
      <c r="E229" s="42"/>
      <c r="F229" s="42"/>
      <c r="G229" s="42"/>
      <c r="H229" s="42"/>
      <c r="I229" s="42"/>
      <c r="J229" s="82"/>
      <c r="K229" s="82"/>
      <c r="L229" s="42"/>
    </row>
    <row r="230" spans="1:12" ht="15.75" thickBot="1">
      <c r="A230" t="s">
        <v>156</v>
      </c>
      <c r="B230" s="104">
        <v>194411</v>
      </c>
      <c r="C230" s="104">
        <v>235037</v>
      </c>
      <c r="D230" s="104">
        <v>265182</v>
      </c>
      <c r="E230" s="104">
        <v>475971</v>
      </c>
      <c r="F230" s="104">
        <v>985024</v>
      </c>
      <c r="G230" s="104">
        <v>1193198</v>
      </c>
      <c r="H230" s="104">
        <v>916084</v>
      </c>
      <c r="I230" s="104">
        <v>1129686</v>
      </c>
      <c r="J230" s="214">
        <v>1097997</v>
      </c>
      <c r="K230" s="214">
        <v>1284393</v>
      </c>
      <c r="L230" s="213">
        <v>1576901</v>
      </c>
    </row>
    <row r="231" spans="1:12" ht="15.75" thickTop="1">
      <c r="B231" s="42"/>
      <c r="C231" s="42"/>
      <c r="D231" s="42"/>
      <c r="E231" s="42"/>
      <c r="F231" s="42"/>
      <c r="G231" s="42"/>
      <c r="H231" s="42"/>
      <c r="I231" s="42"/>
      <c r="J231" s="82"/>
      <c r="K231" s="82"/>
      <c r="L231" s="42"/>
    </row>
    <row r="232" spans="1:12" ht="15.75" thickBot="1">
      <c r="A232" t="s">
        <v>158</v>
      </c>
      <c r="B232" s="104">
        <v>1080028</v>
      </c>
      <c r="C232" s="104">
        <v>1205670</v>
      </c>
      <c r="D232" s="104">
        <v>1608922</v>
      </c>
      <c r="E232" s="104">
        <v>1845675</v>
      </c>
      <c r="F232" s="104">
        <v>2510560</v>
      </c>
      <c r="G232" s="104">
        <v>2905086</v>
      </c>
      <c r="H232" s="104">
        <v>3081696</v>
      </c>
      <c r="I232" s="104">
        <v>3869262</v>
      </c>
      <c r="J232" s="214">
        <v>4289023</v>
      </c>
      <c r="K232" s="214">
        <v>4508411</v>
      </c>
      <c r="L232" s="213">
        <v>5121355</v>
      </c>
    </row>
    <row r="233" spans="1:12" ht="15.75" thickTop="1">
      <c r="A233" t="s">
        <v>412</v>
      </c>
      <c r="B233" s="42">
        <v>332</v>
      </c>
      <c r="C233" s="42">
        <v>365</v>
      </c>
      <c r="D233" s="42">
        <v>317</v>
      </c>
      <c r="E233" s="42">
        <v>311</v>
      </c>
      <c r="F233" s="42">
        <v>341</v>
      </c>
      <c r="G233" s="42">
        <v>367</v>
      </c>
      <c r="H233" s="42">
        <v>203</v>
      </c>
      <c r="I233" s="42">
        <v>253</v>
      </c>
      <c r="J233" s="82">
        <v>291</v>
      </c>
      <c r="K233" s="82">
        <v>324</v>
      </c>
      <c r="L233" s="42">
        <v>400</v>
      </c>
    </row>
    <row r="234" spans="1:12">
      <c r="B234" s="42"/>
      <c r="C234" s="42"/>
      <c r="D234" s="42"/>
      <c r="E234" s="42"/>
      <c r="F234" s="42"/>
      <c r="G234" s="42"/>
      <c r="H234" s="42"/>
      <c r="I234" s="42"/>
      <c r="J234" s="82"/>
      <c r="K234" s="82"/>
      <c r="L234" s="42"/>
    </row>
  </sheetData>
  <phoneticPr fontId="2" type="noConversion"/>
  <conditionalFormatting sqref="A25:L25 A62:L64 B77:C81 E77:L90 B83:C83 B84:D90 B130:L130">
    <cfRule type="containsText" dxfId="34" priority="22" operator="containsText" text="FALSE">
      <formula>NOT(ISERROR(SEARCH("FALSE",A25)))</formula>
    </cfRule>
    <cfRule type="containsText" dxfId="33" priority="23" operator="containsText" text="TRUE">
      <formula>NOT(ISERROR(SEARCH("TRUE",A25)))</formula>
    </cfRule>
    <cfRule type="containsText" dxfId="32" priority="24" operator="containsText" text="CHECK">
      <formula>NOT(ISERROR(SEARCH("CHECK",A25)))</formula>
    </cfRule>
  </conditionalFormatting>
  <conditionalFormatting sqref="A33:L33">
    <cfRule type="containsText" dxfId="31" priority="19" operator="containsText" text="FALSE">
      <formula>NOT(ISERROR(SEARCH("FALSE",A33)))</formula>
    </cfRule>
    <cfRule type="containsText" dxfId="30" priority="20" operator="containsText" text="TRUE">
      <formula>NOT(ISERROR(SEARCH("TRUE",A33)))</formula>
    </cfRule>
    <cfRule type="containsText" dxfId="29" priority="21" operator="containsText" text="CHECK">
      <formula>NOT(ISERROR(SEARCH("CHECK",A33)))</formula>
    </cfRule>
  </conditionalFormatting>
  <conditionalFormatting sqref="A36:L36">
    <cfRule type="containsText" dxfId="28" priority="16" operator="containsText" text="FALSE">
      <formula>NOT(ISERROR(SEARCH("FALSE",A36)))</formula>
    </cfRule>
    <cfRule type="containsText" dxfId="27" priority="17" operator="containsText" text="TRUE">
      <formula>NOT(ISERROR(SEARCH("TRUE",A36)))</formula>
    </cfRule>
    <cfRule type="containsText" dxfId="26" priority="18" operator="containsText" text="CHECK">
      <formula>NOT(ISERROR(SEARCH("CHECK",A36)))</formula>
    </cfRule>
  </conditionalFormatting>
  <conditionalFormatting sqref="A44:L44">
    <cfRule type="containsText" dxfId="25" priority="13" operator="containsText" text="FALSE">
      <formula>NOT(ISERROR(SEARCH("FALSE",A44)))</formula>
    </cfRule>
    <cfRule type="containsText" dxfId="24" priority="14" operator="containsText" text="TRUE">
      <formula>NOT(ISERROR(SEARCH("TRUE",A44)))</formula>
    </cfRule>
    <cfRule type="containsText" dxfId="23" priority="15" operator="containsText" text="CHECK">
      <formula>NOT(ISERROR(SEARCH("CHECK",A44)))</formula>
    </cfRule>
  </conditionalFormatting>
  <conditionalFormatting sqref="A53:L53">
    <cfRule type="containsText" dxfId="22" priority="10" operator="containsText" text="FALSE">
      <formula>NOT(ISERROR(SEARCH("FALSE",A53)))</formula>
    </cfRule>
    <cfRule type="containsText" dxfId="21" priority="11" operator="containsText" text="TRUE">
      <formula>NOT(ISERROR(SEARCH("TRUE",A53)))</formula>
    </cfRule>
    <cfRule type="containsText" dxfId="20" priority="12" operator="containsText" text="CHECK">
      <formula>NOT(ISERROR(SEARCH("CHECK",A53)))</formula>
    </cfRule>
  </conditionalFormatting>
  <conditionalFormatting sqref="A56:L57 A59:L60 B139:L143 A139:A145">
    <cfRule type="containsText" dxfId="19" priority="7" operator="containsText" text="FALSE">
      <formula>NOT(ISERROR(SEARCH("FALSE",A56)))</formula>
    </cfRule>
    <cfRule type="containsText" dxfId="18" priority="8" operator="containsText" text="TRUE">
      <formula>NOT(ISERROR(SEARCH("TRUE",A56)))</formula>
    </cfRule>
    <cfRule type="containsText" dxfId="17" priority="9" operator="containsText" text="CHECK">
      <formula>NOT(ISERROR(SEARCH("CHECK",A56)))</formula>
    </cfRule>
  </conditionalFormatting>
  <conditionalFormatting sqref="A99:L99">
    <cfRule type="containsText" dxfId="16" priority="1" operator="containsText" text="FALSE">
      <formula>NOT(ISERROR(SEARCH("FALSE",A99)))</formula>
    </cfRule>
    <cfRule type="containsText" dxfId="15" priority="2" operator="containsText" text="TRUE">
      <formula>NOT(ISERROR(SEARCH("TRUE",A99)))</formula>
    </cfRule>
    <cfRule type="containsText" dxfId="14" priority="3" operator="containsText" text="CHECK">
      <formula>NOT(ISERROR(SEARCH("CHECK",A99)))</formula>
    </cfRule>
  </conditionalFormatting>
  <conditionalFormatting sqref="A107:L107">
    <cfRule type="containsText" dxfId="13" priority="4" operator="containsText" text="FALSE">
      <formula>NOT(ISERROR(SEARCH("FALSE",A107)))</formula>
    </cfRule>
    <cfRule type="containsText" dxfId="12" priority="5" operator="containsText" text="TRUE">
      <formula>NOT(ISERROR(SEARCH("TRUE",A107)))</formula>
    </cfRule>
    <cfRule type="containsText" dxfId="11" priority="6" operator="containsText" text="CHECK">
      <formula>NOT(ISERROR(SEARCH("CHECK",A107)))</formula>
    </cfRule>
  </conditionalFormatting>
  <pageMargins left="0.7" right="0.7" top="0.75" bottom="0.75" header="0.3" footer="0.3"/>
  <pageSetup orientation="portrait" r:id="rId1"/>
  <ignoredErrors>
    <ignoredError sqref="B147:E150 B155:I157 F147:I149 B152:E153 J147:L149 B200:E200 B202:E203 B210:E211 J188:K189 J200:K200 J234:K234 J229:K229 F153:I153 J153:L160 F151:I151 J151:L151 B159:I160 B158 F158:I158 B163:I163 D161:G161 J163:L163 D162:G162 J202:K211 J219:K220" numberStoredAsText="1"/>
    <ignoredError sqref="H98" formula="1"/>
  </ignoredErrors>
  <drawing r:id="rId2"/>
  <tableParts count="8">
    <tablePart r:id="rId3"/>
    <tablePart r:id="rId4"/>
    <tablePart r:id="rId5"/>
    <tablePart r:id="rId6"/>
    <tablePart r:id="rId7"/>
    <tablePart r:id="rId8"/>
    <tablePart r:id="rId9"/>
    <tablePart r:id="rId10"/>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8E87C-41FF-4B3D-8F09-28F8F7772886}">
  <sheetPr codeName="Sheet6"/>
  <dimension ref="B1:S22"/>
  <sheetViews>
    <sheetView showGridLines="0" zoomScaleNormal="100" workbookViewId="0">
      <selection activeCell="C20" sqref="C20:S20"/>
    </sheetView>
  </sheetViews>
  <sheetFormatPr defaultRowHeight="15"/>
  <sheetData>
    <row r="1" spans="2:19" ht="15" customHeight="1">
      <c r="B1" s="280" t="s">
        <v>413</v>
      </c>
      <c r="C1" s="281"/>
      <c r="D1" s="281"/>
      <c r="E1" s="281"/>
      <c r="F1" s="281"/>
      <c r="G1" s="281"/>
      <c r="H1" s="281"/>
      <c r="I1" s="281"/>
      <c r="J1" s="281"/>
      <c r="K1" s="281"/>
      <c r="L1" s="281"/>
      <c r="M1" s="281"/>
      <c r="N1" s="281"/>
      <c r="O1" s="281"/>
      <c r="P1" s="281"/>
      <c r="Q1" s="281"/>
      <c r="R1" s="281"/>
      <c r="S1" s="281"/>
    </row>
    <row r="2" spans="2:19" ht="15" customHeight="1">
      <c r="B2" s="302"/>
      <c r="C2" s="303"/>
      <c r="D2" s="303"/>
      <c r="E2" s="303"/>
      <c r="F2" s="303"/>
      <c r="G2" s="303"/>
      <c r="H2" s="303"/>
      <c r="I2" s="303"/>
      <c r="J2" s="303"/>
      <c r="K2" s="303"/>
      <c r="L2" s="303"/>
      <c r="M2" s="303"/>
      <c r="N2" s="303"/>
      <c r="O2" s="303"/>
      <c r="P2" s="303"/>
      <c r="Q2" s="303"/>
      <c r="R2" s="303"/>
      <c r="S2" s="303"/>
    </row>
    <row r="3" spans="2:19">
      <c r="B3" s="153" t="s">
        <v>414</v>
      </c>
      <c r="C3" s="284" t="s">
        <v>11</v>
      </c>
      <c r="D3" s="284"/>
      <c r="E3" s="284"/>
      <c r="F3" s="284"/>
      <c r="G3" s="284"/>
      <c r="H3" s="284"/>
      <c r="I3" s="284"/>
      <c r="J3" s="284"/>
      <c r="K3" s="284"/>
      <c r="L3" s="284"/>
      <c r="M3" s="284"/>
      <c r="N3" s="284"/>
      <c r="O3" s="284"/>
      <c r="P3" s="284"/>
      <c r="Q3" s="284"/>
      <c r="R3" s="284"/>
      <c r="S3" s="285"/>
    </row>
    <row r="4" spans="2:19">
      <c r="B4" s="161">
        <v>1</v>
      </c>
      <c r="C4" s="300"/>
      <c r="D4" s="300"/>
      <c r="E4" s="300"/>
      <c r="F4" s="300"/>
      <c r="G4" s="300"/>
      <c r="H4" s="300"/>
      <c r="I4" s="300"/>
      <c r="J4" s="300"/>
      <c r="K4" s="300"/>
      <c r="L4" s="300"/>
      <c r="M4" s="300"/>
      <c r="N4" s="300"/>
      <c r="O4" s="300"/>
      <c r="P4" s="300"/>
      <c r="Q4" s="300"/>
      <c r="R4" s="300"/>
      <c r="S4" s="301"/>
    </row>
    <row r="5" spans="2:19">
      <c r="B5" s="161">
        <v>2</v>
      </c>
      <c r="C5" s="300"/>
      <c r="D5" s="300"/>
      <c r="E5" s="300"/>
      <c r="F5" s="300"/>
      <c r="G5" s="300"/>
      <c r="H5" s="300"/>
      <c r="I5" s="300"/>
      <c r="J5" s="300"/>
      <c r="K5" s="300"/>
      <c r="L5" s="300"/>
      <c r="M5" s="300"/>
      <c r="N5" s="300"/>
      <c r="O5" s="300"/>
      <c r="P5" s="300"/>
      <c r="Q5" s="300"/>
      <c r="R5" s="300"/>
      <c r="S5" s="301"/>
    </row>
    <row r="6" spans="2:19">
      <c r="B6" s="161">
        <v>3</v>
      </c>
      <c r="C6" s="300"/>
      <c r="D6" s="300"/>
      <c r="E6" s="300"/>
      <c r="F6" s="300"/>
      <c r="G6" s="300"/>
      <c r="H6" s="300"/>
      <c r="I6" s="300"/>
      <c r="J6" s="300"/>
      <c r="K6" s="300"/>
      <c r="L6" s="300"/>
      <c r="M6" s="300"/>
      <c r="N6" s="300"/>
      <c r="O6" s="300"/>
      <c r="P6" s="300"/>
      <c r="Q6" s="300"/>
      <c r="R6" s="300"/>
      <c r="S6" s="301"/>
    </row>
    <row r="7" spans="2:19">
      <c r="B7" s="161">
        <v>4</v>
      </c>
      <c r="C7" s="300"/>
      <c r="D7" s="300"/>
      <c r="E7" s="300"/>
      <c r="F7" s="300"/>
      <c r="G7" s="300"/>
      <c r="H7" s="300"/>
      <c r="I7" s="300"/>
      <c r="J7" s="300"/>
      <c r="K7" s="300"/>
      <c r="L7" s="300"/>
      <c r="M7" s="300"/>
      <c r="N7" s="300"/>
      <c r="O7" s="300"/>
      <c r="P7" s="300"/>
      <c r="Q7" s="300"/>
      <c r="R7" s="300"/>
      <c r="S7" s="301"/>
    </row>
    <row r="8" spans="2:19">
      <c r="B8" s="161">
        <v>5</v>
      </c>
      <c r="C8" s="300"/>
      <c r="D8" s="300"/>
      <c r="E8" s="300"/>
      <c r="F8" s="300"/>
      <c r="G8" s="300"/>
      <c r="H8" s="300"/>
      <c r="I8" s="300"/>
      <c r="J8" s="300"/>
      <c r="K8" s="300"/>
      <c r="L8" s="300"/>
      <c r="M8" s="300"/>
      <c r="N8" s="300"/>
      <c r="O8" s="300"/>
      <c r="P8" s="300"/>
      <c r="Q8" s="300"/>
      <c r="R8" s="300"/>
      <c r="S8" s="301"/>
    </row>
    <row r="9" spans="2:19">
      <c r="B9" s="161">
        <v>6</v>
      </c>
      <c r="C9" s="300"/>
      <c r="D9" s="300"/>
      <c r="E9" s="300"/>
      <c r="F9" s="300"/>
      <c r="G9" s="300"/>
      <c r="H9" s="300"/>
      <c r="I9" s="300"/>
      <c r="J9" s="300"/>
      <c r="K9" s="300"/>
      <c r="L9" s="300"/>
      <c r="M9" s="300"/>
      <c r="N9" s="300"/>
      <c r="O9" s="300"/>
      <c r="P9" s="300"/>
      <c r="Q9" s="300"/>
      <c r="R9" s="300"/>
      <c r="S9" s="301"/>
    </row>
    <row r="10" spans="2:19">
      <c r="B10" s="161">
        <v>7</v>
      </c>
      <c r="C10" s="300"/>
      <c r="D10" s="300"/>
      <c r="E10" s="300"/>
      <c r="F10" s="300"/>
      <c r="G10" s="300"/>
      <c r="H10" s="300"/>
      <c r="I10" s="300"/>
      <c r="J10" s="300"/>
      <c r="K10" s="300"/>
      <c r="L10" s="300"/>
      <c r="M10" s="300"/>
      <c r="N10" s="300"/>
      <c r="O10" s="300"/>
      <c r="P10" s="300"/>
      <c r="Q10" s="300"/>
      <c r="R10" s="300"/>
      <c r="S10" s="301"/>
    </row>
    <row r="11" spans="2:19">
      <c r="B11" s="161">
        <v>8</v>
      </c>
      <c r="C11" s="300"/>
      <c r="D11" s="300"/>
      <c r="E11" s="300"/>
      <c r="F11" s="300"/>
      <c r="G11" s="300"/>
      <c r="H11" s="300"/>
      <c r="I11" s="300"/>
      <c r="J11" s="300"/>
      <c r="K11" s="300"/>
      <c r="L11" s="300"/>
      <c r="M11" s="300"/>
      <c r="N11" s="300"/>
      <c r="O11" s="300"/>
      <c r="P11" s="300"/>
      <c r="Q11" s="300"/>
      <c r="R11" s="300"/>
      <c r="S11" s="301"/>
    </row>
    <row r="12" spans="2:19">
      <c r="B12" s="161">
        <v>9</v>
      </c>
      <c r="C12" s="300"/>
      <c r="D12" s="300"/>
      <c r="E12" s="300"/>
      <c r="F12" s="300"/>
      <c r="G12" s="300"/>
      <c r="H12" s="300"/>
      <c r="I12" s="300"/>
      <c r="J12" s="300"/>
      <c r="K12" s="300"/>
      <c r="L12" s="300"/>
      <c r="M12" s="300"/>
      <c r="N12" s="300"/>
      <c r="O12" s="300"/>
      <c r="P12" s="300"/>
      <c r="Q12" s="300"/>
      <c r="R12" s="300"/>
      <c r="S12" s="301"/>
    </row>
    <row r="13" spans="2:19">
      <c r="B13" s="161">
        <v>10</v>
      </c>
      <c r="C13" s="300"/>
      <c r="D13" s="300"/>
      <c r="E13" s="300"/>
      <c r="F13" s="300"/>
      <c r="G13" s="300"/>
      <c r="H13" s="300"/>
      <c r="I13" s="300"/>
      <c r="J13" s="300"/>
      <c r="K13" s="300"/>
      <c r="L13" s="300"/>
      <c r="M13" s="300"/>
      <c r="N13" s="300"/>
      <c r="O13" s="300"/>
      <c r="P13" s="300"/>
      <c r="Q13" s="300"/>
      <c r="R13" s="300"/>
      <c r="S13" s="301"/>
    </row>
    <row r="14" spans="2:19">
      <c r="B14" s="161">
        <v>11</v>
      </c>
      <c r="C14" s="300"/>
      <c r="D14" s="300"/>
      <c r="E14" s="300"/>
      <c r="F14" s="300"/>
      <c r="G14" s="300"/>
      <c r="H14" s="300"/>
      <c r="I14" s="300"/>
      <c r="J14" s="300"/>
      <c r="K14" s="300"/>
      <c r="L14" s="300"/>
      <c r="M14" s="300"/>
      <c r="N14" s="300"/>
      <c r="O14" s="300"/>
      <c r="P14" s="300"/>
      <c r="Q14" s="300"/>
      <c r="R14" s="300"/>
      <c r="S14" s="301"/>
    </row>
    <row r="15" spans="2:19">
      <c r="B15" s="161">
        <v>12</v>
      </c>
      <c r="C15" s="300"/>
      <c r="D15" s="300"/>
      <c r="E15" s="300"/>
      <c r="F15" s="300"/>
      <c r="G15" s="300"/>
      <c r="H15" s="300"/>
      <c r="I15" s="300"/>
      <c r="J15" s="300"/>
      <c r="K15" s="300"/>
      <c r="L15" s="300"/>
      <c r="M15" s="300"/>
      <c r="N15" s="300"/>
      <c r="O15" s="300"/>
      <c r="P15" s="300"/>
      <c r="Q15" s="300"/>
      <c r="R15" s="300"/>
      <c r="S15" s="301"/>
    </row>
    <row r="16" spans="2:19">
      <c r="B16" s="161">
        <v>13</v>
      </c>
      <c r="C16" s="300"/>
      <c r="D16" s="300"/>
      <c r="E16" s="300"/>
      <c r="F16" s="300"/>
      <c r="G16" s="300"/>
      <c r="H16" s="300"/>
      <c r="I16" s="300"/>
      <c r="J16" s="300"/>
      <c r="K16" s="300"/>
      <c r="L16" s="300"/>
      <c r="M16" s="300"/>
      <c r="N16" s="300"/>
      <c r="O16" s="300"/>
      <c r="P16" s="300"/>
      <c r="Q16" s="300"/>
      <c r="R16" s="300"/>
      <c r="S16" s="301"/>
    </row>
    <row r="17" spans="2:19">
      <c r="B17" s="161">
        <v>14</v>
      </c>
      <c r="C17" s="300"/>
      <c r="D17" s="300"/>
      <c r="E17" s="300"/>
      <c r="F17" s="300"/>
      <c r="G17" s="300"/>
      <c r="H17" s="300"/>
      <c r="I17" s="300"/>
      <c r="J17" s="300"/>
      <c r="K17" s="300"/>
      <c r="L17" s="300"/>
      <c r="M17" s="300"/>
      <c r="N17" s="300"/>
      <c r="O17" s="300"/>
      <c r="P17" s="300"/>
      <c r="Q17" s="300"/>
      <c r="R17" s="300"/>
      <c r="S17" s="301"/>
    </row>
    <row r="18" spans="2:19">
      <c r="B18" s="161">
        <v>15</v>
      </c>
      <c r="C18" s="300"/>
      <c r="D18" s="300"/>
      <c r="E18" s="300"/>
      <c r="F18" s="300"/>
      <c r="G18" s="300"/>
      <c r="H18" s="300"/>
      <c r="I18" s="300"/>
      <c r="J18" s="300"/>
      <c r="K18" s="300"/>
      <c r="L18" s="300"/>
      <c r="M18" s="300"/>
      <c r="N18" s="300"/>
      <c r="O18" s="300"/>
      <c r="P18" s="300"/>
      <c r="Q18" s="300"/>
      <c r="R18" s="300"/>
      <c r="S18" s="301"/>
    </row>
    <row r="19" spans="2:19">
      <c r="B19" s="161">
        <v>16</v>
      </c>
      <c r="C19" s="300"/>
      <c r="D19" s="300"/>
      <c r="E19" s="300"/>
      <c r="F19" s="300"/>
      <c r="G19" s="300"/>
      <c r="H19" s="300"/>
      <c r="I19" s="300"/>
      <c r="J19" s="300"/>
      <c r="K19" s="300"/>
      <c r="L19" s="300"/>
      <c r="M19" s="300"/>
      <c r="N19" s="300"/>
      <c r="O19" s="300"/>
      <c r="P19" s="300"/>
      <c r="Q19" s="300"/>
      <c r="R19" s="300"/>
      <c r="S19" s="301"/>
    </row>
    <row r="20" spans="2:19">
      <c r="B20" s="161">
        <v>17</v>
      </c>
      <c r="C20" s="300"/>
      <c r="D20" s="300"/>
      <c r="E20" s="300"/>
      <c r="F20" s="300"/>
      <c r="G20" s="300"/>
      <c r="H20" s="300"/>
      <c r="I20" s="300"/>
      <c r="J20" s="300"/>
      <c r="K20" s="300"/>
      <c r="L20" s="300"/>
      <c r="M20" s="300"/>
      <c r="N20" s="300"/>
      <c r="O20" s="300"/>
      <c r="P20" s="300"/>
      <c r="Q20" s="300"/>
      <c r="R20" s="300"/>
      <c r="S20" s="301"/>
    </row>
    <row r="21" spans="2:19">
      <c r="B21" s="161">
        <v>18</v>
      </c>
      <c r="C21" s="300"/>
      <c r="D21" s="300"/>
      <c r="E21" s="300"/>
      <c r="F21" s="300"/>
      <c r="G21" s="300"/>
      <c r="H21" s="300"/>
      <c r="I21" s="300"/>
      <c r="J21" s="300"/>
      <c r="K21" s="300"/>
      <c r="L21" s="300"/>
      <c r="M21" s="300"/>
      <c r="N21" s="300"/>
      <c r="O21" s="300"/>
      <c r="P21" s="300"/>
      <c r="Q21" s="300"/>
      <c r="R21" s="300"/>
      <c r="S21" s="301"/>
    </row>
    <row r="22" spans="2:19">
      <c r="B22" s="26"/>
      <c r="C22" s="159"/>
      <c r="D22" s="159"/>
      <c r="E22" s="159"/>
      <c r="F22" s="159"/>
      <c r="G22" s="159"/>
      <c r="H22" s="159"/>
      <c r="I22" s="159"/>
      <c r="J22" s="159"/>
      <c r="K22" s="159"/>
      <c r="L22" s="159"/>
      <c r="M22" s="159"/>
      <c r="N22" s="159"/>
      <c r="O22" s="159"/>
      <c r="P22" s="159"/>
      <c r="Q22" s="159"/>
      <c r="R22" s="159"/>
      <c r="S22" s="160"/>
    </row>
  </sheetData>
  <mergeCells count="20">
    <mergeCell ref="C13:S13"/>
    <mergeCell ref="C14:S14"/>
    <mergeCell ref="C15:S15"/>
    <mergeCell ref="C10:S10"/>
    <mergeCell ref="B1:S2"/>
    <mergeCell ref="C9:S9"/>
    <mergeCell ref="C11:S11"/>
    <mergeCell ref="C8:S8"/>
    <mergeCell ref="C7:S7"/>
    <mergeCell ref="C3:S3"/>
    <mergeCell ref="C4:S4"/>
    <mergeCell ref="C5:S5"/>
    <mergeCell ref="C6:S6"/>
    <mergeCell ref="C12:S12"/>
    <mergeCell ref="C21:S21"/>
    <mergeCell ref="C16:S16"/>
    <mergeCell ref="C17:S17"/>
    <mergeCell ref="C18:S18"/>
    <mergeCell ref="C19:S19"/>
    <mergeCell ref="C20:S20"/>
  </mergeCells>
  <pageMargins left="0.7" right="0.7" top="0.75" bottom="0.75" header="0.3" footer="0.3"/>
  <pageSetup paperSize="3"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10D16-DC6B-45C4-8E50-FC523488DF42}">
  <sheetPr codeName="Sheet7"/>
  <dimension ref="A1:G40"/>
  <sheetViews>
    <sheetView showGridLines="0" zoomScaleNormal="100" workbookViewId="0">
      <selection activeCell="J13" sqref="J13"/>
    </sheetView>
  </sheetViews>
  <sheetFormatPr defaultRowHeight="15"/>
  <cols>
    <col min="1" max="1" width="30.7109375" customWidth="1"/>
    <col min="2" max="7" width="13.7109375" customWidth="1"/>
  </cols>
  <sheetData>
    <row r="1" spans="1:7" ht="15" customHeight="1">
      <c r="A1" s="280" t="s">
        <v>415</v>
      </c>
      <c r="B1" s="281"/>
      <c r="C1" s="281"/>
      <c r="D1" s="281"/>
      <c r="E1" s="281"/>
      <c r="F1" s="281"/>
      <c r="G1" s="281"/>
    </row>
    <row r="2" spans="1:7" ht="15" customHeight="1">
      <c r="A2" s="302"/>
      <c r="B2" s="303"/>
      <c r="C2" s="303"/>
      <c r="D2" s="303"/>
      <c r="E2" s="303"/>
      <c r="F2" s="303"/>
      <c r="G2" s="303"/>
    </row>
    <row r="3" spans="1:7" ht="15" customHeight="1"/>
    <row r="4" spans="1:7" ht="15" customHeight="1">
      <c r="A4" s="304" t="s">
        <v>416</v>
      </c>
      <c r="B4" s="305"/>
      <c r="C4" s="305"/>
      <c r="D4" s="305"/>
      <c r="E4" s="305"/>
      <c r="F4" s="305"/>
      <c r="G4" s="14"/>
    </row>
    <row r="5" spans="1:7" ht="0.95" customHeight="1">
      <c r="A5" s="39"/>
      <c r="B5" s="14"/>
      <c r="C5" s="14"/>
      <c r="D5" s="14"/>
      <c r="E5" s="14"/>
      <c r="F5" s="14"/>
      <c r="G5" s="14"/>
    </row>
    <row r="6" spans="1:7" ht="15" customHeight="1">
      <c r="A6" s="205" t="s">
        <v>417</v>
      </c>
      <c r="B6" s="206" t="s">
        <v>115</v>
      </c>
      <c r="C6" s="206" t="s">
        <v>116</v>
      </c>
      <c r="D6" s="210" t="s">
        <v>117</v>
      </c>
      <c r="E6" s="210" t="s">
        <v>118</v>
      </c>
      <c r="F6" s="210" t="s">
        <v>119</v>
      </c>
      <c r="G6" s="211" t="s">
        <v>418</v>
      </c>
    </row>
    <row r="7" spans="1:7" ht="15" customHeight="1">
      <c r="A7" s="41" t="s">
        <v>419</v>
      </c>
      <c r="B7" s="48"/>
      <c r="C7" s="48" t="e">
        <f>(C8-B8)/B8</f>
        <v>#REF!</v>
      </c>
      <c r="D7" s="48" t="e">
        <f t="shared" ref="D7:G7" si="0">(D8-C8)/C8</f>
        <v>#REF!</v>
      </c>
      <c r="E7" s="48" t="e">
        <f t="shared" si="0"/>
        <v>#REF!</v>
      </c>
      <c r="F7" s="48" t="e">
        <f t="shared" si="0"/>
        <v>#REF!</v>
      </c>
      <c r="G7" s="48" t="e">
        <f t="shared" si="0"/>
        <v>#REF!</v>
      </c>
    </row>
    <row r="8" spans="1:7" ht="15" customHeight="1">
      <c r="A8" s="41" t="s">
        <v>97</v>
      </c>
      <c r="B8" s="50" t="e">
        <f>'Drivers and Inputs'!B26</f>
        <v>#REF!</v>
      </c>
      <c r="C8" s="50" t="e">
        <f>'Drivers and Inputs'!C26</f>
        <v>#REF!</v>
      </c>
      <c r="D8" s="50" t="e">
        <f>'Drivers and Inputs'!D26</f>
        <v>#REF!</v>
      </c>
      <c r="E8" s="50" t="e">
        <f>'Drivers and Inputs'!E26</f>
        <v>#REF!</v>
      </c>
      <c r="F8" s="50" t="e">
        <f>'Drivers and Inputs'!F26</f>
        <v>#REF!</v>
      </c>
      <c r="G8" s="50" t="e">
        <f>'Drivers and Inputs'!G26</f>
        <v>#REF!</v>
      </c>
    </row>
    <row r="9" spans="1:7" ht="15" customHeight="1">
      <c r="A9" s="41" t="s">
        <v>420</v>
      </c>
      <c r="B9" s="50" t="e">
        <f>'Drivers and Inputs'!B57</f>
        <v>#REF!</v>
      </c>
      <c r="C9" s="50" t="e">
        <f>'Drivers and Inputs'!C57</f>
        <v>#REF!</v>
      </c>
      <c r="D9" s="50" t="e">
        <f>'Drivers and Inputs'!D57</f>
        <v>#REF!</v>
      </c>
      <c r="E9" s="50" t="e">
        <f>'Drivers and Inputs'!E57</f>
        <v>#REF!</v>
      </c>
      <c r="F9" s="50" t="e">
        <f>'Drivers and Inputs'!F57</f>
        <v>#REF!</v>
      </c>
      <c r="G9" s="50" t="e">
        <f>'Drivers and Inputs'!G57</f>
        <v>#REF!</v>
      </c>
    </row>
    <row r="10" spans="1:7" ht="15" customHeight="1">
      <c r="A10" s="198" t="s">
        <v>94</v>
      </c>
      <c r="B10" s="51" t="e">
        <f>B11/B8</f>
        <v>#REF!</v>
      </c>
      <c r="C10" s="51" t="e">
        <f t="shared" ref="C10:G10" si="1">C11/C8</f>
        <v>#REF!</v>
      </c>
      <c r="D10" s="51" t="e">
        <f t="shared" si="1"/>
        <v>#REF!</v>
      </c>
      <c r="E10" s="51" t="e">
        <f t="shared" si="1"/>
        <v>#REF!</v>
      </c>
      <c r="F10" s="51" t="e">
        <f t="shared" si="1"/>
        <v>#REF!</v>
      </c>
      <c r="G10" s="51" t="e">
        <f t="shared" si="1"/>
        <v>#REF!</v>
      </c>
    </row>
    <row r="11" spans="1:7" ht="15" customHeight="1">
      <c r="A11" s="41" t="s">
        <v>98</v>
      </c>
      <c r="B11" s="50" t="e">
        <f>B8-B9</f>
        <v>#REF!</v>
      </c>
      <c r="C11" s="50" t="e">
        <f t="shared" ref="C11:G11" si="2">C8-C9</f>
        <v>#REF!</v>
      </c>
      <c r="D11" s="50" t="e">
        <f t="shared" si="2"/>
        <v>#REF!</v>
      </c>
      <c r="E11" s="50" t="e">
        <f t="shared" si="2"/>
        <v>#REF!</v>
      </c>
      <c r="F11" s="50" t="e">
        <f t="shared" si="2"/>
        <v>#REF!</v>
      </c>
      <c r="G11" s="50" t="e">
        <f t="shared" si="2"/>
        <v>#REF!</v>
      </c>
    </row>
    <row r="12" spans="1:7" ht="15" customHeight="1">
      <c r="A12" s="41" t="s">
        <v>421</v>
      </c>
      <c r="B12" s="51" t="e">
        <f>B13/B11</f>
        <v>#REF!</v>
      </c>
      <c r="C12" s="51" t="e">
        <f t="shared" ref="C12:G12" si="3">C13/C11</f>
        <v>#REF!</v>
      </c>
      <c r="D12" s="51" t="e">
        <f t="shared" si="3"/>
        <v>#REF!</v>
      </c>
      <c r="E12" s="51" t="e">
        <f t="shared" si="3"/>
        <v>#REF!</v>
      </c>
      <c r="F12" s="51" t="e">
        <f t="shared" si="3"/>
        <v>#REF!</v>
      </c>
      <c r="G12" s="51" t="e">
        <f t="shared" si="3"/>
        <v>#REF!</v>
      </c>
    </row>
    <row r="13" spans="1:7" ht="15" customHeight="1">
      <c r="A13" s="41" t="s">
        <v>422</v>
      </c>
      <c r="B13" s="50" t="e">
        <f>'Drivers and Inputs'!B62</f>
        <v>#REF!</v>
      </c>
      <c r="C13" s="50" t="e">
        <f>'Drivers and Inputs'!C62</f>
        <v>#REF!</v>
      </c>
      <c r="D13" s="50" t="e">
        <f>'Drivers and Inputs'!D62</f>
        <v>#REF!</v>
      </c>
      <c r="E13" s="50" t="e">
        <f>'Drivers and Inputs'!E62</f>
        <v>#REF!</v>
      </c>
      <c r="F13" s="50" t="e">
        <f>'Drivers and Inputs'!F62</f>
        <v>#REF!</v>
      </c>
      <c r="G13" s="50" t="e">
        <f>'Drivers and Inputs'!G62</f>
        <v>#REF!</v>
      </c>
    </row>
    <row r="14" spans="1:7" ht="15" customHeight="1">
      <c r="A14" s="41" t="s">
        <v>423</v>
      </c>
      <c r="B14" s="59">
        <v>0</v>
      </c>
      <c r="C14" s="59">
        <v>0</v>
      </c>
      <c r="D14" s="59">
        <v>0</v>
      </c>
      <c r="E14" s="59">
        <v>0</v>
      </c>
      <c r="F14" s="59">
        <v>0</v>
      </c>
      <c r="G14" s="59">
        <v>0</v>
      </c>
    </row>
    <row r="15" spans="1:7" ht="15" customHeight="1">
      <c r="A15" s="54" t="s">
        <v>424</v>
      </c>
      <c r="B15" s="7"/>
      <c r="C15" s="48" t="e">
        <f>(C16-B16)/B16</f>
        <v>#REF!</v>
      </c>
      <c r="D15" s="48" t="e">
        <f t="shared" ref="D15:G15" si="4">(D16-C16)/C16</f>
        <v>#REF!</v>
      </c>
      <c r="E15" s="48" t="e">
        <f t="shared" si="4"/>
        <v>#REF!</v>
      </c>
      <c r="F15" s="48" t="e">
        <f t="shared" si="4"/>
        <v>#REF!</v>
      </c>
      <c r="G15" s="48" t="e">
        <f t="shared" si="4"/>
        <v>#REF!</v>
      </c>
    </row>
    <row r="16" spans="1:7" ht="15" customHeight="1">
      <c r="A16" s="41" t="s">
        <v>425</v>
      </c>
      <c r="B16" s="52" t="e">
        <f>B11*(1-B12)</f>
        <v>#REF!</v>
      </c>
      <c r="C16" s="52" t="e">
        <f t="shared" ref="C16:G16" si="5">C11*(1-C12)</f>
        <v>#REF!</v>
      </c>
      <c r="D16" s="52" t="e">
        <f t="shared" si="5"/>
        <v>#REF!</v>
      </c>
      <c r="E16" s="52" t="e">
        <f t="shared" si="5"/>
        <v>#REF!</v>
      </c>
      <c r="F16" s="52" t="e">
        <f t="shared" si="5"/>
        <v>#REF!</v>
      </c>
      <c r="G16" s="52" t="e">
        <f t="shared" si="5"/>
        <v>#REF!</v>
      </c>
    </row>
    <row r="17" spans="1:7" ht="15" customHeight="1">
      <c r="A17" s="40" t="s">
        <v>426</v>
      </c>
      <c r="B17" s="208"/>
      <c r="C17" s="208"/>
      <c r="D17" s="208"/>
      <c r="E17" s="208"/>
      <c r="F17" s="208"/>
      <c r="G17" s="208"/>
    </row>
    <row r="18" spans="1:7" ht="15" customHeight="1">
      <c r="A18" s="198" t="s">
        <v>427</v>
      </c>
      <c r="B18" s="59">
        <v>0</v>
      </c>
      <c r="C18" s="51" t="e">
        <f>(C19-B19)/B19</f>
        <v>#REF!</v>
      </c>
      <c r="D18" s="51" t="e">
        <f t="shared" ref="D18:G18" si="6">(D19-C19)/C19</f>
        <v>#REF!</v>
      </c>
      <c r="E18" s="51" t="e">
        <f t="shared" si="6"/>
        <v>#REF!</v>
      </c>
      <c r="F18" s="51" t="e">
        <f t="shared" si="6"/>
        <v>#REF!</v>
      </c>
      <c r="G18" s="51" t="e">
        <f t="shared" si="6"/>
        <v>#REF!</v>
      </c>
    </row>
    <row r="19" spans="1:7" ht="15" customHeight="1">
      <c r="A19" s="41" t="s">
        <v>100</v>
      </c>
      <c r="B19" s="59" t="e">
        <f>'Drivers and Inputs'!B71</f>
        <v>#REF!</v>
      </c>
      <c r="C19" s="49" t="e">
        <f>'Drivers and Inputs'!C71</f>
        <v>#REF!</v>
      </c>
      <c r="D19" s="49" t="e">
        <f>'Drivers and Inputs'!D71</f>
        <v>#REF!</v>
      </c>
      <c r="E19" s="49" t="e">
        <f>'Drivers and Inputs'!E71</f>
        <v>#REF!</v>
      </c>
      <c r="F19" s="49" t="e">
        <f>'Drivers and Inputs'!F71</f>
        <v>#REF!</v>
      </c>
      <c r="G19" s="49" t="e">
        <f>'Drivers and Inputs'!G71</f>
        <v>#REF!</v>
      </c>
    </row>
    <row r="20" spans="1:7" ht="15" customHeight="1">
      <c r="A20" s="198" t="s">
        <v>101</v>
      </c>
      <c r="B20" s="59">
        <v>0</v>
      </c>
      <c r="C20" s="48" t="e">
        <f>C8/B19</f>
        <v>#REF!</v>
      </c>
      <c r="D20" s="48" t="e">
        <f t="shared" ref="D20:G20" si="7">D8/C19</f>
        <v>#REF!</v>
      </c>
      <c r="E20" s="48" t="e">
        <f t="shared" si="7"/>
        <v>#REF!</v>
      </c>
      <c r="F20" s="48" t="e">
        <f t="shared" si="7"/>
        <v>#REF!</v>
      </c>
      <c r="G20" s="48" t="e">
        <f t="shared" si="7"/>
        <v>#REF!</v>
      </c>
    </row>
    <row r="21" spans="1:7" ht="15" customHeight="1">
      <c r="A21" s="41" t="s">
        <v>428</v>
      </c>
      <c r="B21" s="59">
        <v>0</v>
      </c>
      <c r="C21" s="48" t="e">
        <f>C16/C19</f>
        <v>#REF!</v>
      </c>
      <c r="D21" s="48" t="e">
        <f t="shared" ref="D21:G21" si="8">D16/D19</f>
        <v>#REF!</v>
      </c>
      <c r="E21" s="48" t="e">
        <f t="shared" si="8"/>
        <v>#REF!</v>
      </c>
      <c r="F21" s="48" t="e">
        <f t="shared" si="8"/>
        <v>#REF!</v>
      </c>
      <c r="G21" s="48" t="e">
        <f t="shared" si="8"/>
        <v>#REF!</v>
      </c>
    </row>
    <row r="22" spans="1:7" ht="15" customHeight="1">
      <c r="A22" s="41" t="s">
        <v>429</v>
      </c>
      <c r="B22" s="59">
        <v>0</v>
      </c>
      <c r="C22" s="48" t="e">
        <f>'Drivers and Inputs'!C70</f>
        <v>#REF!</v>
      </c>
      <c r="D22" s="48" t="e">
        <f>'Drivers and Inputs'!D70</f>
        <v>#REF!</v>
      </c>
      <c r="E22" s="48" t="e">
        <f>'Drivers and Inputs'!E70</f>
        <v>#REF!</v>
      </c>
      <c r="F22" s="48" t="e">
        <f>'Drivers and Inputs'!F70</f>
        <v>#REF!</v>
      </c>
      <c r="G22" s="48" t="e">
        <f>'Drivers and Inputs'!G70</f>
        <v>#REF!</v>
      </c>
    </row>
    <row r="23" spans="1:7" ht="15" customHeight="1">
      <c r="A23" s="41" t="s">
        <v>430</v>
      </c>
      <c r="B23" s="59" t="e">
        <f>'Drivers and Inputs'!B74</f>
        <v>#REF!</v>
      </c>
      <c r="C23" s="50" t="e">
        <f>'Drivers and Inputs'!C74</f>
        <v>#REF!</v>
      </c>
      <c r="D23" s="50" t="e">
        <f>'Drivers and Inputs'!D74</f>
        <v>#REF!</v>
      </c>
      <c r="E23" s="50" t="e">
        <f>'Drivers and Inputs'!E74</f>
        <v>#REF!</v>
      </c>
      <c r="F23" s="50" t="e">
        <f>'Drivers and Inputs'!F74</f>
        <v>#REF!</v>
      </c>
      <c r="G23" s="50" t="e">
        <f>'Drivers and Inputs'!G74</f>
        <v>#REF!</v>
      </c>
    </row>
    <row r="24" spans="1:7" ht="15" customHeight="1">
      <c r="A24" s="40" t="s">
        <v>431</v>
      </c>
      <c r="B24" s="208"/>
      <c r="C24" s="208"/>
      <c r="D24" s="208"/>
      <c r="E24" s="208"/>
      <c r="F24" s="208"/>
      <c r="G24" s="208"/>
    </row>
    <row r="25" spans="1:7" ht="15" customHeight="1">
      <c r="A25" s="41" t="s">
        <v>432</v>
      </c>
      <c r="B25" s="59" t="e">
        <f>'Drivers and Inputs'!B85</f>
        <v>#REF!</v>
      </c>
      <c r="C25" s="59" t="e">
        <f>'Drivers and Inputs'!C85</f>
        <v>#REF!</v>
      </c>
      <c r="D25" s="59" t="e">
        <f>'Drivers and Inputs'!D85</f>
        <v>#REF!</v>
      </c>
      <c r="E25" s="59" t="e">
        <f>'Drivers and Inputs'!E85</f>
        <v>#REF!</v>
      </c>
      <c r="F25" s="59" t="e">
        <f>'Drivers and Inputs'!F85</f>
        <v>#REF!</v>
      </c>
      <c r="G25" s="59" t="e">
        <f>'Drivers and Inputs'!G85</f>
        <v>#REF!</v>
      </c>
    </row>
    <row r="26" spans="1:7" ht="15" customHeight="1">
      <c r="A26" s="41" t="s">
        <v>433</v>
      </c>
      <c r="B26" s="59">
        <f>'Drivers and Inputs'!B80</f>
        <v>12500</v>
      </c>
      <c r="C26" s="59">
        <f>'Drivers and Inputs'!C80</f>
        <v>10500</v>
      </c>
      <c r="D26" s="59">
        <f>'Drivers and Inputs'!D80</f>
        <v>2160</v>
      </c>
      <c r="E26" s="59">
        <f>'Drivers and Inputs'!E80</f>
        <v>465</v>
      </c>
      <c r="F26" s="59">
        <f>'Drivers and Inputs'!F80</f>
        <v>426</v>
      </c>
      <c r="G26" s="59">
        <f>'Drivers and Inputs'!G80</f>
        <v>730</v>
      </c>
    </row>
    <row r="27" spans="1:7" ht="15" customHeight="1">
      <c r="A27" s="41" t="s">
        <v>434</v>
      </c>
      <c r="B27" s="59">
        <f>'Drivers and Inputs'!B82</f>
        <v>11800</v>
      </c>
      <c r="C27" s="59">
        <f>'Drivers and Inputs'!C82</f>
        <v>12400</v>
      </c>
      <c r="D27" s="59">
        <f>'Drivers and Inputs'!D82</f>
        <v>10587</v>
      </c>
      <c r="E27" s="59">
        <f>'Drivers and Inputs'!E82</f>
        <v>10079</v>
      </c>
      <c r="F27" s="59">
        <f>'Drivers and Inputs'!F82</f>
        <v>11471</v>
      </c>
      <c r="G27" s="59">
        <f>'Drivers and Inputs'!G82</f>
        <v>11491</v>
      </c>
    </row>
    <row r="28" spans="1:7" ht="15" customHeight="1">
      <c r="A28" s="41" t="s">
        <v>435</v>
      </c>
      <c r="B28" s="59" t="e">
        <f>B23-B25-B26-B27</f>
        <v>#REF!</v>
      </c>
      <c r="C28" s="59" t="e">
        <f t="shared" ref="C28:G28" si="9">C23-C25-C26-C27</f>
        <v>#REF!</v>
      </c>
      <c r="D28" s="59" t="e">
        <f t="shared" si="9"/>
        <v>#REF!</v>
      </c>
      <c r="E28" s="59" t="e">
        <f t="shared" si="9"/>
        <v>#REF!</v>
      </c>
      <c r="F28" s="59" t="e">
        <f t="shared" si="9"/>
        <v>#REF!</v>
      </c>
      <c r="G28" s="59" t="e">
        <f t="shared" si="9"/>
        <v>#REF!</v>
      </c>
    </row>
    <row r="29" spans="1:7" ht="15" customHeight="1">
      <c r="A29" s="41"/>
      <c r="B29" s="59"/>
      <c r="C29" s="59"/>
      <c r="D29" s="59"/>
      <c r="E29" s="59"/>
      <c r="F29" s="59"/>
      <c r="G29" s="59"/>
    </row>
    <row r="30" spans="1:7" ht="15" customHeight="1">
      <c r="A30" s="41"/>
      <c r="B30" s="42"/>
      <c r="C30" s="42"/>
      <c r="D30" s="42"/>
      <c r="E30" s="42"/>
      <c r="F30" s="42"/>
      <c r="G30" s="42"/>
    </row>
    <row r="31" spans="1:7">
      <c r="A31" s="41"/>
      <c r="G31" s="42"/>
    </row>
    <row r="32" spans="1:7">
      <c r="A32" s="41"/>
    </row>
    <row r="33" spans="1:1">
      <c r="A33" s="41"/>
    </row>
    <row r="34" spans="1:1">
      <c r="A34" s="41"/>
    </row>
    <row r="35" spans="1:1">
      <c r="A35" s="41"/>
    </row>
    <row r="36" spans="1:1">
      <c r="A36" s="41"/>
    </row>
    <row r="37" spans="1:1">
      <c r="A37" s="41"/>
    </row>
    <row r="38" spans="1:1">
      <c r="A38" s="41"/>
    </row>
    <row r="39" spans="1:1">
      <c r="A39" s="41"/>
    </row>
    <row r="40" spans="1:1">
      <c r="A40" s="41"/>
    </row>
  </sheetData>
  <mergeCells count="2">
    <mergeCell ref="A4:F4"/>
    <mergeCell ref="A1:G2"/>
  </mergeCells>
  <pageMargins left="0.25" right="0.25" top="0.75" bottom="0.75" header="0.3" footer="0.3"/>
  <pageSetup paperSize="3"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4B23E-C966-4377-B0C7-C9B748DBB1C7}">
  <sheetPr codeName="Sheet8"/>
  <dimension ref="A1:W206"/>
  <sheetViews>
    <sheetView showGridLines="0" topLeftCell="A33" zoomScaleNormal="100" workbookViewId="0">
      <selection activeCell="K22" sqref="K22"/>
    </sheetView>
  </sheetViews>
  <sheetFormatPr defaultRowHeight="15"/>
  <cols>
    <col min="1" max="1" width="30.7109375" customWidth="1"/>
    <col min="2" max="12" width="13.7109375" customWidth="1"/>
    <col min="13" max="13" width="30.7109375" customWidth="1"/>
    <col min="14" max="23" width="13.7109375" customWidth="1"/>
  </cols>
  <sheetData>
    <row r="1" spans="1:23" ht="15" customHeight="1">
      <c r="A1" s="280" t="s">
        <v>436</v>
      </c>
      <c r="B1" s="281"/>
      <c r="C1" s="281"/>
      <c r="D1" s="281"/>
      <c r="E1" s="281"/>
      <c r="F1" s="281"/>
      <c r="G1" s="281"/>
      <c r="H1" s="281"/>
      <c r="I1" s="281"/>
      <c r="J1" s="281"/>
      <c r="K1" s="281"/>
      <c r="M1" s="280" t="s">
        <v>436</v>
      </c>
      <c r="N1" s="281"/>
      <c r="O1" s="281"/>
      <c r="P1" s="281"/>
      <c r="Q1" s="281"/>
      <c r="R1" s="281"/>
      <c r="S1" s="281"/>
      <c r="T1" s="281"/>
      <c r="U1" s="281"/>
      <c r="V1" s="281"/>
      <c r="W1" s="281"/>
    </row>
    <row r="2" spans="1:23" ht="15" customHeight="1">
      <c r="A2" s="280"/>
      <c r="B2" s="281"/>
      <c r="C2" s="281"/>
      <c r="D2" s="281"/>
      <c r="E2" s="281"/>
      <c r="F2" s="281"/>
      <c r="G2" s="281"/>
      <c r="H2" s="281"/>
      <c r="I2" s="281"/>
      <c r="J2" s="281"/>
      <c r="K2" s="281"/>
      <c r="M2" s="280"/>
      <c r="N2" s="281"/>
      <c r="O2" s="281"/>
      <c r="P2" s="281"/>
      <c r="Q2" s="281"/>
      <c r="R2" s="281"/>
      <c r="S2" s="281"/>
      <c r="T2" s="281"/>
      <c r="U2" s="281"/>
      <c r="V2" s="281"/>
      <c r="W2" s="281"/>
    </row>
    <row r="3" spans="1:23">
      <c r="N3" s="87" t="s">
        <v>437</v>
      </c>
      <c r="O3" s="88"/>
      <c r="P3" s="88"/>
      <c r="Q3" s="88"/>
      <c r="R3" s="88"/>
      <c r="S3" s="88"/>
      <c r="T3" s="87"/>
      <c r="U3" s="88"/>
      <c r="V3" s="88"/>
      <c r="W3" s="88"/>
    </row>
    <row r="4" spans="1:23">
      <c r="A4" s="86" t="s">
        <v>436</v>
      </c>
      <c r="L4" s="57"/>
      <c r="M4" s="176" t="s">
        <v>438</v>
      </c>
      <c r="N4" s="172" t="s">
        <v>121</v>
      </c>
      <c r="O4" s="172" t="s">
        <v>439</v>
      </c>
      <c r="P4" s="172" t="s">
        <v>440</v>
      </c>
      <c r="Q4" s="172" t="s">
        <v>441</v>
      </c>
      <c r="R4" s="172" t="s">
        <v>442</v>
      </c>
      <c r="S4" s="172" t="s">
        <v>443</v>
      </c>
      <c r="T4" s="172" t="s">
        <v>444</v>
      </c>
      <c r="U4" s="172" t="s">
        <v>445</v>
      </c>
      <c r="V4" s="172" t="s">
        <v>446</v>
      </c>
      <c r="W4" s="172" t="s">
        <v>447</v>
      </c>
    </row>
    <row r="5" spans="1:23">
      <c r="A5" s="40" t="s">
        <v>448</v>
      </c>
      <c r="B5" s="90" t="s">
        <v>121</v>
      </c>
      <c r="C5" s="90" t="s">
        <v>439</v>
      </c>
      <c r="D5" s="90" t="s">
        <v>440</v>
      </c>
      <c r="E5" s="90" t="s">
        <v>441</v>
      </c>
      <c r="F5" s="90" t="s">
        <v>442</v>
      </c>
      <c r="G5" s="90" t="s">
        <v>443</v>
      </c>
      <c r="H5" s="90" t="s">
        <v>444</v>
      </c>
      <c r="I5" s="90" t="s">
        <v>445</v>
      </c>
      <c r="J5" s="90" t="s">
        <v>446</v>
      </c>
      <c r="K5" s="90" t="s">
        <v>447</v>
      </c>
      <c r="L5" s="57"/>
      <c r="M5" t="s">
        <v>97</v>
      </c>
      <c r="N5" s="42" t="e">
        <f>G43*N23</f>
        <v>#REF!</v>
      </c>
      <c r="O5" s="42" t="e">
        <f t="shared" ref="O5:W5" si="0">N22*O23</f>
        <v>#REF!</v>
      </c>
      <c r="P5" s="42" t="e">
        <f t="shared" si="0"/>
        <v>#REF!</v>
      </c>
      <c r="Q5" s="42" t="e">
        <f t="shared" si="0"/>
        <v>#REF!</v>
      </c>
      <c r="R5" s="42" t="e">
        <f t="shared" si="0"/>
        <v>#REF!</v>
      </c>
      <c r="S5" s="42" t="e">
        <f t="shared" si="0"/>
        <v>#REF!</v>
      </c>
      <c r="T5" s="42" t="e">
        <f t="shared" si="0"/>
        <v>#REF!</v>
      </c>
      <c r="U5" s="42" t="e">
        <f t="shared" si="0"/>
        <v>#REF!</v>
      </c>
      <c r="V5" s="42" t="e">
        <f t="shared" si="0"/>
        <v>#REF!</v>
      </c>
      <c r="W5" s="42" t="e">
        <f t="shared" si="0"/>
        <v>#REF!</v>
      </c>
    </row>
    <row r="6" spans="1:23" ht="15" customHeight="1">
      <c r="C6" s="58"/>
      <c r="D6" s="58"/>
      <c r="E6" s="58"/>
      <c r="F6" s="58"/>
      <c r="G6" s="58"/>
      <c r="H6" s="58"/>
      <c r="I6" s="58"/>
      <c r="J6" s="58"/>
      <c r="K6" s="58"/>
      <c r="L6" s="57"/>
      <c r="N6" s="42"/>
      <c r="O6" s="42"/>
      <c r="P6" s="58"/>
      <c r="Q6" s="58"/>
    </row>
    <row r="7" spans="1:23">
      <c r="A7" s="164" t="s">
        <v>449</v>
      </c>
      <c r="B7" s="58"/>
      <c r="C7" s="58"/>
      <c r="D7" s="58"/>
      <c r="E7" s="58"/>
      <c r="F7" s="58"/>
      <c r="G7" s="58"/>
      <c r="H7" s="58"/>
      <c r="I7" s="58"/>
      <c r="J7" s="58"/>
      <c r="K7" s="58"/>
      <c r="L7" s="57"/>
      <c r="M7" t="s">
        <v>450</v>
      </c>
      <c r="N7" s="42">
        <v>323854.82999999996</v>
      </c>
      <c r="O7" s="42">
        <f t="shared" ref="O7:W7" si="1">N7*(1+O21)</f>
        <v>375671.60279999994</v>
      </c>
      <c r="P7" s="42">
        <f t="shared" si="1"/>
        <v>432022.34321999986</v>
      </c>
      <c r="Q7" s="42">
        <f t="shared" si="1"/>
        <v>492505.47127079993</v>
      </c>
      <c r="R7" s="42">
        <f t="shared" si="1"/>
        <v>556531.18253600388</v>
      </c>
      <c r="S7" s="42">
        <f t="shared" si="1"/>
        <v>623314.92444032442</v>
      </c>
      <c r="T7" s="42">
        <f t="shared" si="1"/>
        <v>691879.56612876023</v>
      </c>
      <c r="U7" s="42">
        <f t="shared" si="1"/>
        <v>761067.52274163626</v>
      </c>
      <c r="V7" s="42">
        <f t="shared" si="1"/>
        <v>837174.27501579991</v>
      </c>
      <c r="W7" s="42">
        <f t="shared" si="1"/>
        <v>920891.70251738001</v>
      </c>
    </row>
    <row r="8" spans="1:23">
      <c r="A8" s="165" t="s">
        <v>427</v>
      </c>
      <c r="B8" s="166">
        <f t="shared" ref="B8:K8" si="2">N21</f>
        <v>0.17</v>
      </c>
      <c r="C8" s="166">
        <f t="shared" si="2"/>
        <v>0.16</v>
      </c>
      <c r="D8" s="166">
        <f t="shared" si="2"/>
        <v>0.15</v>
      </c>
      <c r="E8" s="166">
        <f t="shared" si="2"/>
        <v>0.14000000000000001</v>
      </c>
      <c r="F8" s="166">
        <f t="shared" si="2"/>
        <v>0.13</v>
      </c>
      <c r="G8" s="166">
        <f t="shared" si="2"/>
        <v>0.12</v>
      </c>
      <c r="H8" s="166">
        <f t="shared" si="2"/>
        <v>0.11</v>
      </c>
      <c r="I8" s="166">
        <f t="shared" si="2"/>
        <v>0.1</v>
      </c>
      <c r="J8" s="166">
        <f t="shared" si="2"/>
        <v>0.1</v>
      </c>
      <c r="K8" s="166">
        <f t="shared" si="2"/>
        <v>0.1</v>
      </c>
      <c r="L8" s="57"/>
      <c r="M8" t="s">
        <v>451</v>
      </c>
      <c r="N8" s="42" t="e">
        <f>G29*(1+N21)</f>
        <v>#REF!</v>
      </c>
      <c r="O8" s="42" t="e">
        <f t="shared" ref="O8:W8" si="3">N8*(1+O21)</f>
        <v>#REF!</v>
      </c>
      <c r="P8" s="42" t="e">
        <f t="shared" si="3"/>
        <v>#REF!</v>
      </c>
      <c r="Q8" s="42" t="e">
        <f t="shared" si="3"/>
        <v>#REF!</v>
      </c>
      <c r="R8" s="42" t="e">
        <f t="shared" si="3"/>
        <v>#REF!</v>
      </c>
      <c r="S8" s="42" t="e">
        <f t="shared" si="3"/>
        <v>#REF!</v>
      </c>
      <c r="T8" s="42" t="e">
        <f t="shared" si="3"/>
        <v>#REF!</v>
      </c>
      <c r="U8" s="42" t="e">
        <f t="shared" si="3"/>
        <v>#REF!</v>
      </c>
      <c r="V8" s="42" t="e">
        <f t="shared" si="3"/>
        <v>#REF!</v>
      </c>
      <c r="W8" s="42" t="e">
        <f t="shared" si="3"/>
        <v>#REF!</v>
      </c>
    </row>
    <row r="9" spans="1:23">
      <c r="A9" s="165" t="s">
        <v>452</v>
      </c>
      <c r="B9" s="166">
        <f t="shared" ref="B9:K9" si="4">N13</f>
        <v>0.4</v>
      </c>
      <c r="C9" s="166">
        <f t="shared" si="4"/>
        <v>0.4</v>
      </c>
      <c r="D9" s="166">
        <f t="shared" si="4"/>
        <v>0.4</v>
      </c>
      <c r="E9" s="166">
        <f t="shared" si="4"/>
        <v>0.4</v>
      </c>
      <c r="F9" s="166">
        <f t="shared" si="4"/>
        <v>0.4</v>
      </c>
      <c r="G9" s="166">
        <f t="shared" si="4"/>
        <v>0.4</v>
      </c>
      <c r="H9" s="166">
        <f t="shared" si="4"/>
        <v>0.4</v>
      </c>
      <c r="I9" s="166">
        <f t="shared" si="4"/>
        <v>0.4</v>
      </c>
      <c r="J9" s="166">
        <f t="shared" si="4"/>
        <v>0.4</v>
      </c>
      <c r="K9" s="166">
        <f t="shared" si="4"/>
        <v>0.4</v>
      </c>
      <c r="L9" s="91"/>
      <c r="M9" t="s">
        <v>453</v>
      </c>
      <c r="N9" s="42" t="e">
        <f t="shared" ref="N9:W9" si="5">N7-N8</f>
        <v>#REF!</v>
      </c>
      <c r="O9" s="42" t="e">
        <f t="shared" si="5"/>
        <v>#REF!</v>
      </c>
      <c r="P9" s="42" t="e">
        <f t="shared" si="5"/>
        <v>#REF!</v>
      </c>
      <c r="Q9" s="42" t="e">
        <f t="shared" si="5"/>
        <v>#REF!</v>
      </c>
      <c r="R9" s="42" t="e">
        <f t="shared" si="5"/>
        <v>#REF!</v>
      </c>
      <c r="S9" s="42" t="e">
        <f t="shared" si="5"/>
        <v>#REF!</v>
      </c>
      <c r="T9" s="42" t="e">
        <f t="shared" si="5"/>
        <v>#REF!</v>
      </c>
      <c r="U9" s="42" t="e">
        <f t="shared" si="5"/>
        <v>#REF!</v>
      </c>
      <c r="V9" s="42" t="e">
        <f t="shared" si="5"/>
        <v>#REF!</v>
      </c>
      <c r="W9" s="42" t="e">
        <f t="shared" si="5"/>
        <v>#REF!</v>
      </c>
    </row>
    <row r="10" spans="1:23">
      <c r="A10" s="55" t="s">
        <v>454</v>
      </c>
      <c r="B10" s="167">
        <f t="shared" ref="B10:K10" si="6">N16</f>
        <v>0.2</v>
      </c>
      <c r="C10" s="167">
        <f t="shared" si="6"/>
        <v>0.2</v>
      </c>
      <c r="D10" s="167">
        <f t="shared" si="6"/>
        <v>0.2</v>
      </c>
      <c r="E10" s="167">
        <f t="shared" si="6"/>
        <v>0.2</v>
      </c>
      <c r="F10" s="167">
        <f t="shared" si="6"/>
        <v>0.2</v>
      </c>
      <c r="G10" s="167">
        <f t="shared" si="6"/>
        <v>0.2</v>
      </c>
      <c r="H10" s="167">
        <f t="shared" si="6"/>
        <v>0.2</v>
      </c>
      <c r="I10" s="167">
        <f t="shared" si="6"/>
        <v>0.2</v>
      </c>
      <c r="J10" s="167">
        <f t="shared" si="6"/>
        <v>0.2</v>
      </c>
      <c r="K10" s="167">
        <f t="shared" si="6"/>
        <v>0.2</v>
      </c>
      <c r="L10" s="92"/>
      <c r="M10" s="55" t="s">
        <v>455</v>
      </c>
      <c r="N10" s="85">
        <v>0</v>
      </c>
      <c r="O10" s="85">
        <v>0</v>
      </c>
      <c r="P10" s="85">
        <v>0</v>
      </c>
      <c r="Q10" s="85">
        <v>0</v>
      </c>
      <c r="R10" s="85">
        <v>0</v>
      </c>
      <c r="S10" s="85">
        <v>0</v>
      </c>
      <c r="T10" s="85">
        <v>0</v>
      </c>
      <c r="U10" s="85">
        <v>0</v>
      </c>
      <c r="V10" s="85">
        <v>0</v>
      </c>
      <c r="W10" s="85">
        <v>0</v>
      </c>
    </row>
    <row r="11" spans="1:23">
      <c r="A11" s="55" t="s">
        <v>456</v>
      </c>
      <c r="B11" s="167">
        <f t="shared" ref="B11:K11" si="7">N19</f>
        <v>0.4</v>
      </c>
      <c r="C11" s="167">
        <f t="shared" si="7"/>
        <v>0.4</v>
      </c>
      <c r="D11" s="167">
        <f t="shared" si="7"/>
        <v>0.4</v>
      </c>
      <c r="E11" s="167">
        <f t="shared" si="7"/>
        <v>0.4</v>
      </c>
      <c r="F11" s="167">
        <f t="shared" si="7"/>
        <v>0.4</v>
      </c>
      <c r="G11" s="167">
        <f t="shared" si="7"/>
        <v>0.4</v>
      </c>
      <c r="H11" s="167">
        <f t="shared" si="7"/>
        <v>0.4</v>
      </c>
      <c r="I11" s="167">
        <f t="shared" si="7"/>
        <v>0.4</v>
      </c>
      <c r="J11" s="167">
        <f t="shared" si="7"/>
        <v>0.4</v>
      </c>
      <c r="K11" s="167">
        <f t="shared" si="7"/>
        <v>0.4</v>
      </c>
      <c r="L11" s="57"/>
      <c r="M11" s="55"/>
      <c r="N11" s="58"/>
      <c r="O11" s="58"/>
      <c r="P11" s="58"/>
      <c r="Q11" s="58"/>
    </row>
    <row r="12" spans="1:23">
      <c r="A12" s="36" t="s">
        <v>457</v>
      </c>
      <c r="B12" s="168"/>
      <c r="C12" s="166"/>
      <c r="D12" s="166"/>
      <c r="E12" s="166"/>
      <c r="F12" s="166"/>
      <c r="G12" s="166"/>
      <c r="H12" s="166"/>
      <c r="I12" s="166"/>
      <c r="J12" s="166"/>
      <c r="K12" s="166"/>
      <c r="L12" s="57"/>
      <c r="M12" t="s">
        <v>133</v>
      </c>
      <c r="N12" s="42" t="e">
        <f t="shared" ref="N12:W12" si="8">N22*N13</f>
        <v>#REF!</v>
      </c>
      <c r="O12" s="42" t="e">
        <f t="shared" si="8"/>
        <v>#REF!</v>
      </c>
      <c r="P12" s="42" t="e">
        <f t="shared" si="8"/>
        <v>#REF!</v>
      </c>
      <c r="Q12" s="42" t="e">
        <f t="shared" si="8"/>
        <v>#REF!</v>
      </c>
      <c r="R12" s="42" t="e">
        <f t="shared" si="8"/>
        <v>#REF!</v>
      </c>
      <c r="S12" s="42" t="e">
        <f t="shared" si="8"/>
        <v>#REF!</v>
      </c>
      <c r="T12" s="42" t="e">
        <f t="shared" si="8"/>
        <v>#REF!</v>
      </c>
      <c r="U12" s="42" t="e">
        <f t="shared" si="8"/>
        <v>#REF!</v>
      </c>
      <c r="V12" s="42" t="e">
        <f t="shared" si="8"/>
        <v>#REF!</v>
      </c>
      <c r="W12" s="42" t="e">
        <f t="shared" si="8"/>
        <v>#REF!</v>
      </c>
    </row>
    <row r="13" spans="1:23">
      <c r="A13" s="55" t="s">
        <v>458</v>
      </c>
      <c r="B13" s="167">
        <f t="shared" ref="B13:K13" si="9">N23</f>
        <v>1.7</v>
      </c>
      <c r="C13" s="167">
        <f t="shared" si="9"/>
        <v>1.7</v>
      </c>
      <c r="D13" s="167">
        <f t="shared" si="9"/>
        <v>1.67</v>
      </c>
      <c r="E13" s="167">
        <f t="shared" si="9"/>
        <v>1.65</v>
      </c>
      <c r="F13" s="167">
        <f t="shared" si="9"/>
        <v>1.63</v>
      </c>
      <c r="G13" s="167">
        <f t="shared" si="9"/>
        <v>1.6</v>
      </c>
      <c r="H13" s="167">
        <f t="shared" si="9"/>
        <v>1.57</v>
      </c>
      <c r="I13" s="167">
        <f t="shared" si="9"/>
        <v>1.55</v>
      </c>
      <c r="J13" s="167">
        <f t="shared" si="9"/>
        <v>1.53</v>
      </c>
      <c r="K13" s="167">
        <f t="shared" si="9"/>
        <v>1.5</v>
      </c>
      <c r="L13" s="57"/>
      <c r="M13" s="177" t="s">
        <v>455</v>
      </c>
      <c r="N13" s="136">
        <v>0.4</v>
      </c>
      <c r="O13" s="136">
        <v>0.4</v>
      </c>
      <c r="P13" s="136">
        <v>0.4</v>
      </c>
      <c r="Q13" s="136">
        <v>0.4</v>
      </c>
      <c r="R13" s="136">
        <v>0.4</v>
      </c>
      <c r="S13" s="136">
        <v>0.4</v>
      </c>
      <c r="T13" s="136">
        <v>0.4</v>
      </c>
      <c r="U13" s="136">
        <v>0.4</v>
      </c>
      <c r="V13" s="136">
        <v>0.4</v>
      </c>
      <c r="W13" s="136">
        <v>0.4</v>
      </c>
    </row>
    <row r="14" spans="1:23">
      <c r="A14" s="36" t="s">
        <v>459</v>
      </c>
      <c r="B14" s="169"/>
      <c r="C14" s="169"/>
      <c r="D14" s="169"/>
      <c r="E14" s="169"/>
      <c r="F14" s="169"/>
      <c r="G14" s="169"/>
      <c r="H14" s="169"/>
      <c r="I14" s="169"/>
      <c r="J14" s="169"/>
      <c r="K14" s="169"/>
      <c r="L14" s="57"/>
      <c r="M14" s="55"/>
      <c r="N14" s="58"/>
      <c r="O14" s="58"/>
      <c r="P14" s="58"/>
      <c r="Q14" s="58"/>
    </row>
    <row r="15" spans="1:23">
      <c r="A15" s="55" t="s">
        <v>56</v>
      </c>
      <c r="B15" s="170">
        <f>1-N37</f>
        <v>0.17000000000000004</v>
      </c>
      <c r="C15" s="170">
        <f t="shared" ref="C15:K15" si="10">1-O37</f>
        <v>0.17000000000000004</v>
      </c>
      <c r="D15" s="170">
        <f t="shared" si="10"/>
        <v>0.17500000000000004</v>
      </c>
      <c r="E15" s="170">
        <f t="shared" si="10"/>
        <v>0.17500000000000004</v>
      </c>
      <c r="F15" s="170">
        <f t="shared" si="10"/>
        <v>0.18999999999999995</v>
      </c>
      <c r="G15" s="170">
        <f t="shared" si="10"/>
        <v>0.18999999999999995</v>
      </c>
      <c r="H15" s="170">
        <f t="shared" si="10"/>
        <v>0.18500000000000005</v>
      </c>
      <c r="I15" s="170">
        <f t="shared" si="10"/>
        <v>0.18500000000000005</v>
      </c>
      <c r="J15" s="170">
        <f t="shared" si="10"/>
        <v>0.20999999999999996</v>
      </c>
      <c r="K15" s="170">
        <f t="shared" si="10"/>
        <v>0.20999999999999996</v>
      </c>
      <c r="L15" s="57"/>
      <c r="M15" t="s">
        <v>161</v>
      </c>
      <c r="N15" s="42" t="e">
        <f t="shared" ref="N15:W15" si="11">N22*N16</f>
        <v>#REF!</v>
      </c>
      <c r="O15" s="42" t="e">
        <f t="shared" si="11"/>
        <v>#REF!</v>
      </c>
      <c r="P15" s="42" t="e">
        <f t="shared" si="11"/>
        <v>#REF!</v>
      </c>
      <c r="Q15" s="42" t="e">
        <f t="shared" si="11"/>
        <v>#REF!</v>
      </c>
      <c r="R15" s="42" t="e">
        <f t="shared" si="11"/>
        <v>#REF!</v>
      </c>
      <c r="S15" s="42" t="e">
        <f t="shared" si="11"/>
        <v>#REF!</v>
      </c>
      <c r="T15" s="42" t="e">
        <f t="shared" si="11"/>
        <v>#REF!</v>
      </c>
      <c r="U15" s="42" t="e">
        <f t="shared" si="11"/>
        <v>#REF!</v>
      </c>
      <c r="V15" s="42" t="e">
        <f t="shared" si="11"/>
        <v>#REF!</v>
      </c>
      <c r="W15" s="42" t="e">
        <f t="shared" si="11"/>
        <v>#REF!</v>
      </c>
    </row>
    <row r="16" spans="1:23">
      <c r="A16" s="55" t="s">
        <v>422</v>
      </c>
      <c r="B16" s="166">
        <f t="shared" ref="B16:K16" si="12">N41</f>
        <v>0.24</v>
      </c>
      <c r="C16" s="166">
        <f t="shared" si="12"/>
        <v>0.24</v>
      </c>
      <c r="D16" s="166">
        <f t="shared" si="12"/>
        <v>0.24</v>
      </c>
      <c r="E16" s="166">
        <f t="shared" si="12"/>
        <v>0.24</v>
      </c>
      <c r="F16" s="166">
        <f t="shared" si="12"/>
        <v>0.24</v>
      </c>
      <c r="G16" s="166">
        <f t="shared" si="12"/>
        <v>0.24</v>
      </c>
      <c r="H16" s="166">
        <f t="shared" si="12"/>
        <v>0.24</v>
      </c>
      <c r="I16" s="166">
        <f t="shared" si="12"/>
        <v>0.24</v>
      </c>
      <c r="J16" s="166">
        <f t="shared" si="12"/>
        <v>0.24</v>
      </c>
      <c r="K16" s="166">
        <f t="shared" si="12"/>
        <v>0.24</v>
      </c>
      <c r="L16" s="57"/>
      <c r="M16" s="177" t="s">
        <v>455</v>
      </c>
      <c r="N16" s="136">
        <v>0.2</v>
      </c>
      <c r="O16" s="136">
        <v>0.2</v>
      </c>
      <c r="P16" s="136">
        <v>0.2</v>
      </c>
      <c r="Q16" s="136">
        <v>0.2</v>
      </c>
      <c r="R16" s="136">
        <v>0.2</v>
      </c>
      <c r="S16" s="136">
        <v>0.2</v>
      </c>
      <c r="T16" s="136">
        <v>0.2</v>
      </c>
      <c r="U16" s="136">
        <v>0.2</v>
      </c>
      <c r="V16" s="136">
        <v>0.2</v>
      </c>
      <c r="W16" s="136">
        <v>0.2</v>
      </c>
    </row>
    <row r="17" spans="1:23">
      <c r="A17" s="60" t="s">
        <v>460</v>
      </c>
      <c r="B17" s="171">
        <f t="shared" ref="B17:K17" si="13">N63</f>
        <v>7.0000000000000007E-2</v>
      </c>
      <c r="C17" s="171">
        <f t="shared" si="13"/>
        <v>7.0000000000000007E-2</v>
      </c>
      <c r="D17" s="171">
        <f t="shared" si="13"/>
        <v>7.0000000000000007E-2</v>
      </c>
      <c r="E17" s="171">
        <f t="shared" si="13"/>
        <v>7.0000000000000007E-2</v>
      </c>
      <c r="F17" s="171">
        <f t="shared" si="13"/>
        <v>7.0000000000000007E-2</v>
      </c>
      <c r="G17" s="171">
        <f t="shared" si="13"/>
        <v>7.0000000000000007E-2</v>
      </c>
      <c r="H17" s="171">
        <f t="shared" si="13"/>
        <v>7.0000000000000007E-2</v>
      </c>
      <c r="I17" s="171">
        <f t="shared" si="13"/>
        <v>7.0000000000000007E-2</v>
      </c>
      <c r="J17" s="171">
        <f t="shared" si="13"/>
        <v>7.0000000000000007E-2</v>
      </c>
      <c r="K17" s="171">
        <f t="shared" si="13"/>
        <v>7.0000000000000007E-2</v>
      </c>
      <c r="L17" s="57"/>
      <c r="M17" s="55"/>
    </row>
    <row r="18" spans="1:23">
      <c r="A18" s="60" t="s">
        <v>461</v>
      </c>
      <c r="B18" s="170" t="e">
        <f t="shared" ref="B18:K18" si="14">N65</f>
        <v>#REF!</v>
      </c>
      <c r="C18" s="170" t="e">
        <f t="shared" si="14"/>
        <v>#REF!</v>
      </c>
      <c r="D18" s="170" t="e">
        <f t="shared" si="14"/>
        <v>#REF!</v>
      </c>
      <c r="E18" s="170" t="e">
        <f t="shared" si="14"/>
        <v>#REF!</v>
      </c>
      <c r="F18" s="170" t="e">
        <f t="shared" si="14"/>
        <v>#REF!</v>
      </c>
      <c r="G18" s="170" t="e">
        <f t="shared" si="14"/>
        <v>#REF!</v>
      </c>
      <c r="H18" s="170" t="e">
        <f t="shared" si="14"/>
        <v>#REF!</v>
      </c>
      <c r="I18" s="170" t="e">
        <f t="shared" si="14"/>
        <v>#REF!</v>
      </c>
      <c r="J18" s="170" t="e">
        <f t="shared" si="14"/>
        <v>#REF!</v>
      </c>
      <c r="K18" s="170" t="e">
        <f t="shared" si="14"/>
        <v>#REF!</v>
      </c>
      <c r="L18" s="57"/>
      <c r="M18" t="s">
        <v>462</v>
      </c>
      <c r="N18" s="42" t="e">
        <f t="shared" ref="N18:W18" si="15">N22*N19</f>
        <v>#REF!</v>
      </c>
      <c r="O18" s="42" t="e">
        <f t="shared" si="15"/>
        <v>#REF!</v>
      </c>
      <c r="P18" s="42" t="e">
        <f t="shared" si="15"/>
        <v>#REF!</v>
      </c>
      <c r="Q18" s="42" t="e">
        <f t="shared" si="15"/>
        <v>#REF!</v>
      </c>
      <c r="R18" s="42" t="e">
        <f t="shared" si="15"/>
        <v>#REF!</v>
      </c>
      <c r="S18" s="42" t="e">
        <f t="shared" si="15"/>
        <v>#REF!</v>
      </c>
      <c r="T18" s="42" t="e">
        <f t="shared" si="15"/>
        <v>#REF!</v>
      </c>
      <c r="U18" s="42" t="e">
        <f t="shared" si="15"/>
        <v>#REF!</v>
      </c>
      <c r="V18" s="42" t="e">
        <f t="shared" si="15"/>
        <v>#REF!</v>
      </c>
      <c r="W18" s="42" t="e">
        <f t="shared" si="15"/>
        <v>#REF!</v>
      </c>
    </row>
    <row r="19" spans="1:23">
      <c r="A19" s="40" t="s">
        <v>463</v>
      </c>
      <c r="B19" s="40" t="s">
        <v>28</v>
      </c>
      <c r="C19" s="56"/>
      <c r="D19" s="56"/>
      <c r="E19" s="56"/>
      <c r="F19" s="56"/>
      <c r="G19" s="56"/>
      <c r="H19" s="56"/>
      <c r="I19" s="56"/>
      <c r="J19" s="56"/>
      <c r="K19" s="56"/>
      <c r="L19" s="57"/>
      <c r="M19" s="177" t="s">
        <v>455</v>
      </c>
      <c r="N19" s="136">
        <v>0.4</v>
      </c>
      <c r="O19" s="136">
        <v>0.4</v>
      </c>
      <c r="P19" s="136">
        <v>0.4</v>
      </c>
      <c r="Q19" s="136">
        <v>0.4</v>
      </c>
      <c r="R19" s="136">
        <v>0.4</v>
      </c>
      <c r="S19" s="136">
        <v>0.4</v>
      </c>
      <c r="T19" s="136">
        <v>0.4</v>
      </c>
      <c r="U19" s="136">
        <v>0.4</v>
      </c>
      <c r="V19" s="136">
        <v>0.4</v>
      </c>
      <c r="W19" s="136">
        <v>0.4</v>
      </c>
    </row>
    <row r="20" spans="1:23">
      <c r="A20" s="58" t="s">
        <v>464</v>
      </c>
      <c r="B20" s="163">
        <v>2.75</v>
      </c>
      <c r="C20" s="57"/>
      <c r="D20" s="57"/>
      <c r="E20" s="57"/>
      <c r="F20" s="57"/>
      <c r="G20" s="57"/>
      <c r="H20" s="57"/>
      <c r="I20" s="57"/>
      <c r="J20" s="57"/>
      <c r="K20" s="57"/>
      <c r="L20" s="57"/>
      <c r="M20" s="55"/>
    </row>
    <row r="21" spans="1:23">
      <c r="A21" s="58" t="s">
        <v>465</v>
      </c>
      <c r="B21" s="43">
        <v>668894</v>
      </c>
      <c r="C21" s="57"/>
      <c r="D21" s="57"/>
      <c r="E21" s="57"/>
      <c r="F21" s="57"/>
      <c r="G21" s="57"/>
      <c r="H21" s="57"/>
      <c r="I21" s="57"/>
      <c r="J21" s="57"/>
      <c r="K21" s="57"/>
      <c r="L21" s="57"/>
      <c r="M21" s="178" t="s">
        <v>427</v>
      </c>
      <c r="N21" s="137">
        <v>0.17</v>
      </c>
      <c r="O21" s="137">
        <v>0.16</v>
      </c>
      <c r="P21" s="137">
        <v>0.15</v>
      </c>
      <c r="Q21" s="137">
        <v>0.14000000000000001</v>
      </c>
      <c r="R21" s="137">
        <v>0.13</v>
      </c>
      <c r="S21" s="137">
        <v>0.12</v>
      </c>
      <c r="T21" s="137">
        <v>0.11</v>
      </c>
      <c r="U21" s="137">
        <v>0.1</v>
      </c>
      <c r="V21" s="137">
        <v>0.1</v>
      </c>
      <c r="W21" s="137">
        <v>0.1</v>
      </c>
    </row>
    <row r="22" spans="1:23" ht="15.75" thickBot="1">
      <c r="A22" s="58" t="s">
        <v>466</v>
      </c>
      <c r="B22" s="43">
        <f>B20*B21</f>
        <v>1839458.5</v>
      </c>
      <c r="C22" s="57"/>
      <c r="D22" s="57"/>
      <c r="E22" s="57"/>
      <c r="F22" s="57"/>
      <c r="G22" s="57"/>
      <c r="H22" s="57"/>
      <c r="I22" s="57"/>
      <c r="J22" s="57"/>
      <c r="K22" s="57"/>
      <c r="L22" s="57"/>
      <c r="M22" t="s">
        <v>467</v>
      </c>
      <c r="N22" s="104" t="e">
        <f>G43*(1+N21)</f>
        <v>#REF!</v>
      </c>
      <c r="O22" s="104" t="e">
        <f t="shared" ref="O22:W22" si="16">N22*(1+O21)</f>
        <v>#REF!</v>
      </c>
      <c r="P22" s="104" t="e">
        <f t="shared" si="16"/>
        <v>#REF!</v>
      </c>
      <c r="Q22" s="104" t="e">
        <f t="shared" si="16"/>
        <v>#REF!</v>
      </c>
      <c r="R22" s="104" t="e">
        <f t="shared" si="16"/>
        <v>#REF!</v>
      </c>
      <c r="S22" s="104" t="e">
        <f t="shared" si="16"/>
        <v>#REF!</v>
      </c>
      <c r="T22" s="104" t="e">
        <f t="shared" si="16"/>
        <v>#REF!</v>
      </c>
      <c r="U22" s="104" t="e">
        <f t="shared" si="16"/>
        <v>#REF!</v>
      </c>
      <c r="V22" s="104" t="e">
        <f t="shared" si="16"/>
        <v>#REF!</v>
      </c>
      <c r="W22" s="104" t="e">
        <f t="shared" si="16"/>
        <v>#REF!</v>
      </c>
    </row>
    <row r="23" spans="1:23" ht="15.75" thickTop="1">
      <c r="A23" s="57"/>
      <c r="B23" s="57"/>
      <c r="C23" s="57"/>
      <c r="D23" s="57"/>
      <c r="E23" s="57"/>
      <c r="F23" s="57"/>
      <c r="G23" s="57"/>
      <c r="H23" s="57"/>
      <c r="I23" s="57"/>
      <c r="J23" s="57"/>
      <c r="K23" s="57"/>
      <c r="L23" s="57"/>
      <c r="M23" s="36" t="s">
        <v>101</v>
      </c>
      <c r="N23" s="179">
        <v>1.7</v>
      </c>
      <c r="O23" s="179">
        <v>1.7</v>
      </c>
      <c r="P23" s="179">
        <v>1.67</v>
      </c>
      <c r="Q23" s="179">
        <v>1.65</v>
      </c>
      <c r="R23" s="179">
        <v>1.63</v>
      </c>
      <c r="S23" s="179">
        <v>1.6</v>
      </c>
      <c r="T23" s="179">
        <v>1.57</v>
      </c>
      <c r="U23" s="179">
        <v>1.55</v>
      </c>
      <c r="V23" s="179">
        <v>1.53</v>
      </c>
      <c r="W23" s="179">
        <v>1.5</v>
      </c>
    </row>
    <row r="24" spans="1:23">
      <c r="B24" s="87" t="s">
        <v>468</v>
      </c>
      <c r="C24" s="88"/>
      <c r="D24" s="88"/>
      <c r="E24" s="88"/>
      <c r="F24" s="88"/>
      <c r="G24" s="88"/>
    </row>
    <row r="25" spans="1:23">
      <c r="A25" s="40" t="s">
        <v>438</v>
      </c>
      <c r="B25" s="172" t="s">
        <v>115</v>
      </c>
      <c r="C25" s="172" t="s">
        <v>116</v>
      </c>
      <c r="D25" s="172" t="s">
        <v>117</v>
      </c>
      <c r="E25" s="172" t="s">
        <v>118</v>
      </c>
      <c r="F25" s="172" t="s">
        <v>119</v>
      </c>
      <c r="G25" s="172" t="s">
        <v>418</v>
      </c>
      <c r="N25" s="87" t="s">
        <v>437</v>
      </c>
      <c r="O25" s="88"/>
      <c r="P25" s="88"/>
      <c r="Q25" s="88"/>
      <c r="R25" s="88"/>
      <c r="S25" s="88"/>
      <c r="T25" s="87"/>
      <c r="U25" s="88"/>
      <c r="V25" s="88"/>
      <c r="W25" s="88"/>
    </row>
    <row r="26" spans="1:23">
      <c r="A26" t="s">
        <v>97</v>
      </c>
      <c r="B26" s="42" t="e">
        <f>#REF!</f>
        <v>#REF!</v>
      </c>
      <c r="C26" s="42" t="e">
        <f>#REF!</f>
        <v>#REF!</v>
      </c>
      <c r="D26" s="42" t="e">
        <f>#REF!</f>
        <v>#REF!</v>
      </c>
      <c r="E26" s="42" t="e">
        <f>#REF!</f>
        <v>#REF!</v>
      </c>
      <c r="F26" s="42" t="e">
        <f>#REF!</f>
        <v>#REF!</v>
      </c>
      <c r="G26" s="42" t="e">
        <f>#REF!</f>
        <v>#REF!</v>
      </c>
      <c r="M26" s="40" t="s">
        <v>469</v>
      </c>
      <c r="N26" s="40" t="s">
        <v>121</v>
      </c>
      <c r="O26" s="40" t="s">
        <v>439</v>
      </c>
      <c r="P26" s="40" t="s">
        <v>440</v>
      </c>
      <c r="Q26" s="40" t="s">
        <v>441</v>
      </c>
      <c r="R26" s="40" t="s">
        <v>442</v>
      </c>
      <c r="S26" s="40" t="s">
        <v>443</v>
      </c>
      <c r="T26" s="40" t="s">
        <v>444</v>
      </c>
      <c r="U26" s="40" t="s">
        <v>445</v>
      </c>
      <c r="V26" s="40" t="s">
        <v>446</v>
      </c>
      <c r="W26" s="40" t="s">
        <v>447</v>
      </c>
    </row>
    <row r="27" spans="1:23">
      <c r="B27" s="42"/>
      <c r="C27" s="42"/>
      <c r="D27" s="42"/>
      <c r="E27" s="42"/>
      <c r="F27" s="42"/>
      <c r="G27" s="42"/>
      <c r="M27" s="148" t="s">
        <v>470</v>
      </c>
      <c r="N27" s="43" t="e">
        <f t="shared" ref="N27:W27" si="17">N5*N28</f>
        <v>#REF!</v>
      </c>
      <c r="O27" s="43" t="e">
        <f t="shared" si="17"/>
        <v>#REF!</v>
      </c>
      <c r="P27" s="43" t="e">
        <f t="shared" si="17"/>
        <v>#REF!</v>
      </c>
      <c r="Q27" s="43" t="e">
        <f t="shared" si="17"/>
        <v>#REF!</v>
      </c>
      <c r="R27" s="43" t="e">
        <f t="shared" si="17"/>
        <v>#REF!</v>
      </c>
      <c r="S27" s="43" t="e">
        <f t="shared" si="17"/>
        <v>#REF!</v>
      </c>
      <c r="T27" s="43" t="e">
        <f t="shared" si="17"/>
        <v>#REF!</v>
      </c>
      <c r="U27" s="43" t="e">
        <f t="shared" si="17"/>
        <v>#REF!</v>
      </c>
      <c r="V27" s="43" t="e">
        <f t="shared" si="17"/>
        <v>#REF!</v>
      </c>
      <c r="W27" s="43" t="e">
        <f t="shared" si="17"/>
        <v>#REF!</v>
      </c>
    </row>
    <row r="28" spans="1:23">
      <c r="A28" t="s">
        <v>450</v>
      </c>
      <c r="B28" s="42" t="e">
        <f>#REF!-SUM(#REF!)</f>
        <v>#REF!</v>
      </c>
      <c r="C28" s="42" t="e">
        <f>#REF!-SUM(#REF!)</f>
        <v>#REF!</v>
      </c>
      <c r="D28" s="42" t="e">
        <f>#REF!-SUM(#REF!)</f>
        <v>#REF!</v>
      </c>
      <c r="E28" s="42" t="e">
        <f>#REF!-SUM(#REF!)</f>
        <v>#REF!</v>
      </c>
      <c r="F28" s="42" t="e">
        <f>#REF!-SUM(#REF!)</f>
        <v>#REF!</v>
      </c>
      <c r="G28" s="42" t="e">
        <f>#REF!-SUM(#REF!)</f>
        <v>#REF!</v>
      </c>
      <c r="M28" s="182" t="s">
        <v>471</v>
      </c>
      <c r="N28" s="35">
        <f t="shared" ref="N28:W28" si="18">N37-N30-N32</f>
        <v>0.59499999999999997</v>
      </c>
      <c r="O28" s="35">
        <f t="shared" si="18"/>
        <v>0.59499999999999997</v>
      </c>
      <c r="P28" s="35">
        <f t="shared" si="18"/>
        <v>0.58999999999999986</v>
      </c>
      <c r="Q28" s="35">
        <f t="shared" si="18"/>
        <v>0.58999999999999986</v>
      </c>
      <c r="R28" s="35">
        <f t="shared" si="18"/>
        <v>0.57499999999999996</v>
      </c>
      <c r="S28" s="35">
        <f t="shared" si="18"/>
        <v>0.57499999999999996</v>
      </c>
      <c r="T28" s="35">
        <f t="shared" si="18"/>
        <v>0.57999999999999985</v>
      </c>
      <c r="U28" s="35">
        <f t="shared" si="18"/>
        <v>0.57999999999999985</v>
      </c>
      <c r="V28" s="35">
        <f t="shared" si="18"/>
        <v>0.55499999999999994</v>
      </c>
      <c r="W28" s="35">
        <f t="shared" si="18"/>
        <v>0.55499999999999994</v>
      </c>
    </row>
    <row r="29" spans="1:23">
      <c r="A29" t="s">
        <v>451</v>
      </c>
      <c r="B29" s="42" t="e">
        <f>(#REF!-#REF!-#REF!-#REF!-#REF!-#REF!)</f>
        <v>#REF!</v>
      </c>
      <c r="C29" s="42" t="e">
        <f>(#REF!-#REF!-#REF!-#REF!-#REF!-#REF!)</f>
        <v>#REF!</v>
      </c>
      <c r="D29" s="42" t="e">
        <f>(#REF!-#REF!-#REF!-#REF!-#REF!-#REF!)</f>
        <v>#REF!</v>
      </c>
      <c r="E29" s="42" t="e">
        <f>(#REF!-#REF!-#REF!-#REF!-#REF!-#REF!)</f>
        <v>#REF!</v>
      </c>
      <c r="F29" s="42" t="e">
        <f>(#REF!-#REF!-#REF!-#REF!-#REF!-#REF!)</f>
        <v>#REF!</v>
      </c>
      <c r="G29" s="42" t="e">
        <f>(#REF!-#REF!-#REF!-#REF!-#REF!-#REF!)</f>
        <v>#REF!</v>
      </c>
      <c r="M29" s="148" t="s">
        <v>472</v>
      </c>
      <c r="N29" s="43" t="e">
        <f t="shared" ref="N29:W29" si="19">N5*N30</f>
        <v>#REF!</v>
      </c>
      <c r="O29" s="43" t="e">
        <f t="shared" si="19"/>
        <v>#REF!</v>
      </c>
      <c r="P29" s="43" t="e">
        <f t="shared" si="19"/>
        <v>#REF!</v>
      </c>
      <c r="Q29" s="43" t="e">
        <f t="shared" si="19"/>
        <v>#REF!</v>
      </c>
      <c r="R29" s="43" t="e">
        <f t="shared" si="19"/>
        <v>#REF!</v>
      </c>
      <c r="S29" s="43" t="e">
        <f t="shared" si="19"/>
        <v>#REF!</v>
      </c>
      <c r="T29" s="43" t="e">
        <f t="shared" si="19"/>
        <v>#REF!</v>
      </c>
      <c r="U29" s="43" t="e">
        <f t="shared" si="19"/>
        <v>#REF!</v>
      </c>
      <c r="V29" s="43" t="e">
        <f t="shared" si="19"/>
        <v>#REF!</v>
      </c>
      <c r="W29" s="43" t="e">
        <f t="shared" si="19"/>
        <v>#REF!</v>
      </c>
    </row>
    <row r="30" spans="1:23">
      <c r="A30" t="s">
        <v>453</v>
      </c>
      <c r="B30" s="42" t="e">
        <f t="shared" ref="B30:G30" si="20">B28-B29</f>
        <v>#REF!</v>
      </c>
      <c r="C30" s="42" t="e">
        <f t="shared" si="20"/>
        <v>#REF!</v>
      </c>
      <c r="D30" s="42" t="e">
        <f t="shared" si="20"/>
        <v>#REF!</v>
      </c>
      <c r="E30" s="42" t="e">
        <f t="shared" si="20"/>
        <v>#REF!</v>
      </c>
      <c r="F30" s="42" t="e">
        <f t="shared" si="20"/>
        <v>#REF!</v>
      </c>
      <c r="G30" s="42" t="e">
        <f t="shared" si="20"/>
        <v>#REF!</v>
      </c>
      <c r="M30" s="182" t="s">
        <v>471</v>
      </c>
      <c r="N30" s="35">
        <v>7.0000000000000007E-2</v>
      </c>
      <c r="O30" s="35">
        <v>7.0000000000000007E-2</v>
      </c>
      <c r="P30" s="35">
        <v>7.0000000000000007E-2</v>
      </c>
      <c r="Q30" s="35">
        <v>7.0000000000000007E-2</v>
      </c>
      <c r="R30" s="35">
        <v>7.0000000000000007E-2</v>
      </c>
      <c r="S30" s="35">
        <v>7.0000000000000007E-2</v>
      </c>
      <c r="T30" s="35">
        <v>7.0000000000000007E-2</v>
      </c>
      <c r="U30" s="35">
        <v>7.0000000000000007E-2</v>
      </c>
      <c r="V30" s="35">
        <v>7.0000000000000007E-2</v>
      </c>
      <c r="W30" s="35">
        <v>7.0000000000000007E-2</v>
      </c>
    </row>
    <row r="31" spans="1:23">
      <c r="A31" s="55" t="s">
        <v>455</v>
      </c>
      <c r="B31" s="85" t="e">
        <f>B30/B43</f>
        <v>#REF!</v>
      </c>
      <c r="C31" s="85" t="e">
        <f t="shared" ref="C31:G31" si="21">C30/C43</f>
        <v>#REF!</v>
      </c>
      <c r="D31" s="85" t="e">
        <f t="shared" si="21"/>
        <v>#REF!</v>
      </c>
      <c r="E31" s="85" t="e">
        <f t="shared" si="21"/>
        <v>#REF!</v>
      </c>
      <c r="F31" s="85" t="e">
        <f t="shared" si="21"/>
        <v>#REF!</v>
      </c>
      <c r="G31" s="85" t="e">
        <f t="shared" si="21"/>
        <v>#REF!</v>
      </c>
      <c r="M31" s="148" t="s">
        <v>473</v>
      </c>
      <c r="N31" s="43" t="e">
        <f t="shared" ref="N31:W31" si="22">N5*N32</f>
        <v>#REF!</v>
      </c>
      <c r="O31" s="43" t="e">
        <f t="shared" si="22"/>
        <v>#REF!</v>
      </c>
      <c r="P31" s="43" t="e">
        <f t="shared" si="22"/>
        <v>#REF!</v>
      </c>
      <c r="Q31" s="43" t="e">
        <f t="shared" si="22"/>
        <v>#REF!</v>
      </c>
      <c r="R31" s="43" t="e">
        <f t="shared" si="22"/>
        <v>#REF!</v>
      </c>
      <c r="S31" s="43" t="e">
        <f t="shared" si="22"/>
        <v>#REF!</v>
      </c>
      <c r="T31" s="43" t="e">
        <f t="shared" si="22"/>
        <v>#REF!</v>
      </c>
      <c r="U31" s="43" t="e">
        <f t="shared" si="22"/>
        <v>#REF!</v>
      </c>
      <c r="V31" s="43" t="e">
        <f t="shared" si="22"/>
        <v>#REF!</v>
      </c>
      <c r="W31" s="43" t="e">
        <f t="shared" si="22"/>
        <v>#REF!</v>
      </c>
    </row>
    <row r="32" spans="1:23">
      <c r="A32" s="55"/>
      <c r="B32" s="173"/>
      <c r="C32" s="173"/>
      <c r="D32" s="173"/>
      <c r="E32" s="173"/>
      <c r="F32" s="173"/>
      <c r="G32" s="173"/>
      <c r="M32" s="182" t="s">
        <v>471</v>
      </c>
      <c r="N32" s="35">
        <v>0.16500000000000001</v>
      </c>
      <c r="O32" s="35">
        <v>0.16500000000000001</v>
      </c>
      <c r="P32" s="35">
        <v>0.16500000000000001</v>
      </c>
      <c r="Q32" s="35">
        <v>0.16500000000000001</v>
      </c>
      <c r="R32" s="35">
        <v>0.16500000000000001</v>
      </c>
      <c r="S32" s="35">
        <v>0.16500000000000001</v>
      </c>
      <c r="T32" s="35">
        <v>0.16500000000000001</v>
      </c>
      <c r="U32" s="35">
        <v>0.16500000000000001</v>
      </c>
      <c r="V32" s="35">
        <v>0.16500000000000001</v>
      </c>
      <c r="W32" s="35">
        <v>0.16500000000000001</v>
      </c>
    </row>
    <row r="33" spans="1:23">
      <c r="A33" t="s">
        <v>133</v>
      </c>
      <c r="B33" s="42" t="e">
        <f>#REF!</f>
        <v>#REF!</v>
      </c>
      <c r="C33" s="42" t="e">
        <f>#REF!</f>
        <v>#REF!</v>
      </c>
      <c r="D33" s="42" t="e">
        <f>#REF!</f>
        <v>#REF!</v>
      </c>
      <c r="E33" s="42" t="e">
        <f>#REF!</f>
        <v>#REF!</v>
      </c>
      <c r="F33" s="42" t="e">
        <f>#REF!</f>
        <v>#REF!</v>
      </c>
      <c r="G33" s="42" t="e">
        <f>#REF!</f>
        <v>#REF!</v>
      </c>
      <c r="M33" s="184" t="s">
        <v>474</v>
      </c>
      <c r="N33" s="43">
        <v>0</v>
      </c>
      <c r="O33" s="43">
        <v>0</v>
      </c>
      <c r="P33" s="43">
        <v>0</v>
      </c>
      <c r="Q33" s="43">
        <v>0</v>
      </c>
      <c r="R33" s="43">
        <v>0</v>
      </c>
      <c r="S33" s="43">
        <v>0</v>
      </c>
      <c r="T33" s="43">
        <v>0</v>
      </c>
      <c r="U33" s="43">
        <v>0</v>
      </c>
      <c r="V33" s="43">
        <v>0</v>
      </c>
      <c r="W33" s="43">
        <v>0</v>
      </c>
    </row>
    <row r="34" spans="1:23">
      <c r="A34" s="177" t="s">
        <v>455</v>
      </c>
      <c r="B34" s="85" t="e">
        <f>B33/B43</f>
        <v>#REF!</v>
      </c>
      <c r="C34" s="85" t="e">
        <f>C33/C43</f>
        <v>#REF!</v>
      </c>
      <c r="D34" s="85" t="e">
        <f t="shared" ref="D34:G34" si="23">D33/D43</f>
        <v>#REF!</v>
      </c>
      <c r="E34" s="85" t="e">
        <f t="shared" si="23"/>
        <v>#REF!</v>
      </c>
      <c r="F34" s="85" t="e">
        <f t="shared" si="23"/>
        <v>#REF!</v>
      </c>
      <c r="G34" s="85" t="e">
        <f t="shared" si="23"/>
        <v>#REF!</v>
      </c>
      <c r="M34" s="182" t="s">
        <v>471</v>
      </c>
      <c r="N34" s="35" t="e">
        <f t="shared" ref="N34:W34" si="24">N33/N5</f>
        <v>#REF!</v>
      </c>
      <c r="O34" s="35" t="e">
        <f t="shared" si="24"/>
        <v>#REF!</v>
      </c>
      <c r="P34" s="35" t="e">
        <f t="shared" si="24"/>
        <v>#REF!</v>
      </c>
      <c r="Q34" s="35" t="e">
        <f t="shared" si="24"/>
        <v>#REF!</v>
      </c>
      <c r="R34" s="35" t="e">
        <f t="shared" si="24"/>
        <v>#REF!</v>
      </c>
      <c r="S34" s="35" t="e">
        <f t="shared" si="24"/>
        <v>#REF!</v>
      </c>
      <c r="T34" s="35" t="e">
        <f t="shared" si="24"/>
        <v>#REF!</v>
      </c>
      <c r="U34" s="35" t="e">
        <f t="shared" si="24"/>
        <v>#REF!</v>
      </c>
      <c r="V34" s="35" t="e">
        <f t="shared" si="24"/>
        <v>#REF!</v>
      </c>
      <c r="W34" s="35" t="e">
        <f t="shared" si="24"/>
        <v>#REF!</v>
      </c>
    </row>
    <row r="35" spans="1:23" ht="15.75" thickBot="1">
      <c r="A35" s="55"/>
      <c r="B35" s="173"/>
      <c r="C35" s="173"/>
      <c r="D35" s="173"/>
      <c r="E35" s="173"/>
      <c r="F35" s="173"/>
      <c r="G35" s="173"/>
      <c r="M35" s="24" t="s">
        <v>475</v>
      </c>
      <c r="N35" s="139" t="e">
        <f t="shared" ref="N35:W35" si="25">SUM(N27,N29,N31,N33)</f>
        <v>#REF!</v>
      </c>
      <c r="O35" s="139" t="e">
        <f t="shared" si="25"/>
        <v>#REF!</v>
      </c>
      <c r="P35" s="139" t="e">
        <f t="shared" si="25"/>
        <v>#REF!</v>
      </c>
      <c r="Q35" s="139" t="e">
        <f t="shared" si="25"/>
        <v>#REF!</v>
      </c>
      <c r="R35" s="139" t="e">
        <f t="shared" si="25"/>
        <v>#REF!</v>
      </c>
      <c r="S35" s="139" t="e">
        <f t="shared" si="25"/>
        <v>#REF!</v>
      </c>
      <c r="T35" s="139" t="e">
        <f t="shared" si="25"/>
        <v>#REF!</v>
      </c>
      <c r="U35" s="139" t="e">
        <f t="shared" si="25"/>
        <v>#REF!</v>
      </c>
      <c r="V35" s="139" t="e">
        <f t="shared" si="25"/>
        <v>#REF!</v>
      </c>
      <c r="W35" s="139" t="e">
        <f t="shared" si="25"/>
        <v>#REF!</v>
      </c>
    </row>
    <row r="36" spans="1:23" ht="15.75" thickTop="1">
      <c r="A36" t="s">
        <v>161</v>
      </c>
      <c r="B36" s="42" t="e">
        <f>#REF!</f>
        <v>#REF!</v>
      </c>
      <c r="C36" s="42" t="e">
        <f>#REF!</f>
        <v>#REF!</v>
      </c>
      <c r="D36" s="42" t="e">
        <f>#REF!</f>
        <v>#REF!</v>
      </c>
      <c r="E36" s="42" t="e">
        <f>#REF!</f>
        <v>#REF!</v>
      </c>
      <c r="F36" s="42" t="e">
        <f>#REF!</f>
        <v>#REF!</v>
      </c>
      <c r="G36" s="42" t="e">
        <f>#REF!</f>
        <v>#REF!</v>
      </c>
      <c r="M36" s="186" t="s">
        <v>141</v>
      </c>
      <c r="N36" s="43"/>
      <c r="O36" s="43"/>
      <c r="P36" s="43"/>
      <c r="Q36" s="43"/>
      <c r="R36" s="43"/>
      <c r="S36" s="43"/>
      <c r="T36" s="43"/>
      <c r="U36" s="43"/>
      <c r="V36" s="43"/>
      <c r="W36" s="43"/>
    </row>
    <row r="37" spans="1:23">
      <c r="A37" s="177" t="s">
        <v>455</v>
      </c>
      <c r="B37" s="85" t="e">
        <f>B36/B43</f>
        <v>#REF!</v>
      </c>
      <c r="C37" s="85" t="e">
        <f t="shared" ref="C37:G37" si="26">C36/C43</f>
        <v>#REF!</v>
      </c>
      <c r="D37" s="85" t="e">
        <f t="shared" si="26"/>
        <v>#REF!</v>
      </c>
      <c r="E37" s="85" t="e">
        <f t="shared" si="26"/>
        <v>#REF!</v>
      </c>
      <c r="F37" s="85" t="e">
        <f t="shared" si="26"/>
        <v>#REF!</v>
      </c>
      <c r="G37" s="85" t="e">
        <f t="shared" si="26"/>
        <v>#REF!</v>
      </c>
      <c r="M37" s="174" t="s">
        <v>471</v>
      </c>
      <c r="N37" s="137">
        <v>0.83</v>
      </c>
      <c r="O37" s="137">
        <v>0.83</v>
      </c>
      <c r="P37" s="137">
        <v>0.82499999999999996</v>
      </c>
      <c r="Q37" s="137">
        <v>0.82499999999999996</v>
      </c>
      <c r="R37" s="137">
        <v>0.81</v>
      </c>
      <c r="S37" s="137">
        <v>0.81</v>
      </c>
      <c r="T37" s="137">
        <v>0.81499999999999995</v>
      </c>
      <c r="U37" s="137">
        <v>0.81499999999999995</v>
      </c>
      <c r="V37" s="137">
        <v>0.79</v>
      </c>
      <c r="W37" s="137">
        <v>0.79</v>
      </c>
    </row>
    <row r="38" spans="1:23">
      <c r="A38" s="55"/>
      <c r="B38" s="173"/>
      <c r="C38" s="173"/>
      <c r="D38" s="173"/>
      <c r="E38" s="173"/>
      <c r="F38" s="173"/>
      <c r="G38" s="173"/>
      <c r="M38" s="24" t="s">
        <v>98</v>
      </c>
      <c r="N38" s="42" t="e">
        <f t="shared" ref="N38:W38" si="27">N5-N35</f>
        <v>#REF!</v>
      </c>
      <c r="O38" s="42" t="e">
        <f t="shared" si="27"/>
        <v>#REF!</v>
      </c>
      <c r="P38" s="42" t="e">
        <f t="shared" si="27"/>
        <v>#REF!</v>
      </c>
      <c r="Q38" s="42" t="e">
        <f t="shared" si="27"/>
        <v>#REF!</v>
      </c>
      <c r="R38" s="42" t="e">
        <f t="shared" si="27"/>
        <v>#REF!</v>
      </c>
      <c r="S38" s="42" t="e">
        <f t="shared" si="27"/>
        <v>#REF!</v>
      </c>
      <c r="T38" s="42" t="e">
        <f t="shared" si="27"/>
        <v>#REF!</v>
      </c>
      <c r="U38" s="42" t="e">
        <f t="shared" si="27"/>
        <v>#REF!</v>
      </c>
      <c r="V38" s="42" t="e">
        <f t="shared" si="27"/>
        <v>#REF!</v>
      </c>
      <c r="W38" s="42" t="e">
        <f t="shared" si="27"/>
        <v>#REF!</v>
      </c>
    </row>
    <row r="39" spans="1:23">
      <c r="A39" t="s">
        <v>462</v>
      </c>
      <c r="B39" s="42" t="e">
        <f>#REF!+#REF!</f>
        <v>#REF!</v>
      </c>
      <c r="C39" s="42" t="e">
        <f>#REF!+#REF!</f>
        <v>#REF!</v>
      </c>
      <c r="D39" s="42" t="e">
        <f>#REF!+#REF!</f>
        <v>#REF!</v>
      </c>
      <c r="E39" s="42" t="e">
        <f>#REF!+#REF!</f>
        <v>#REF!</v>
      </c>
      <c r="F39" s="42" t="e">
        <f>#REF!+#REF!</f>
        <v>#REF!</v>
      </c>
      <c r="G39" s="42" t="e">
        <f>#REF!+#REF!</f>
        <v>#REF!</v>
      </c>
      <c r="M39" s="186" t="s">
        <v>141</v>
      </c>
      <c r="N39" s="42"/>
      <c r="O39" s="42"/>
      <c r="P39" s="42"/>
      <c r="Q39" s="42"/>
      <c r="R39" s="42"/>
      <c r="S39" s="42"/>
      <c r="T39" s="42"/>
      <c r="U39" s="42"/>
      <c r="V39" s="42"/>
      <c r="W39" s="42"/>
    </row>
    <row r="40" spans="1:23">
      <c r="A40" s="177" t="s">
        <v>455</v>
      </c>
      <c r="B40" s="85" t="e">
        <f>B39/B43</f>
        <v>#REF!</v>
      </c>
      <c r="C40" s="85" t="e">
        <f t="shared" ref="C40:G40" si="28">C39/C43</f>
        <v>#REF!</v>
      </c>
      <c r="D40" s="85" t="e">
        <f t="shared" si="28"/>
        <v>#REF!</v>
      </c>
      <c r="E40" s="85" t="e">
        <f t="shared" si="28"/>
        <v>#REF!</v>
      </c>
      <c r="F40" s="85" t="e">
        <f t="shared" si="28"/>
        <v>#REF!</v>
      </c>
      <c r="G40" s="85" t="e">
        <f t="shared" si="28"/>
        <v>#REF!</v>
      </c>
      <c r="M40" s="148" t="s">
        <v>422</v>
      </c>
      <c r="N40" s="43" t="e">
        <f t="shared" ref="N40:W40" si="29">N38*N41</f>
        <v>#REF!</v>
      </c>
      <c r="O40" s="43" t="e">
        <f t="shared" si="29"/>
        <v>#REF!</v>
      </c>
      <c r="P40" s="43" t="e">
        <f t="shared" si="29"/>
        <v>#REF!</v>
      </c>
      <c r="Q40" s="43" t="e">
        <f t="shared" si="29"/>
        <v>#REF!</v>
      </c>
      <c r="R40" s="43" t="e">
        <f t="shared" si="29"/>
        <v>#REF!</v>
      </c>
      <c r="S40" s="43" t="e">
        <f t="shared" si="29"/>
        <v>#REF!</v>
      </c>
      <c r="T40" s="43" t="e">
        <f t="shared" si="29"/>
        <v>#REF!</v>
      </c>
      <c r="U40" s="43" t="e">
        <f t="shared" si="29"/>
        <v>#REF!</v>
      </c>
      <c r="V40" s="43" t="e">
        <f t="shared" si="29"/>
        <v>#REF!</v>
      </c>
      <c r="W40" s="43" t="e">
        <f t="shared" si="29"/>
        <v>#REF!</v>
      </c>
    </row>
    <row r="41" spans="1:23">
      <c r="A41" s="55"/>
      <c r="B41" s="173"/>
      <c r="C41" s="173"/>
      <c r="D41" s="173"/>
      <c r="E41" s="173"/>
      <c r="F41" s="173"/>
      <c r="G41" s="173"/>
      <c r="M41" s="187" t="s">
        <v>476</v>
      </c>
      <c r="N41" s="137">
        <v>0.24</v>
      </c>
      <c r="O41" s="137">
        <v>0.24</v>
      </c>
      <c r="P41" s="137">
        <v>0.24</v>
      </c>
      <c r="Q41" s="137">
        <v>0.24</v>
      </c>
      <c r="R41" s="137">
        <v>0.24</v>
      </c>
      <c r="S41" s="137">
        <v>0.24</v>
      </c>
      <c r="T41" s="137">
        <v>0.24</v>
      </c>
      <c r="U41" s="137">
        <v>0.24</v>
      </c>
      <c r="V41" s="137">
        <v>0.24</v>
      </c>
      <c r="W41" s="137">
        <v>0.24</v>
      </c>
    </row>
    <row r="42" spans="1:23">
      <c r="A42" s="178" t="s">
        <v>427</v>
      </c>
      <c r="B42" s="175"/>
      <c r="C42" s="175" t="e">
        <f>(C43-B43)/B43</f>
        <v>#REF!</v>
      </c>
      <c r="D42" s="175" t="e">
        <f t="shared" ref="D42:G42" si="30">(D43-C43)/C43</f>
        <v>#REF!</v>
      </c>
      <c r="E42" s="175" t="e">
        <f t="shared" si="30"/>
        <v>#REF!</v>
      </c>
      <c r="F42" s="175" t="e">
        <f t="shared" si="30"/>
        <v>#REF!</v>
      </c>
      <c r="G42" s="175" t="e">
        <f t="shared" si="30"/>
        <v>#REF!</v>
      </c>
      <c r="M42" s="24" t="s">
        <v>477</v>
      </c>
      <c r="N42" s="42" t="e">
        <f t="shared" ref="N42:W42" si="31">N38-N40</f>
        <v>#REF!</v>
      </c>
      <c r="O42" s="42" t="e">
        <f t="shared" si="31"/>
        <v>#REF!</v>
      </c>
      <c r="P42" s="42" t="e">
        <f t="shared" si="31"/>
        <v>#REF!</v>
      </c>
      <c r="Q42" s="42" t="e">
        <f t="shared" si="31"/>
        <v>#REF!</v>
      </c>
      <c r="R42" s="42" t="e">
        <f t="shared" si="31"/>
        <v>#REF!</v>
      </c>
      <c r="S42" s="42" t="e">
        <f t="shared" si="31"/>
        <v>#REF!</v>
      </c>
      <c r="T42" s="42" t="e">
        <f t="shared" si="31"/>
        <v>#REF!</v>
      </c>
      <c r="U42" s="42" t="e">
        <f t="shared" si="31"/>
        <v>#REF!</v>
      </c>
      <c r="V42" s="42" t="e">
        <f t="shared" si="31"/>
        <v>#REF!</v>
      </c>
      <c r="W42" s="42" t="e">
        <f t="shared" si="31"/>
        <v>#REF!</v>
      </c>
    </row>
    <row r="43" spans="1:23" ht="15.75" thickBot="1">
      <c r="A43" t="s">
        <v>467</v>
      </c>
      <c r="B43" s="104" t="e">
        <f>SUM(B30,B33,B36,B39)</f>
        <v>#REF!</v>
      </c>
      <c r="C43" s="104" t="e">
        <f>SUM(C33,C36,C39)</f>
        <v>#REF!</v>
      </c>
      <c r="D43" s="104" t="e">
        <f>SUM(D33,D36,D39)</f>
        <v>#REF!</v>
      </c>
      <c r="E43" s="104" t="e">
        <f t="shared" ref="E43:G43" si="32">SUM(E33,E36,E39)</f>
        <v>#REF!</v>
      </c>
      <c r="F43" s="104" t="e">
        <f t="shared" si="32"/>
        <v>#REF!</v>
      </c>
      <c r="G43" s="104" t="e">
        <f t="shared" si="32"/>
        <v>#REF!</v>
      </c>
      <c r="M43" s="24"/>
      <c r="N43" s="42"/>
      <c r="O43" s="42"/>
      <c r="P43" s="42"/>
      <c r="Q43" s="42"/>
      <c r="R43" s="42"/>
      <c r="S43" s="42"/>
      <c r="T43" s="42"/>
      <c r="U43" s="42"/>
      <c r="V43" s="42"/>
      <c r="W43" s="42"/>
    </row>
    <row r="44" spans="1:23" ht="15.75" thickTop="1">
      <c r="A44" s="36" t="s">
        <v>101</v>
      </c>
      <c r="B44" s="58"/>
      <c r="C44" s="58" t="e">
        <f>#REF!/B43</f>
        <v>#REF!</v>
      </c>
      <c r="D44" s="58" t="e">
        <f>#REF!/C43</f>
        <v>#REF!</v>
      </c>
      <c r="E44" s="58" t="e">
        <f>#REF!/D43</f>
        <v>#REF!</v>
      </c>
      <c r="F44" s="58" t="e">
        <f>#REF!/E43</f>
        <v>#REF!</v>
      </c>
      <c r="G44" s="58" t="e">
        <f>#REF!/F43</f>
        <v>#REF!</v>
      </c>
      <c r="M44" s="24" t="s">
        <v>478</v>
      </c>
      <c r="N44" s="25" t="e">
        <f>N42/G71</f>
        <v>#REF!</v>
      </c>
      <c r="O44" s="25" t="e">
        <f t="shared" ref="O44:W44" si="33">O42/N51</f>
        <v>#REF!</v>
      </c>
      <c r="P44" s="25" t="e">
        <f t="shared" si="33"/>
        <v>#REF!</v>
      </c>
      <c r="Q44" s="25" t="e">
        <f t="shared" si="33"/>
        <v>#REF!</v>
      </c>
      <c r="R44" s="25" t="e">
        <f t="shared" si="33"/>
        <v>#REF!</v>
      </c>
      <c r="S44" s="25" t="e">
        <f t="shared" si="33"/>
        <v>#REF!</v>
      </c>
      <c r="T44" s="25" t="e">
        <f t="shared" si="33"/>
        <v>#REF!</v>
      </c>
      <c r="U44" s="25" t="e">
        <f t="shared" si="33"/>
        <v>#REF!</v>
      </c>
      <c r="V44" s="25" t="e">
        <f t="shared" si="33"/>
        <v>#REF!</v>
      </c>
      <c r="W44" s="25" t="e">
        <f t="shared" si="33"/>
        <v>#REF!</v>
      </c>
    </row>
    <row r="45" spans="1:23">
      <c r="A45" s="280" t="s">
        <v>436</v>
      </c>
      <c r="B45" s="281"/>
      <c r="C45" s="281"/>
      <c r="D45" s="281"/>
      <c r="E45" s="281"/>
      <c r="F45" s="281"/>
      <c r="G45" s="281"/>
      <c r="H45" s="281"/>
      <c r="I45" s="281"/>
      <c r="J45" s="281"/>
      <c r="K45" s="281"/>
      <c r="L45" s="89"/>
      <c r="M45" s="280" t="s">
        <v>436</v>
      </c>
      <c r="N45" s="281"/>
      <c r="O45" s="281"/>
      <c r="P45" s="281"/>
      <c r="Q45" s="281"/>
      <c r="R45" s="281"/>
      <c r="S45" s="281"/>
      <c r="T45" s="281"/>
      <c r="U45" s="281"/>
      <c r="V45" s="281"/>
      <c r="W45" s="281"/>
    </row>
    <row r="46" spans="1:23">
      <c r="A46" s="280"/>
      <c r="B46" s="281"/>
      <c r="C46" s="281"/>
      <c r="D46" s="281"/>
      <c r="E46" s="281"/>
      <c r="F46" s="281"/>
      <c r="G46" s="281"/>
      <c r="H46" s="281"/>
      <c r="I46" s="281"/>
      <c r="J46" s="281"/>
      <c r="K46" s="281"/>
      <c r="M46" s="280"/>
      <c r="N46" s="281"/>
      <c r="O46" s="281"/>
      <c r="P46" s="281"/>
      <c r="Q46" s="281"/>
      <c r="R46" s="281"/>
      <c r="S46" s="281"/>
      <c r="T46" s="281"/>
      <c r="U46" s="281"/>
      <c r="V46" s="281"/>
      <c r="W46" s="281"/>
    </row>
    <row r="47" spans="1:23">
      <c r="B47" s="87" t="s">
        <v>468</v>
      </c>
      <c r="C47" s="88"/>
      <c r="D47" s="88"/>
      <c r="E47" s="88"/>
      <c r="F47" s="88"/>
      <c r="G47" s="202"/>
      <c r="M47" s="70"/>
      <c r="N47" s="87" t="s">
        <v>437</v>
      </c>
      <c r="O47" s="88"/>
      <c r="P47" s="88"/>
      <c r="Q47" s="88"/>
      <c r="R47" s="88"/>
      <c r="S47" s="88"/>
      <c r="T47" s="87"/>
      <c r="U47" s="88"/>
      <c r="V47" s="88"/>
      <c r="W47" s="88"/>
    </row>
    <row r="48" spans="1:23">
      <c r="A48" s="195" t="s">
        <v>469</v>
      </c>
      <c r="B48" s="194" t="s">
        <v>115</v>
      </c>
      <c r="C48" s="194" t="s">
        <v>116</v>
      </c>
      <c r="D48" s="194" t="s">
        <v>117</v>
      </c>
      <c r="E48" s="194" t="s">
        <v>118</v>
      </c>
      <c r="F48" s="194" t="s">
        <v>119</v>
      </c>
      <c r="G48" s="196" t="s">
        <v>120</v>
      </c>
      <c r="M48" s="180" t="s">
        <v>479</v>
      </c>
      <c r="N48" s="90" t="s">
        <v>121</v>
      </c>
      <c r="O48" s="90" t="s">
        <v>439</v>
      </c>
      <c r="P48" s="90" t="s">
        <v>440</v>
      </c>
      <c r="Q48" s="90" t="s">
        <v>441</v>
      </c>
      <c r="R48" s="90" t="s">
        <v>442</v>
      </c>
      <c r="S48" s="90" t="s">
        <v>443</v>
      </c>
      <c r="T48" s="90" t="s">
        <v>444</v>
      </c>
      <c r="U48" s="90" t="s">
        <v>445</v>
      </c>
      <c r="V48" s="90" t="s">
        <v>446</v>
      </c>
      <c r="W48" s="90" t="s">
        <v>447</v>
      </c>
    </row>
    <row r="49" spans="1:23">
      <c r="A49" s="148" t="s">
        <v>470</v>
      </c>
      <c r="B49" s="43" t="e">
        <f>ABS(#REF!)</f>
        <v>#REF!</v>
      </c>
      <c r="C49" s="43" t="e">
        <f>ABS(#REF!)</f>
        <v>#REF!</v>
      </c>
      <c r="D49" s="43" t="e">
        <f>ABS(#REF!)</f>
        <v>#REF!</v>
      </c>
      <c r="E49" s="43" t="e">
        <f>ABS(#REF!)</f>
        <v>#REF!</v>
      </c>
      <c r="F49" s="43" t="e">
        <f>ABS(#REF!)</f>
        <v>#REF!</v>
      </c>
      <c r="G49" s="181" t="e">
        <f>ABS(#REF!)</f>
        <v>#REF!</v>
      </c>
      <c r="M49" s="41" t="s">
        <v>425</v>
      </c>
      <c r="N49" s="43" t="e">
        <f t="shared" ref="N49:W49" si="34">N42</f>
        <v>#REF!</v>
      </c>
      <c r="O49" s="43" t="e">
        <f t="shared" si="34"/>
        <v>#REF!</v>
      </c>
      <c r="P49" s="43" t="e">
        <f t="shared" si="34"/>
        <v>#REF!</v>
      </c>
      <c r="Q49" s="43" t="e">
        <f t="shared" si="34"/>
        <v>#REF!</v>
      </c>
      <c r="R49" s="43" t="e">
        <f t="shared" si="34"/>
        <v>#REF!</v>
      </c>
      <c r="S49" s="43" t="e">
        <f t="shared" si="34"/>
        <v>#REF!</v>
      </c>
      <c r="T49" s="43" t="e">
        <f t="shared" si="34"/>
        <v>#REF!</v>
      </c>
      <c r="U49" s="43" t="e">
        <f t="shared" si="34"/>
        <v>#REF!</v>
      </c>
      <c r="V49" s="43" t="e">
        <f t="shared" si="34"/>
        <v>#REF!</v>
      </c>
      <c r="W49" s="43" t="e">
        <f t="shared" si="34"/>
        <v>#REF!</v>
      </c>
    </row>
    <row r="50" spans="1:23">
      <c r="A50" s="182" t="s">
        <v>471</v>
      </c>
      <c r="B50" s="35" t="e">
        <f>B49/#REF!</f>
        <v>#REF!</v>
      </c>
      <c r="C50" s="35" t="e">
        <f>C49/#REF!</f>
        <v>#REF!</v>
      </c>
      <c r="D50" s="35" t="e">
        <f>D49/#REF!</f>
        <v>#REF!</v>
      </c>
      <c r="E50" s="35" t="e">
        <f>E49/#REF!</f>
        <v>#REF!</v>
      </c>
      <c r="F50" s="35" t="e">
        <f>F49/#REF!</f>
        <v>#REF!</v>
      </c>
      <c r="G50" s="183" t="e">
        <f>G49/#REF!</f>
        <v>#REF!</v>
      </c>
      <c r="M50" t="s">
        <v>429</v>
      </c>
      <c r="N50" s="35" t="e">
        <f>(N51-G71)/N49</f>
        <v>#REF!</v>
      </c>
      <c r="O50" s="35" t="e">
        <f t="shared" ref="O50:W50" si="35">(O51-N51)/O49</f>
        <v>#REF!</v>
      </c>
      <c r="P50" s="35" t="e">
        <f t="shared" si="35"/>
        <v>#REF!</v>
      </c>
      <c r="Q50" s="35" t="e">
        <f t="shared" si="35"/>
        <v>#REF!</v>
      </c>
      <c r="R50" s="35" t="e">
        <f t="shared" si="35"/>
        <v>#REF!</v>
      </c>
      <c r="S50" s="35" t="e">
        <f t="shared" si="35"/>
        <v>#REF!</v>
      </c>
      <c r="T50" s="35" t="e">
        <f t="shared" si="35"/>
        <v>#REF!</v>
      </c>
      <c r="U50" s="35" t="e">
        <f t="shared" si="35"/>
        <v>#REF!</v>
      </c>
      <c r="V50" s="35" t="e">
        <f t="shared" si="35"/>
        <v>#REF!</v>
      </c>
      <c r="W50" s="35" t="e">
        <f t="shared" si="35"/>
        <v>#REF!</v>
      </c>
    </row>
    <row r="51" spans="1:23">
      <c r="A51" s="148" t="s">
        <v>472</v>
      </c>
      <c r="B51" s="43" t="e">
        <f>ABS(#REF!)</f>
        <v>#REF!</v>
      </c>
      <c r="C51" s="43" t="e">
        <f>ABS(#REF!)</f>
        <v>#REF!</v>
      </c>
      <c r="D51" s="43" t="e">
        <f>ABS(#REF!)</f>
        <v>#REF!</v>
      </c>
      <c r="E51" s="43" t="e">
        <f>ABS(#REF!)</f>
        <v>#REF!</v>
      </c>
      <c r="F51" s="43" t="e">
        <f>ABS(#REF!)</f>
        <v>#REF!</v>
      </c>
      <c r="G51" s="181" t="e">
        <f>ABS(#REF!)</f>
        <v>#REF!</v>
      </c>
      <c r="M51" s="41" t="s">
        <v>100</v>
      </c>
      <c r="N51" s="43" t="e">
        <f t="shared" ref="N51:W51" si="36">N22</f>
        <v>#REF!</v>
      </c>
      <c r="O51" s="43" t="e">
        <f t="shared" si="36"/>
        <v>#REF!</v>
      </c>
      <c r="P51" s="43" t="e">
        <f t="shared" si="36"/>
        <v>#REF!</v>
      </c>
      <c r="Q51" s="43" t="e">
        <f t="shared" si="36"/>
        <v>#REF!</v>
      </c>
      <c r="R51" s="43" t="e">
        <f t="shared" si="36"/>
        <v>#REF!</v>
      </c>
      <c r="S51" s="43" t="e">
        <f t="shared" si="36"/>
        <v>#REF!</v>
      </c>
      <c r="T51" s="43" t="e">
        <f t="shared" si="36"/>
        <v>#REF!</v>
      </c>
      <c r="U51" s="43" t="e">
        <f t="shared" si="36"/>
        <v>#REF!</v>
      </c>
      <c r="V51" s="43" t="e">
        <f t="shared" si="36"/>
        <v>#REF!</v>
      </c>
      <c r="W51" s="43" t="e">
        <f t="shared" si="36"/>
        <v>#REF!</v>
      </c>
    </row>
    <row r="52" spans="1:23">
      <c r="A52" s="182" t="s">
        <v>471</v>
      </c>
      <c r="B52" s="35" t="e">
        <f>B51/#REF!</f>
        <v>#REF!</v>
      </c>
      <c r="C52" s="35" t="e">
        <f>C51/#REF!</f>
        <v>#REF!</v>
      </c>
      <c r="D52" s="35" t="e">
        <f>D51/#REF!</f>
        <v>#REF!</v>
      </c>
      <c r="E52" s="35" t="e">
        <f>E51/#REF!</f>
        <v>#REF!</v>
      </c>
      <c r="F52" s="35" t="e">
        <f>F51/#REF!</f>
        <v>#REF!</v>
      </c>
      <c r="G52" s="183" t="e">
        <f>G51/#REF!</f>
        <v>#REF!</v>
      </c>
      <c r="M52" s="60" t="s">
        <v>427</v>
      </c>
      <c r="N52" s="42" t="e">
        <f>N51-G71</f>
        <v>#REF!</v>
      </c>
      <c r="O52" s="42" t="e">
        <f t="shared" ref="O52:W52" si="37">O51-N51</f>
        <v>#REF!</v>
      </c>
      <c r="P52" s="42" t="e">
        <f t="shared" si="37"/>
        <v>#REF!</v>
      </c>
      <c r="Q52" s="42" t="e">
        <f t="shared" si="37"/>
        <v>#REF!</v>
      </c>
      <c r="R52" s="42" t="e">
        <f t="shared" si="37"/>
        <v>#REF!</v>
      </c>
      <c r="S52" s="42" t="e">
        <f t="shared" si="37"/>
        <v>#REF!</v>
      </c>
      <c r="T52" s="42" t="e">
        <f t="shared" si="37"/>
        <v>#REF!</v>
      </c>
      <c r="U52" s="42" t="e">
        <f t="shared" si="37"/>
        <v>#REF!</v>
      </c>
      <c r="V52" s="42" t="e">
        <f t="shared" si="37"/>
        <v>#REF!</v>
      </c>
      <c r="W52" s="42" t="e">
        <f t="shared" si="37"/>
        <v>#REF!</v>
      </c>
    </row>
    <row r="53" spans="1:23">
      <c r="A53" s="148" t="s">
        <v>473</v>
      </c>
      <c r="B53" s="43" t="e">
        <f>ABS(#REF!)</f>
        <v>#REF!</v>
      </c>
      <c r="C53" s="43" t="e">
        <f>ABS(#REF!)</f>
        <v>#REF!</v>
      </c>
      <c r="D53" s="43" t="e">
        <f>ABS(#REF!)</f>
        <v>#REF!</v>
      </c>
      <c r="E53" s="43" t="e">
        <f>ABS(#REF!)</f>
        <v>#REF!</v>
      </c>
      <c r="F53" s="43" t="e">
        <f>ABS(#REF!)</f>
        <v>#REF!</v>
      </c>
      <c r="G53" s="181" t="e">
        <f>ABS(#REF!)</f>
        <v>#REF!</v>
      </c>
      <c r="M53" s="189" t="s">
        <v>480</v>
      </c>
      <c r="N53" s="137">
        <f t="shared" ref="N53:W53" si="38">N21</f>
        <v>0.17</v>
      </c>
      <c r="O53" s="137">
        <f t="shared" si="38"/>
        <v>0.16</v>
      </c>
      <c r="P53" s="137">
        <f t="shared" si="38"/>
        <v>0.15</v>
      </c>
      <c r="Q53" s="137">
        <f t="shared" si="38"/>
        <v>0.14000000000000001</v>
      </c>
      <c r="R53" s="137">
        <f t="shared" si="38"/>
        <v>0.13</v>
      </c>
      <c r="S53" s="137">
        <f t="shared" si="38"/>
        <v>0.12</v>
      </c>
      <c r="T53" s="137">
        <f t="shared" si="38"/>
        <v>0.11</v>
      </c>
      <c r="U53" s="137">
        <f t="shared" si="38"/>
        <v>0.1</v>
      </c>
      <c r="V53" s="137">
        <f t="shared" si="38"/>
        <v>0.1</v>
      </c>
      <c r="W53" s="137">
        <f t="shared" si="38"/>
        <v>0.1</v>
      </c>
    </row>
    <row r="54" spans="1:23">
      <c r="A54" s="182" t="s">
        <v>471</v>
      </c>
      <c r="B54" s="35" t="e">
        <f>B53/#REF!</f>
        <v>#REF!</v>
      </c>
      <c r="C54" s="35" t="e">
        <f>C53/#REF!</f>
        <v>#REF!</v>
      </c>
      <c r="D54" s="35" t="e">
        <f>D53/#REF!</f>
        <v>#REF!</v>
      </c>
      <c r="E54" s="35" t="e">
        <f>E53/#REF!</f>
        <v>#REF!</v>
      </c>
      <c r="F54" s="35" t="e">
        <f>F53/#REF!</f>
        <v>#REF!</v>
      </c>
      <c r="G54" s="183" t="e">
        <f>G53/#REF!</f>
        <v>#REF!</v>
      </c>
      <c r="M54" s="41" t="s">
        <v>430</v>
      </c>
      <c r="N54" s="43" t="e">
        <f t="shared" ref="N54:W54" si="39">IF(N49-N52&lt;N49,N49-N52,N49)</f>
        <v>#REF!</v>
      </c>
      <c r="O54" s="43" t="e">
        <f t="shared" si="39"/>
        <v>#REF!</v>
      </c>
      <c r="P54" s="43" t="e">
        <f t="shared" si="39"/>
        <v>#REF!</v>
      </c>
      <c r="Q54" s="43" t="e">
        <f t="shared" si="39"/>
        <v>#REF!</v>
      </c>
      <c r="R54" s="43" t="e">
        <f t="shared" si="39"/>
        <v>#REF!</v>
      </c>
      <c r="S54" s="43" t="e">
        <f t="shared" si="39"/>
        <v>#REF!</v>
      </c>
      <c r="T54" s="43" t="e">
        <f t="shared" si="39"/>
        <v>#REF!</v>
      </c>
      <c r="U54" s="43" t="e">
        <f t="shared" si="39"/>
        <v>#REF!</v>
      </c>
      <c r="V54" s="43" t="e">
        <f t="shared" si="39"/>
        <v>#REF!</v>
      </c>
      <c r="W54" s="43" t="e">
        <f t="shared" si="39"/>
        <v>#REF!</v>
      </c>
    </row>
    <row r="55" spans="1:23">
      <c r="A55" s="184" t="s">
        <v>474</v>
      </c>
      <c r="B55" s="43" t="e">
        <f>ABS(SUM(#REF!,#REF!))</f>
        <v>#REF!</v>
      </c>
      <c r="C55" s="43" t="e">
        <f>ABS(SUM(#REF!,#REF!))</f>
        <v>#REF!</v>
      </c>
      <c r="D55" s="43" t="e">
        <f>ABS(SUM(#REF!,#REF!))</f>
        <v>#REF!</v>
      </c>
      <c r="E55" s="43" t="e">
        <f>ABS(SUM(#REF!,#REF!))</f>
        <v>#REF!</v>
      </c>
      <c r="F55" s="43" t="e">
        <f>ABS(SUM(#REF!,#REF!))</f>
        <v>#REF!</v>
      </c>
      <c r="G55" s="181" t="e">
        <f>ABS(SUM(#REF!,#REF!))</f>
        <v>#REF!</v>
      </c>
    </row>
    <row r="56" spans="1:23">
      <c r="A56" s="182" t="s">
        <v>471</v>
      </c>
      <c r="B56" s="35" t="e">
        <f t="shared" ref="B56:G56" si="40">B55/B26</f>
        <v>#REF!</v>
      </c>
      <c r="C56" s="35" t="e">
        <f t="shared" si="40"/>
        <v>#REF!</v>
      </c>
      <c r="D56" s="35" t="e">
        <f t="shared" si="40"/>
        <v>#REF!</v>
      </c>
      <c r="E56" s="35" t="e">
        <f t="shared" si="40"/>
        <v>#REF!</v>
      </c>
      <c r="F56" s="35" t="e">
        <f t="shared" si="40"/>
        <v>#REF!</v>
      </c>
      <c r="G56" s="183" t="e">
        <f t="shared" si="40"/>
        <v>#REF!</v>
      </c>
    </row>
    <row r="57" spans="1:23" ht="15.75" thickBot="1">
      <c r="A57" s="24" t="s">
        <v>475</v>
      </c>
      <c r="B57" s="139" t="e">
        <f t="shared" ref="B57:G57" si="41">SUM(B49,B51,B53,B55)</f>
        <v>#REF!</v>
      </c>
      <c r="C57" s="139" t="e">
        <f t="shared" si="41"/>
        <v>#REF!</v>
      </c>
      <c r="D57" s="139" t="e">
        <f t="shared" si="41"/>
        <v>#REF!</v>
      </c>
      <c r="E57" s="139" t="e">
        <f t="shared" si="41"/>
        <v>#REF!</v>
      </c>
      <c r="F57" s="139" t="e">
        <f t="shared" si="41"/>
        <v>#REF!</v>
      </c>
      <c r="G57" s="185" t="e">
        <f t="shared" si="41"/>
        <v>#REF!</v>
      </c>
      <c r="N57" s="87" t="s">
        <v>437</v>
      </c>
      <c r="O57" s="88"/>
      <c r="P57" s="88"/>
      <c r="Q57" s="88"/>
      <c r="R57" s="88"/>
      <c r="S57" s="88"/>
      <c r="T57" s="87"/>
      <c r="U57" s="88"/>
      <c r="V57" s="88"/>
      <c r="W57" s="88"/>
    </row>
    <row r="58" spans="1:23" ht="15.75" thickTop="1">
      <c r="A58" s="186" t="s">
        <v>141</v>
      </c>
      <c r="B58" s="63" t="e">
        <f>IF(B57=ABS(SUM(#REF!,#REF!,#REF!,#REF!,#REF!)),"TRUE","FALSE")</f>
        <v>#REF!</v>
      </c>
      <c r="C58" s="63" t="e">
        <f>IF(C57=ABS(SUM(#REF!,#REF!,#REF!,#REF!,#REF!)),"TRUE","FALSE")</f>
        <v>#REF!</v>
      </c>
      <c r="D58" s="63" t="e">
        <f>IF(D57=ABS(SUM(#REF!,#REF!,#REF!,#REF!,#REF!)),"TRUE","FALSE")</f>
        <v>#REF!</v>
      </c>
      <c r="E58" s="63" t="e">
        <f>IF(E57=ABS(SUM(#REF!,#REF!,#REF!,#REF!,#REF!)),"TRUE","FALSE")</f>
        <v>#REF!</v>
      </c>
      <c r="F58" s="63" t="e">
        <f>IF(F57=ABS(SUM(#REF!,#REF!,#REF!,#REF!,#REF!)),"TRUE","FALSE")</f>
        <v>#REF!</v>
      </c>
      <c r="G58" s="203" t="e">
        <f>IF(G57=ABS(SUM(#REF!,#REF!,#REF!,#REF!,#REF!)),"TRUE","FALSE")</f>
        <v>#REF!</v>
      </c>
      <c r="M58" s="40" t="s">
        <v>481</v>
      </c>
      <c r="N58" s="90" t="s">
        <v>121</v>
      </c>
      <c r="O58" s="90" t="s">
        <v>439</v>
      </c>
      <c r="P58" s="90" t="s">
        <v>440</v>
      </c>
      <c r="Q58" s="90" t="s">
        <v>441</v>
      </c>
      <c r="R58" s="90" t="s">
        <v>442</v>
      </c>
      <c r="S58" s="90" t="s">
        <v>443</v>
      </c>
      <c r="T58" s="90" t="s">
        <v>444</v>
      </c>
      <c r="U58" s="90" t="s">
        <v>445</v>
      </c>
      <c r="V58" s="90" t="s">
        <v>446</v>
      </c>
      <c r="W58" s="90" t="s">
        <v>447</v>
      </c>
    </row>
    <row r="59" spans="1:23">
      <c r="A59" s="174" t="s">
        <v>471</v>
      </c>
      <c r="B59" s="58" t="e">
        <f t="shared" ref="B59:G59" si="42">B57/B26</f>
        <v>#REF!</v>
      </c>
      <c r="C59" s="58" t="e">
        <f t="shared" si="42"/>
        <v>#REF!</v>
      </c>
      <c r="D59" s="58" t="e">
        <f t="shared" si="42"/>
        <v>#REF!</v>
      </c>
      <c r="E59" s="58" t="e">
        <f t="shared" si="42"/>
        <v>#REF!</v>
      </c>
      <c r="F59" s="58" t="e">
        <f t="shared" si="42"/>
        <v>#REF!</v>
      </c>
      <c r="G59" s="204" t="e">
        <f t="shared" si="42"/>
        <v>#REF!</v>
      </c>
      <c r="M59" s="41" t="s">
        <v>430</v>
      </c>
      <c r="N59" s="43" t="e">
        <f t="shared" ref="N59:W59" si="43">N54</f>
        <v>#REF!</v>
      </c>
      <c r="O59" s="43" t="e">
        <f t="shared" si="43"/>
        <v>#REF!</v>
      </c>
      <c r="P59" s="43" t="e">
        <f t="shared" si="43"/>
        <v>#REF!</v>
      </c>
      <c r="Q59" s="43" t="e">
        <f t="shared" si="43"/>
        <v>#REF!</v>
      </c>
      <c r="R59" s="43" t="e">
        <f t="shared" si="43"/>
        <v>#REF!</v>
      </c>
      <c r="S59" s="43" t="e">
        <f t="shared" si="43"/>
        <v>#REF!</v>
      </c>
      <c r="T59" s="43" t="e">
        <f t="shared" si="43"/>
        <v>#REF!</v>
      </c>
      <c r="U59" s="43" t="e">
        <f t="shared" si="43"/>
        <v>#REF!</v>
      </c>
      <c r="V59" s="43" t="e">
        <f t="shared" si="43"/>
        <v>#REF!</v>
      </c>
      <c r="W59" s="43" t="e">
        <f t="shared" si="43"/>
        <v>#REF!</v>
      </c>
    </row>
    <row r="60" spans="1:23">
      <c r="A60" s="24" t="s">
        <v>98</v>
      </c>
      <c r="B60" s="42" t="e">
        <f t="shared" ref="B60:G60" si="44">B26-B57</f>
        <v>#REF!</v>
      </c>
      <c r="C60" s="42" t="e">
        <f t="shared" si="44"/>
        <v>#REF!</v>
      </c>
      <c r="D60" s="42" t="e">
        <f t="shared" si="44"/>
        <v>#REF!</v>
      </c>
      <c r="E60" s="42" t="e">
        <f t="shared" si="44"/>
        <v>#REF!</v>
      </c>
      <c r="F60" s="42" t="e">
        <f t="shared" si="44"/>
        <v>#REF!</v>
      </c>
      <c r="G60" s="145" t="e">
        <f t="shared" si="44"/>
        <v>#REF!</v>
      </c>
      <c r="M60" s="41" t="s">
        <v>482</v>
      </c>
      <c r="N60" s="43">
        <v>0</v>
      </c>
      <c r="O60" s="43">
        <v>0</v>
      </c>
      <c r="P60" s="43">
        <v>0</v>
      </c>
      <c r="Q60" s="43">
        <v>0</v>
      </c>
      <c r="R60" s="43">
        <v>0</v>
      </c>
      <c r="S60" s="43">
        <v>0</v>
      </c>
      <c r="T60" s="43">
        <v>0</v>
      </c>
      <c r="U60" s="43">
        <v>0</v>
      </c>
      <c r="V60" s="43">
        <v>0</v>
      </c>
      <c r="W60" s="43">
        <v>0</v>
      </c>
    </row>
    <row r="61" spans="1:23">
      <c r="A61" s="186" t="s">
        <v>141</v>
      </c>
      <c r="B61" s="63" t="e">
        <f>IF(B60=#REF!+#REF!+#REF!+#REF!+#REF!+#REF!,"TRUE","FALSE")</f>
        <v>#REF!</v>
      </c>
      <c r="C61" s="63" t="e">
        <f>IF(C60=#REF!+#REF!+#REF!+#REF!+#REF!+#REF!,"TRUE","FALSE")</f>
        <v>#REF!</v>
      </c>
      <c r="D61" s="63" t="e">
        <f>IF(D60=#REF!+#REF!+#REF!+#REF!+#REF!+#REF!,"TRUE","FALSE")</f>
        <v>#REF!</v>
      </c>
      <c r="E61" s="63" t="e">
        <f>IF(E60=#REF!+#REF!+#REF!+#REF!+#REF!+#REF!,"TRUE","FALSE")</f>
        <v>#REF!</v>
      </c>
      <c r="F61" s="63" t="e">
        <f>IF(F60=#REF!+#REF!+#REF!+#REF!+#REF!+#REF!,"TRUE","FALSE")</f>
        <v>#REF!</v>
      </c>
      <c r="G61" s="203" t="e">
        <f>IF(G60=#REF!+#REF!+#REF!+#REF!+#REF!+#REF!,"TRUE","FALSE")</f>
        <v>#REF!</v>
      </c>
      <c r="M61" s="35" t="s">
        <v>483</v>
      </c>
      <c r="N61" s="42" t="e">
        <f t="shared" ref="N61:W61" si="45">N15</f>
        <v>#REF!</v>
      </c>
      <c r="O61" s="42" t="e">
        <f t="shared" si="45"/>
        <v>#REF!</v>
      </c>
      <c r="P61" s="42" t="e">
        <f t="shared" si="45"/>
        <v>#REF!</v>
      </c>
      <c r="Q61" s="42" t="e">
        <f t="shared" si="45"/>
        <v>#REF!</v>
      </c>
      <c r="R61" s="42" t="e">
        <f t="shared" si="45"/>
        <v>#REF!</v>
      </c>
      <c r="S61" s="42" t="e">
        <f t="shared" si="45"/>
        <v>#REF!</v>
      </c>
      <c r="T61" s="42" t="e">
        <f t="shared" si="45"/>
        <v>#REF!</v>
      </c>
      <c r="U61" s="42" t="e">
        <f t="shared" si="45"/>
        <v>#REF!</v>
      </c>
      <c r="V61" s="42" t="e">
        <f t="shared" si="45"/>
        <v>#REF!</v>
      </c>
      <c r="W61" s="42" t="e">
        <f t="shared" si="45"/>
        <v>#REF!</v>
      </c>
    </row>
    <row r="62" spans="1:23">
      <c r="A62" s="148" t="s">
        <v>422</v>
      </c>
      <c r="B62" s="43" t="e">
        <f>ABS(#REF!)</f>
        <v>#REF!</v>
      </c>
      <c r="C62" s="43" t="e">
        <f>ABS(#REF!)</f>
        <v>#REF!</v>
      </c>
      <c r="D62" s="43" t="e">
        <f>ABS(#REF!)</f>
        <v>#REF!</v>
      </c>
      <c r="E62" s="43" t="e">
        <f>ABS(#REF!)</f>
        <v>#REF!</v>
      </c>
      <c r="F62" s="43" t="e">
        <f>ABS(#REF!)</f>
        <v>#REF!</v>
      </c>
      <c r="G62" s="181" t="e">
        <f>ABS(#REF!)</f>
        <v>#REF!</v>
      </c>
      <c r="M62" s="41" t="s">
        <v>433</v>
      </c>
      <c r="N62" s="43">
        <f>N60*N63</f>
        <v>0</v>
      </c>
      <c r="O62" s="43">
        <f>O60*O63</f>
        <v>0</v>
      </c>
      <c r="P62" s="43">
        <f t="shared" ref="P62:W62" si="46">P60*P63</f>
        <v>0</v>
      </c>
      <c r="Q62" s="43">
        <f t="shared" si="46"/>
        <v>0</v>
      </c>
      <c r="R62" s="43">
        <f t="shared" si="46"/>
        <v>0</v>
      </c>
      <c r="S62" s="43">
        <f t="shared" si="46"/>
        <v>0</v>
      </c>
      <c r="T62" s="43">
        <f t="shared" si="46"/>
        <v>0</v>
      </c>
      <c r="U62" s="43">
        <f t="shared" si="46"/>
        <v>0</v>
      </c>
      <c r="V62" s="43">
        <f t="shared" si="46"/>
        <v>0</v>
      </c>
      <c r="W62" s="43">
        <f t="shared" si="46"/>
        <v>0</v>
      </c>
    </row>
    <row r="63" spans="1:23">
      <c r="A63" s="187" t="s">
        <v>476</v>
      </c>
      <c r="B63" s="35" t="e">
        <f>B62/B60</f>
        <v>#REF!</v>
      </c>
      <c r="C63" s="35" t="e">
        <f t="shared" ref="C63:G63" si="47">C62/C60</f>
        <v>#REF!</v>
      </c>
      <c r="D63" s="35" t="e">
        <f t="shared" si="47"/>
        <v>#REF!</v>
      </c>
      <c r="E63" s="35" t="e">
        <f t="shared" si="47"/>
        <v>#REF!</v>
      </c>
      <c r="F63" s="35" t="e">
        <f t="shared" si="47"/>
        <v>#REF!</v>
      </c>
      <c r="G63" s="183" t="e">
        <f t="shared" si="47"/>
        <v>#REF!</v>
      </c>
      <c r="M63" s="198" t="s">
        <v>460</v>
      </c>
      <c r="N63" s="137">
        <v>7.0000000000000007E-2</v>
      </c>
      <c r="O63" s="137">
        <v>7.0000000000000007E-2</v>
      </c>
      <c r="P63" s="137">
        <v>7.0000000000000007E-2</v>
      </c>
      <c r="Q63" s="137">
        <v>7.0000000000000007E-2</v>
      </c>
      <c r="R63" s="137">
        <v>7.0000000000000007E-2</v>
      </c>
      <c r="S63" s="137">
        <v>7.0000000000000007E-2</v>
      </c>
      <c r="T63" s="137">
        <v>7.0000000000000007E-2</v>
      </c>
      <c r="U63" s="137">
        <v>7.0000000000000007E-2</v>
      </c>
      <c r="V63" s="137">
        <v>7.0000000000000007E-2</v>
      </c>
      <c r="W63" s="137">
        <v>7.0000000000000007E-2</v>
      </c>
    </row>
    <row r="64" spans="1:23">
      <c r="A64" s="24" t="s">
        <v>477</v>
      </c>
      <c r="B64" s="42" t="e">
        <f t="shared" ref="B64:G64" si="48">B60-B62</f>
        <v>#REF!</v>
      </c>
      <c r="C64" s="42" t="e">
        <f t="shared" si="48"/>
        <v>#REF!</v>
      </c>
      <c r="D64" s="42" t="e">
        <f t="shared" si="48"/>
        <v>#REF!</v>
      </c>
      <c r="E64" s="42" t="e">
        <f t="shared" si="48"/>
        <v>#REF!</v>
      </c>
      <c r="F64" s="42" t="e">
        <f t="shared" si="48"/>
        <v>#REF!</v>
      </c>
      <c r="G64" s="145" t="e">
        <f t="shared" si="48"/>
        <v>#REF!</v>
      </c>
      <c r="M64" s="41" t="s">
        <v>434</v>
      </c>
      <c r="N64" s="37" t="e">
        <f>N61*N65</f>
        <v>#REF!</v>
      </c>
      <c r="O64" s="37" t="e">
        <f t="shared" ref="O64:W64" si="49">O61*O65</f>
        <v>#REF!</v>
      </c>
      <c r="P64" s="37" t="e">
        <f t="shared" si="49"/>
        <v>#REF!</v>
      </c>
      <c r="Q64" s="37" t="e">
        <f t="shared" si="49"/>
        <v>#REF!</v>
      </c>
      <c r="R64" s="37" t="e">
        <f t="shared" si="49"/>
        <v>#REF!</v>
      </c>
      <c r="S64" s="37" t="e">
        <f t="shared" si="49"/>
        <v>#REF!</v>
      </c>
      <c r="T64" s="37" t="e">
        <f t="shared" si="49"/>
        <v>#REF!</v>
      </c>
      <c r="U64" s="37" t="e">
        <f t="shared" si="49"/>
        <v>#REF!</v>
      </c>
      <c r="V64" s="37" t="e">
        <f t="shared" si="49"/>
        <v>#REF!</v>
      </c>
      <c r="W64" s="37" t="e">
        <f t="shared" si="49"/>
        <v>#REF!</v>
      </c>
    </row>
    <row r="65" spans="1:23">
      <c r="A65" s="24"/>
      <c r="B65" s="42"/>
      <c r="C65" s="42"/>
      <c r="D65" s="42"/>
      <c r="E65" s="42"/>
      <c r="F65" s="42"/>
      <c r="G65" s="145"/>
      <c r="M65" s="198" t="s">
        <v>461</v>
      </c>
      <c r="N65" s="137" t="e">
        <f t="shared" ref="N65:W65" si="50">AVERAGE($B$83:$G$83)</f>
        <v>#REF!</v>
      </c>
      <c r="O65" s="137" t="e">
        <f t="shared" si="50"/>
        <v>#REF!</v>
      </c>
      <c r="P65" s="137" t="e">
        <f t="shared" si="50"/>
        <v>#REF!</v>
      </c>
      <c r="Q65" s="137" t="e">
        <f t="shared" si="50"/>
        <v>#REF!</v>
      </c>
      <c r="R65" s="137" t="e">
        <f t="shared" si="50"/>
        <v>#REF!</v>
      </c>
      <c r="S65" s="137" t="e">
        <f t="shared" si="50"/>
        <v>#REF!</v>
      </c>
      <c r="T65" s="137" t="e">
        <f t="shared" si="50"/>
        <v>#REF!</v>
      </c>
      <c r="U65" s="137" t="e">
        <f t="shared" si="50"/>
        <v>#REF!</v>
      </c>
      <c r="V65" s="137" t="e">
        <f t="shared" si="50"/>
        <v>#REF!</v>
      </c>
      <c r="W65" s="137" t="e">
        <f t="shared" si="50"/>
        <v>#REF!</v>
      </c>
    </row>
    <row r="66" spans="1:23">
      <c r="A66" s="26" t="s">
        <v>478</v>
      </c>
      <c r="B66" s="188"/>
      <c r="C66" s="27" t="e">
        <f>C64/B71</f>
        <v>#REF!</v>
      </c>
      <c r="D66" s="27" t="e">
        <f>D64/C71</f>
        <v>#REF!</v>
      </c>
      <c r="E66" s="27" t="e">
        <f>E64/D71</f>
        <v>#REF!</v>
      </c>
      <c r="F66" s="27" t="e">
        <f>F64/E71</f>
        <v>#REF!</v>
      </c>
      <c r="G66" s="28" t="e">
        <f>G64/F71</f>
        <v>#REF!</v>
      </c>
      <c r="M66" s="41" t="s">
        <v>484</v>
      </c>
      <c r="N66" s="35" t="e">
        <f>AVERAGE(N63,N65)</f>
        <v>#REF!</v>
      </c>
      <c r="O66" s="35" t="e">
        <f t="shared" ref="O66:W66" si="51">AVERAGE(O63,O65)</f>
        <v>#REF!</v>
      </c>
      <c r="P66" s="35" t="e">
        <f t="shared" si="51"/>
        <v>#REF!</v>
      </c>
      <c r="Q66" s="35" t="e">
        <f t="shared" si="51"/>
        <v>#REF!</v>
      </c>
      <c r="R66" s="35" t="e">
        <f t="shared" si="51"/>
        <v>#REF!</v>
      </c>
      <c r="S66" s="35" t="e">
        <f t="shared" si="51"/>
        <v>#REF!</v>
      </c>
      <c r="T66" s="35" t="e">
        <f t="shared" si="51"/>
        <v>#REF!</v>
      </c>
      <c r="U66" s="35" t="e">
        <f t="shared" si="51"/>
        <v>#REF!</v>
      </c>
      <c r="V66" s="35" t="e">
        <f t="shared" si="51"/>
        <v>#REF!</v>
      </c>
      <c r="W66" s="35" t="e">
        <f t="shared" si="51"/>
        <v>#REF!</v>
      </c>
    </row>
    <row r="67" spans="1:23">
      <c r="B67" s="87" t="s">
        <v>468</v>
      </c>
      <c r="C67" s="88"/>
      <c r="D67" s="88"/>
      <c r="E67" s="88"/>
      <c r="F67" s="88"/>
      <c r="G67" s="88"/>
      <c r="M67" s="198" t="s">
        <v>485</v>
      </c>
      <c r="N67" s="138" t="e">
        <f>ABS(N60-G78)</f>
        <v>#REF!</v>
      </c>
      <c r="O67" s="43">
        <f t="shared" ref="O67:W67" si="52">ABS(O60-N60)</f>
        <v>0</v>
      </c>
      <c r="P67" s="43">
        <f t="shared" si="52"/>
        <v>0</v>
      </c>
      <c r="Q67" s="43">
        <f t="shared" si="52"/>
        <v>0</v>
      </c>
      <c r="R67" s="43">
        <f t="shared" si="52"/>
        <v>0</v>
      </c>
      <c r="S67" s="43">
        <f t="shared" si="52"/>
        <v>0</v>
      </c>
      <c r="T67" s="43">
        <f t="shared" si="52"/>
        <v>0</v>
      </c>
      <c r="U67" s="43">
        <f t="shared" si="52"/>
        <v>0</v>
      </c>
      <c r="V67" s="43">
        <f t="shared" si="52"/>
        <v>0</v>
      </c>
      <c r="W67" s="43">
        <f t="shared" si="52"/>
        <v>0</v>
      </c>
    </row>
    <row r="68" spans="1:23">
      <c r="A68" s="40" t="s">
        <v>479</v>
      </c>
      <c r="B68" s="90" t="s">
        <v>115</v>
      </c>
      <c r="C68" s="90" t="s">
        <v>116</v>
      </c>
      <c r="D68" s="90" t="s">
        <v>117</v>
      </c>
      <c r="E68" s="90" t="s">
        <v>118</v>
      </c>
      <c r="F68" s="90" t="s">
        <v>119</v>
      </c>
      <c r="G68" s="90" t="s">
        <v>120</v>
      </c>
      <c r="M68" s="41" t="s">
        <v>486</v>
      </c>
      <c r="N68" s="42" t="e">
        <f>SUM(N62,N64)</f>
        <v>#REF!</v>
      </c>
      <c r="O68" s="42" t="e">
        <f t="shared" ref="O68:W68" si="53">SUM(O62,O64)</f>
        <v>#REF!</v>
      </c>
      <c r="P68" s="42" t="e">
        <f t="shared" si="53"/>
        <v>#REF!</v>
      </c>
      <c r="Q68" s="42" t="e">
        <f t="shared" si="53"/>
        <v>#REF!</v>
      </c>
      <c r="R68" s="42" t="e">
        <f t="shared" si="53"/>
        <v>#REF!</v>
      </c>
      <c r="S68" s="42" t="e">
        <f t="shared" si="53"/>
        <v>#REF!</v>
      </c>
      <c r="T68" s="42" t="e">
        <f t="shared" si="53"/>
        <v>#REF!</v>
      </c>
      <c r="U68" s="42" t="e">
        <f t="shared" si="53"/>
        <v>#REF!</v>
      </c>
      <c r="V68" s="42" t="e">
        <f t="shared" si="53"/>
        <v>#REF!</v>
      </c>
      <c r="W68" s="42" t="e">
        <f t="shared" si="53"/>
        <v>#REF!</v>
      </c>
    </row>
    <row r="69" spans="1:23">
      <c r="A69" s="41" t="s">
        <v>425</v>
      </c>
      <c r="B69" s="43" t="e">
        <f t="shared" ref="B69:G69" si="54">B64</f>
        <v>#REF!</v>
      </c>
      <c r="C69" s="43" t="e">
        <f t="shared" si="54"/>
        <v>#REF!</v>
      </c>
      <c r="D69" s="43" t="e">
        <f t="shared" si="54"/>
        <v>#REF!</v>
      </c>
      <c r="E69" s="43" t="e">
        <f t="shared" si="54"/>
        <v>#REF!</v>
      </c>
      <c r="F69" s="43" t="e">
        <f t="shared" si="54"/>
        <v>#REF!</v>
      </c>
      <c r="G69" s="43" t="e">
        <f t="shared" si="54"/>
        <v>#REF!</v>
      </c>
      <c r="M69" s="41" t="s">
        <v>435</v>
      </c>
      <c r="N69" s="43" t="e">
        <f t="shared" ref="N69:W69" si="55">N59-N68-N67</f>
        <v>#REF!</v>
      </c>
      <c r="O69" s="43" t="e">
        <f t="shared" si="55"/>
        <v>#REF!</v>
      </c>
      <c r="P69" s="43" t="e">
        <f t="shared" si="55"/>
        <v>#REF!</v>
      </c>
      <c r="Q69" s="43" t="e">
        <f t="shared" si="55"/>
        <v>#REF!</v>
      </c>
      <c r="R69" s="43" t="e">
        <f t="shared" si="55"/>
        <v>#REF!</v>
      </c>
      <c r="S69" s="43" t="e">
        <f t="shared" si="55"/>
        <v>#REF!</v>
      </c>
      <c r="T69" s="43" t="e">
        <f t="shared" si="55"/>
        <v>#REF!</v>
      </c>
      <c r="U69" s="43" t="e">
        <f t="shared" si="55"/>
        <v>#REF!</v>
      </c>
      <c r="V69" s="43" t="e">
        <f t="shared" si="55"/>
        <v>#REF!</v>
      </c>
      <c r="W69" s="43" t="e">
        <f t="shared" si="55"/>
        <v>#REF!</v>
      </c>
    </row>
    <row r="70" spans="1:23">
      <c r="A70" t="s">
        <v>429</v>
      </c>
      <c r="B70" s="35">
        <v>0</v>
      </c>
      <c r="C70" s="35" t="e">
        <f>(C71-B71)/C69</f>
        <v>#REF!</v>
      </c>
      <c r="D70" s="35" t="e">
        <f>(D71-C71)/D69</f>
        <v>#REF!</v>
      </c>
      <c r="E70" s="35" t="e">
        <f>(E71-D71)/E69</f>
        <v>#REF!</v>
      </c>
      <c r="F70" s="35" t="e">
        <f>(F71-E71)/F69</f>
        <v>#REF!</v>
      </c>
      <c r="G70" s="35" t="e">
        <f>(G71-F71)/G69</f>
        <v>#REF!</v>
      </c>
    </row>
    <row r="71" spans="1:23">
      <c r="A71" s="41" t="s">
        <v>100</v>
      </c>
      <c r="B71" s="43" t="e">
        <f t="shared" ref="B71:G71" si="56">B43</f>
        <v>#REF!</v>
      </c>
      <c r="C71" s="43" t="e">
        <f t="shared" si="56"/>
        <v>#REF!</v>
      </c>
      <c r="D71" s="43" t="e">
        <f t="shared" si="56"/>
        <v>#REF!</v>
      </c>
      <c r="E71" s="43" t="e">
        <f t="shared" si="56"/>
        <v>#REF!</v>
      </c>
      <c r="F71" s="43" t="e">
        <f t="shared" si="56"/>
        <v>#REF!</v>
      </c>
      <c r="G71" s="43" t="e">
        <f t="shared" si="56"/>
        <v>#REF!</v>
      </c>
    </row>
    <row r="72" spans="1:23">
      <c r="A72" s="60" t="s">
        <v>427</v>
      </c>
      <c r="B72" s="43">
        <v>0</v>
      </c>
      <c r="C72" s="42" t="e">
        <f>C71-B71</f>
        <v>#REF!</v>
      </c>
      <c r="D72" s="42" t="e">
        <f t="shared" ref="D72:G72" si="57">D71-C71</f>
        <v>#REF!</v>
      </c>
      <c r="E72" s="42" t="e">
        <f t="shared" si="57"/>
        <v>#REF!</v>
      </c>
      <c r="F72" s="42" t="e">
        <f t="shared" si="57"/>
        <v>#REF!</v>
      </c>
      <c r="G72" s="42" t="e">
        <f t="shared" si="57"/>
        <v>#REF!</v>
      </c>
    </row>
    <row r="73" spans="1:23">
      <c r="A73" s="189" t="s">
        <v>480</v>
      </c>
      <c r="B73" s="43">
        <v>0</v>
      </c>
      <c r="C73" s="35" t="e">
        <f>C42</f>
        <v>#REF!</v>
      </c>
      <c r="D73" s="35" t="e">
        <f>D42</f>
        <v>#REF!</v>
      </c>
      <c r="E73" s="35" t="e">
        <f>E42</f>
        <v>#REF!</v>
      </c>
      <c r="F73" s="35" t="e">
        <f>F42</f>
        <v>#REF!</v>
      </c>
      <c r="G73" s="35" t="e">
        <f>G42</f>
        <v>#REF!</v>
      </c>
    </row>
    <row r="74" spans="1:23">
      <c r="A74" s="41" t="s">
        <v>430</v>
      </c>
      <c r="B74" s="43" t="e">
        <f t="shared" ref="B74:G74" si="58">IF(B69-B72&lt;B69,B69-B72,B69)</f>
        <v>#REF!</v>
      </c>
      <c r="C74" s="43" t="e">
        <f t="shared" si="58"/>
        <v>#REF!</v>
      </c>
      <c r="D74" s="43" t="e">
        <f t="shared" si="58"/>
        <v>#REF!</v>
      </c>
      <c r="E74" s="43" t="e">
        <f t="shared" si="58"/>
        <v>#REF!</v>
      </c>
      <c r="F74" s="43" t="e">
        <f t="shared" si="58"/>
        <v>#REF!</v>
      </c>
      <c r="G74" s="43" t="e">
        <f t="shared" si="58"/>
        <v>#REF!</v>
      </c>
    </row>
    <row r="75" spans="1:23">
      <c r="B75" s="87" t="s">
        <v>468</v>
      </c>
      <c r="C75" s="88"/>
      <c r="D75" s="88"/>
      <c r="E75" s="88"/>
      <c r="F75" s="88"/>
      <c r="G75" s="88"/>
      <c r="O75" s="43"/>
      <c r="P75" s="43"/>
      <c r="Q75" s="43"/>
    </row>
    <row r="76" spans="1:23">
      <c r="A76" s="40" t="s">
        <v>481</v>
      </c>
      <c r="B76" s="90" t="s">
        <v>115</v>
      </c>
      <c r="C76" s="90" t="s">
        <v>116</v>
      </c>
      <c r="D76" s="90" t="s">
        <v>117</v>
      </c>
      <c r="E76" s="90" t="s">
        <v>118</v>
      </c>
      <c r="F76" s="90" t="s">
        <v>119</v>
      </c>
      <c r="G76" s="90" t="s">
        <v>120</v>
      </c>
    </row>
    <row r="77" spans="1:23">
      <c r="A77" s="199" t="s">
        <v>430</v>
      </c>
      <c r="B77" s="200" t="e">
        <f t="shared" ref="B77:G77" si="59">B74</f>
        <v>#REF!</v>
      </c>
      <c r="C77" s="200" t="e">
        <f t="shared" si="59"/>
        <v>#REF!</v>
      </c>
      <c r="D77" s="200" t="e">
        <f t="shared" si="59"/>
        <v>#REF!</v>
      </c>
      <c r="E77" s="200" t="e">
        <f t="shared" si="59"/>
        <v>#REF!</v>
      </c>
      <c r="F77" s="200" t="e">
        <f t="shared" si="59"/>
        <v>#REF!</v>
      </c>
      <c r="G77" s="201" t="e">
        <f t="shared" si="59"/>
        <v>#REF!</v>
      </c>
    </row>
    <row r="78" spans="1:23">
      <c r="A78" s="148" t="s">
        <v>482</v>
      </c>
      <c r="B78" s="43" t="e">
        <f>#REF!+#REF!+#REF!+#REF!+#REF!</f>
        <v>#REF!</v>
      </c>
      <c r="C78" s="43" t="e">
        <f>#REF!+#REF!+#REF!+#REF!+#REF!</f>
        <v>#REF!</v>
      </c>
      <c r="D78" s="43" t="e">
        <f>#REF!+#REF!+#REF!+#REF!+#REF!</f>
        <v>#REF!</v>
      </c>
      <c r="E78" s="43" t="e">
        <f>#REF!+#REF!+#REF!+#REF!+#REF!</f>
        <v>#REF!</v>
      </c>
      <c r="F78" s="43" t="e">
        <f>#REF!+#REF!+#REF!+#REF!+#REF!</f>
        <v>#REF!</v>
      </c>
      <c r="G78" s="181" t="e">
        <f>#REF!+#REF!+#REF!+#REF!+#REF!</f>
        <v>#REF!</v>
      </c>
    </row>
    <row r="79" spans="1:23">
      <c r="A79" s="190" t="s">
        <v>483</v>
      </c>
      <c r="B79" s="37" t="e">
        <f>#REF!+#REF!</f>
        <v>#REF!</v>
      </c>
      <c r="C79" s="37" t="e">
        <f>#REF!+#REF!</f>
        <v>#REF!</v>
      </c>
      <c r="D79" s="37" t="e">
        <f>#REF!+#REF!</f>
        <v>#REF!</v>
      </c>
      <c r="E79" s="37" t="e">
        <f>#REF!+#REF!</f>
        <v>#REF!</v>
      </c>
      <c r="F79" s="37" t="e">
        <f>#REF!+#REF!</f>
        <v>#REF!</v>
      </c>
      <c r="G79" s="197" t="e">
        <f>#REF!+#REF!</f>
        <v>#REF!</v>
      </c>
    </row>
    <row r="80" spans="1:23">
      <c r="A80" s="148" t="s">
        <v>433</v>
      </c>
      <c r="B80" s="37">
        <v>12500</v>
      </c>
      <c r="C80" s="37">
        <v>10500</v>
      </c>
      <c r="D80" s="37">
        <v>2160</v>
      </c>
      <c r="E80" s="37">
        <v>465</v>
      </c>
      <c r="F80" s="37">
        <v>426</v>
      </c>
      <c r="G80" s="197">
        <v>730</v>
      </c>
    </row>
    <row r="81" spans="1:15">
      <c r="A81" s="191" t="s">
        <v>460</v>
      </c>
      <c r="B81" s="35" t="e">
        <f t="shared" ref="B81:G81" si="60">B80/B78</f>
        <v>#REF!</v>
      </c>
      <c r="C81" s="35" t="e">
        <f>C80/C78</f>
        <v>#REF!</v>
      </c>
      <c r="D81" s="35" t="e">
        <f t="shared" si="60"/>
        <v>#REF!</v>
      </c>
      <c r="E81" s="35" t="e">
        <f t="shared" si="60"/>
        <v>#REF!</v>
      </c>
      <c r="F81" s="35" t="e">
        <f t="shared" si="60"/>
        <v>#REF!</v>
      </c>
      <c r="G81" s="183" t="e">
        <f t="shared" si="60"/>
        <v>#REF!</v>
      </c>
    </row>
    <row r="82" spans="1:15">
      <c r="A82" s="148" t="s">
        <v>434</v>
      </c>
      <c r="B82" s="37">
        <v>11800</v>
      </c>
      <c r="C82" s="37">
        <v>12400</v>
      </c>
      <c r="D82" s="37">
        <v>10587</v>
      </c>
      <c r="E82" s="37">
        <v>10079</v>
      </c>
      <c r="F82" s="37">
        <v>11471</v>
      </c>
      <c r="G82" s="197">
        <v>11491</v>
      </c>
    </row>
    <row r="83" spans="1:15">
      <c r="A83" s="191" t="s">
        <v>461</v>
      </c>
      <c r="B83" s="35" t="e">
        <f t="shared" ref="B83:G83" si="61">B82/B79</f>
        <v>#REF!</v>
      </c>
      <c r="C83" s="35" t="e">
        <f t="shared" si="61"/>
        <v>#REF!</v>
      </c>
      <c r="D83" s="35" t="e">
        <f t="shared" si="61"/>
        <v>#REF!</v>
      </c>
      <c r="E83" s="35" t="e">
        <f t="shared" si="61"/>
        <v>#REF!</v>
      </c>
      <c r="F83" s="35" t="e">
        <f t="shared" si="61"/>
        <v>#REF!</v>
      </c>
      <c r="G83" s="183" t="e">
        <f t="shared" si="61"/>
        <v>#REF!</v>
      </c>
    </row>
    <row r="84" spans="1:15">
      <c r="A84" s="148" t="s">
        <v>484</v>
      </c>
      <c r="B84" s="35" t="e">
        <f t="shared" ref="B84:G84" si="62">((B78*B81)+(B79*B83))/SUM(B78:B79)</f>
        <v>#REF!</v>
      </c>
      <c r="C84" s="35" t="e">
        <f t="shared" si="62"/>
        <v>#REF!</v>
      </c>
      <c r="D84" s="35" t="e">
        <f t="shared" si="62"/>
        <v>#REF!</v>
      </c>
      <c r="E84" s="35" t="e">
        <f t="shared" si="62"/>
        <v>#REF!</v>
      </c>
      <c r="F84" s="35" t="e">
        <f t="shared" si="62"/>
        <v>#REF!</v>
      </c>
      <c r="G84" s="183" t="e">
        <f t="shared" si="62"/>
        <v>#REF!</v>
      </c>
    </row>
    <row r="85" spans="1:15">
      <c r="A85" s="191" t="s">
        <v>485</v>
      </c>
      <c r="B85" s="43" t="e">
        <f>ABS(#REF!+#REF!+#REF!+#REF!)</f>
        <v>#REF!</v>
      </c>
      <c r="C85" s="43" t="e">
        <f>ABS(C78-B78)</f>
        <v>#REF!</v>
      </c>
      <c r="D85" s="43" t="e">
        <f>ABS(D78-C78)</f>
        <v>#REF!</v>
      </c>
      <c r="E85" s="43" t="e">
        <f>ABS(E78-D78)</f>
        <v>#REF!</v>
      </c>
      <c r="F85" s="43" t="e">
        <f>ABS(F78-E78)</f>
        <v>#REF!</v>
      </c>
      <c r="G85" s="181" t="e">
        <f>ABS(G78-F78)</f>
        <v>#REF!</v>
      </c>
    </row>
    <row r="86" spans="1:15">
      <c r="A86" s="148" t="s">
        <v>486</v>
      </c>
      <c r="B86" s="43" t="e">
        <f>ABS(#REF!)</f>
        <v>#REF!</v>
      </c>
      <c r="C86" s="43" t="e">
        <f>ABS(#REF!)</f>
        <v>#REF!</v>
      </c>
      <c r="D86" s="43" t="e">
        <f>ABS(#REF!)</f>
        <v>#REF!</v>
      </c>
      <c r="E86" s="43" t="e">
        <f>ABS(#REF!)</f>
        <v>#REF!</v>
      </c>
      <c r="F86" s="43" t="e">
        <f>ABS(#REF!)</f>
        <v>#REF!</v>
      </c>
      <c r="G86" s="181" t="e">
        <f>ABS(#REF!)</f>
        <v>#REF!</v>
      </c>
    </row>
    <row r="87" spans="1:15">
      <c r="A87" s="146" t="s">
        <v>435</v>
      </c>
      <c r="B87" s="192" t="e">
        <f t="shared" ref="B87:G87" si="63">B77-B86-B85</f>
        <v>#REF!</v>
      </c>
      <c r="C87" s="192" t="e">
        <f t="shared" si="63"/>
        <v>#REF!</v>
      </c>
      <c r="D87" s="192" t="e">
        <f t="shared" si="63"/>
        <v>#REF!</v>
      </c>
      <c r="E87" s="192" t="e">
        <f t="shared" si="63"/>
        <v>#REF!</v>
      </c>
      <c r="F87" s="192" t="e">
        <f t="shared" si="63"/>
        <v>#REF!</v>
      </c>
      <c r="G87" s="193" t="e">
        <f t="shared" si="63"/>
        <v>#REF!</v>
      </c>
    </row>
    <row r="88" spans="1:15">
      <c r="O88" s="41"/>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1"/>
      <c r="B120" s="45"/>
      <c r="C120" s="45"/>
      <c r="D120" s="45"/>
      <c r="E120" s="45"/>
      <c r="F120" s="45"/>
      <c r="G120" s="45"/>
      <c r="H120" s="44"/>
    </row>
    <row r="187" spans="1:7">
      <c r="A187" s="80"/>
      <c r="B187" s="42"/>
      <c r="C187" s="42"/>
      <c r="D187" s="42"/>
      <c r="E187" s="42"/>
      <c r="F187" s="42"/>
      <c r="G187" s="42"/>
    </row>
    <row r="188" spans="1:7">
      <c r="A188" s="83"/>
      <c r="B188" s="84"/>
      <c r="C188" s="84"/>
      <c r="D188" s="84"/>
      <c r="E188" s="84"/>
      <c r="F188" s="84"/>
      <c r="G188" s="84"/>
    </row>
    <row r="189" spans="1:7">
      <c r="A189" s="80"/>
      <c r="B189" s="42"/>
      <c r="C189" s="42"/>
      <c r="D189" s="42"/>
      <c r="E189" s="42"/>
      <c r="F189" s="42"/>
      <c r="G189" s="42"/>
    </row>
    <row r="190" spans="1:7">
      <c r="A190" s="81"/>
      <c r="B190" s="42"/>
      <c r="C190" s="42"/>
      <c r="D190" s="42"/>
      <c r="E190" s="42"/>
      <c r="F190" s="42"/>
      <c r="G190" s="42"/>
    </row>
    <row r="191" spans="1:7">
      <c r="A191" s="81"/>
      <c r="B191" s="42"/>
      <c r="C191" s="42"/>
      <c r="D191" s="42"/>
      <c r="E191" s="42"/>
      <c r="F191" s="42"/>
      <c r="G191" s="42"/>
    </row>
    <row r="192" spans="1:7" ht="8.1" customHeight="1">
      <c r="A192" s="55"/>
      <c r="B192" s="42"/>
      <c r="C192" s="42"/>
      <c r="D192" s="42"/>
      <c r="E192" s="42"/>
      <c r="F192" s="42"/>
      <c r="G192" s="42"/>
    </row>
    <row r="193" spans="1:8">
      <c r="A193" s="11"/>
      <c r="B193" s="42"/>
      <c r="C193" s="42"/>
      <c r="D193" s="42"/>
      <c r="E193" s="42"/>
      <c r="F193" s="42"/>
      <c r="G193" s="42"/>
    </row>
    <row r="194" spans="1:8">
      <c r="A194" s="81"/>
      <c r="B194" s="42"/>
      <c r="C194" s="42"/>
      <c r="D194" s="42"/>
      <c r="E194" s="42"/>
      <c r="F194" s="42"/>
      <c r="G194" s="42"/>
    </row>
    <row r="195" spans="1:8">
      <c r="A195" s="81"/>
      <c r="B195" s="42"/>
      <c r="C195" s="42"/>
      <c r="D195" s="82"/>
      <c r="E195" s="42"/>
      <c r="F195" s="42"/>
      <c r="G195" s="42"/>
    </row>
    <row r="196" spans="1:8">
      <c r="A196" s="55"/>
      <c r="B196" s="42"/>
      <c r="C196" s="42"/>
      <c r="D196" s="42"/>
      <c r="E196" s="42"/>
      <c r="F196" s="42"/>
      <c r="G196" s="42"/>
    </row>
    <row r="197" spans="1:8">
      <c r="A197" s="55"/>
      <c r="B197" s="42"/>
      <c r="C197" s="42"/>
      <c r="E197" s="42"/>
      <c r="F197" s="42"/>
      <c r="G197" s="42"/>
    </row>
    <row r="198" spans="1:8">
      <c r="A198" s="11"/>
      <c r="B198" s="42"/>
      <c r="C198" s="42"/>
      <c r="D198" s="42"/>
      <c r="E198" s="42"/>
      <c r="F198" s="42"/>
      <c r="G198" s="42"/>
    </row>
    <row r="199" spans="1:8">
      <c r="A199" s="55"/>
      <c r="B199" s="42"/>
      <c r="C199" s="42"/>
      <c r="D199" s="42"/>
      <c r="E199" s="42"/>
      <c r="F199" s="42"/>
      <c r="G199" s="42"/>
    </row>
    <row r="200" spans="1:8">
      <c r="A200" s="80"/>
      <c r="B200" s="42"/>
      <c r="C200" s="42"/>
      <c r="D200" s="42"/>
      <c r="E200" s="42"/>
      <c r="F200" s="42"/>
      <c r="G200" s="42"/>
    </row>
    <row r="201" spans="1:8">
      <c r="A201" s="80"/>
      <c r="B201" s="42"/>
      <c r="C201" s="42"/>
      <c r="D201" s="42"/>
      <c r="E201" s="42"/>
      <c r="F201" s="42"/>
      <c r="G201" s="42"/>
    </row>
    <row r="202" spans="1:8">
      <c r="A202" s="81"/>
      <c r="B202" s="42"/>
      <c r="C202" s="42"/>
      <c r="D202" s="42"/>
      <c r="E202" s="42"/>
      <c r="F202" s="42"/>
      <c r="G202" s="42"/>
    </row>
    <row r="203" spans="1:8">
      <c r="A203" s="81"/>
      <c r="B203" s="80"/>
      <c r="C203" s="42"/>
      <c r="D203" s="42"/>
      <c r="E203" s="42"/>
      <c r="F203" s="42"/>
      <c r="G203" s="42"/>
    </row>
    <row r="204" spans="1:8">
      <c r="B204" s="42"/>
      <c r="C204" s="42"/>
      <c r="D204" s="42"/>
      <c r="E204" s="42"/>
      <c r="F204" s="42"/>
      <c r="G204" s="42"/>
    </row>
    <row r="205" spans="1:8">
      <c r="A205" s="80"/>
      <c r="B205" s="42"/>
      <c r="C205" s="42"/>
      <c r="D205" s="42"/>
      <c r="E205" s="42"/>
      <c r="F205" s="42"/>
      <c r="G205" s="42"/>
    </row>
    <row r="206" spans="1:8">
      <c r="A206" s="80"/>
      <c r="B206" s="42"/>
      <c r="C206" s="42"/>
      <c r="D206" s="42"/>
      <c r="E206" s="42"/>
      <c r="F206" s="42"/>
      <c r="G206" s="42"/>
      <c r="H206" s="57"/>
    </row>
  </sheetData>
  <mergeCells count="4">
    <mergeCell ref="A1:K2"/>
    <mergeCell ref="A45:K46"/>
    <mergeCell ref="M1:W2"/>
    <mergeCell ref="M45:W46"/>
  </mergeCells>
  <phoneticPr fontId="2" type="noConversion"/>
  <conditionalFormatting sqref="B58:G58">
    <cfRule type="uniqueValues" dxfId="10" priority="7"/>
    <cfRule type="duplicateValues" dxfId="9" priority="8"/>
  </conditionalFormatting>
  <conditionalFormatting sqref="B61:G61">
    <cfRule type="uniqueValues" dxfId="8" priority="5"/>
    <cfRule type="duplicateValues" dxfId="7" priority="6"/>
  </conditionalFormatting>
  <pageMargins left="0.7" right="0.7" top="0.75" bottom="0.75" header="0.3" footer="0.3"/>
  <pageSetup paperSize="3" orientation="landscape" r:id="rId1"/>
  <ignoredErrors>
    <ignoredError sqref="B51:G54" formula="1"/>
  </ignoredErrors>
  <legacyDrawing r:id="rId2"/>
  <tableParts count="9">
    <tablePart r:id="rId3"/>
    <tablePart r:id="rId4"/>
    <tablePart r:id="rId5"/>
    <tablePart r:id="rId6"/>
    <tablePart r:id="rId7"/>
    <tablePart r:id="rId8"/>
    <tablePart r:id="rId9"/>
    <tablePart r:id="rId10"/>
    <tablePart r:id="rId1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2F56-AAE3-4A0D-935D-65A76A6563BE}">
  <sheetPr codeName="Sheet9"/>
  <dimension ref="A1:N102"/>
  <sheetViews>
    <sheetView showGridLines="0" zoomScaleNormal="100" workbookViewId="0">
      <selection activeCell="N24" sqref="N24"/>
    </sheetView>
  </sheetViews>
  <sheetFormatPr defaultRowHeight="15"/>
  <cols>
    <col min="1" max="1" width="30.7109375" customWidth="1"/>
    <col min="2" max="11" width="13.7109375" customWidth="1"/>
    <col min="13" max="13" width="25.7109375" customWidth="1"/>
    <col min="14" max="14" width="11" customWidth="1"/>
    <col min="15" max="15" width="11.28515625" bestFit="1" customWidth="1"/>
  </cols>
  <sheetData>
    <row r="1" spans="1:11">
      <c r="A1" s="280" t="s">
        <v>487</v>
      </c>
      <c r="B1" s="281"/>
      <c r="C1" s="281"/>
      <c r="D1" s="281"/>
      <c r="E1" s="281"/>
      <c r="F1" s="281"/>
      <c r="G1" s="281"/>
      <c r="H1" s="281"/>
      <c r="I1" s="281"/>
      <c r="J1" s="281"/>
      <c r="K1" s="281"/>
    </row>
    <row r="2" spans="1:11" ht="15.95" customHeight="1">
      <c r="A2" s="280"/>
      <c r="B2" s="281"/>
      <c r="C2" s="281"/>
      <c r="D2" s="281"/>
      <c r="E2" s="281"/>
      <c r="F2" s="281"/>
      <c r="G2" s="281"/>
      <c r="H2" s="281"/>
      <c r="I2" s="281"/>
      <c r="J2" s="281"/>
      <c r="K2" s="281"/>
    </row>
    <row r="4" spans="1:11" ht="15" customHeight="1">
      <c r="A4" s="46" t="s">
        <v>488</v>
      </c>
      <c r="B4" s="47"/>
      <c r="C4" s="47"/>
      <c r="D4" s="47"/>
      <c r="E4" s="47"/>
      <c r="F4" s="47"/>
    </row>
    <row r="5" spans="1:11" ht="2.1" customHeight="1"/>
    <row r="6" spans="1:11">
      <c r="A6" s="205" t="s">
        <v>417</v>
      </c>
      <c r="B6" s="206" t="s">
        <v>121</v>
      </c>
      <c r="C6" s="206" t="s">
        <v>439</v>
      </c>
      <c r="D6" s="206" t="s">
        <v>440</v>
      </c>
      <c r="E6" s="206" t="s">
        <v>441</v>
      </c>
      <c r="F6" s="206" t="s">
        <v>442</v>
      </c>
      <c r="G6" s="206" t="s">
        <v>443</v>
      </c>
      <c r="H6" s="206" t="s">
        <v>444</v>
      </c>
      <c r="I6" s="206" t="s">
        <v>445</v>
      </c>
      <c r="J6" s="206" t="s">
        <v>446</v>
      </c>
      <c r="K6" s="206" t="s">
        <v>447</v>
      </c>
    </row>
    <row r="7" spans="1:11">
      <c r="A7" s="41" t="s">
        <v>97</v>
      </c>
      <c r="B7" s="50" t="e">
        <f>'Drivers and Inputs'!N5</f>
        <v>#REF!</v>
      </c>
      <c r="C7" s="50" t="e">
        <f>'Drivers and Inputs'!O5</f>
        <v>#REF!</v>
      </c>
      <c r="D7" s="50" t="e">
        <f>'Drivers and Inputs'!P5</f>
        <v>#REF!</v>
      </c>
      <c r="E7" s="50" t="e">
        <f>'Drivers and Inputs'!Q5</f>
        <v>#REF!</v>
      </c>
      <c r="F7" s="50" t="e">
        <f>'Drivers and Inputs'!R5</f>
        <v>#REF!</v>
      </c>
      <c r="G7" s="50" t="e">
        <f>'Drivers and Inputs'!S5</f>
        <v>#REF!</v>
      </c>
      <c r="H7" s="50" t="e">
        <f>'Drivers and Inputs'!T5</f>
        <v>#REF!</v>
      </c>
      <c r="I7" s="50" t="e">
        <f>'Drivers and Inputs'!U5</f>
        <v>#REF!</v>
      </c>
      <c r="J7" s="50" t="e">
        <f>'Drivers and Inputs'!V5</f>
        <v>#REF!</v>
      </c>
      <c r="K7" s="50" t="e">
        <f>'Drivers and Inputs'!W5</f>
        <v>#REF!</v>
      </c>
    </row>
    <row r="8" spans="1:11">
      <c r="A8" s="60" t="s">
        <v>44</v>
      </c>
      <c r="B8" s="78" t="e">
        <f>(B7/#REF!)-1</f>
        <v>#REF!</v>
      </c>
      <c r="C8" s="78" t="e">
        <f t="shared" ref="C8:K8" si="0">(C7/B7)-1</f>
        <v>#REF!</v>
      </c>
      <c r="D8" s="78" t="e">
        <f t="shared" si="0"/>
        <v>#REF!</v>
      </c>
      <c r="E8" s="78" t="e">
        <f t="shared" si="0"/>
        <v>#REF!</v>
      </c>
      <c r="F8" s="78" t="e">
        <f t="shared" si="0"/>
        <v>#REF!</v>
      </c>
      <c r="G8" s="78" t="e">
        <f t="shared" si="0"/>
        <v>#REF!</v>
      </c>
      <c r="H8" s="78" t="e">
        <f t="shared" si="0"/>
        <v>#REF!</v>
      </c>
      <c r="I8" s="78" t="e">
        <f t="shared" si="0"/>
        <v>#REF!</v>
      </c>
      <c r="J8" s="78" t="e">
        <f t="shared" si="0"/>
        <v>#REF!</v>
      </c>
      <c r="K8" s="78" t="e">
        <f t="shared" si="0"/>
        <v>#REF!</v>
      </c>
    </row>
    <row r="9" spans="1:11">
      <c r="A9" s="198" t="s">
        <v>94</v>
      </c>
      <c r="B9" s="51">
        <f>'Drivers and Inputs'!B15</f>
        <v>0.17000000000000004</v>
      </c>
      <c r="C9" s="51">
        <f>'Drivers and Inputs'!C15</f>
        <v>0.17000000000000004</v>
      </c>
      <c r="D9" s="51">
        <f>'Drivers and Inputs'!D15</f>
        <v>0.17500000000000004</v>
      </c>
      <c r="E9" s="51">
        <f>'Drivers and Inputs'!E15</f>
        <v>0.17500000000000004</v>
      </c>
      <c r="F9" s="51">
        <f>'Drivers and Inputs'!F15</f>
        <v>0.18999999999999995</v>
      </c>
      <c r="G9" s="51">
        <f>'Drivers and Inputs'!G15</f>
        <v>0.18999999999999995</v>
      </c>
      <c r="H9" s="51">
        <f>'Drivers and Inputs'!H15</f>
        <v>0.18500000000000005</v>
      </c>
      <c r="I9" s="51">
        <f>'Drivers and Inputs'!I15</f>
        <v>0.18500000000000005</v>
      </c>
      <c r="J9" s="51">
        <f>'Drivers and Inputs'!J15</f>
        <v>0.20999999999999996</v>
      </c>
      <c r="K9" s="51">
        <f>'Drivers and Inputs'!K15</f>
        <v>0.20999999999999996</v>
      </c>
    </row>
    <row r="10" spans="1:11">
      <c r="A10" s="41" t="s">
        <v>98</v>
      </c>
      <c r="B10" s="50" t="e">
        <f>B7*B9</f>
        <v>#REF!</v>
      </c>
      <c r="C10" s="50" t="e">
        <f>C7*C9</f>
        <v>#REF!</v>
      </c>
      <c r="D10" s="50" t="e">
        <f t="shared" ref="D10:K10" si="1">D7*D9</f>
        <v>#REF!</v>
      </c>
      <c r="E10" s="50" t="e">
        <f t="shared" si="1"/>
        <v>#REF!</v>
      </c>
      <c r="F10" s="50" t="e">
        <f t="shared" si="1"/>
        <v>#REF!</v>
      </c>
      <c r="G10" s="50" t="e">
        <f t="shared" si="1"/>
        <v>#REF!</v>
      </c>
      <c r="H10" s="50" t="e">
        <f t="shared" si="1"/>
        <v>#REF!</v>
      </c>
      <c r="I10" s="50" t="e">
        <f t="shared" si="1"/>
        <v>#REF!</v>
      </c>
      <c r="J10" s="50" t="e">
        <f t="shared" si="1"/>
        <v>#REF!</v>
      </c>
      <c r="K10" s="50" t="e">
        <f t="shared" si="1"/>
        <v>#REF!</v>
      </c>
    </row>
    <row r="11" spans="1:11">
      <c r="A11" s="41" t="s">
        <v>421</v>
      </c>
      <c r="B11" s="48">
        <f>'Drivers and Inputs'!B16</f>
        <v>0.24</v>
      </c>
      <c r="C11" s="48">
        <f>'Drivers and Inputs'!C16</f>
        <v>0.24</v>
      </c>
      <c r="D11" s="48">
        <f>'Drivers and Inputs'!D16</f>
        <v>0.24</v>
      </c>
      <c r="E11" s="48">
        <f>'Drivers and Inputs'!E16</f>
        <v>0.24</v>
      </c>
      <c r="F11" s="48">
        <f>'Drivers and Inputs'!F16</f>
        <v>0.24</v>
      </c>
      <c r="G11" s="48">
        <f>'Drivers and Inputs'!G16</f>
        <v>0.24</v>
      </c>
      <c r="H11" s="48">
        <f>'Drivers and Inputs'!H16</f>
        <v>0.24</v>
      </c>
      <c r="I11" s="48">
        <f>'Drivers and Inputs'!I16</f>
        <v>0.24</v>
      </c>
      <c r="J11" s="48">
        <f>'Drivers and Inputs'!J16</f>
        <v>0.24</v>
      </c>
      <c r="K11" s="48">
        <f>'Drivers and Inputs'!K16</f>
        <v>0.24</v>
      </c>
    </row>
    <row r="12" spans="1:11">
      <c r="A12" s="41" t="s">
        <v>422</v>
      </c>
      <c r="B12" s="50" t="e">
        <f>B10*B11</f>
        <v>#REF!</v>
      </c>
      <c r="C12" s="50" t="e">
        <f t="shared" ref="C12:K12" si="2">C10*C11</f>
        <v>#REF!</v>
      </c>
      <c r="D12" s="50" t="e">
        <f t="shared" si="2"/>
        <v>#REF!</v>
      </c>
      <c r="E12" s="50" t="e">
        <f t="shared" si="2"/>
        <v>#REF!</v>
      </c>
      <c r="F12" s="50" t="e">
        <f t="shared" si="2"/>
        <v>#REF!</v>
      </c>
      <c r="G12" s="50" t="e">
        <f t="shared" si="2"/>
        <v>#REF!</v>
      </c>
      <c r="H12" s="50" t="e">
        <f t="shared" si="2"/>
        <v>#REF!</v>
      </c>
      <c r="I12" s="50" t="e">
        <f t="shared" si="2"/>
        <v>#REF!</v>
      </c>
      <c r="J12" s="50" t="e">
        <f t="shared" si="2"/>
        <v>#REF!</v>
      </c>
      <c r="K12" s="50" t="e">
        <f t="shared" si="2"/>
        <v>#REF!</v>
      </c>
    </row>
    <row r="13" spans="1:11">
      <c r="A13" s="41" t="s">
        <v>423</v>
      </c>
      <c r="B13" s="50">
        <v>0</v>
      </c>
      <c r="C13" s="50">
        <v>0</v>
      </c>
      <c r="D13" s="50">
        <v>0</v>
      </c>
      <c r="E13" s="50">
        <v>0</v>
      </c>
      <c r="F13" s="50">
        <v>0</v>
      </c>
      <c r="G13" s="50">
        <v>0</v>
      </c>
      <c r="H13" s="50">
        <v>0</v>
      </c>
      <c r="I13" s="50">
        <v>0</v>
      </c>
      <c r="J13" s="50">
        <v>0</v>
      </c>
      <c r="K13" s="50">
        <v>0</v>
      </c>
    </row>
    <row r="14" spans="1:11">
      <c r="A14" s="41" t="s">
        <v>425</v>
      </c>
      <c r="B14" s="52" t="e">
        <f>B10*(1-B11)</f>
        <v>#REF!</v>
      </c>
      <c r="C14" s="52" t="e">
        <f t="shared" ref="C14:K14" si="3">C10*(1-C11)</f>
        <v>#REF!</v>
      </c>
      <c r="D14" s="52" t="e">
        <f t="shared" si="3"/>
        <v>#REF!</v>
      </c>
      <c r="E14" s="52" t="e">
        <f t="shared" si="3"/>
        <v>#REF!</v>
      </c>
      <c r="F14" s="52" t="e">
        <f t="shared" si="3"/>
        <v>#REF!</v>
      </c>
      <c r="G14" s="52" t="e">
        <f t="shared" si="3"/>
        <v>#REF!</v>
      </c>
      <c r="H14" s="52" t="e">
        <f t="shared" si="3"/>
        <v>#REF!</v>
      </c>
      <c r="I14" s="52" t="e">
        <f t="shared" si="3"/>
        <v>#REF!</v>
      </c>
      <c r="J14" s="52" t="e">
        <f t="shared" si="3"/>
        <v>#REF!</v>
      </c>
      <c r="K14" s="52" t="e">
        <f t="shared" si="3"/>
        <v>#REF!</v>
      </c>
    </row>
    <row r="15" spans="1:11">
      <c r="A15" s="60" t="s">
        <v>44</v>
      </c>
      <c r="B15" s="207" t="e">
        <f>(B14/'Past FCF'!G16)-1</f>
        <v>#REF!</v>
      </c>
      <c r="C15" s="207" t="e">
        <f t="shared" ref="C15:K15" si="4">(C14/B14)-1</f>
        <v>#REF!</v>
      </c>
      <c r="D15" s="207" t="e">
        <f t="shared" si="4"/>
        <v>#REF!</v>
      </c>
      <c r="E15" s="207" t="e">
        <f t="shared" si="4"/>
        <v>#REF!</v>
      </c>
      <c r="F15" s="207" t="e">
        <f t="shared" si="4"/>
        <v>#REF!</v>
      </c>
      <c r="G15" s="207" t="e">
        <f t="shared" si="4"/>
        <v>#REF!</v>
      </c>
      <c r="H15" s="207" t="e">
        <f t="shared" si="4"/>
        <v>#REF!</v>
      </c>
      <c r="I15" s="207" t="e">
        <f t="shared" si="4"/>
        <v>#REF!</v>
      </c>
      <c r="J15" s="207" t="e">
        <f t="shared" si="4"/>
        <v>#REF!</v>
      </c>
      <c r="K15" s="207" t="e">
        <f t="shared" si="4"/>
        <v>#REF!</v>
      </c>
    </row>
    <row r="16" spans="1:11">
      <c r="A16" s="40" t="s">
        <v>489</v>
      </c>
      <c r="B16" s="208"/>
      <c r="C16" s="208"/>
      <c r="D16" s="208"/>
      <c r="E16" s="208"/>
      <c r="F16" s="208"/>
      <c r="G16" s="208"/>
      <c r="H16" s="208"/>
      <c r="I16" s="209"/>
      <c r="J16" s="209"/>
      <c r="K16" s="209"/>
    </row>
    <row r="17" spans="1:13">
      <c r="A17" s="198" t="s">
        <v>101</v>
      </c>
      <c r="B17" s="48">
        <f>'Drivers and Inputs'!B13</f>
        <v>1.7</v>
      </c>
      <c r="C17" s="48">
        <f>'Drivers and Inputs'!C13</f>
        <v>1.7</v>
      </c>
      <c r="D17" s="48">
        <f>'Drivers and Inputs'!D13</f>
        <v>1.67</v>
      </c>
      <c r="E17" s="48">
        <f>'Drivers and Inputs'!E13</f>
        <v>1.65</v>
      </c>
      <c r="F17" s="48">
        <f>'Drivers and Inputs'!F13</f>
        <v>1.63</v>
      </c>
      <c r="G17" s="48">
        <f>'Drivers and Inputs'!G13</f>
        <v>1.6</v>
      </c>
      <c r="H17" s="48">
        <f>'Drivers and Inputs'!H13</f>
        <v>1.57</v>
      </c>
      <c r="I17" s="48">
        <f>'Drivers and Inputs'!I13</f>
        <v>1.55</v>
      </c>
      <c r="J17" s="48">
        <f>'Drivers and Inputs'!J13</f>
        <v>1.53</v>
      </c>
      <c r="K17" s="48">
        <f>'Drivers and Inputs'!K13</f>
        <v>1.5</v>
      </c>
    </row>
    <row r="18" spans="1:13">
      <c r="A18" s="41" t="s">
        <v>428</v>
      </c>
      <c r="B18" s="51" t="e">
        <f>B14/'Drivers and Inputs'!G43</f>
        <v>#REF!</v>
      </c>
      <c r="C18" s="51" t="e">
        <f t="shared" ref="C18:K18" si="5">C14/B21</f>
        <v>#REF!</v>
      </c>
      <c r="D18" s="51" t="e">
        <f t="shared" si="5"/>
        <v>#REF!</v>
      </c>
      <c r="E18" s="51" t="e">
        <f t="shared" si="5"/>
        <v>#REF!</v>
      </c>
      <c r="F18" s="51" t="e">
        <f t="shared" si="5"/>
        <v>#REF!</v>
      </c>
      <c r="G18" s="51" t="e">
        <f t="shared" si="5"/>
        <v>#REF!</v>
      </c>
      <c r="H18" s="51" t="e">
        <f t="shared" si="5"/>
        <v>#REF!</v>
      </c>
      <c r="I18" s="51" t="e">
        <f t="shared" si="5"/>
        <v>#REF!</v>
      </c>
      <c r="J18" s="51" t="e">
        <f t="shared" si="5"/>
        <v>#REF!</v>
      </c>
      <c r="K18" s="51" t="e">
        <f t="shared" si="5"/>
        <v>#REF!</v>
      </c>
    </row>
    <row r="19" spans="1:13">
      <c r="A19" s="41" t="s">
        <v>429</v>
      </c>
      <c r="B19" s="51" t="e">
        <f>(B21-'Drivers and Inputs'!G43)/'Forecast FCF'!B14</f>
        <v>#REF!</v>
      </c>
      <c r="C19" s="51" t="e">
        <f t="shared" ref="C19:K19" si="6">(C21-B21)/C14</f>
        <v>#REF!</v>
      </c>
      <c r="D19" s="51" t="e">
        <f t="shared" si="6"/>
        <v>#REF!</v>
      </c>
      <c r="E19" s="51" t="e">
        <f t="shared" si="6"/>
        <v>#REF!</v>
      </c>
      <c r="F19" s="51" t="e">
        <f t="shared" si="6"/>
        <v>#REF!</v>
      </c>
      <c r="G19" s="51" t="e">
        <f t="shared" si="6"/>
        <v>#REF!</v>
      </c>
      <c r="H19" s="51" t="e">
        <f t="shared" si="6"/>
        <v>#REF!</v>
      </c>
      <c r="I19" s="51" t="e">
        <f t="shared" si="6"/>
        <v>#REF!</v>
      </c>
      <c r="J19" s="51" t="e">
        <f t="shared" si="6"/>
        <v>#REF!</v>
      </c>
      <c r="K19" s="51" t="e">
        <f t="shared" si="6"/>
        <v>#REF!</v>
      </c>
    </row>
    <row r="20" spans="1:13">
      <c r="A20" s="198" t="s">
        <v>427</v>
      </c>
      <c r="B20" s="48">
        <f>'Drivers and Inputs'!B8</f>
        <v>0.17</v>
      </c>
      <c r="C20" s="48">
        <f>'Drivers and Inputs'!C8</f>
        <v>0.16</v>
      </c>
      <c r="D20" s="48">
        <f>'Drivers and Inputs'!D8</f>
        <v>0.15</v>
      </c>
      <c r="E20" s="48">
        <f>'Drivers and Inputs'!E8</f>
        <v>0.14000000000000001</v>
      </c>
      <c r="F20" s="48">
        <f>'Drivers and Inputs'!F8</f>
        <v>0.13</v>
      </c>
      <c r="G20" s="48">
        <f>'Drivers and Inputs'!G8</f>
        <v>0.12</v>
      </c>
      <c r="H20" s="48">
        <f>'Drivers and Inputs'!H8</f>
        <v>0.11</v>
      </c>
      <c r="I20" s="48">
        <f>'Drivers and Inputs'!I8</f>
        <v>0.1</v>
      </c>
      <c r="J20" s="48">
        <f>'Drivers and Inputs'!J8</f>
        <v>0.1</v>
      </c>
      <c r="K20" s="48">
        <f>'Drivers and Inputs'!K8</f>
        <v>0.1</v>
      </c>
    </row>
    <row r="21" spans="1:13">
      <c r="A21" s="41" t="s">
        <v>100</v>
      </c>
      <c r="B21" s="49" t="e">
        <f>'Past FCF'!G19*(1+'Forecast FCF'!B20)</f>
        <v>#REF!</v>
      </c>
      <c r="C21" s="49" t="e">
        <f>B21*(1+C20)</f>
        <v>#REF!</v>
      </c>
      <c r="D21" s="49" t="e">
        <f t="shared" ref="D21:K21" si="7">C21*(1+D20)</f>
        <v>#REF!</v>
      </c>
      <c r="E21" s="49" t="e">
        <f t="shared" si="7"/>
        <v>#REF!</v>
      </c>
      <c r="F21" s="49" t="e">
        <f t="shared" si="7"/>
        <v>#REF!</v>
      </c>
      <c r="G21" s="49" t="e">
        <f t="shared" si="7"/>
        <v>#REF!</v>
      </c>
      <c r="H21" s="49" t="e">
        <f t="shared" si="7"/>
        <v>#REF!</v>
      </c>
      <c r="I21" s="49" t="e">
        <f t="shared" si="7"/>
        <v>#REF!</v>
      </c>
      <c r="J21" s="49" t="e">
        <f t="shared" si="7"/>
        <v>#REF!</v>
      </c>
      <c r="K21" s="49" t="e">
        <f t="shared" si="7"/>
        <v>#REF!</v>
      </c>
    </row>
    <row r="22" spans="1:13">
      <c r="A22" s="41" t="s">
        <v>430</v>
      </c>
      <c r="B22" s="49" t="e">
        <f>(B14*(1-B19))</f>
        <v>#REF!</v>
      </c>
      <c r="C22" s="49" t="e">
        <f t="shared" ref="C22:K22" si="8">(C14*(1-C19))</f>
        <v>#REF!</v>
      </c>
      <c r="D22" s="49" t="e">
        <f t="shared" si="8"/>
        <v>#REF!</v>
      </c>
      <c r="E22" s="49" t="e">
        <f t="shared" si="8"/>
        <v>#REF!</v>
      </c>
      <c r="F22" s="49" t="e">
        <f t="shared" si="8"/>
        <v>#REF!</v>
      </c>
      <c r="G22" s="49" t="e">
        <f t="shared" si="8"/>
        <v>#REF!</v>
      </c>
      <c r="H22" s="49" t="e">
        <f t="shared" si="8"/>
        <v>#REF!</v>
      </c>
      <c r="I22" s="49" t="e">
        <f t="shared" si="8"/>
        <v>#REF!</v>
      </c>
      <c r="J22" s="49" t="e">
        <f t="shared" si="8"/>
        <v>#REF!</v>
      </c>
      <c r="K22" s="49" t="e">
        <f t="shared" si="8"/>
        <v>#REF!</v>
      </c>
    </row>
    <row r="23" spans="1:13">
      <c r="A23" s="40" t="s">
        <v>431</v>
      </c>
      <c r="B23" s="208"/>
      <c r="C23" s="208"/>
      <c r="D23" s="208"/>
      <c r="E23" s="208"/>
      <c r="F23" s="208"/>
      <c r="G23" s="208"/>
      <c r="H23" s="208"/>
      <c r="I23" s="209"/>
      <c r="J23" s="209"/>
      <c r="K23" s="209"/>
    </row>
    <row r="24" spans="1:13">
      <c r="A24" s="41" t="s">
        <v>490</v>
      </c>
      <c r="B24" s="93" t="e">
        <f>'Drivers and Inputs'!N67</f>
        <v>#REF!</v>
      </c>
      <c r="C24" s="93">
        <v>0</v>
      </c>
      <c r="D24" s="93">
        <v>0</v>
      </c>
      <c r="E24" s="93">
        <v>0</v>
      </c>
      <c r="F24" s="93">
        <v>0</v>
      </c>
      <c r="G24" s="93">
        <v>0</v>
      </c>
      <c r="H24" s="93">
        <v>0</v>
      </c>
      <c r="I24" s="93">
        <v>0</v>
      </c>
      <c r="J24" s="93">
        <v>0</v>
      </c>
      <c r="K24" s="93">
        <v>0</v>
      </c>
    </row>
    <row r="25" spans="1:13">
      <c r="A25" s="41" t="s">
        <v>434</v>
      </c>
      <c r="B25" s="93" t="e">
        <f>'Drivers and Inputs'!N64</f>
        <v>#REF!</v>
      </c>
      <c r="C25" s="93" t="e">
        <f>'Drivers and Inputs'!O64</f>
        <v>#REF!</v>
      </c>
      <c r="D25" s="93" t="e">
        <f>'Drivers and Inputs'!P64</f>
        <v>#REF!</v>
      </c>
      <c r="E25" s="93" t="e">
        <f>'Drivers and Inputs'!Q64</f>
        <v>#REF!</v>
      </c>
      <c r="F25" s="93" t="e">
        <f>'Drivers and Inputs'!R64</f>
        <v>#REF!</v>
      </c>
      <c r="G25" s="93" t="e">
        <f>'Drivers and Inputs'!S64</f>
        <v>#REF!</v>
      </c>
      <c r="H25" s="93" t="e">
        <f>'Drivers and Inputs'!T64</f>
        <v>#REF!</v>
      </c>
      <c r="I25" s="93" t="e">
        <f>'Drivers and Inputs'!U64</f>
        <v>#REF!</v>
      </c>
      <c r="J25" s="93" t="e">
        <f>'Drivers and Inputs'!V64</f>
        <v>#REF!</v>
      </c>
      <c r="K25" s="93" t="e">
        <f>'Drivers and Inputs'!W64</f>
        <v>#REF!</v>
      </c>
    </row>
    <row r="26" spans="1:13" ht="15.75" thickBot="1">
      <c r="A26" s="41" t="s">
        <v>435</v>
      </c>
      <c r="B26" s="104" t="e">
        <f>B22-B24-B25</f>
        <v>#REF!</v>
      </c>
      <c r="C26" s="104" t="e">
        <f t="shared" ref="C26:K26" si="9">C22-C24-C25</f>
        <v>#REF!</v>
      </c>
      <c r="D26" s="104" t="e">
        <f t="shared" si="9"/>
        <v>#REF!</v>
      </c>
      <c r="E26" s="104" t="e">
        <f t="shared" si="9"/>
        <v>#REF!</v>
      </c>
      <c r="F26" s="104" t="e">
        <f t="shared" si="9"/>
        <v>#REF!</v>
      </c>
      <c r="G26" s="104" t="e">
        <f t="shared" si="9"/>
        <v>#REF!</v>
      </c>
      <c r="H26" s="104" t="e">
        <f t="shared" si="9"/>
        <v>#REF!</v>
      </c>
      <c r="I26" s="104" t="e">
        <f t="shared" si="9"/>
        <v>#REF!</v>
      </c>
      <c r="J26" s="104" t="e">
        <f t="shared" si="9"/>
        <v>#REF!</v>
      </c>
      <c r="K26" s="104" t="e">
        <f t="shared" si="9"/>
        <v>#REF!</v>
      </c>
      <c r="L26" s="48"/>
    </row>
    <row r="27" spans="1:13" ht="15.75" thickTop="1">
      <c r="A27" s="60" t="s">
        <v>44</v>
      </c>
      <c r="B27" s="78" t="e">
        <f>(B26-'Drivers and Inputs'!G87)/'Drivers and Inputs'!G87</f>
        <v>#REF!</v>
      </c>
      <c r="C27" s="78" t="e">
        <f>(C26-B26)/B26</f>
        <v>#REF!</v>
      </c>
      <c r="D27" s="78" t="e">
        <f t="shared" ref="D27:K27" si="10">(D26-C26)/C26</f>
        <v>#REF!</v>
      </c>
      <c r="E27" s="78" t="e">
        <f t="shared" si="10"/>
        <v>#REF!</v>
      </c>
      <c r="F27" s="78" t="e">
        <f t="shared" si="10"/>
        <v>#REF!</v>
      </c>
      <c r="G27" s="78" t="e">
        <f t="shared" si="10"/>
        <v>#REF!</v>
      </c>
      <c r="H27" s="78" t="e">
        <f t="shared" si="10"/>
        <v>#REF!</v>
      </c>
      <c r="I27" s="78" t="e">
        <f t="shared" si="10"/>
        <v>#REF!</v>
      </c>
      <c r="J27" s="78" t="e">
        <f t="shared" si="10"/>
        <v>#REF!</v>
      </c>
      <c r="K27" s="78" t="e">
        <f t="shared" si="10"/>
        <v>#REF!</v>
      </c>
      <c r="L27" s="48"/>
    </row>
    <row r="28" spans="1:13">
      <c r="A28" s="48"/>
      <c r="B28" s="48"/>
      <c r="C28" s="48"/>
      <c r="D28" s="48"/>
      <c r="E28" s="48"/>
      <c r="F28" s="48"/>
      <c r="G28" s="48"/>
      <c r="H28" s="48"/>
      <c r="I28" s="48"/>
      <c r="J28" s="48"/>
      <c r="K28" s="48"/>
      <c r="L28" s="48"/>
    </row>
    <row r="29" spans="1:13">
      <c r="A29" s="48"/>
      <c r="B29" s="48"/>
      <c r="C29" s="48"/>
      <c r="D29" s="48"/>
      <c r="E29" s="48"/>
      <c r="F29" s="48"/>
      <c r="G29" s="48"/>
      <c r="H29" s="48"/>
      <c r="I29" s="48"/>
      <c r="J29" s="48"/>
      <c r="K29" s="48"/>
      <c r="L29" s="48"/>
    </row>
    <row r="30" spans="1:13">
      <c r="A30" s="48"/>
      <c r="B30" s="48"/>
      <c r="C30" s="48"/>
      <c r="D30" s="48"/>
      <c r="E30" s="48"/>
      <c r="F30" s="48"/>
      <c r="G30" s="48"/>
      <c r="H30" s="48"/>
      <c r="I30" s="48"/>
      <c r="J30" s="48"/>
      <c r="K30" s="48"/>
      <c r="L30" s="48"/>
      <c r="M30" s="3"/>
    </row>
    <row r="31" spans="1:13">
      <c r="A31" s="48"/>
      <c r="B31" s="48"/>
      <c r="C31" s="48"/>
      <c r="D31" s="48"/>
      <c r="E31" s="48"/>
      <c r="F31" s="48"/>
      <c r="G31" s="48"/>
      <c r="H31" s="48"/>
      <c r="I31" s="48"/>
      <c r="J31" s="48"/>
      <c r="K31" s="48"/>
      <c r="L31" s="48"/>
    </row>
    <row r="32" spans="1:13">
      <c r="A32" s="48"/>
      <c r="B32" s="48"/>
      <c r="C32" s="48"/>
      <c r="D32" s="48"/>
      <c r="E32" s="48"/>
      <c r="F32" s="48"/>
      <c r="G32" s="48"/>
      <c r="H32" s="48"/>
      <c r="I32" s="48"/>
      <c r="J32" s="48"/>
      <c r="K32" s="48"/>
      <c r="L32" s="48"/>
    </row>
    <row r="33" spans="1:13">
      <c r="A33" s="48"/>
      <c r="B33" s="48"/>
      <c r="C33" s="48"/>
      <c r="D33" s="48"/>
      <c r="E33" s="48"/>
      <c r="F33" s="48"/>
      <c r="G33" s="48"/>
      <c r="H33" s="48"/>
      <c r="I33" s="48"/>
      <c r="J33" s="48"/>
      <c r="K33" s="48"/>
      <c r="L33" s="48"/>
    </row>
    <row r="34" spans="1:13">
      <c r="A34" s="48"/>
      <c r="B34" s="48"/>
      <c r="C34" s="48"/>
      <c r="D34" s="48"/>
      <c r="E34" s="48"/>
      <c r="F34" s="48"/>
      <c r="G34" s="48"/>
      <c r="H34" s="48"/>
      <c r="I34" s="48"/>
      <c r="J34" s="48"/>
      <c r="K34" s="48"/>
      <c r="L34" s="48"/>
    </row>
    <row r="35" spans="1:13">
      <c r="A35" s="48"/>
      <c r="B35" s="48"/>
      <c r="C35" s="48"/>
      <c r="D35" s="48"/>
      <c r="E35" s="48"/>
      <c r="F35" s="48"/>
      <c r="G35" s="48"/>
      <c r="H35" s="48"/>
      <c r="I35" s="48"/>
      <c r="J35" s="48"/>
      <c r="K35" s="48"/>
      <c r="L35" s="48"/>
    </row>
    <row r="36" spans="1:13">
      <c r="A36" s="48"/>
      <c r="B36" s="48"/>
      <c r="C36" s="48"/>
      <c r="D36" s="48"/>
      <c r="E36" s="48"/>
      <c r="F36" s="48"/>
      <c r="G36" s="48"/>
      <c r="H36" s="48"/>
      <c r="I36" s="48"/>
      <c r="J36" s="48"/>
      <c r="K36" s="48"/>
      <c r="L36" s="48"/>
    </row>
    <row r="37" spans="1:13">
      <c r="A37" s="48"/>
      <c r="B37" s="48"/>
      <c r="C37" s="48"/>
      <c r="D37" s="48"/>
      <c r="E37" s="48"/>
      <c r="F37" s="48"/>
      <c r="G37" s="48"/>
      <c r="H37" s="48"/>
      <c r="I37" s="48"/>
      <c r="J37" s="48"/>
      <c r="K37" s="48"/>
      <c r="L37" s="48"/>
    </row>
    <row r="38" spans="1:13">
      <c r="A38" s="41"/>
      <c r="B38" s="63"/>
      <c r="C38" s="63"/>
      <c r="D38" s="63"/>
      <c r="E38" s="63"/>
      <c r="F38" s="63"/>
      <c r="G38" s="63"/>
      <c r="H38" s="63"/>
      <c r="I38" s="63"/>
      <c r="J38" s="63"/>
      <c r="K38" s="63"/>
    </row>
    <row r="39" spans="1:13">
      <c r="A39" s="54"/>
      <c r="B39" s="3"/>
      <c r="C39" s="3"/>
      <c r="D39" s="3"/>
      <c r="E39" s="3"/>
      <c r="F39" s="3"/>
      <c r="G39" s="3"/>
      <c r="H39" s="3"/>
      <c r="I39" s="3"/>
      <c r="J39" s="3"/>
      <c r="K39" s="3"/>
      <c r="M39" s="3"/>
    </row>
    <row r="40" spans="1:13">
      <c r="A40" s="41"/>
      <c r="B40" s="48"/>
      <c r="C40" s="48"/>
      <c r="D40" s="48"/>
      <c r="E40" s="48"/>
      <c r="F40" s="48"/>
      <c r="G40" s="48"/>
      <c r="H40" s="48"/>
      <c r="I40" s="48"/>
      <c r="J40" s="48"/>
      <c r="K40" s="48"/>
    </row>
    <row r="41" spans="1:13">
      <c r="A41" s="41"/>
      <c r="B41" s="53"/>
      <c r="C41" s="53"/>
      <c r="D41" s="53"/>
      <c r="E41" s="53"/>
      <c r="F41" s="53"/>
      <c r="G41" s="53"/>
      <c r="H41" s="53"/>
      <c r="I41" s="53"/>
      <c r="J41" s="53"/>
      <c r="K41" s="53"/>
    </row>
    <row r="42" spans="1:13">
      <c r="A42" s="41"/>
      <c r="B42" s="53"/>
      <c r="C42" s="53"/>
      <c r="D42" s="53"/>
      <c r="E42" s="53"/>
      <c r="F42" s="53"/>
      <c r="G42" s="53"/>
      <c r="H42" s="53"/>
      <c r="I42" s="53"/>
      <c r="J42" s="53"/>
      <c r="K42" s="53"/>
      <c r="M42" s="3"/>
    </row>
    <row r="43" spans="1:13">
      <c r="A43" s="41"/>
      <c r="B43" s="48"/>
      <c r="C43" s="48"/>
      <c r="D43" s="48"/>
      <c r="E43" s="48"/>
      <c r="F43" s="48"/>
      <c r="G43" s="48"/>
      <c r="H43" s="48"/>
      <c r="I43" s="48"/>
      <c r="J43" s="48"/>
      <c r="K43" s="48"/>
    </row>
    <row r="46" spans="1:13">
      <c r="M46" s="3"/>
    </row>
    <row r="56" spans="14:14">
      <c r="N56" s="65"/>
    </row>
    <row r="57" spans="14:14">
      <c r="N57" s="3"/>
    </row>
    <row r="58" spans="14:14">
      <c r="N58" s="3"/>
    </row>
    <row r="59" spans="14:14">
      <c r="N59" s="3"/>
    </row>
    <row r="61" spans="14:14">
      <c r="N61" s="3"/>
    </row>
    <row r="62" spans="14:14">
      <c r="N62" s="3"/>
    </row>
    <row r="63" spans="14:14">
      <c r="N63" s="3"/>
    </row>
    <row r="64" spans="14:14">
      <c r="N64" s="2"/>
    </row>
    <row r="65" spans="14:14">
      <c r="N65" s="3"/>
    </row>
    <row r="66" spans="14:14">
      <c r="N66" s="3"/>
    </row>
    <row r="101" spans="1:11">
      <c r="A101" s="41"/>
      <c r="B101" s="42"/>
      <c r="C101" s="42"/>
      <c r="D101" s="42"/>
      <c r="E101" s="42"/>
      <c r="F101" s="42"/>
      <c r="G101" s="42"/>
      <c r="H101" s="42"/>
      <c r="I101" s="42"/>
      <c r="J101" s="42"/>
      <c r="K101" s="42"/>
    </row>
    <row r="102" spans="1:11">
      <c r="A102" s="41"/>
      <c r="B102" s="42"/>
      <c r="C102" s="42"/>
      <c r="D102" s="42"/>
      <c r="E102" s="42"/>
      <c r="F102" s="42"/>
      <c r="G102" s="42"/>
      <c r="H102" s="42"/>
      <c r="I102" s="42"/>
      <c r="J102" s="42"/>
      <c r="K102" s="42"/>
    </row>
  </sheetData>
  <mergeCells count="1">
    <mergeCell ref="A1:K2"/>
  </mergeCells>
  <phoneticPr fontId="2" type="noConversion"/>
  <pageMargins left="0.25" right="0.25" top="0.75" bottom="0.75" header="0.3" footer="0.3"/>
  <pageSetup paperSize="3" orientation="landscape"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EB3E4-A6BB-41F8-9AF4-624C4C597272}">
  <sheetPr codeName="Sheet10"/>
  <dimension ref="A1:Z35"/>
  <sheetViews>
    <sheetView showGridLines="0" zoomScaleNormal="100" workbookViewId="0">
      <selection activeCell="K29" sqref="K29"/>
    </sheetView>
  </sheetViews>
  <sheetFormatPr defaultRowHeight="15"/>
  <cols>
    <col min="1" max="1" width="35.7109375" customWidth="1"/>
    <col min="2" max="13" width="13.7109375" customWidth="1"/>
    <col min="14" max="14" width="35.7109375" customWidth="1"/>
    <col min="15" max="29" width="13.7109375" customWidth="1"/>
  </cols>
  <sheetData>
    <row r="1" spans="1:26" ht="15" customHeight="1">
      <c r="A1" s="280" t="s">
        <v>491</v>
      </c>
      <c r="B1" s="281"/>
      <c r="C1" s="281"/>
      <c r="D1" s="281"/>
      <c r="E1" s="281"/>
      <c r="F1" s="281"/>
      <c r="G1" s="281"/>
      <c r="H1" s="281"/>
      <c r="I1" s="281"/>
      <c r="J1" s="281"/>
      <c r="K1" s="281"/>
      <c r="L1" s="281"/>
      <c r="M1" s="314"/>
      <c r="N1" s="280" t="s">
        <v>492</v>
      </c>
      <c r="O1" s="281"/>
      <c r="P1" s="281"/>
      <c r="Q1" s="281"/>
      <c r="R1" s="281"/>
      <c r="S1" s="281"/>
      <c r="T1" s="281"/>
      <c r="U1" s="281"/>
      <c r="V1" s="281"/>
      <c r="W1" s="281"/>
      <c r="X1" s="281"/>
      <c r="Y1" s="281"/>
      <c r="Z1" s="281"/>
    </row>
    <row r="2" spans="1:26" ht="15" customHeight="1">
      <c r="A2" s="280"/>
      <c r="B2" s="281"/>
      <c r="C2" s="281"/>
      <c r="D2" s="281"/>
      <c r="E2" s="281"/>
      <c r="F2" s="281"/>
      <c r="G2" s="281"/>
      <c r="H2" s="281"/>
      <c r="I2" s="281"/>
      <c r="J2" s="281"/>
      <c r="K2" s="281"/>
      <c r="L2" s="281"/>
      <c r="M2" s="314"/>
      <c r="N2" s="280"/>
      <c r="O2" s="281"/>
      <c r="P2" s="281"/>
      <c r="Q2" s="281"/>
      <c r="R2" s="281"/>
      <c r="S2" s="281"/>
      <c r="T2" s="281"/>
      <c r="U2" s="281"/>
      <c r="V2" s="281"/>
      <c r="W2" s="281"/>
      <c r="X2" s="281"/>
      <c r="Y2" s="281"/>
      <c r="Z2" s="281"/>
    </row>
    <row r="4" spans="1:26">
      <c r="A4" s="304" t="s">
        <v>493</v>
      </c>
      <c r="B4" s="304"/>
      <c r="C4" s="304"/>
      <c r="D4" s="304"/>
      <c r="N4" s="304" t="s">
        <v>493</v>
      </c>
      <c r="O4" s="304"/>
      <c r="P4" s="304"/>
      <c r="Q4" s="304"/>
    </row>
    <row r="5" spans="1:26" ht="2.1" customHeight="1"/>
    <row r="6" spans="1:26">
      <c r="A6" s="315" t="s">
        <v>494</v>
      </c>
      <c r="B6" s="316"/>
      <c r="N6" s="315" t="s">
        <v>495</v>
      </c>
      <c r="O6" s="316"/>
    </row>
    <row r="7" spans="1:26">
      <c r="A7" s="143" t="s">
        <v>496</v>
      </c>
      <c r="B7" s="144" t="s">
        <v>28</v>
      </c>
      <c r="N7" s="143" t="s">
        <v>413</v>
      </c>
      <c r="O7" s="144" t="s">
        <v>28</v>
      </c>
    </row>
    <row r="8" spans="1:26">
      <c r="A8" s="24" t="s">
        <v>497</v>
      </c>
      <c r="B8" s="23">
        <v>0.04</v>
      </c>
      <c r="N8" s="24" t="s">
        <v>498</v>
      </c>
      <c r="O8" s="145">
        <f>'Drivers and Inputs'!B22</f>
        <v>1839458.5</v>
      </c>
    </row>
    <row r="9" spans="1:26">
      <c r="A9" s="24" t="s">
        <v>499</v>
      </c>
      <c r="B9" s="23">
        <v>0.1</v>
      </c>
      <c r="N9" s="24" t="s">
        <v>500</v>
      </c>
      <c r="O9" s="23">
        <v>0.05</v>
      </c>
    </row>
    <row r="10" spans="1:26">
      <c r="A10" s="24" t="s">
        <v>501</v>
      </c>
      <c r="B10" s="21">
        <v>1</v>
      </c>
      <c r="N10" s="146" t="s">
        <v>502</v>
      </c>
      <c r="O10" s="147">
        <v>0.15</v>
      </c>
    </row>
    <row r="11" spans="1:26">
      <c r="A11" s="24" t="s">
        <v>503</v>
      </c>
      <c r="B11" s="23">
        <v>0.1</v>
      </c>
      <c r="O11" s="3"/>
    </row>
    <row r="12" spans="1:26">
      <c r="A12" s="26" t="s">
        <v>504</v>
      </c>
      <c r="B12" s="28">
        <v>0.03</v>
      </c>
      <c r="N12" s="40" t="s">
        <v>505</v>
      </c>
      <c r="O12" s="90" t="s">
        <v>121</v>
      </c>
      <c r="P12" s="90" t="s">
        <v>439</v>
      </c>
      <c r="Q12" s="90" t="s">
        <v>440</v>
      </c>
      <c r="R12" s="90" t="s">
        <v>441</v>
      </c>
      <c r="S12" s="90" t="s">
        <v>442</v>
      </c>
      <c r="T12" s="90" t="s">
        <v>443</v>
      </c>
      <c r="U12" s="90" t="s">
        <v>444</v>
      </c>
      <c r="V12" s="90" t="s">
        <v>445</v>
      </c>
      <c r="W12" s="90" t="s">
        <v>446</v>
      </c>
      <c r="X12" s="90" t="s">
        <v>447</v>
      </c>
    </row>
    <row r="13" spans="1:26">
      <c r="N13" s="41" t="s">
        <v>506</v>
      </c>
      <c r="O13" s="42" t="e">
        <f>'Forecast FCF'!B26</f>
        <v>#REF!</v>
      </c>
      <c r="P13" s="42" t="e">
        <f>'Forecast FCF'!C26</f>
        <v>#REF!</v>
      </c>
      <c r="Q13" s="42" t="e">
        <f>'Forecast FCF'!D26</f>
        <v>#REF!</v>
      </c>
      <c r="R13" s="42" t="e">
        <f>'Forecast FCF'!E26</f>
        <v>#REF!</v>
      </c>
      <c r="S13" s="42" t="e">
        <f>'Forecast FCF'!F26</f>
        <v>#REF!</v>
      </c>
      <c r="T13" s="42" t="e">
        <f>'Forecast FCF'!G26</f>
        <v>#REF!</v>
      </c>
      <c r="U13" s="42" t="e">
        <f>'Forecast FCF'!H26</f>
        <v>#REF!</v>
      </c>
      <c r="V13" s="42" t="e">
        <f>'Forecast FCF'!I26</f>
        <v>#REF!</v>
      </c>
      <c r="W13" s="42" t="e">
        <f>'Forecast FCF'!J26</f>
        <v>#REF!</v>
      </c>
      <c r="X13" s="42" t="e">
        <f>'Forecast FCF'!K26</f>
        <v>#REF!</v>
      </c>
    </row>
    <row r="14" spans="1:26">
      <c r="A14" s="40" t="s">
        <v>507</v>
      </c>
      <c r="B14" s="90" t="s">
        <v>121</v>
      </c>
      <c r="C14" s="90" t="s">
        <v>439</v>
      </c>
      <c r="D14" s="90" t="s">
        <v>440</v>
      </c>
      <c r="E14" s="90" t="s">
        <v>441</v>
      </c>
      <c r="F14" s="90" t="s">
        <v>442</v>
      </c>
      <c r="G14" s="90" t="s">
        <v>443</v>
      </c>
      <c r="H14" s="90" t="s">
        <v>444</v>
      </c>
      <c r="I14" s="90" t="s">
        <v>445</v>
      </c>
      <c r="J14" s="90" t="s">
        <v>446</v>
      </c>
      <c r="K14" s="90" t="s">
        <v>447</v>
      </c>
      <c r="L14" s="90" t="s">
        <v>508</v>
      </c>
      <c r="N14" s="41" t="s">
        <v>509</v>
      </c>
      <c r="O14" s="131" t="e">
        <f>(O13-'Past FCF'!G28)/'Past FCF'!G28</f>
        <v>#REF!</v>
      </c>
      <c r="P14" s="131" t="e">
        <f>(P13-O13)/O13</f>
        <v>#REF!</v>
      </c>
      <c r="Q14" s="131" t="e">
        <f>(Q13-P13)/P13</f>
        <v>#REF!</v>
      </c>
      <c r="R14" s="131" t="e">
        <f t="shared" ref="R14:W14" si="0">(R13-Q13)/Q13</f>
        <v>#REF!</v>
      </c>
      <c r="S14" s="131" t="e">
        <f t="shared" si="0"/>
        <v>#REF!</v>
      </c>
      <c r="T14" s="131" t="e">
        <f>(T13-S13)/S13</f>
        <v>#REF!</v>
      </c>
      <c r="U14" s="131" t="e">
        <f t="shared" si="0"/>
        <v>#REF!</v>
      </c>
      <c r="V14" s="131" t="e">
        <f t="shared" si="0"/>
        <v>#REF!</v>
      </c>
      <c r="W14" s="131" t="e">
        <f t="shared" si="0"/>
        <v>#REF!</v>
      </c>
      <c r="X14" s="131" t="e">
        <f>(X13-W13)/W13</f>
        <v>#REF!</v>
      </c>
    </row>
    <row r="15" spans="1:26">
      <c r="A15" t="s">
        <v>435</v>
      </c>
      <c r="B15" s="150" t="e">
        <f>'Forecast FCF'!B26</f>
        <v>#REF!</v>
      </c>
      <c r="C15" s="150" t="e">
        <f>'Forecast FCF'!C26</f>
        <v>#REF!</v>
      </c>
      <c r="D15" s="150" t="e">
        <f>'Forecast FCF'!D26</f>
        <v>#REF!</v>
      </c>
      <c r="E15" s="150" t="e">
        <f>'Forecast FCF'!E26</f>
        <v>#REF!</v>
      </c>
      <c r="F15" s="150" t="e">
        <f>'Forecast FCF'!F26</f>
        <v>#REF!</v>
      </c>
      <c r="G15" s="150" t="e">
        <f>'Forecast FCF'!G26</f>
        <v>#REF!</v>
      </c>
      <c r="H15" s="150" t="e">
        <f>'Forecast FCF'!H26</f>
        <v>#REF!</v>
      </c>
      <c r="I15" s="150" t="e">
        <f>'Forecast FCF'!I26</f>
        <v>#REF!</v>
      </c>
      <c r="J15" s="150" t="e">
        <f>'Forecast FCF'!J26</f>
        <v>#REF!</v>
      </c>
      <c r="K15" s="150" t="e">
        <f>'Forecast FCF'!K26</f>
        <v>#REF!</v>
      </c>
      <c r="L15" s="150" t="e">
        <f>K15+(K15*0.1)</f>
        <v>#REF!</v>
      </c>
      <c r="N15" s="41" t="s">
        <v>510</v>
      </c>
      <c r="O15" s="25" t="e">
        <f>O13/O8</f>
        <v>#REF!</v>
      </c>
      <c r="P15" s="25" t="e">
        <f>P13/O16</f>
        <v>#REF!</v>
      </c>
      <c r="Q15" s="25" t="e">
        <f>Q13/P16</f>
        <v>#REF!</v>
      </c>
      <c r="R15" s="25" t="e">
        <f t="shared" ref="R15:X15" si="1">R13/Q16</f>
        <v>#REF!</v>
      </c>
      <c r="S15" s="25" t="e">
        <f>S13/R16</f>
        <v>#REF!</v>
      </c>
      <c r="T15" s="25" t="e">
        <f t="shared" si="1"/>
        <v>#REF!</v>
      </c>
      <c r="U15" s="25" t="e">
        <f>U13/T16</f>
        <v>#REF!</v>
      </c>
      <c r="V15" s="25" t="e">
        <f t="shared" si="1"/>
        <v>#REF!</v>
      </c>
      <c r="W15" s="25" t="e">
        <f t="shared" si="1"/>
        <v>#REF!</v>
      </c>
      <c r="X15" s="25" t="e">
        <f t="shared" si="1"/>
        <v>#REF!</v>
      </c>
    </row>
    <row r="16" spans="1:26">
      <c r="A16" t="s">
        <v>511</v>
      </c>
      <c r="B16" s="150"/>
      <c r="C16" s="150"/>
      <c r="D16" s="150"/>
      <c r="E16" s="150"/>
      <c r="F16" s="150"/>
      <c r="G16" s="150"/>
      <c r="H16" s="150"/>
      <c r="I16" s="150"/>
      <c r="J16" s="150"/>
      <c r="K16" s="150"/>
      <c r="L16" s="150" t="e">
        <f>L15/(L17-B12)</f>
        <v>#REF!</v>
      </c>
      <c r="N16" s="41" t="s">
        <v>512</v>
      </c>
      <c r="O16" s="42" t="e">
        <f>IF((O13/O9)&lt;O8,O8,O13/O9)</f>
        <v>#REF!</v>
      </c>
      <c r="P16" s="42" t="e">
        <f t="shared" ref="P16:X16" si="2">IF((P13/$O$9)&lt;O16,O16,P13/$O$9)</f>
        <v>#REF!</v>
      </c>
      <c r="Q16" s="42" t="e">
        <f t="shared" si="2"/>
        <v>#REF!</v>
      </c>
      <c r="R16" s="42" t="e">
        <f t="shared" si="2"/>
        <v>#REF!</v>
      </c>
      <c r="S16" s="42" t="e">
        <f t="shared" si="2"/>
        <v>#REF!</v>
      </c>
      <c r="T16" s="42" t="e">
        <f t="shared" si="2"/>
        <v>#REF!</v>
      </c>
      <c r="U16" s="42" t="e">
        <f t="shared" si="2"/>
        <v>#REF!</v>
      </c>
      <c r="V16" s="42" t="e">
        <f t="shared" si="2"/>
        <v>#REF!</v>
      </c>
      <c r="W16" s="42" t="e">
        <f t="shared" si="2"/>
        <v>#REF!</v>
      </c>
      <c r="X16" s="42" t="e">
        <f t="shared" si="2"/>
        <v>#REF!</v>
      </c>
    </row>
    <row r="17" spans="1:24">
      <c r="A17" t="s">
        <v>503</v>
      </c>
      <c r="B17" s="4">
        <f t="shared" ref="B17:L17" si="3">$B$11</f>
        <v>0.1</v>
      </c>
      <c r="C17" s="4">
        <f t="shared" si="3"/>
        <v>0.1</v>
      </c>
      <c r="D17" s="4">
        <f t="shared" si="3"/>
        <v>0.1</v>
      </c>
      <c r="E17" s="4">
        <f t="shared" si="3"/>
        <v>0.1</v>
      </c>
      <c r="F17" s="4">
        <f t="shared" si="3"/>
        <v>0.1</v>
      </c>
      <c r="G17" s="4">
        <f t="shared" si="3"/>
        <v>0.1</v>
      </c>
      <c r="H17" s="4">
        <f t="shared" si="3"/>
        <v>0.1</v>
      </c>
      <c r="I17" s="4">
        <f t="shared" si="3"/>
        <v>0.1</v>
      </c>
      <c r="J17" s="4">
        <f t="shared" si="3"/>
        <v>0.1</v>
      </c>
      <c r="K17" s="4">
        <f t="shared" si="3"/>
        <v>0.1</v>
      </c>
      <c r="L17" s="4">
        <f t="shared" si="3"/>
        <v>0.1</v>
      </c>
      <c r="N17" s="41" t="s">
        <v>513</v>
      </c>
      <c r="O17" s="131" t="e">
        <f>(O16-O8)/O8</f>
        <v>#REF!</v>
      </c>
      <c r="P17" s="131" t="e">
        <f>(P16-O16)/O16</f>
        <v>#REF!</v>
      </c>
      <c r="Q17" s="131" t="e">
        <f>(Q16-P16)/P16</f>
        <v>#REF!</v>
      </c>
      <c r="R17" s="131" t="e">
        <f t="shared" ref="R17:W17" si="4">(R16-Q16)/Q16</f>
        <v>#REF!</v>
      </c>
      <c r="S17" s="131" t="e">
        <f t="shared" si="4"/>
        <v>#REF!</v>
      </c>
      <c r="T17" s="131" t="e">
        <f t="shared" si="4"/>
        <v>#REF!</v>
      </c>
      <c r="U17" s="131" t="e">
        <f t="shared" si="4"/>
        <v>#REF!</v>
      </c>
      <c r="V17" s="131" t="e">
        <f t="shared" si="4"/>
        <v>#REF!</v>
      </c>
      <c r="W17" s="131" t="e">
        <f t="shared" si="4"/>
        <v>#REF!</v>
      </c>
      <c r="X17" s="131" t="e">
        <f>(X16-W16)/W16</f>
        <v>#REF!</v>
      </c>
    </row>
    <row r="18" spans="1:24">
      <c r="A18" t="s">
        <v>514</v>
      </c>
      <c r="B18" s="151">
        <f>1/(1+B17)</f>
        <v>0.90909090909090906</v>
      </c>
      <c r="C18" s="151">
        <f>B18/(1+C17)</f>
        <v>0.82644628099173545</v>
      </c>
      <c r="D18" s="151">
        <f t="shared" ref="D18:K18" si="5">C18/(1+D17)</f>
        <v>0.75131480090157765</v>
      </c>
      <c r="E18" s="151">
        <f t="shared" si="5"/>
        <v>0.68301345536507052</v>
      </c>
      <c r="F18" s="151">
        <f t="shared" si="5"/>
        <v>0.62092132305915493</v>
      </c>
      <c r="G18" s="151">
        <f t="shared" si="5"/>
        <v>0.56447393005377711</v>
      </c>
      <c r="H18" s="151">
        <f t="shared" si="5"/>
        <v>0.51315811823070645</v>
      </c>
      <c r="I18" s="151">
        <f t="shared" si="5"/>
        <v>0.46650738020973309</v>
      </c>
      <c r="J18" s="151">
        <f t="shared" si="5"/>
        <v>0.42409761837248461</v>
      </c>
      <c r="K18" s="151">
        <f t="shared" si="5"/>
        <v>0.38554328942953142</v>
      </c>
      <c r="L18" s="151">
        <f>K18</f>
        <v>0.38554328942953142</v>
      </c>
      <c r="N18" s="148"/>
      <c r="O18" s="152"/>
      <c r="P18" s="152"/>
      <c r="Q18" s="152"/>
      <c r="R18" s="152"/>
      <c r="S18" s="152"/>
      <c r="T18" s="152"/>
      <c r="U18" s="152"/>
      <c r="V18" s="152"/>
      <c r="W18" s="152"/>
      <c r="X18" s="152"/>
    </row>
    <row r="19" spans="1:24">
      <c r="A19" t="s">
        <v>515</v>
      </c>
      <c r="B19" s="150" t="e">
        <f>B15*B18</f>
        <v>#REF!</v>
      </c>
      <c r="C19" s="150" t="e">
        <f t="shared" ref="C19:K19" si="6">C15*C18</f>
        <v>#REF!</v>
      </c>
      <c r="D19" s="150" t="e">
        <f t="shared" si="6"/>
        <v>#REF!</v>
      </c>
      <c r="E19" s="150" t="e">
        <f t="shared" si="6"/>
        <v>#REF!</v>
      </c>
      <c r="F19" s="150" t="e">
        <f t="shared" si="6"/>
        <v>#REF!</v>
      </c>
      <c r="G19" s="150" t="e">
        <f t="shared" si="6"/>
        <v>#REF!</v>
      </c>
      <c r="H19" s="150" t="e">
        <f t="shared" si="6"/>
        <v>#REF!</v>
      </c>
      <c r="I19" s="150" t="e">
        <f t="shared" si="6"/>
        <v>#REF!</v>
      </c>
      <c r="J19" s="150" t="e">
        <f t="shared" si="6"/>
        <v>#REF!</v>
      </c>
      <c r="K19" s="150" t="e">
        <f t="shared" si="6"/>
        <v>#REF!</v>
      </c>
      <c r="L19" s="150" t="e">
        <f>L16*L18</f>
        <v>#REF!</v>
      </c>
      <c r="N19" s="40" t="s">
        <v>516</v>
      </c>
      <c r="O19" s="90" t="s">
        <v>28</v>
      </c>
      <c r="P19" s="77"/>
      <c r="Q19" s="317" t="s">
        <v>517</v>
      </c>
      <c r="R19" s="317"/>
      <c r="S19" s="317"/>
      <c r="T19" s="317"/>
      <c r="U19" s="317"/>
      <c r="V19" s="317"/>
      <c r="W19" s="317"/>
      <c r="X19" s="77"/>
    </row>
    <row r="20" spans="1:24">
      <c r="N20" s="41" t="s">
        <v>518</v>
      </c>
      <c r="O20" s="93" t="e">
        <f>X16</f>
        <v>#REF!</v>
      </c>
      <c r="Q20" s="309" t="s">
        <v>519</v>
      </c>
      <c r="R20" s="103"/>
      <c r="S20" s="312" t="s">
        <v>466</v>
      </c>
      <c r="T20" s="312"/>
      <c r="U20" s="312"/>
      <c r="V20" s="312"/>
      <c r="W20" s="313"/>
    </row>
    <row r="21" spans="1:24" ht="15" customHeight="1">
      <c r="A21" s="40" t="s">
        <v>68</v>
      </c>
      <c r="B21" s="90" t="s">
        <v>28</v>
      </c>
      <c r="D21" s="317" t="s">
        <v>520</v>
      </c>
      <c r="E21" s="317"/>
      <c r="F21" s="317"/>
      <c r="G21" s="317"/>
      <c r="H21" s="317"/>
      <c r="I21" s="317"/>
      <c r="N21" s="41" t="s">
        <v>521</v>
      </c>
      <c r="O21" s="93" t="e">
        <f>SUM(O13:X13)</f>
        <v>#REF!</v>
      </c>
      <c r="Q21" s="310"/>
      <c r="R21" s="106" t="e">
        <f>O24</f>
        <v>#REF!</v>
      </c>
      <c r="S21" s="107">
        <v>1250000</v>
      </c>
      <c r="T21" s="107">
        <v>1500000</v>
      </c>
      <c r="U21" s="107">
        <v>1839459</v>
      </c>
      <c r="V21" s="107">
        <v>2000000</v>
      </c>
      <c r="W21" s="108">
        <v>2250000</v>
      </c>
    </row>
    <row r="22" spans="1:24">
      <c r="A22" t="s">
        <v>522</v>
      </c>
      <c r="B22" s="82" t="e">
        <f>SUM(B19:L19)</f>
        <v>#REF!</v>
      </c>
      <c r="D22" s="320" t="s">
        <v>523</v>
      </c>
      <c r="E22" s="103"/>
      <c r="F22" s="318" t="s">
        <v>524</v>
      </c>
      <c r="G22" s="318"/>
      <c r="H22" s="318"/>
      <c r="I22" s="319"/>
      <c r="N22" s="41" t="s">
        <v>525</v>
      </c>
      <c r="O22" s="93" t="e">
        <f>SUM(O20:O21)</f>
        <v>#REF!</v>
      </c>
      <c r="Q22" s="310"/>
      <c r="R22" s="109">
        <v>0.04</v>
      </c>
      <c r="S22" s="110" t="e">
        <f t="dataTable" ref="S22:W26" dt2D="1" dtr="1" r1="O8" r2="O9"/>
        <v>#REF!</v>
      </c>
      <c r="T22" s="111" t="e">
        <v>#REF!</v>
      </c>
      <c r="U22" s="111" t="e">
        <v>#REF!</v>
      </c>
      <c r="V22" s="111" t="e">
        <v>#REF!</v>
      </c>
      <c r="W22" s="112" t="e">
        <v>#REF!</v>
      </c>
    </row>
    <row r="23" spans="1:24">
      <c r="A23" s="55" t="s">
        <v>526</v>
      </c>
      <c r="B23">
        <v>0</v>
      </c>
      <c r="D23" s="321"/>
      <c r="E23" s="94" t="e">
        <f>L19</f>
        <v>#REF!</v>
      </c>
      <c r="F23" s="95">
        <v>0.02</v>
      </c>
      <c r="G23" s="95">
        <v>0.03</v>
      </c>
      <c r="H23" s="95">
        <v>0.04</v>
      </c>
      <c r="I23" s="96">
        <v>0.05</v>
      </c>
      <c r="N23" s="41" t="s">
        <v>527</v>
      </c>
      <c r="O23" s="25" t="e">
        <f>POWER(O22/O8, 1/10)-1</f>
        <v>#REF!</v>
      </c>
      <c r="Q23" s="310"/>
      <c r="R23" s="109">
        <v>0.05</v>
      </c>
      <c r="S23" s="111" t="e">
        <v>#REF!</v>
      </c>
      <c r="T23" s="111" t="e">
        <v>#REF!</v>
      </c>
      <c r="U23" s="111" t="e">
        <v>#REF!</v>
      </c>
      <c r="V23" s="111" t="e">
        <v>#REF!</v>
      </c>
      <c r="W23" s="112" t="e">
        <v>#REF!</v>
      </c>
    </row>
    <row r="24" spans="1:24">
      <c r="A24" s="55" t="s">
        <v>528</v>
      </c>
      <c r="B24">
        <v>0</v>
      </c>
      <c r="D24" s="321"/>
      <c r="E24" s="97">
        <v>0.08</v>
      </c>
      <c r="F24" s="98" t="e">
        <f t="dataTable" ref="F24:I27" dt2D="1" dtr="1" r1="B12" r2="B11"/>
        <v>#REF!</v>
      </c>
      <c r="G24" s="98" t="e">
        <v>#REF!</v>
      </c>
      <c r="H24" s="98" t="e">
        <v>#REF!</v>
      </c>
      <c r="I24" s="99" t="e">
        <v>#REF!</v>
      </c>
      <c r="N24" s="41" t="s">
        <v>529</v>
      </c>
      <c r="O24" s="149" t="e">
        <f>IF(O23&gt;O10,"Investable", "Not Worth It")</f>
        <v>#REF!</v>
      </c>
      <c r="Q24" s="310"/>
      <c r="R24" s="109">
        <v>0.06</v>
      </c>
      <c r="S24" s="111" t="e">
        <v>#REF!</v>
      </c>
      <c r="T24" s="111" t="e">
        <v>#REF!</v>
      </c>
      <c r="U24" s="111" t="e">
        <v>#REF!</v>
      </c>
      <c r="V24" s="111" t="e">
        <v>#REF!</v>
      </c>
      <c r="W24" s="112" t="e">
        <v>#REF!</v>
      </c>
    </row>
    <row r="25" spans="1:24">
      <c r="A25" s="55" t="s">
        <v>530</v>
      </c>
      <c r="B25">
        <v>0</v>
      </c>
      <c r="D25" s="321"/>
      <c r="E25" s="97">
        <v>0.1</v>
      </c>
      <c r="F25" s="98" t="e">
        <v>#REF!</v>
      </c>
      <c r="G25" s="98" t="e">
        <v>#REF!</v>
      </c>
      <c r="H25" s="98" t="e">
        <v>#REF!</v>
      </c>
      <c r="I25" s="99" t="e">
        <v>#REF!</v>
      </c>
      <c r="Q25" s="310"/>
      <c r="R25" s="109">
        <v>7.0000000000000007E-2</v>
      </c>
      <c r="S25" s="111" t="e">
        <v>#REF!</v>
      </c>
      <c r="T25" s="111" t="e">
        <v>#REF!</v>
      </c>
      <c r="U25" s="111" t="e">
        <v>#REF!</v>
      </c>
      <c r="V25" s="111" t="e">
        <v>#REF!</v>
      </c>
      <c r="W25" s="112" t="e">
        <v>#REF!</v>
      </c>
    </row>
    <row r="26" spans="1:24">
      <c r="A26" s="55" t="s">
        <v>531</v>
      </c>
      <c r="B26">
        <v>0</v>
      </c>
      <c r="D26" s="321"/>
      <c r="E26" s="97">
        <v>0.12</v>
      </c>
      <c r="F26" s="98" t="e">
        <v>#REF!</v>
      </c>
      <c r="G26" s="98" t="e">
        <v>#REF!</v>
      </c>
      <c r="H26" s="98" t="e">
        <v>#REF!</v>
      </c>
      <c r="I26" s="99" t="e">
        <v>#REF!</v>
      </c>
      <c r="Q26" s="311"/>
      <c r="R26" s="113">
        <v>0.08</v>
      </c>
      <c r="S26" s="114" t="e">
        <v>#REF!</v>
      </c>
      <c r="T26" s="114" t="e">
        <v>#REF!</v>
      </c>
      <c r="U26" s="114" t="e">
        <v>#REF!</v>
      </c>
      <c r="V26" s="114" t="e">
        <v>#REF!</v>
      </c>
      <c r="W26" s="115" t="e">
        <v>#REF!</v>
      </c>
    </row>
    <row r="27" spans="1:24">
      <c r="A27" t="s">
        <v>532</v>
      </c>
      <c r="B27" s="42" t="e">
        <f>SUM(B22:B26)</f>
        <v>#REF!</v>
      </c>
      <c r="D27" s="322"/>
      <c r="E27" s="100">
        <v>0.15</v>
      </c>
      <c r="F27" s="101" t="e">
        <v>#REF!</v>
      </c>
      <c r="G27" s="101" t="e">
        <v>#REF!</v>
      </c>
      <c r="H27" s="101" t="e">
        <v>#REF!</v>
      </c>
      <c r="I27" s="102" t="e">
        <v>#REF!</v>
      </c>
      <c r="N27" s="41"/>
      <c r="O27" s="105"/>
    </row>
    <row r="28" spans="1:24">
      <c r="A28" s="11" t="s">
        <v>465</v>
      </c>
      <c r="B28" s="42">
        <f>'Drivers and Inputs'!B21</f>
        <v>668894</v>
      </c>
      <c r="N28" s="41"/>
      <c r="O28" s="3"/>
      <c r="Q28" s="306" t="s">
        <v>533</v>
      </c>
      <c r="R28" s="307"/>
      <c r="S28" s="307"/>
      <c r="T28" s="307"/>
      <c r="U28" s="307"/>
      <c r="V28" s="307"/>
      <c r="W28" s="308"/>
    </row>
    <row r="29" spans="1:24">
      <c r="A29" s="11" t="s">
        <v>534</v>
      </c>
      <c r="B29" s="64" t="e">
        <f>B27/B28</f>
        <v>#REF!</v>
      </c>
      <c r="N29" s="41"/>
      <c r="O29" s="3"/>
      <c r="Q29" s="309" t="s">
        <v>519</v>
      </c>
      <c r="R29" s="103"/>
      <c r="S29" s="312" t="s">
        <v>466</v>
      </c>
      <c r="T29" s="312"/>
      <c r="U29" s="312"/>
      <c r="V29" s="312"/>
      <c r="W29" s="313"/>
    </row>
    <row r="30" spans="1:24">
      <c r="A30" s="11" t="s">
        <v>535</v>
      </c>
      <c r="B30" s="64">
        <v>2.75</v>
      </c>
      <c r="N30" s="41"/>
      <c r="O30" s="93"/>
      <c r="Q30" s="310"/>
      <c r="R30" s="106" t="e">
        <f>O23</f>
        <v>#REF!</v>
      </c>
      <c r="S30" s="107">
        <v>1250000</v>
      </c>
      <c r="T30" s="107">
        <v>1500000</v>
      </c>
      <c r="U30" s="107">
        <v>1839459</v>
      </c>
      <c r="V30" s="107">
        <v>2000000</v>
      </c>
      <c r="W30" s="108">
        <v>2250000</v>
      </c>
    </row>
    <row r="31" spans="1:24">
      <c r="A31" s="11" t="s">
        <v>536</v>
      </c>
      <c r="B31" s="131" t="e">
        <f>(B29-B30)/B30</f>
        <v>#REF!</v>
      </c>
      <c r="N31" s="41"/>
      <c r="O31" s="93"/>
      <c r="Q31" s="310"/>
      <c r="R31" s="109">
        <v>0.04</v>
      </c>
      <c r="S31" s="120" t="e">
        <f t="dataTable" ref="S31:W35" dt2D="1" dtr="1" r1="O8" r2="O9"/>
        <v>#REF!</v>
      </c>
      <c r="T31" s="121" t="e">
        <v>#REF!</v>
      </c>
      <c r="U31" s="121" t="e">
        <v>#REF!</v>
      </c>
      <c r="V31" s="121" t="e">
        <v>#REF!</v>
      </c>
      <c r="W31" s="162" t="e">
        <v>#REF!</v>
      </c>
    </row>
    <row r="32" spans="1:24" ht="15" customHeight="1">
      <c r="N32" s="41"/>
      <c r="O32" s="105"/>
      <c r="Q32" s="310"/>
      <c r="R32" s="109">
        <v>0.05</v>
      </c>
      <c r="S32" s="122" t="e">
        <v>#REF!</v>
      </c>
      <c r="T32" s="116" t="e">
        <v>#REF!</v>
      </c>
      <c r="U32" s="116" t="e">
        <v>#REF!</v>
      </c>
      <c r="V32" s="116" t="e">
        <v>#REF!</v>
      </c>
      <c r="W32" s="117" t="e">
        <v>#REF!</v>
      </c>
      <c r="X32" s="42"/>
    </row>
    <row r="33" spans="16:24">
      <c r="Q33" s="310"/>
      <c r="R33" s="109">
        <v>0.06</v>
      </c>
      <c r="S33" s="122" t="e">
        <v>#REF!</v>
      </c>
      <c r="T33" s="116" t="e">
        <v>#REF!</v>
      </c>
      <c r="U33" s="116" t="e">
        <v>#REF!</v>
      </c>
      <c r="V33" s="116" t="e">
        <v>#REF!</v>
      </c>
      <c r="W33" s="117" t="e">
        <v>#REF!</v>
      </c>
    </row>
    <row r="34" spans="16:24">
      <c r="P34" s="3"/>
      <c r="Q34" s="310"/>
      <c r="R34" s="109">
        <v>7.0000000000000007E-2</v>
      </c>
      <c r="S34" s="122" t="e">
        <v>#REF!</v>
      </c>
      <c r="T34" s="116" t="e">
        <v>#REF!</v>
      </c>
      <c r="U34" s="116" t="e">
        <v>#REF!</v>
      </c>
      <c r="V34" s="116" t="e">
        <v>#REF!</v>
      </c>
      <c r="W34" s="117" t="e">
        <v>#REF!</v>
      </c>
      <c r="X34" s="62"/>
    </row>
    <row r="35" spans="16:24">
      <c r="P35" s="5"/>
      <c r="Q35" s="311"/>
      <c r="R35" s="113">
        <v>0.08</v>
      </c>
      <c r="S35" s="134" t="e">
        <v>#REF!</v>
      </c>
      <c r="T35" s="118" t="e">
        <v>#REF!</v>
      </c>
      <c r="U35" s="118" t="e">
        <v>#REF!</v>
      </c>
      <c r="V35" s="118" t="e">
        <v>#REF!</v>
      </c>
      <c r="W35" s="119" t="e">
        <v>#REF!</v>
      </c>
      <c r="X35" s="42"/>
    </row>
  </sheetData>
  <mergeCells count="15">
    <mergeCell ref="Q28:W28"/>
    <mergeCell ref="Q29:Q35"/>
    <mergeCell ref="S29:W29"/>
    <mergeCell ref="A1:M2"/>
    <mergeCell ref="N1:Z2"/>
    <mergeCell ref="N4:Q4"/>
    <mergeCell ref="A4:D4"/>
    <mergeCell ref="A6:B6"/>
    <mergeCell ref="N6:O6"/>
    <mergeCell ref="Q19:W19"/>
    <mergeCell ref="S20:W20"/>
    <mergeCell ref="Q20:Q26"/>
    <mergeCell ref="F22:I22"/>
    <mergeCell ref="D22:D27"/>
    <mergeCell ref="D21:I21"/>
  </mergeCells>
  <phoneticPr fontId="2" type="noConversion"/>
  <conditionalFormatting sqref="F24:I27">
    <cfRule type="colorScale" priority="9">
      <colorScale>
        <cfvo type="min"/>
        <cfvo type="percentile" val="50"/>
        <cfvo type="max"/>
        <color rgb="FF63BE7B"/>
        <color rgb="FFFFEB84"/>
        <color rgb="FFF8696B"/>
      </colorScale>
    </cfRule>
  </conditionalFormatting>
  <conditionalFormatting sqref="O24">
    <cfRule type="cellIs" dxfId="6" priority="8" operator="greaterThan">
      <formula>$O$10</formula>
    </cfRule>
  </conditionalFormatting>
  <conditionalFormatting sqref="S22:W26">
    <cfRule type="containsText" dxfId="5" priority="5" operator="containsText" text="Not Worth It">
      <formula>NOT(ISERROR(SEARCH("Not Worth It",S22)))</formula>
    </cfRule>
    <cfRule type="containsText" dxfId="4" priority="6" operator="containsText" text="Investable">
      <formula>NOT(ISERROR(SEARCH("Investable",S22)))</formula>
    </cfRule>
  </conditionalFormatting>
  <conditionalFormatting sqref="S31:W35">
    <cfRule type="cellIs" dxfId="3" priority="1" operator="lessThan">
      <formula>0.15</formula>
    </cfRule>
    <cfRule type="cellIs" dxfId="2" priority="2" operator="greaterThan">
      <formula>0.15</formula>
    </cfRule>
    <cfRule type="containsText" dxfId="1" priority="3" operator="containsText" text="Not Worth It">
      <formula>NOT(ISERROR(SEARCH("Not Worth It",S31)))</formula>
    </cfRule>
    <cfRule type="containsText" dxfId="0" priority="4" operator="containsText" text="Investable">
      <formula>NOT(ISERROR(SEARCH("Investable",S31)))</formula>
    </cfRule>
  </conditionalFormatting>
  <pageMargins left="0.25" right="0.25" top="0.75" bottom="0.75" header="0.3" footer="0.3"/>
  <pageSetup paperSize="3" orientation="landscape" r:id="rId1"/>
  <tableParts count="6">
    <tablePart r:id="rId2"/>
    <tablePart r:id="rId3"/>
    <tablePart r:id="rId4"/>
    <tablePart r:id="rId5"/>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7894F-1775-4BD0-AE72-F1DAE8F84368}">
  <dimension ref="A1:C5"/>
  <sheetViews>
    <sheetView showGridLines="0" workbookViewId="0">
      <selection activeCell="L23" sqref="L23"/>
    </sheetView>
  </sheetViews>
  <sheetFormatPr defaultRowHeight="15"/>
  <cols>
    <col min="1" max="1" width="30.7109375" customWidth="1"/>
    <col min="2" max="26" width="15.7109375" customWidth="1"/>
  </cols>
  <sheetData>
    <row r="1" spans="1:3">
      <c r="B1" t="s">
        <v>541</v>
      </c>
      <c r="C1" t="s">
        <v>542</v>
      </c>
    </row>
    <row r="2" spans="1:3">
      <c r="A2" t="s">
        <v>537</v>
      </c>
      <c r="B2" s="5">
        <v>0.2</v>
      </c>
      <c r="C2">
        <v>0.15</v>
      </c>
    </row>
    <row r="3" spans="1:3">
      <c r="A3" t="s">
        <v>540</v>
      </c>
      <c r="B3" s="5">
        <v>0.2</v>
      </c>
      <c r="C3">
        <v>0.15</v>
      </c>
    </row>
    <row r="4" spans="1:3">
      <c r="A4" t="s">
        <v>538</v>
      </c>
      <c r="B4" s="5">
        <v>0.2</v>
      </c>
      <c r="C4">
        <v>0.4</v>
      </c>
    </row>
    <row r="5" spans="1:3">
      <c r="A5" t="s">
        <v>539</v>
      </c>
      <c r="B5" s="5">
        <v>0.4</v>
      </c>
      <c r="C5">
        <v>0.3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AE615DF20CAC4C9C3E8430ECA0C76D" ma:contentTypeVersion="10" ma:contentTypeDescription="Create a new document." ma:contentTypeScope="" ma:versionID="882d302da937b77aa9f1428bf5c0c3b7">
  <xsd:schema xmlns:xsd="http://www.w3.org/2001/XMLSchema" xmlns:xs="http://www.w3.org/2001/XMLSchema" xmlns:p="http://schemas.microsoft.com/office/2006/metadata/properties" xmlns:ns3="bd8ce62a-54b8-466f-a594-b0872f19bf9a" targetNamespace="http://schemas.microsoft.com/office/2006/metadata/properties" ma:root="true" ma:fieldsID="182307a654c6e4b54e667e2fb020179a" ns3:_="">
    <xsd:import namespace="bd8ce62a-54b8-466f-a594-b0872f19bf9a"/>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8ce62a-54b8-466f-a594-b0872f19bf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bd8ce62a-54b8-466f-a594-b0872f19bf9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486A1D42-CCB2-44ED-87ED-C83F107B60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8ce62a-54b8-466f-a594-b0872f19bf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7B4DC4-B7BA-47C5-921C-6C91EB550BBA}">
  <ds:schemaRefs>
    <ds:schemaRef ds:uri="http://schemas.microsoft.com/office/2006/metadata/properties"/>
    <ds:schemaRef ds:uri="http://schemas.microsoft.com/office/infopath/2007/PartnerControls"/>
    <ds:schemaRef ds:uri="bd8ce62a-54b8-466f-a594-b0872f19bf9a"/>
  </ds:schemaRefs>
</ds:datastoreItem>
</file>

<file path=customXml/itemProps3.xml><?xml version="1.0" encoding="utf-8"?>
<ds:datastoreItem xmlns:ds="http://schemas.openxmlformats.org/officeDocument/2006/customXml" ds:itemID="{7A4133E6-1F6B-4BD4-BF52-FB6E7DB3485E}">
  <ds:schemaRefs>
    <ds:schemaRef ds:uri="http://schemas.microsoft.com/sharepoint/v3/contenttype/forms"/>
  </ds:schemaRefs>
</ds:datastoreItem>
</file>

<file path=customXml/itemProps4.xml><?xml version="1.0" encoding="utf-8"?>
<ds:datastoreItem xmlns:ds="http://schemas.openxmlformats.org/officeDocument/2006/customXml" ds:itemID="{DBDB097F-8E01-49AE-A009-03C789BB2E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The Story</vt:lpstr>
      <vt:lpstr>The Investing Standard</vt:lpstr>
      <vt:lpstr>Industry Overview</vt:lpstr>
      <vt:lpstr>Risk Evaluation</vt:lpstr>
      <vt:lpstr>Financial Statements</vt:lpstr>
      <vt:lpstr>Assumptions</vt:lpstr>
      <vt:lpstr>Past FCF</vt:lpstr>
      <vt:lpstr>Drivers and Inputs</vt:lpstr>
      <vt:lpstr>Forecast FCF</vt:lpstr>
      <vt:lpstr>Valuations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AHMAD ZARRUQ BIN MOHD. AZLAN</dc:creator>
  <cp:keywords/>
  <dc:description/>
  <cp:lastModifiedBy>AHMAD ZARRUQ BIN MOHD. AZLAN</cp:lastModifiedBy>
  <cp:revision/>
  <dcterms:created xsi:type="dcterms:W3CDTF">2024-09-28T16:11:51Z</dcterms:created>
  <dcterms:modified xsi:type="dcterms:W3CDTF">2025-10-09T09:56:30Z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0x01010086AE615DF20CAC4C9C3E8430ECA0C76D</vt:lpwstr>
  </property>
</Properties>
</file>