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isiswauitmedu-my.sharepoint.com/personal/2024905559_isiswa_uitm_edu_my/Documents/Stock Market Research/Financial Modelling and Valuations/Chaoju Eye Care Holdings/"/>
    </mc:Choice>
  </mc:AlternateContent>
  <xr:revisionPtr revIDLastSave="39" documentId="13_ncr:1_{679D5F68-9C38-4CA1-8BFE-E30FCBC1F410}" xr6:coauthVersionLast="47" xr6:coauthVersionMax="47" xr10:uidLastSave="{2F655D36-6217-48C8-9995-0403E723E8C1}"/>
  <bookViews>
    <workbookView xWindow="-120" yWindow="-120" windowWidth="29040" windowHeight="15720" firstSheet="2" activeTab="8" xr2:uid="{BB173A37-AC92-4889-B63C-9062ED1E38E1}"/>
  </bookViews>
  <sheets>
    <sheet name="The Story" sheetId="6" r:id="rId1"/>
    <sheet name="The Investing Standard" sheetId="9" r:id="rId2"/>
    <sheet name="Industry Overview" sheetId="1" r:id="rId3"/>
    <sheet name="Risk Evaluation" sheetId="4" r:id="rId4"/>
    <sheet name="Financial Statements" sheetId="37" r:id="rId5"/>
    <sheet name="Assumptions" sheetId="8" r:id="rId6"/>
    <sheet name="Past FCF" sheetId="66" r:id="rId7"/>
    <sheet name="Drivers and Inputs" sheetId="44" r:id="rId8"/>
    <sheet name="Forecast FCF" sheetId="68" r:id="rId9"/>
    <sheet name="Valuations" sheetId="6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44" l="1"/>
  <c r="P21" i="9" a="1"/>
  <c r="P21" i="9" s="1"/>
  <c r="P23" i="9" a="1"/>
  <c r="P23" i="9" s="1"/>
  <c r="P22" i="9" a="1"/>
  <c r="P22" i="9" s="1"/>
  <c r="C132" i="1"/>
  <c r="B20" i="44"/>
  <c r="B35" i="69" s="1"/>
  <c r="G132" i="1"/>
  <c r="F132" i="1"/>
  <c r="E132" i="1"/>
  <c r="D132" i="1"/>
  <c r="G131" i="1"/>
  <c r="F131" i="1"/>
  <c r="E131" i="1"/>
  <c r="D131" i="1"/>
  <c r="C131" i="1"/>
  <c r="G123" i="1"/>
  <c r="F123" i="1"/>
  <c r="E123" i="1"/>
  <c r="D123" i="1"/>
  <c r="C123" i="1"/>
  <c r="G122" i="1"/>
  <c r="F122" i="1"/>
  <c r="E122" i="1"/>
  <c r="D122" i="1"/>
  <c r="C122" i="1"/>
  <c r="F78" i="1"/>
  <c r="G79" i="1" s="1"/>
  <c r="E78" i="1"/>
  <c r="F79" i="1" s="1"/>
  <c r="D78" i="1"/>
  <c r="E79" i="1" s="1"/>
  <c r="C78" i="1"/>
  <c r="D79" i="1" s="1"/>
  <c r="B78" i="1"/>
  <c r="C79" i="1" s="1"/>
  <c r="F69" i="1"/>
  <c r="G70" i="1" s="1"/>
  <c r="E69" i="1"/>
  <c r="F70" i="1" s="1"/>
  <c r="D69" i="1"/>
  <c r="E70" i="1" s="1"/>
  <c r="C69" i="1"/>
  <c r="D70" i="1" s="1"/>
  <c r="B69" i="1"/>
  <c r="C70" i="1" s="1"/>
  <c r="F60" i="1"/>
  <c r="G61" i="1" s="1"/>
  <c r="E60" i="1"/>
  <c r="F61" i="1" s="1"/>
  <c r="D60" i="1"/>
  <c r="E61" i="1" s="1"/>
  <c r="C60" i="1"/>
  <c r="D61" i="1" s="1"/>
  <c r="B60" i="1"/>
  <c r="C61" i="1" s="1"/>
  <c r="H53" i="1"/>
  <c r="H52" i="1"/>
  <c r="F51" i="1"/>
  <c r="G52" i="1" s="1"/>
  <c r="E51" i="1"/>
  <c r="F52" i="1" s="1"/>
  <c r="D51" i="1"/>
  <c r="E52" i="1" s="1"/>
  <c r="C51" i="1"/>
  <c r="D52" i="1" s="1"/>
  <c r="H49" i="1"/>
  <c r="G49" i="1"/>
  <c r="H42" i="1"/>
  <c r="H41" i="1"/>
  <c r="F40" i="1"/>
  <c r="G41" i="1" s="1"/>
  <c r="E40" i="1"/>
  <c r="F41" i="1" s="1"/>
  <c r="D40" i="1"/>
  <c r="E41" i="1" s="1"/>
  <c r="C40" i="1"/>
  <c r="D41" i="1" s="1"/>
  <c r="B40" i="1"/>
  <c r="C41" i="1" s="1"/>
  <c r="H38" i="1"/>
  <c r="G38" i="1"/>
  <c r="H31" i="1"/>
  <c r="H30" i="1"/>
  <c r="F29" i="1"/>
  <c r="G30" i="1" s="1"/>
  <c r="E29" i="1"/>
  <c r="F30" i="1" s="1"/>
  <c r="D29" i="1"/>
  <c r="E30" i="1" s="1"/>
  <c r="C29" i="1"/>
  <c r="D30" i="1" s="1"/>
  <c r="B29" i="1"/>
  <c r="C30" i="1" s="1"/>
  <c r="H27" i="1"/>
  <c r="G27" i="1"/>
  <c r="B14" i="69" l="1"/>
  <c r="B25" i="69"/>
  <c r="E14" i="69" l="1"/>
  <c r="F14" i="69"/>
  <c r="I14" i="69"/>
  <c r="H14" i="69"/>
  <c r="G14" i="69"/>
  <c r="J14" i="69"/>
  <c r="D14" i="69"/>
  <c r="L14" i="69"/>
  <c r="C14" i="69"/>
  <c r="K14" i="69"/>
  <c r="C12" i="44" l="1"/>
  <c r="C6" i="68" s="1"/>
  <c r="D12" i="44"/>
  <c r="D6" i="68" s="1"/>
  <c r="E12" i="44"/>
  <c r="E6" i="68" s="1"/>
  <c r="F12" i="44"/>
  <c r="F6" i="68" s="1"/>
  <c r="G12" i="44"/>
  <c r="G6" i="68" s="1"/>
  <c r="H12" i="44"/>
  <c r="H6" i="68" s="1"/>
  <c r="I12" i="44"/>
  <c r="I6" i="68" s="1"/>
  <c r="J12" i="44"/>
  <c r="J6" i="68" s="1"/>
  <c r="K12" i="44"/>
  <c r="K6" i="68" s="1"/>
  <c r="B12" i="44"/>
  <c r="B6" i="68" s="1"/>
  <c r="C23" i="66"/>
  <c r="D23" i="66"/>
  <c r="E23" i="66"/>
  <c r="F23" i="66"/>
  <c r="G23" i="66"/>
  <c r="B23" i="66"/>
  <c r="C24" i="66"/>
  <c r="D24" i="66"/>
  <c r="E24" i="66"/>
  <c r="F24" i="66"/>
  <c r="G24" i="66"/>
  <c r="B24" i="66"/>
  <c r="C14" i="44"/>
  <c r="D14" i="44"/>
  <c r="E14" i="44"/>
  <c r="F14" i="44"/>
  <c r="G14" i="44"/>
  <c r="H14" i="44"/>
  <c r="I14" i="44"/>
  <c r="J14" i="44"/>
  <c r="K14" i="44"/>
  <c r="B14" i="44"/>
  <c r="C13" i="44"/>
  <c r="C8" i="68" s="1"/>
  <c r="D13" i="44"/>
  <c r="D8" i="68" s="1"/>
  <c r="E13" i="44"/>
  <c r="E8" i="68" s="1"/>
  <c r="F13" i="44"/>
  <c r="F8" i="68" s="1"/>
  <c r="G13" i="44"/>
  <c r="G8" i="68" s="1"/>
  <c r="H13" i="44"/>
  <c r="H8" i="68" s="1"/>
  <c r="I13" i="44"/>
  <c r="I8" i="68" s="1"/>
  <c r="J13" i="44"/>
  <c r="J8" i="68" s="1"/>
  <c r="K13" i="44"/>
  <c r="K8" i="68" s="1"/>
  <c r="B13" i="44"/>
  <c r="B8" i="68" s="1"/>
  <c r="C10" i="44"/>
  <c r="C14" i="68" s="1"/>
  <c r="D10" i="44"/>
  <c r="D14" i="68" s="1"/>
  <c r="E10" i="44"/>
  <c r="E14" i="68" s="1"/>
  <c r="F10" i="44"/>
  <c r="F14" i="68" s="1"/>
  <c r="G10" i="44"/>
  <c r="G14" i="68" s="1"/>
  <c r="H10" i="44"/>
  <c r="H14" i="68" s="1"/>
  <c r="I10" i="44"/>
  <c r="I14" i="68" s="1"/>
  <c r="J10" i="44"/>
  <c r="J14" i="68" s="1"/>
  <c r="K10" i="44"/>
  <c r="K14" i="68" s="1"/>
  <c r="B10" i="44"/>
  <c r="B14" i="68" s="1"/>
  <c r="C8" i="44"/>
  <c r="D8" i="44"/>
  <c r="E8" i="44"/>
  <c r="F8" i="44"/>
  <c r="G8" i="44"/>
  <c r="H8" i="44"/>
  <c r="I8" i="44"/>
  <c r="J8" i="44"/>
  <c r="K8" i="44"/>
  <c r="B8" i="44"/>
  <c r="C7" i="44"/>
  <c r="D7" i="44"/>
  <c r="E7" i="44"/>
  <c r="F7" i="44"/>
  <c r="G7" i="44"/>
  <c r="H7" i="44"/>
  <c r="I7" i="44"/>
  <c r="J7" i="44"/>
  <c r="K7" i="44"/>
  <c r="B7" i="44"/>
  <c r="C6" i="44"/>
  <c r="D6" i="44"/>
  <c r="E6" i="44"/>
  <c r="F6" i="44"/>
  <c r="G6" i="44"/>
  <c r="H6" i="44"/>
  <c r="I6" i="44"/>
  <c r="J6" i="44"/>
  <c r="K6" i="44"/>
  <c r="B6" i="44"/>
  <c r="C5" i="44"/>
  <c r="C17" i="68" s="1"/>
  <c r="D5" i="44"/>
  <c r="D17" i="68" s="1"/>
  <c r="E5" i="44"/>
  <c r="E17" i="68" s="1"/>
  <c r="F5" i="44"/>
  <c r="F17" i="68" s="1"/>
  <c r="G5" i="44"/>
  <c r="G17" i="68" s="1"/>
  <c r="H5" i="44"/>
  <c r="H17" i="68" s="1"/>
  <c r="I5" i="44"/>
  <c r="I17" i="68" s="1"/>
  <c r="J5" i="44"/>
  <c r="J17" i="68" s="1"/>
  <c r="K5" i="44"/>
  <c r="K17" i="68" s="1"/>
  <c r="B5" i="44"/>
  <c r="B17" i="68" s="1"/>
  <c r="B84" i="44"/>
  <c r="B22" i="66" s="1"/>
  <c r="I79" i="44"/>
  <c r="J79" i="44"/>
  <c r="K79" i="44"/>
  <c r="L79" i="44"/>
  <c r="M79" i="44"/>
  <c r="N79" i="44"/>
  <c r="O79" i="44"/>
  <c r="P79" i="44"/>
  <c r="Q79" i="44"/>
  <c r="H79" i="44"/>
  <c r="I84" i="44"/>
  <c r="J84" i="44"/>
  <c r="K84" i="44"/>
  <c r="L84" i="44"/>
  <c r="M84" i="44"/>
  <c r="N84" i="44"/>
  <c r="O84" i="44"/>
  <c r="P84" i="44"/>
  <c r="Q84" i="44"/>
  <c r="C85" i="44"/>
  <c r="D85" i="44"/>
  <c r="E85" i="44"/>
  <c r="F85" i="44"/>
  <c r="G85" i="44"/>
  <c r="B85" i="44"/>
  <c r="I71" i="44"/>
  <c r="J71" i="44"/>
  <c r="K71" i="44"/>
  <c r="L71" i="44"/>
  <c r="M71" i="44"/>
  <c r="N71" i="44"/>
  <c r="O71" i="44"/>
  <c r="P71" i="44"/>
  <c r="Q71" i="44"/>
  <c r="H71" i="44"/>
  <c r="C59" i="44"/>
  <c r="C10" i="66" s="1"/>
  <c r="D59" i="44"/>
  <c r="D10" i="66" s="1"/>
  <c r="E59" i="44"/>
  <c r="E10" i="66" s="1"/>
  <c r="F59" i="44"/>
  <c r="G59" i="44"/>
  <c r="G10" i="66" s="1"/>
  <c r="B59" i="44"/>
  <c r="B10" i="66" s="1"/>
  <c r="C52" i="44"/>
  <c r="D52" i="44"/>
  <c r="E52" i="44"/>
  <c r="F52" i="44"/>
  <c r="G52" i="44"/>
  <c r="B52" i="44"/>
  <c r="F10" i="66" l="1"/>
  <c r="I47" i="44"/>
  <c r="J47" i="44"/>
  <c r="K47" i="44"/>
  <c r="L47" i="44"/>
  <c r="M47" i="44"/>
  <c r="N47" i="44"/>
  <c r="O47" i="44"/>
  <c r="P47" i="44"/>
  <c r="Q47" i="44"/>
  <c r="I26" i="44"/>
  <c r="J26" i="44" l="1"/>
  <c r="K26" i="44" s="1"/>
  <c r="L26" i="44" s="1"/>
  <c r="C24" i="44"/>
  <c r="C5" i="66" s="1"/>
  <c r="D24" i="44"/>
  <c r="D5" i="66" s="1"/>
  <c r="E24" i="44"/>
  <c r="E5" i="66" s="1"/>
  <c r="F24" i="44"/>
  <c r="F5" i="66" s="1"/>
  <c r="G24" i="44"/>
  <c r="B24" i="44"/>
  <c r="B5" i="66" s="1"/>
  <c r="B26" i="44"/>
  <c r="C26" i="44"/>
  <c r="D26" i="44"/>
  <c r="E26" i="44"/>
  <c r="F26" i="44"/>
  <c r="G26" i="44"/>
  <c r="B27" i="44"/>
  <c r="C27" i="44"/>
  <c r="D27" i="44"/>
  <c r="E27" i="44"/>
  <c r="F27" i="44"/>
  <c r="G27" i="44"/>
  <c r="H27" i="44" s="1"/>
  <c r="B31" i="44"/>
  <c r="C31" i="44"/>
  <c r="D31" i="44"/>
  <c r="D41" i="44" s="1"/>
  <c r="D69" i="44" s="1"/>
  <c r="E31" i="44"/>
  <c r="F31" i="44"/>
  <c r="G31" i="44"/>
  <c r="B34" i="44"/>
  <c r="C34" i="44"/>
  <c r="D34" i="44"/>
  <c r="E34" i="44"/>
  <c r="F34" i="44"/>
  <c r="G34" i="44"/>
  <c r="B37" i="44"/>
  <c r="C37" i="44"/>
  <c r="D37" i="44"/>
  <c r="E37" i="44"/>
  <c r="F37" i="44"/>
  <c r="G37" i="44"/>
  <c r="G5" i="66" l="1"/>
  <c r="C4" i="66"/>
  <c r="E4" i="66"/>
  <c r="G4" i="66"/>
  <c r="F4" i="66"/>
  <c r="D4" i="66"/>
  <c r="G53" i="44"/>
  <c r="F53" i="44"/>
  <c r="B53" i="44"/>
  <c r="E53" i="44"/>
  <c r="D53" i="44"/>
  <c r="C53" i="44"/>
  <c r="H28" i="44"/>
  <c r="I27" i="44"/>
  <c r="M26" i="44"/>
  <c r="B28" i="44"/>
  <c r="B41" i="44" s="1"/>
  <c r="C28" i="44"/>
  <c r="E28" i="44"/>
  <c r="G28" i="44"/>
  <c r="D28" i="44"/>
  <c r="F28" i="44"/>
  <c r="C41" i="44"/>
  <c r="C69" i="44" s="1"/>
  <c r="C16" i="66" s="1"/>
  <c r="G41" i="44"/>
  <c r="H24" i="44" s="1"/>
  <c r="H46" i="44" s="1"/>
  <c r="D16" i="66"/>
  <c r="F41" i="44"/>
  <c r="F69" i="44" s="1"/>
  <c r="F16" i="66" s="1"/>
  <c r="E41" i="44"/>
  <c r="E69" i="44" s="1"/>
  <c r="E16" i="66" s="1"/>
  <c r="F17" i="66" s="1"/>
  <c r="D15" i="66" l="1"/>
  <c r="E15" i="66"/>
  <c r="F15" i="66"/>
  <c r="G17" i="66"/>
  <c r="E17" i="66"/>
  <c r="D17" i="66"/>
  <c r="F70" i="44"/>
  <c r="H48" i="44"/>
  <c r="G69" i="44"/>
  <c r="G16" i="66" s="1"/>
  <c r="B18" i="68" s="1"/>
  <c r="C18" i="68" s="1"/>
  <c r="C42" i="44"/>
  <c r="B69" i="44"/>
  <c r="B16" i="66" s="1"/>
  <c r="C17" i="66" s="1"/>
  <c r="E70" i="44"/>
  <c r="D70" i="44"/>
  <c r="J27" i="44"/>
  <c r="I28" i="44"/>
  <c r="N26" i="44"/>
  <c r="F42" i="44"/>
  <c r="E40" i="44"/>
  <c r="E71" i="44" s="1"/>
  <c r="G42" i="44"/>
  <c r="F40" i="44"/>
  <c r="F71" i="44" s="1"/>
  <c r="C35" i="44"/>
  <c r="C40" i="44"/>
  <c r="C71" i="44" s="1"/>
  <c r="E42" i="44"/>
  <c r="D40" i="44"/>
  <c r="D71" i="44" s="1"/>
  <c r="G32" i="44"/>
  <c r="H41" i="44"/>
  <c r="G40" i="44"/>
  <c r="G71" i="44" s="1"/>
  <c r="C32" i="44"/>
  <c r="C29" i="44"/>
  <c r="C38" i="44"/>
  <c r="D42" i="44"/>
  <c r="D38" i="44"/>
  <c r="D35" i="44"/>
  <c r="D32" i="44"/>
  <c r="D29" i="44"/>
  <c r="G29" i="44"/>
  <c r="G35" i="44"/>
  <c r="F29" i="44"/>
  <c r="G38" i="44"/>
  <c r="F38" i="44"/>
  <c r="F32" i="44"/>
  <c r="F35" i="44"/>
  <c r="B32" i="44"/>
  <c r="B38" i="44"/>
  <c r="B35" i="44"/>
  <c r="E29" i="44"/>
  <c r="E32" i="44"/>
  <c r="E38" i="44"/>
  <c r="B29" i="44"/>
  <c r="E35" i="44"/>
  <c r="I41" i="44" l="1"/>
  <c r="I34" i="44" s="1"/>
  <c r="I24" i="44"/>
  <c r="C4" i="68" s="1"/>
  <c r="G15" i="66"/>
  <c r="D18" i="68"/>
  <c r="E18" i="68" s="1"/>
  <c r="F18" i="68" s="1"/>
  <c r="G18" i="68" s="1"/>
  <c r="H18" i="68" s="1"/>
  <c r="I18" i="68" s="1"/>
  <c r="J18" i="68" s="1"/>
  <c r="K18" i="68" s="1"/>
  <c r="H50" i="44"/>
  <c r="C15" i="66"/>
  <c r="C70" i="44"/>
  <c r="H53" i="44"/>
  <c r="B4" i="68"/>
  <c r="B7" i="68" s="1"/>
  <c r="B11" i="68" s="1"/>
  <c r="H54" i="44"/>
  <c r="H57" i="44" s="1"/>
  <c r="C7" i="68"/>
  <c r="C11" i="68" s="1"/>
  <c r="H69" i="44"/>
  <c r="G70" i="44"/>
  <c r="I53" i="44"/>
  <c r="K27" i="44"/>
  <c r="J28" i="44"/>
  <c r="O26" i="44"/>
  <c r="H31" i="44"/>
  <c r="H34" i="44"/>
  <c r="H78" i="44" s="1"/>
  <c r="H37" i="44"/>
  <c r="I50" i="44" l="1"/>
  <c r="I48" i="44"/>
  <c r="I46" i="44"/>
  <c r="J24" i="44"/>
  <c r="D4" i="68" s="1"/>
  <c r="I69" i="44"/>
  <c r="H70" i="44"/>
  <c r="H59" i="44"/>
  <c r="H61" i="44" s="1"/>
  <c r="H63" i="44" s="1"/>
  <c r="L27" i="44"/>
  <c r="K28" i="44"/>
  <c r="P26" i="44"/>
  <c r="J41" i="44"/>
  <c r="I37" i="44"/>
  <c r="I31" i="44"/>
  <c r="I78" i="44"/>
  <c r="I54" i="44" l="1"/>
  <c r="I57" i="44" s="1"/>
  <c r="J50" i="44"/>
  <c r="J53" i="44"/>
  <c r="H67" i="44"/>
  <c r="J48" i="44"/>
  <c r="J46" i="44"/>
  <c r="J54" i="44" s="1"/>
  <c r="J57" i="44" s="1"/>
  <c r="K24" i="44"/>
  <c r="E4" i="68" s="1"/>
  <c r="J69" i="44"/>
  <c r="I70" i="44"/>
  <c r="I59" i="44"/>
  <c r="I61" i="44" s="1"/>
  <c r="M27" i="44"/>
  <c r="L28" i="44"/>
  <c r="Q26" i="44"/>
  <c r="K41" i="44"/>
  <c r="J31" i="44"/>
  <c r="J34" i="44"/>
  <c r="J78" i="44" s="1"/>
  <c r="J37" i="44"/>
  <c r="H68" i="44" l="1"/>
  <c r="H72" i="44"/>
  <c r="H76" i="44" s="1"/>
  <c r="K53" i="44"/>
  <c r="K46" i="44"/>
  <c r="K50" i="44"/>
  <c r="K48" i="44"/>
  <c r="I67" i="44"/>
  <c r="I68" i="44" s="1"/>
  <c r="I63" i="44"/>
  <c r="L24" i="44"/>
  <c r="F4" i="68" s="1"/>
  <c r="K69" i="44"/>
  <c r="J70" i="44"/>
  <c r="J59" i="44"/>
  <c r="J61" i="44" s="1"/>
  <c r="N27" i="44"/>
  <c r="M28" i="44"/>
  <c r="L41" i="44"/>
  <c r="K34" i="44"/>
  <c r="K78" i="44" s="1"/>
  <c r="K37" i="44"/>
  <c r="K31" i="44"/>
  <c r="C50" i="44"/>
  <c r="C51" i="44" s="1"/>
  <c r="D50" i="44"/>
  <c r="D51" i="44" s="1"/>
  <c r="E50" i="44"/>
  <c r="E51" i="44" s="1"/>
  <c r="F50" i="44"/>
  <c r="F51" i="44" s="1"/>
  <c r="G50" i="44"/>
  <c r="B50" i="44"/>
  <c r="B51" i="44" s="1"/>
  <c r="C48" i="44"/>
  <c r="C49" i="44" s="1"/>
  <c r="D48" i="44"/>
  <c r="D49" i="44" s="1"/>
  <c r="E48" i="44"/>
  <c r="E49" i="44" s="1"/>
  <c r="F48" i="44"/>
  <c r="F49" i="44" s="1"/>
  <c r="G48" i="44"/>
  <c r="B48" i="44"/>
  <c r="B49" i="44" s="1"/>
  <c r="C46" i="44"/>
  <c r="D46" i="44"/>
  <c r="E46" i="44"/>
  <c r="F46" i="44"/>
  <c r="G46" i="44"/>
  <c r="B46" i="44"/>
  <c r="B15" i="69"/>
  <c r="K54" i="44" l="1"/>
  <c r="K57" i="44" s="1"/>
  <c r="K59" i="44" s="1"/>
  <c r="K61" i="44" s="1"/>
  <c r="L48" i="44"/>
  <c r="L53" i="44"/>
  <c r="L50" i="44"/>
  <c r="L46" i="44"/>
  <c r="K67" i="44"/>
  <c r="K68" i="44" s="1"/>
  <c r="K63" i="44"/>
  <c r="J67" i="44"/>
  <c r="J68" i="44" s="1"/>
  <c r="J63" i="44"/>
  <c r="M24" i="44"/>
  <c r="G4" i="68" s="1"/>
  <c r="L69" i="44"/>
  <c r="K70" i="44"/>
  <c r="E54" i="44"/>
  <c r="D54" i="44"/>
  <c r="B54" i="44"/>
  <c r="G54" i="44"/>
  <c r="C54" i="44"/>
  <c r="F54" i="44"/>
  <c r="D47" i="44"/>
  <c r="C47" i="44"/>
  <c r="E47" i="44"/>
  <c r="B47" i="44"/>
  <c r="G47" i="44"/>
  <c r="F47" i="44"/>
  <c r="O27" i="44"/>
  <c r="N28" i="44"/>
  <c r="M41" i="44"/>
  <c r="L34" i="44"/>
  <c r="L78" i="44" s="1"/>
  <c r="L37" i="44"/>
  <c r="L31" i="44"/>
  <c r="G51" i="44"/>
  <c r="G49" i="44"/>
  <c r="C15" i="69"/>
  <c r="M53" i="44" l="1"/>
  <c r="L54" i="44"/>
  <c r="L57" i="44" s="1"/>
  <c r="M50" i="44"/>
  <c r="M48" i="44"/>
  <c r="M46" i="44"/>
  <c r="D15" i="69"/>
  <c r="E15" i="69" s="1"/>
  <c r="F56" i="44"/>
  <c r="F6" i="66"/>
  <c r="F8" i="66" s="1"/>
  <c r="D56" i="44"/>
  <c r="D6" i="66"/>
  <c r="D8" i="66" s="1"/>
  <c r="C56" i="44"/>
  <c r="C6" i="66"/>
  <c r="C8" i="66" s="1"/>
  <c r="G56" i="44"/>
  <c r="G6" i="66"/>
  <c r="G8" i="66" s="1"/>
  <c r="B56" i="44"/>
  <c r="B6" i="66"/>
  <c r="B8" i="66" s="1"/>
  <c r="E56" i="44"/>
  <c r="E6" i="66"/>
  <c r="E8" i="66" s="1"/>
  <c r="N24" i="44"/>
  <c r="H4" i="68" s="1"/>
  <c r="M69" i="44"/>
  <c r="L70" i="44"/>
  <c r="L59" i="44"/>
  <c r="L61" i="44" s="1"/>
  <c r="N53" i="44"/>
  <c r="F55" i="44"/>
  <c r="F57" i="44"/>
  <c r="F60" i="44" s="1"/>
  <c r="C55" i="44"/>
  <c r="C57" i="44"/>
  <c r="C60" i="44" s="1"/>
  <c r="G55" i="44"/>
  <c r="G57" i="44"/>
  <c r="E55" i="44"/>
  <c r="E57" i="44"/>
  <c r="E60" i="44" s="1"/>
  <c r="B55" i="44"/>
  <c r="B57" i="44"/>
  <c r="B60" i="44" s="1"/>
  <c r="D55" i="44"/>
  <c r="D57" i="44"/>
  <c r="D60" i="44" s="1"/>
  <c r="M54" i="44"/>
  <c r="M57" i="44" s="1"/>
  <c r="P27" i="44"/>
  <c r="O28" i="44"/>
  <c r="N41" i="44"/>
  <c r="M31" i="44"/>
  <c r="M34" i="44"/>
  <c r="M78" i="44" s="1"/>
  <c r="M37" i="44"/>
  <c r="T23" i="9"/>
  <c r="R24" i="9"/>
  <c r="T22" i="9"/>
  <c r="T21" i="9"/>
  <c r="P20" i="9" a="1"/>
  <c r="P20" i="9" s="1"/>
  <c r="T20" i="9" s="1"/>
  <c r="P19" i="9" a="1"/>
  <c r="P19" i="9" s="1"/>
  <c r="T19" i="9" s="1"/>
  <c r="N46" i="44" l="1"/>
  <c r="N48" i="44"/>
  <c r="N50" i="44"/>
  <c r="L67" i="44"/>
  <c r="L68" i="44" s="1"/>
  <c r="L63" i="44"/>
  <c r="G7" i="66"/>
  <c r="G9" i="66"/>
  <c r="G13" i="66" s="1"/>
  <c r="D9" i="66"/>
  <c r="D13" i="66" s="1"/>
  <c r="D7" i="66"/>
  <c r="B7" i="66"/>
  <c r="B9" i="66"/>
  <c r="B13" i="66" s="1"/>
  <c r="C9" i="66"/>
  <c r="C13" i="66" s="1"/>
  <c r="C7" i="66"/>
  <c r="F7" i="66"/>
  <c r="F9" i="66"/>
  <c r="F13" i="66" s="1"/>
  <c r="E9" i="66"/>
  <c r="E13" i="66" s="1"/>
  <c r="E7" i="66"/>
  <c r="G61" i="44"/>
  <c r="G60" i="44"/>
  <c r="M70" i="44"/>
  <c r="O24" i="44"/>
  <c r="I4" i="68" s="1"/>
  <c r="N69" i="44"/>
  <c r="M59" i="44"/>
  <c r="M61" i="44" s="1"/>
  <c r="D58" i="44"/>
  <c r="D61" i="44"/>
  <c r="E61" i="44"/>
  <c r="E58" i="44"/>
  <c r="G58" i="44"/>
  <c r="C61" i="44"/>
  <c r="C58" i="44"/>
  <c r="F58" i="44"/>
  <c r="F61" i="44"/>
  <c r="B61" i="44"/>
  <c r="B67" i="44" s="1"/>
  <c r="B72" i="44" s="1"/>
  <c r="B58" i="44"/>
  <c r="N54" i="44"/>
  <c r="N57" i="44" s="1"/>
  <c r="Q27" i="44"/>
  <c r="P28" i="44"/>
  <c r="O41" i="44"/>
  <c r="N31" i="44"/>
  <c r="N34" i="44"/>
  <c r="N78" i="44" s="1"/>
  <c r="N37" i="44"/>
  <c r="F15" i="69"/>
  <c r="T24" i="9"/>
  <c r="N28" i="9" s="1"/>
  <c r="T28" i="9" s="1"/>
  <c r="K90" i="68"/>
  <c r="J90" i="68"/>
  <c r="I90" i="68"/>
  <c r="B90" i="68"/>
  <c r="K70" i="68"/>
  <c r="J70" i="68"/>
  <c r="I70" i="68"/>
  <c r="H70" i="68"/>
  <c r="K68" i="68"/>
  <c r="J68" i="68"/>
  <c r="I68" i="68"/>
  <c r="H68" i="68"/>
  <c r="K62" i="68"/>
  <c r="J62" i="68"/>
  <c r="I62" i="68"/>
  <c r="H62" i="68"/>
  <c r="K60" i="68"/>
  <c r="J60" i="68"/>
  <c r="I60" i="68"/>
  <c r="H60" i="68"/>
  <c r="C78" i="44"/>
  <c r="C82" i="44" s="1"/>
  <c r="D78" i="44"/>
  <c r="D82" i="44" s="1"/>
  <c r="E78" i="44"/>
  <c r="E82" i="44" s="1"/>
  <c r="F78" i="44"/>
  <c r="F82" i="44" s="1"/>
  <c r="G78" i="44"/>
  <c r="G82" i="44" s="1"/>
  <c r="B78" i="44"/>
  <c r="B82" i="44" s="1"/>
  <c r="C77" i="44"/>
  <c r="D77" i="44"/>
  <c r="E77" i="44"/>
  <c r="F77" i="44"/>
  <c r="G77" i="44"/>
  <c r="B77" i="44"/>
  <c r="F67" i="44" l="1"/>
  <c r="F72" i="44" s="1"/>
  <c r="F63" i="44"/>
  <c r="C67" i="44"/>
  <c r="C63" i="44"/>
  <c r="D67" i="44"/>
  <c r="D63" i="44"/>
  <c r="G67" i="44"/>
  <c r="G63" i="44"/>
  <c r="E67" i="44"/>
  <c r="E72" i="44" s="1"/>
  <c r="E63" i="44"/>
  <c r="O53" i="44"/>
  <c r="M67" i="44"/>
  <c r="M68" i="44" s="1"/>
  <c r="M63" i="44"/>
  <c r="C18" i="66"/>
  <c r="C12" i="66"/>
  <c r="F12" i="66"/>
  <c r="F18" i="66"/>
  <c r="D12" i="66"/>
  <c r="D18" i="66"/>
  <c r="B76" i="44"/>
  <c r="B86" i="44" s="1"/>
  <c r="B20" i="66"/>
  <c r="B25" i="66" s="1"/>
  <c r="C84" i="44"/>
  <c r="C22" i="66" s="1"/>
  <c r="C80" i="44"/>
  <c r="C83" i="44" s="1"/>
  <c r="O50" i="44"/>
  <c r="G12" i="66"/>
  <c r="G18" i="66"/>
  <c r="O48" i="44"/>
  <c r="O46" i="44"/>
  <c r="E18" i="66"/>
  <c r="E12" i="66"/>
  <c r="G80" i="44"/>
  <c r="G83" i="44" s="1"/>
  <c r="H84" i="44"/>
  <c r="B21" i="68" s="1"/>
  <c r="G84" i="44"/>
  <c r="F80" i="44"/>
  <c r="F83" i="44" s="1"/>
  <c r="F84" i="44"/>
  <c r="F22" i="66" s="1"/>
  <c r="D80" i="44"/>
  <c r="D83" i="44" s="1"/>
  <c r="D84" i="44"/>
  <c r="D22" i="66" s="1"/>
  <c r="E80" i="44"/>
  <c r="E83" i="44" s="1"/>
  <c r="E84" i="44"/>
  <c r="E22" i="66" s="1"/>
  <c r="Q82" i="44"/>
  <c r="H82" i="44"/>
  <c r="N82" i="44"/>
  <c r="O82" i="44"/>
  <c r="P82" i="44"/>
  <c r="I82" i="44"/>
  <c r="C15" i="44" s="1"/>
  <c r="J82" i="44"/>
  <c r="D15" i="44" s="1"/>
  <c r="K82" i="44"/>
  <c r="E15" i="44" s="1"/>
  <c r="L82" i="44"/>
  <c r="F15" i="44" s="1"/>
  <c r="M82" i="44"/>
  <c r="G15" i="44" s="1"/>
  <c r="P24" i="44"/>
  <c r="O69" i="44"/>
  <c r="N70" i="44"/>
  <c r="C72" i="44"/>
  <c r="C68" i="44"/>
  <c r="C19" i="66" s="1"/>
  <c r="D72" i="44"/>
  <c r="D68" i="44"/>
  <c r="D19" i="66" s="1"/>
  <c r="N59" i="44"/>
  <c r="N61" i="44" s="1"/>
  <c r="Q28" i="44"/>
  <c r="P41" i="44"/>
  <c r="O31" i="44"/>
  <c r="O34" i="44"/>
  <c r="O78" i="44" s="1"/>
  <c r="O37" i="44"/>
  <c r="G15" i="69"/>
  <c r="B102" i="68"/>
  <c r="B80" i="44"/>
  <c r="B83" i="44" s="1"/>
  <c r="G70" i="68"/>
  <c r="C70" i="68"/>
  <c r="D70" i="68"/>
  <c r="E70" i="68"/>
  <c r="F70" i="68"/>
  <c r="B70" i="68"/>
  <c r="B58" i="68" s="1"/>
  <c r="B57" i="68" s="1"/>
  <c r="F68" i="44" l="1"/>
  <c r="F19" i="66" s="1"/>
  <c r="G72" i="44"/>
  <c r="G68" i="44"/>
  <c r="G19" i="66" s="1"/>
  <c r="E68" i="44"/>
  <c r="E19" i="66" s="1"/>
  <c r="O54" i="44"/>
  <c r="O57" i="44" s="1"/>
  <c r="O59" i="44" s="1"/>
  <c r="O61" i="44" s="1"/>
  <c r="N67" i="44"/>
  <c r="N68" i="44" s="1"/>
  <c r="N63" i="44"/>
  <c r="B15" i="44"/>
  <c r="H81" i="44"/>
  <c r="O81" i="44"/>
  <c r="G22" i="66"/>
  <c r="N83" i="44"/>
  <c r="H15" i="44"/>
  <c r="C76" i="44"/>
  <c r="C86" i="44" s="1"/>
  <c r="C20" i="66"/>
  <c r="C25" i="66" s="1"/>
  <c r="O83" i="44"/>
  <c r="I15" i="44"/>
  <c r="Q83" i="44"/>
  <c r="K15" i="44"/>
  <c r="F76" i="44"/>
  <c r="F86" i="44" s="1"/>
  <c r="F20" i="66"/>
  <c r="F25" i="66" s="1"/>
  <c r="N81" i="44"/>
  <c r="P83" i="44"/>
  <c r="J15" i="44"/>
  <c r="E76" i="44"/>
  <c r="E86" i="44" s="1"/>
  <c r="E20" i="66"/>
  <c r="E25" i="66" s="1"/>
  <c r="D76" i="44"/>
  <c r="D86" i="44" s="1"/>
  <c r="D20" i="66"/>
  <c r="D25" i="66" s="1"/>
  <c r="P53" i="44"/>
  <c r="J4" i="68"/>
  <c r="M83" i="44"/>
  <c r="M81" i="44"/>
  <c r="K83" i="44"/>
  <c r="K81" i="44"/>
  <c r="J83" i="44"/>
  <c r="J81" i="44"/>
  <c r="H83" i="44"/>
  <c r="L83" i="44"/>
  <c r="L81" i="44"/>
  <c r="I83" i="44"/>
  <c r="I81" i="44"/>
  <c r="P48" i="44"/>
  <c r="P50" i="44"/>
  <c r="Q24" i="44"/>
  <c r="K4" i="68" s="1"/>
  <c r="P69" i="44"/>
  <c r="O70" i="44"/>
  <c r="P46" i="44"/>
  <c r="Q41" i="44"/>
  <c r="P31" i="44"/>
  <c r="P34" i="44"/>
  <c r="P78" i="44" s="1"/>
  <c r="P81" i="44" s="1"/>
  <c r="P37" i="44"/>
  <c r="H15" i="69"/>
  <c r="I82" i="68"/>
  <c r="I83" i="68" s="1"/>
  <c r="B82" i="68"/>
  <c r="B83" i="68" s="1"/>
  <c r="J82" i="68"/>
  <c r="J83" i="68" s="1"/>
  <c r="H82" i="68"/>
  <c r="H83" i="68" s="1"/>
  <c r="C82" i="68"/>
  <c r="C83" i="68" s="1"/>
  <c r="K82" i="68"/>
  <c r="K83" i="68" s="1"/>
  <c r="G82" i="68"/>
  <c r="G83" i="68" s="1"/>
  <c r="F82" i="68"/>
  <c r="F83" i="68" s="1"/>
  <c r="D82" i="68"/>
  <c r="D83" i="68" s="1"/>
  <c r="E82" i="68"/>
  <c r="E83" i="68" s="1"/>
  <c r="G80" i="68"/>
  <c r="I80" i="68"/>
  <c r="F80" i="68"/>
  <c r="E80" i="68"/>
  <c r="D80" i="68"/>
  <c r="B80" i="68"/>
  <c r="B81" i="68" s="1"/>
  <c r="K80" i="68"/>
  <c r="J80" i="68"/>
  <c r="C80" i="68"/>
  <c r="H80" i="68"/>
  <c r="B180" i="37"/>
  <c r="C180" i="37"/>
  <c r="G20" i="66" l="1"/>
  <c r="G25" i="66" s="1"/>
  <c r="G76" i="44"/>
  <c r="G86" i="44" s="1"/>
  <c r="O67" i="44"/>
  <c r="O68" i="44" s="1"/>
  <c r="O63" i="44"/>
  <c r="P85" i="44"/>
  <c r="J22" i="68"/>
  <c r="L85" i="44"/>
  <c r="F22" i="68"/>
  <c r="M85" i="44"/>
  <c r="G22" i="68"/>
  <c r="H85" i="44"/>
  <c r="B22" i="68"/>
  <c r="I85" i="44"/>
  <c r="C22" i="68"/>
  <c r="J85" i="44"/>
  <c r="D22" i="68"/>
  <c r="K85" i="44"/>
  <c r="E22" i="68"/>
  <c r="N85" i="44"/>
  <c r="H22" i="68"/>
  <c r="O85" i="44"/>
  <c r="I22" i="68"/>
  <c r="P54" i="44"/>
  <c r="P57" i="44" s="1"/>
  <c r="P59" i="44" s="1"/>
  <c r="P61" i="44" s="1"/>
  <c r="Q69" i="44"/>
  <c r="Q70" i="44" s="1"/>
  <c r="Q46" i="44"/>
  <c r="Q50" i="44"/>
  <c r="Q48" i="44"/>
  <c r="Q53" i="44"/>
  <c r="P70" i="44"/>
  <c r="Q31" i="44"/>
  <c r="Q34" i="44"/>
  <c r="Q78" i="44" s="1"/>
  <c r="Q81" i="44" s="1"/>
  <c r="Q37" i="44"/>
  <c r="I15" i="69"/>
  <c r="F90" i="68"/>
  <c r="E62" i="68"/>
  <c r="C62" i="68"/>
  <c r="D62" i="68"/>
  <c r="E60" i="68"/>
  <c r="E68" i="68"/>
  <c r="P67" i="44" l="1"/>
  <c r="P68" i="44" s="1"/>
  <c r="P63" i="44"/>
  <c r="Q85" i="44"/>
  <c r="K22" i="68"/>
  <c r="Q54" i="44"/>
  <c r="Q57" i="44" s="1"/>
  <c r="Q59" i="44" s="1"/>
  <c r="Q61" i="44" s="1"/>
  <c r="J15" i="69"/>
  <c r="F62" i="68"/>
  <c r="G62" i="68"/>
  <c r="B62" i="68"/>
  <c r="G90" i="68"/>
  <c r="F68" i="68"/>
  <c r="F60" i="68"/>
  <c r="E90" i="68"/>
  <c r="D68" i="68"/>
  <c r="D60" i="68"/>
  <c r="D90" i="68"/>
  <c r="C68" i="68"/>
  <c r="C60" i="68"/>
  <c r="G60" i="68"/>
  <c r="G68" i="68"/>
  <c r="C90" i="68"/>
  <c r="C102" i="68" s="1"/>
  <c r="B68" i="68"/>
  <c r="B69" i="68" s="1"/>
  <c r="B60" i="68"/>
  <c r="Q67" i="44" l="1"/>
  <c r="Q68" i="44" s="1"/>
  <c r="Q63" i="44"/>
  <c r="K15" i="69"/>
  <c r="L15" i="69" s="1"/>
  <c r="C81" i="68"/>
  <c r="C58" i="68"/>
  <c r="C69" i="68"/>
  <c r="D102" i="68"/>
  <c r="E102" i="68" s="1"/>
  <c r="F102" i="68" s="1"/>
  <c r="G102" i="68" s="1"/>
  <c r="H90" i="68"/>
  <c r="H102" i="68" l="1"/>
  <c r="I102" i="68" s="1"/>
  <c r="J102" i="68" s="1"/>
  <c r="K102" i="68" s="1"/>
  <c r="D58" i="68"/>
  <c r="D81" i="68"/>
  <c r="D69" i="68"/>
  <c r="C57" i="68"/>
  <c r="D7" i="68"/>
  <c r="D11" i="68" s="1"/>
  <c r="B5" i="68"/>
  <c r="C5" i="68"/>
  <c r="D57" i="68" l="1"/>
  <c r="E58" i="68"/>
  <c r="E69" i="68"/>
  <c r="E81" i="68"/>
  <c r="C9" i="68"/>
  <c r="C16" i="68"/>
  <c r="C19" i="68" s="1"/>
  <c r="C23" i="68" s="1"/>
  <c r="E7" i="68"/>
  <c r="E11" i="68" s="1"/>
  <c r="B9" i="68"/>
  <c r="B15" i="68"/>
  <c r="D5" i="68"/>
  <c r="C40" i="69" l="1"/>
  <c r="C12" i="69"/>
  <c r="C16" i="69" s="1"/>
  <c r="C15" i="68"/>
  <c r="E57" i="68"/>
  <c r="F69" i="68"/>
  <c r="F58" i="68"/>
  <c r="F81" i="68"/>
  <c r="E5" i="68"/>
  <c r="B12" i="68"/>
  <c r="B16" i="68"/>
  <c r="B19" i="68" s="1"/>
  <c r="B23" i="68" s="1"/>
  <c r="B40" i="69" s="1"/>
  <c r="B43" i="69" s="1"/>
  <c r="C43" i="69" s="1"/>
  <c r="C12" i="68"/>
  <c r="D9" i="68"/>
  <c r="F7" i="68"/>
  <c r="F11" i="68" s="1"/>
  <c r="B12" i="69" l="1"/>
  <c r="B16" i="69" s="1"/>
  <c r="B24" i="68"/>
  <c r="C24" i="68"/>
  <c r="G81" i="68"/>
  <c r="G58" i="68"/>
  <c r="G69" i="68"/>
  <c r="F57" i="68"/>
  <c r="E9" i="68"/>
  <c r="D12" i="68"/>
  <c r="D16" i="68"/>
  <c r="D19" i="68" s="1"/>
  <c r="D23" i="68" s="1"/>
  <c r="D15" i="68"/>
  <c r="F5" i="68"/>
  <c r="G7" i="68"/>
  <c r="G11" i="68" s="1"/>
  <c r="B41" i="69" l="1"/>
  <c r="B42" i="69"/>
  <c r="C41" i="69"/>
  <c r="D12" i="69"/>
  <c r="D16" i="69" s="1"/>
  <c r="D40" i="69"/>
  <c r="H81" i="68"/>
  <c r="H69" i="68"/>
  <c r="H58" i="68"/>
  <c r="G57" i="68"/>
  <c r="H7" i="68"/>
  <c r="H11" i="68" s="1"/>
  <c r="G5" i="68"/>
  <c r="F9" i="68"/>
  <c r="E12" i="68"/>
  <c r="E15" i="68"/>
  <c r="E16" i="68"/>
  <c r="E19" i="68" s="1"/>
  <c r="E23" i="68" s="1"/>
  <c r="P8" i="9" a="1"/>
  <c r="P8" i="9" s="1"/>
  <c r="T8" i="9" s="1"/>
  <c r="P9" i="9" a="1"/>
  <c r="P9" i="9" s="1"/>
  <c r="T9" i="9" s="1"/>
  <c r="P10" i="9" a="1"/>
  <c r="P10" i="9" s="1"/>
  <c r="T10" i="9" s="1"/>
  <c r="P11" i="9" a="1"/>
  <c r="P11" i="9" s="1"/>
  <c r="T11" i="9" s="1"/>
  <c r="P12" i="9" a="1"/>
  <c r="P12" i="9" s="1"/>
  <c r="T12" i="9" s="1"/>
  <c r="P13" i="9" a="1"/>
  <c r="P13" i="9" s="1"/>
  <c r="T13" i="9" s="1"/>
  <c r="P14" i="9" a="1"/>
  <c r="P14" i="9" s="1"/>
  <c r="T14" i="9" s="1"/>
  <c r="P7" i="9" a="1"/>
  <c r="P7" i="9" s="1"/>
  <c r="T7" i="9" s="1"/>
  <c r="R15" i="9"/>
  <c r="D41" i="69" l="1"/>
  <c r="D43" i="69"/>
  <c r="B44" i="69"/>
  <c r="C42" i="69"/>
  <c r="E12" i="69"/>
  <c r="E16" i="69" s="1"/>
  <c r="E40" i="69"/>
  <c r="D24" i="68"/>
  <c r="I81" i="68"/>
  <c r="I58" i="68"/>
  <c r="I69" i="68"/>
  <c r="H57" i="68"/>
  <c r="H5" i="68"/>
  <c r="I7" i="68"/>
  <c r="I11" i="68" s="1"/>
  <c r="F15" i="68"/>
  <c r="F12" i="68"/>
  <c r="F16" i="68"/>
  <c r="F19" i="68" s="1"/>
  <c r="F23" i="68" s="1"/>
  <c r="G9" i="68"/>
  <c r="T15" i="9"/>
  <c r="N27" i="9" s="1"/>
  <c r="T27" i="9" s="1"/>
  <c r="T29" i="9" s="1"/>
  <c r="E43" i="69" l="1"/>
  <c r="E41" i="69"/>
  <c r="F12" i="69"/>
  <c r="F16" i="69" s="1"/>
  <c r="F40" i="69"/>
  <c r="D42" i="69"/>
  <c r="C44" i="69"/>
  <c r="E24" i="68"/>
  <c r="J58" i="68"/>
  <c r="J69" i="68"/>
  <c r="J81" i="68"/>
  <c r="I57" i="68"/>
  <c r="H9" i="68"/>
  <c r="I5" i="68"/>
  <c r="J7" i="68"/>
  <c r="J11" i="68" s="1"/>
  <c r="G15" i="68"/>
  <c r="G12" i="68"/>
  <c r="G16" i="68"/>
  <c r="G19" i="68" s="1"/>
  <c r="G23" i="68" s="1"/>
  <c r="F43" i="69" l="1"/>
  <c r="F41" i="69"/>
  <c r="F42" i="69"/>
  <c r="D44" i="69"/>
  <c r="G12" i="69"/>
  <c r="G16" i="69" s="1"/>
  <c r="G40" i="69"/>
  <c r="E42" i="69"/>
  <c r="F24" i="68"/>
  <c r="J57" i="68"/>
  <c r="K81" i="68"/>
  <c r="K69" i="68"/>
  <c r="K58" i="68"/>
  <c r="I9" i="68"/>
  <c r="H15" i="68"/>
  <c r="H12" i="68"/>
  <c r="H16" i="68"/>
  <c r="H19" i="68" s="1"/>
  <c r="H23" i="68" s="1"/>
  <c r="J5" i="68"/>
  <c r="G43" i="69" l="1"/>
  <c r="G41" i="69"/>
  <c r="E44" i="69"/>
  <c r="H40" i="69"/>
  <c r="H41" i="69" s="1"/>
  <c r="H12" i="69"/>
  <c r="H16" i="69" s="1"/>
  <c r="G24" i="68"/>
  <c r="K57" i="68"/>
  <c r="K7" i="68"/>
  <c r="K11" i="68" s="1"/>
  <c r="K5" i="68"/>
  <c r="J9" i="68"/>
  <c r="I15" i="68"/>
  <c r="I12" i="68"/>
  <c r="I16" i="68"/>
  <c r="I19" i="68" s="1"/>
  <c r="I23" i="68" s="1"/>
  <c r="H43" i="69" l="1"/>
  <c r="I12" i="69"/>
  <c r="I16" i="69" s="1"/>
  <c r="I40" i="69"/>
  <c r="I41" i="69" s="1"/>
  <c r="H24" i="68"/>
  <c r="K9" i="68"/>
  <c r="J15" i="68"/>
  <c r="J12" i="68"/>
  <c r="J16" i="68"/>
  <c r="J19" i="68" s="1"/>
  <c r="J23" i="68" s="1"/>
  <c r="I43" i="69" l="1"/>
  <c r="J12" i="69"/>
  <c r="J16" i="69" s="1"/>
  <c r="J40" i="69"/>
  <c r="J41" i="69" s="1"/>
  <c r="I24" i="68"/>
  <c r="K12" i="68"/>
  <c r="K15" i="68"/>
  <c r="K16" i="68"/>
  <c r="K19" i="68" s="1"/>
  <c r="K23" i="68" s="1"/>
  <c r="J43" i="69" l="1"/>
  <c r="K12" i="69"/>
  <c r="K40" i="69"/>
  <c r="B48" i="69" s="1"/>
  <c r="J24" i="68"/>
  <c r="K43" i="69" l="1"/>
  <c r="K41" i="69"/>
  <c r="L12" i="69"/>
  <c r="L13" i="69" s="1"/>
  <c r="L16" i="69" s="1"/>
  <c r="K16" i="69"/>
  <c r="K24" i="68"/>
  <c r="E20" i="69" l="1"/>
  <c r="B19" i="69"/>
  <c r="B24" i="69" s="1"/>
  <c r="B26" i="69" s="1"/>
  <c r="B28" i="69" s="1"/>
  <c r="F44" i="69" l="1"/>
  <c r="G42" i="69"/>
  <c r="B59" i="68"/>
  <c r="B61" i="68" s="1"/>
  <c r="B66" i="68" s="1"/>
  <c r="I59" i="68"/>
  <c r="I61" i="68" s="1"/>
  <c r="I66" i="68" s="1"/>
  <c r="D59" i="68"/>
  <c r="D61" i="68" s="1"/>
  <c r="H59" i="68"/>
  <c r="H61" i="68" s="1"/>
  <c r="K59" i="68"/>
  <c r="K61" i="68" s="1"/>
  <c r="J59" i="68"/>
  <c r="J61" i="68" s="1"/>
  <c r="C59" i="68"/>
  <c r="C61" i="68" s="1"/>
  <c r="E59" i="68"/>
  <c r="E61" i="68" s="1"/>
  <c r="G59" i="68"/>
  <c r="G61" i="68" s="1"/>
  <c r="F59" i="68"/>
  <c r="F61" i="68" s="1"/>
  <c r="B63" i="68" l="1"/>
  <c r="I63" i="68"/>
  <c r="C66" i="68"/>
  <c r="C63" i="68"/>
  <c r="F63" i="68"/>
  <c r="F66" i="68"/>
  <c r="G63" i="68"/>
  <c r="G66" i="68"/>
  <c r="E63" i="68"/>
  <c r="E66" i="68"/>
  <c r="J63" i="68"/>
  <c r="J66" i="68"/>
  <c r="K63" i="68"/>
  <c r="K66" i="68"/>
  <c r="H63" i="68"/>
  <c r="H66" i="68"/>
  <c r="I65" i="68" s="1"/>
  <c r="I88" i="68" s="1"/>
  <c r="D66" i="68"/>
  <c r="D63" i="68"/>
  <c r="B65" i="68"/>
  <c r="B88" i="68" s="1"/>
  <c r="B100" i="68" s="1"/>
  <c r="B71" i="68"/>
  <c r="B72" i="68"/>
  <c r="B73" i="68" s="1"/>
  <c r="B84" i="68" s="1"/>
  <c r="I71" i="68"/>
  <c r="I72" i="68"/>
  <c r="I73" i="68" s="1"/>
  <c r="I84" i="68" s="1"/>
  <c r="I86" i="68" l="1"/>
  <c r="I87" i="68"/>
  <c r="I89" i="68" s="1"/>
  <c r="B99" i="68"/>
  <c r="B101" i="68" s="1"/>
  <c r="G98" i="68"/>
  <c r="B98" i="68"/>
  <c r="J98" i="68"/>
  <c r="F98" i="68"/>
  <c r="D98" i="68"/>
  <c r="E98" i="68"/>
  <c r="B87" i="68"/>
  <c r="B89" i="68" s="1"/>
  <c r="D99" i="68"/>
  <c r="D101" i="68" s="1"/>
  <c r="K99" i="68"/>
  <c r="K101" i="68" s="1"/>
  <c r="I99" i="68"/>
  <c r="I101" i="68" s="1"/>
  <c r="J99" i="68"/>
  <c r="J101" i="68" s="1"/>
  <c r="B86" i="68"/>
  <c r="H98" i="68"/>
  <c r="I98" i="68"/>
  <c r="H99" i="68"/>
  <c r="H101" i="68" s="1"/>
  <c r="E99" i="68"/>
  <c r="E101" i="68" s="1"/>
  <c r="C98" i="68"/>
  <c r="K98" i="68"/>
  <c r="N57" i="68" s="1"/>
  <c r="N58" i="68" s="1"/>
  <c r="N63" i="68" s="1"/>
  <c r="G99" i="68"/>
  <c r="G101" i="68" s="1"/>
  <c r="F99" i="68"/>
  <c r="F101" i="68" s="1"/>
  <c r="C99" i="68"/>
  <c r="C101" i="68" s="1"/>
  <c r="K72" i="68"/>
  <c r="K73" i="68" s="1"/>
  <c r="K84" i="68" s="1"/>
  <c r="K71" i="68"/>
  <c r="K65" i="68"/>
  <c r="K88" i="68" s="1"/>
  <c r="J72" i="68"/>
  <c r="J73" i="68" s="1"/>
  <c r="J84" i="68" s="1"/>
  <c r="J65" i="68"/>
  <c r="J88" i="68" s="1"/>
  <c r="J71" i="68"/>
  <c r="E71" i="68"/>
  <c r="E72" i="68"/>
  <c r="E73" i="68" s="1"/>
  <c r="E84" i="68" s="1"/>
  <c r="E65" i="68"/>
  <c r="E88" i="68" s="1"/>
  <c r="G65" i="68"/>
  <c r="G88" i="68" s="1"/>
  <c r="G72" i="68"/>
  <c r="G73" i="68" s="1"/>
  <c r="G84" i="68" s="1"/>
  <c r="G71" i="68"/>
  <c r="F72" i="68"/>
  <c r="F73" i="68" s="1"/>
  <c r="F84" i="68" s="1"/>
  <c r="F71" i="68"/>
  <c r="F65" i="68"/>
  <c r="F88" i="68" s="1"/>
  <c r="D65" i="68"/>
  <c r="D88" i="68" s="1"/>
  <c r="D72" i="68"/>
  <c r="D73" i="68" s="1"/>
  <c r="D84" i="68" s="1"/>
  <c r="D71" i="68"/>
  <c r="H71" i="68"/>
  <c r="H72" i="68"/>
  <c r="H73" i="68" s="1"/>
  <c r="H84" i="68" s="1"/>
  <c r="H65" i="68"/>
  <c r="H88" i="68" s="1"/>
  <c r="C71" i="68"/>
  <c r="C65" i="68"/>
  <c r="C88" i="68" s="1"/>
  <c r="C100" i="68" s="1"/>
  <c r="C72" i="68"/>
  <c r="C73" i="68" s="1"/>
  <c r="C84" i="68" s="1"/>
  <c r="D100" i="68" l="1"/>
  <c r="E100" i="68" s="1"/>
  <c r="F100" i="68" s="1"/>
  <c r="G100" i="68" s="1"/>
  <c r="H100" i="68" s="1"/>
  <c r="I100" i="68" s="1"/>
  <c r="J100" i="68" s="1"/>
  <c r="K100" i="68" s="1"/>
  <c r="N59" i="68" s="1"/>
  <c r="C87" i="68"/>
  <c r="C89" i="68" s="1"/>
  <c r="C86" i="68"/>
  <c r="D86" i="68"/>
  <c r="D87" i="68"/>
  <c r="D89" i="68" s="1"/>
  <c r="H87" i="68"/>
  <c r="H89" i="68" s="1"/>
  <c r="H86" i="68"/>
  <c r="F86" i="68"/>
  <c r="F87" i="68"/>
  <c r="F89" i="68" s="1"/>
  <c r="J87" i="68"/>
  <c r="J89" i="68" s="1"/>
  <c r="J86" i="68"/>
  <c r="E86" i="68"/>
  <c r="E87" i="68"/>
  <c r="E89" i="68" s="1"/>
  <c r="G86" i="68"/>
  <c r="G87" i="68"/>
  <c r="G89" i="68" s="1"/>
  <c r="K87" i="68"/>
  <c r="K89" i="68" s="1"/>
  <c r="K86" i="68"/>
  <c r="N72" i="44" l="1"/>
  <c r="N76" i="44" s="1"/>
  <c r="N86" i="44" s="1"/>
  <c r="M72" i="44"/>
  <c r="M76" i="44" s="1"/>
  <c r="M86" i="44" s="1"/>
  <c r="Q72" i="44"/>
  <c r="Q76" i="44" s="1"/>
  <c r="Q86" i="44" s="1"/>
  <c r="P72" i="44"/>
  <c r="P76" i="44" s="1"/>
  <c r="P86" i="44" s="1"/>
  <c r="L72" i="44"/>
  <c r="L76" i="44" s="1"/>
  <c r="L86" i="44" s="1"/>
  <c r="O72" i="44"/>
  <c r="O76" i="44" s="1"/>
  <c r="O86" i="44" s="1"/>
  <c r="I72" i="44"/>
  <c r="I76" i="44" s="1"/>
  <c r="I86" i="44" s="1"/>
  <c r="K72" i="44"/>
  <c r="K76" i="44" s="1"/>
  <c r="K86" i="44" s="1"/>
  <c r="J72" i="44"/>
  <c r="J76" i="44" s="1"/>
  <c r="J86" i="44" s="1"/>
  <c r="H86" i="44"/>
  <c r="H42" i="69" l="1"/>
  <c r="G44" i="69" l="1"/>
  <c r="H44" i="69" l="1"/>
  <c r="I42" i="69"/>
  <c r="J42" i="69" l="1"/>
  <c r="I44" i="69"/>
  <c r="K42" i="69" l="1"/>
  <c r="B47" i="69" s="1"/>
  <c r="J44" i="69"/>
  <c r="K44" i="69" l="1"/>
  <c r="B49" i="69"/>
  <c r="B50" i="69" s="1"/>
  <c r="B51" i="69" l="1"/>
  <c r="E57" i="69"/>
  <c r="E48" i="6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tc={0E7D31A6-327C-4BB2-B792-D12CFACAE1A3}</author>
  </authors>
  <commentList>
    <comment ref="A23" authorId="0" shapeId="0" xr:uid="{0E7D31A6-327C-4BB2-B792-D12CFACAE1A3}">
      <text>
        <t>[Threaded comment]
Your version of Excel allows you to read this threaded comment; however, any edits to it will get removed if the file is opened in a newer version of Excel. Learn more: https://go.microsoft.com/fwlink/?linkid=870924
Comment:
    I used the amount of invested capital to be the determinant of future revenues. This is because operating assets are needed to generate revenues. Assuming at optimal capacity, invested capital increase is proportional to revenue increase. The industry average is used to consider the degree of proportionality between the two. Since the net working capital has been consistently negative, I make the assumption that it is zero going forward.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<sst xmlns="http://schemas.openxmlformats.org/spreadsheetml/2006/main" count="807" uniqueCount="517">
  <si>
    <t>Chaoju Eye Care Holdings Ltd</t>
  </si>
  <si>
    <t>Highlights</t>
  </si>
  <si>
    <r>
      <rPr>
        <sz val="36"/>
        <color theme="0"/>
        <rFont val="Aptos Narrow"/>
        <family val="2"/>
        <scheme val="minor"/>
      </rPr>
      <t>15%</t>
    </r>
    <r>
      <rPr>
        <sz val="11"/>
        <color theme="0"/>
        <rFont val="Georgia"/>
        <family val="1"/>
      </rPr>
      <t xml:space="preserve">
</t>
    </r>
    <r>
      <rPr>
        <i/>
        <sz val="11"/>
        <color theme="0"/>
        <rFont val="FZYaoTi"/>
      </rPr>
      <t>Previous Growth Rate</t>
    </r>
  </si>
  <si>
    <r>
      <rPr>
        <sz val="36"/>
        <color theme="0"/>
        <rFont val="Aptos Narrow"/>
        <family val="2"/>
        <scheme val="minor"/>
      </rPr>
      <t>20%</t>
    </r>
    <r>
      <rPr>
        <sz val="11"/>
        <color theme="0"/>
        <rFont val="Georgia"/>
        <family val="1"/>
      </rPr>
      <t xml:space="preserve">
</t>
    </r>
    <r>
      <rPr>
        <i/>
        <sz val="11"/>
        <color theme="0"/>
        <rFont val="FZYaoTi"/>
      </rPr>
      <t>Operating Margins</t>
    </r>
    <r>
      <rPr>
        <sz val="11"/>
        <color theme="0"/>
        <rFont val="FZYaoTi"/>
        <charset val="134"/>
      </rPr>
      <t xml:space="preserve">
</t>
    </r>
  </si>
  <si>
    <r>
      <rPr>
        <sz val="36"/>
        <color theme="0"/>
        <rFont val="Aptos Narrow"/>
        <family val="2"/>
        <scheme val="minor"/>
      </rPr>
      <t>13%</t>
    </r>
    <r>
      <rPr>
        <sz val="11"/>
        <color theme="0"/>
        <rFont val="Georgia"/>
        <family val="1"/>
      </rPr>
      <t xml:space="preserve">
</t>
    </r>
    <r>
      <rPr>
        <i/>
        <sz val="11"/>
        <color theme="0"/>
        <rFont val="FZYaoTi"/>
      </rPr>
      <t>Expected Growth Rate</t>
    </r>
  </si>
  <si>
    <r>
      <rPr>
        <sz val="36"/>
        <color theme="0"/>
        <rFont val="Aptos Narrow"/>
        <family val="2"/>
        <scheme val="minor"/>
      </rPr>
      <t>5.4%</t>
    </r>
    <r>
      <rPr>
        <sz val="11"/>
        <color theme="0"/>
        <rFont val="Georgia"/>
        <family val="1"/>
      </rPr>
      <t xml:space="preserve">
</t>
    </r>
    <r>
      <rPr>
        <i/>
        <sz val="11"/>
        <color theme="0"/>
        <rFont val="FZYaoTi"/>
      </rPr>
      <t>Expected FCF Yield</t>
    </r>
  </si>
  <si>
    <r>
      <rPr>
        <sz val="36"/>
        <color theme="0"/>
        <rFont val="Aptos Narrow"/>
        <family val="2"/>
        <scheme val="minor"/>
      </rPr>
      <t>20%</t>
    </r>
    <r>
      <rPr>
        <sz val="11"/>
        <color theme="0"/>
        <rFont val="Georgia"/>
        <family val="1"/>
      </rPr>
      <t xml:space="preserve">
</t>
    </r>
    <r>
      <rPr>
        <i/>
        <sz val="11"/>
        <color theme="0"/>
        <rFont val="FZYaoTi"/>
      </rPr>
      <t>Return on Invested Capital</t>
    </r>
  </si>
  <si>
    <r>
      <rPr>
        <sz val="36"/>
        <color theme="0"/>
        <rFont val="Aptos Narrow"/>
        <family val="2"/>
        <scheme val="minor"/>
      </rPr>
      <t>4th</t>
    </r>
    <r>
      <rPr>
        <sz val="11"/>
        <color theme="0"/>
        <rFont val="Georgia"/>
        <family val="1"/>
      </rPr>
      <t xml:space="preserve">
</t>
    </r>
    <r>
      <rPr>
        <i/>
        <sz val="11"/>
        <color theme="0"/>
        <rFont val="FZYaoTi"/>
      </rPr>
      <t>Largest Company</t>
    </r>
  </si>
  <si>
    <t>Business Model and Operations</t>
  </si>
  <si>
    <t>Chaoju Eye Care Ltd. engages in the provision of ophthalmic medical services. It offers in-patient services, out-patient services, and optical products. The group also offers specialist and general ophthalmic treatments. Treatments include glaucoma, cataract, myopia, fungal infections and many more. The company was founded by Xing Huan Zhang in 1988 and is headquartered in Beijing, China.</t>
  </si>
  <si>
    <t>Primary Business Operations</t>
  </si>
  <si>
    <t>Name</t>
  </si>
  <si>
    <t>Description</t>
  </si>
  <si>
    <t>Treatment</t>
  </si>
  <si>
    <t>Refractive Control</t>
  </si>
  <si>
    <t>Refractive errors in the eye</t>
  </si>
  <si>
    <t xml:space="preserve"> Surgery, glasses, contact lenses</t>
  </si>
  <si>
    <t>Myopia</t>
  </si>
  <si>
    <t>Nearsightedness</t>
  </si>
  <si>
    <t>Surgery, glasses, contact lenses</t>
  </si>
  <si>
    <t>Optical Services</t>
  </si>
  <si>
    <t>Vision conditions</t>
  </si>
  <si>
    <t>Eye testing, correction</t>
  </si>
  <si>
    <t>Oculoplastic</t>
  </si>
  <si>
    <t>Eyelids, eye socket conditions</t>
  </si>
  <si>
    <t>Surgery</t>
  </si>
  <si>
    <t>Cataract</t>
  </si>
  <si>
    <t>Clouding of eye lenses</t>
  </si>
  <si>
    <t>Glaucoma</t>
  </si>
  <si>
    <t>Damage to optic nerve</t>
  </si>
  <si>
    <t>Surgery, eye drops</t>
  </si>
  <si>
    <t>Squint</t>
  </si>
  <si>
    <t>Eye misalignment</t>
  </si>
  <si>
    <t>Surgery, glasses</t>
  </si>
  <si>
    <t>Ocular Fundus</t>
  </si>
  <si>
    <t>Back part of the eye, nerve, vessels</t>
  </si>
  <si>
    <t>Surgery, injections</t>
  </si>
  <si>
    <t>Ocular Surface</t>
  </si>
  <si>
    <t>Outermost part of eye conditions</t>
  </si>
  <si>
    <t>Eye drops, antibiotics</t>
  </si>
  <si>
    <t>Orbital, Pediatric</t>
  </si>
  <si>
    <t>Eye socket conditions</t>
  </si>
  <si>
    <t>Surgery, correction</t>
  </si>
  <si>
    <t>Consultation</t>
  </si>
  <si>
    <t>General consultation</t>
  </si>
  <si>
    <t>Varied</t>
  </si>
  <si>
    <t>Market Share and Scalability</t>
  </si>
  <si>
    <t>Cyclicality</t>
  </si>
  <si>
    <t>Growth</t>
  </si>
  <si>
    <t>Size</t>
  </si>
  <si>
    <t>5th largest publicly traded oligopoly by revenue</t>
  </si>
  <si>
    <t>Total Addressable Market, CH HK</t>
  </si>
  <si>
    <t>RMB 237 B</t>
  </si>
  <si>
    <t>Serviceable Available Market</t>
  </si>
  <si>
    <t>RMB 33.18 B</t>
  </si>
  <si>
    <t>Serviceable Obtainable Market</t>
  </si>
  <si>
    <t>RMB 3.3 B</t>
  </si>
  <si>
    <t>Market share</t>
  </si>
  <si>
    <t>RMB 1.369 B</t>
  </si>
  <si>
    <t>~5%</t>
  </si>
  <si>
    <t>Pricing Power</t>
  </si>
  <si>
    <t>Moderate</t>
  </si>
  <si>
    <t>Barriers to Entry</t>
  </si>
  <si>
    <t>High</t>
  </si>
  <si>
    <t>The Valuation Standard</t>
  </si>
  <si>
    <t>The Investing Standard</t>
  </si>
  <si>
    <t>Note</t>
  </si>
  <si>
    <t>The values highlighted in blue have a dropdown list, they are interactive.</t>
  </si>
  <si>
    <t>Qualitative Standard</t>
  </si>
  <si>
    <t>Values</t>
  </si>
  <si>
    <t>Coefficient</t>
  </si>
  <si>
    <t>Weightage</t>
  </si>
  <si>
    <t>Effective Weightage</t>
  </si>
  <si>
    <t>Business Position</t>
  </si>
  <si>
    <t>Major Oligopoly</t>
  </si>
  <si>
    <t>Product Elasticity</t>
  </si>
  <si>
    <t>Inelastic</t>
  </si>
  <si>
    <t>Product Importance</t>
  </si>
  <si>
    <t>Essential</t>
  </si>
  <si>
    <t>Product Substitute</t>
  </si>
  <si>
    <t>Few</t>
  </si>
  <si>
    <t>Previous Growth</t>
  </si>
  <si>
    <t>Main principle</t>
  </si>
  <si>
    <t>Expected Future Growth</t>
  </si>
  <si>
    <t>Market Growth</t>
  </si>
  <si>
    <t>Market Saturation</t>
  </si>
  <si>
    <t>Saturated</t>
  </si>
  <si>
    <t>Cost of Equity</t>
  </si>
  <si>
    <t>Total Values</t>
  </si>
  <si>
    <t>Quantitative Standard</t>
  </si>
  <si>
    <r>
      <t xml:space="preserve">The first formula illustrates the root of what I believe a company's value truly lies: The rate of </t>
    </r>
    <r>
      <rPr>
        <b/>
        <i/>
        <sz val="12"/>
        <color theme="1"/>
        <rFont val="Aptos Narrow"/>
        <family val="2"/>
        <scheme val="minor"/>
      </rPr>
      <t>tangible cash return</t>
    </r>
    <r>
      <rPr>
        <i/>
        <sz val="12"/>
        <color theme="1"/>
        <rFont val="Aptos Narrow"/>
        <family val="2"/>
        <scheme val="minor"/>
      </rPr>
      <t xml:space="preserve"> an investor may realistically realize. The objective of investing is to have access to a company's cash flows therefore its value is attained by the free cash flow yield it offers. The value of the yield may be perceived acceptable by deriving the value of return an investor may ask for relative to the risk-free rate, average market returns and risk. Therefore, the most suitable yield to apply as a benchmark for optimal returns is the </t>
    </r>
    <r>
      <rPr>
        <b/>
        <i/>
        <sz val="12"/>
        <color theme="1"/>
        <rFont val="Aptos Narrow"/>
        <family val="2"/>
        <scheme val="minor"/>
      </rPr>
      <t xml:space="preserve">cost of equity. </t>
    </r>
    <r>
      <rPr>
        <i/>
        <sz val="12"/>
        <color theme="1"/>
        <rFont val="Aptos Narrow"/>
        <family val="2"/>
        <scheme val="minor"/>
      </rPr>
      <t>It fully encapsulates the returns an investor should look for in a company relative to its risk, market performance and the risk-free returns.</t>
    </r>
    <r>
      <rPr>
        <b/>
        <i/>
        <sz val="12"/>
        <color theme="1"/>
        <rFont val="Aptos Narrow"/>
        <family val="2"/>
        <scheme val="minor"/>
      </rPr>
      <t xml:space="preserve"> </t>
    </r>
    <r>
      <rPr>
        <i/>
        <sz val="12"/>
        <color theme="1"/>
        <rFont val="Aptos Narrow"/>
        <family val="2"/>
        <scheme val="minor"/>
      </rPr>
      <t xml:space="preserve">
However, in auction based markets where company valuation changes over time, a company must be valued accordingly based on its performance. As the free cash flow yield grows, the market capitalization of the company must also grow in proportion with its FCF yield growth. Since both the yield and the growth of the market cap are tangible cash returns, they can be used to fulfil the rate of return required by the cost of equity.</t>
    </r>
  </si>
  <si>
    <t>FCFE Growth</t>
  </si>
  <si>
    <t>FCFE yield</t>
  </si>
  <si>
    <t>FCF to debt</t>
  </si>
  <si>
    <t>Operating margin</t>
  </si>
  <si>
    <t>ROIC</t>
  </si>
  <si>
    <t>Quantitative Values</t>
  </si>
  <si>
    <t>Qualitative Values</t>
  </si>
  <si>
    <t>Total Value</t>
  </si>
  <si>
    <t>My own principle</t>
  </si>
  <si>
    <t>I, however believed that the current and traditional way of deriving the cost of equity to be significantly uncompetitive, especially so taking into consideration of inflation and currency fluctuations. I also would like my investments to double every 5 years. And so, I choose a flat 15% rate as my cost of equity, not because I have sophisticated calculations laid out to justify this but simply out of my own personal objective. With this, I also theoretically may consistently outperform any indices the world could come up with consistently over the long term.</t>
  </si>
  <si>
    <t>Industry Overview</t>
  </si>
  <si>
    <t>References</t>
  </si>
  <si>
    <t>Fragmented, unsaturated</t>
  </si>
  <si>
    <t>Frost and Sullivan industry research 2018</t>
  </si>
  <si>
    <t>High growth, about 15% growth the past 10 years</t>
  </si>
  <si>
    <t>Annual reports of major competitors 2023</t>
  </si>
  <si>
    <t>Business Model</t>
  </si>
  <si>
    <t>Eye Health Services</t>
  </si>
  <si>
    <t>Business Growth</t>
  </si>
  <si>
    <t>High growth, about 14% from the past 5 years</t>
  </si>
  <si>
    <t>Top 4 major company, leader in Inner Mongolia and Northern China</t>
  </si>
  <si>
    <t>Product Strength</t>
  </si>
  <si>
    <t>Inelastic, important services, non-discretionary, moderate pricing power</t>
  </si>
  <si>
    <t>Growth Drivers</t>
  </si>
  <si>
    <t>Important treatment, government support, increase in disposable income, rising awareness in eye health, Population vulnurable to eye diseases</t>
  </si>
  <si>
    <t>Eye Medical Services Industry, FYE 2023</t>
  </si>
  <si>
    <t>Revenue, B</t>
  </si>
  <si>
    <t>CAGR 4Y</t>
  </si>
  <si>
    <t>P/E</t>
  </si>
  <si>
    <t>P/FCF</t>
  </si>
  <si>
    <t>Gross Margin</t>
  </si>
  <si>
    <t>Operating Margin</t>
  </si>
  <si>
    <t>Net Margin</t>
  </si>
  <si>
    <t>ROIC, %</t>
  </si>
  <si>
    <t>Chaoju Eye Care</t>
  </si>
  <si>
    <t xml:space="preserve">Euroeyes Int Eye </t>
  </si>
  <si>
    <t>Huaxia Eye Hospital</t>
  </si>
  <si>
    <t>Aier Eye Hospital</t>
  </si>
  <si>
    <t>Chengdu Bright Eye</t>
  </si>
  <si>
    <t>Eyebright Medical</t>
  </si>
  <si>
    <t>Liaoning He Eye Ho</t>
  </si>
  <si>
    <t>Guangzheng Eye H</t>
  </si>
  <si>
    <t>Important Drivers from Main Competitors</t>
  </si>
  <si>
    <t>Aier Eye Hospital, (in millions)</t>
  </si>
  <si>
    <t>Revenue</t>
  </si>
  <si>
    <t>Operating Earnings</t>
  </si>
  <si>
    <t>Net Income</t>
  </si>
  <si>
    <t>Invested Capital</t>
  </si>
  <si>
    <t>Sales to Capital</t>
  </si>
  <si>
    <t>Return on Capital</t>
  </si>
  <si>
    <t>Huaxia Eye Hospital, (in millions)</t>
  </si>
  <si>
    <t>Capital Invested</t>
  </si>
  <si>
    <t>Chengdu Bright Eye, (in millions)</t>
  </si>
  <si>
    <t>Liaoning He Eye Ho, (in millions)</t>
  </si>
  <si>
    <t>Guangzheng Eye Hospital, (in millions)</t>
  </si>
  <si>
    <t>Eyebright Medical Technology, (in millions)</t>
  </si>
  <si>
    <t>Euroeyes International Eye Clinic, (in millions)</t>
  </si>
  <si>
    <t>OPTIMAX</t>
  </si>
  <si>
    <t>Optimax Holdings Berhad, (in millions)</t>
  </si>
  <si>
    <t>Risk Evaluation</t>
  </si>
  <si>
    <t>Income Statement</t>
  </si>
  <si>
    <t>2018 RMB’000</t>
  </si>
  <si>
    <t>2019 RMB’000</t>
  </si>
  <si>
    <t>2020 RMB’000</t>
  </si>
  <si>
    <t>2021 RMB’000</t>
  </si>
  <si>
    <t>2022 RMB’000</t>
  </si>
  <si>
    <t>2023 RMB’000</t>
  </si>
  <si>
    <t>2024 RMB’000</t>
  </si>
  <si>
    <t>REVENUE</t>
  </si>
  <si>
    <t>Cost of sales</t>
  </si>
  <si>
    <t>Gross profit</t>
  </si>
  <si>
    <t>Other income and gains</t>
  </si>
  <si>
    <t>Selling and distribution expenses</t>
  </si>
  <si>
    <t>Administrative expenses</t>
  </si>
  <si>
    <t>Other expenses</t>
  </si>
  <si>
    <t>Impairment losses on financial assets, net</t>
  </si>
  <si>
    <t>Finance costs</t>
  </si>
  <si>
    <t>Share of losses of associates</t>
  </si>
  <si>
    <t>PROFIT BEFORE TAX</t>
  </si>
  <si>
    <t>Income tax expense</t>
  </si>
  <si>
    <t>PROFIT FOR THE YEAR</t>
  </si>
  <si>
    <t>Number of Shares</t>
  </si>
  <si>
    <t>Basic for profit for the year (expressed in RMB per share)</t>
  </si>
  <si>
    <t>Diluted for profit for the year (expressed in RMB per share)</t>
  </si>
  <si>
    <t>Balance Sheet</t>
  </si>
  <si>
    <t>2018 RMB'000</t>
  </si>
  <si>
    <t>NON-CURRENT ASSETS</t>
  </si>
  <si>
    <t>Property, plant and equipment</t>
  </si>
  <si>
    <t>Investment properties</t>
  </si>
  <si>
    <t>Right-of-use assets</t>
  </si>
  <si>
    <t>Goodwill</t>
  </si>
  <si>
    <t>Intangible assets</t>
  </si>
  <si>
    <t>Investments in associates</t>
  </si>
  <si>
    <t>Financial assets at fair value through profit or loss</t>
  </si>
  <si>
    <t>Deferred tax assets</t>
  </si>
  <si>
    <t>Time deposits</t>
  </si>
  <si>
    <t>Due from related parties</t>
  </si>
  <si>
    <t>Prepayments, other receivables and other assets</t>
  </si>
  <si>
    <t>Total non-current assets</t>
  </si>
  <si>
    <t>CURRENT ASSETS</t>
  </si>
  <si>
    <t>Inventories (O)</t>
  </si>
  <si>
    <t>Trade receivables (O)</t>
  </si>
  <si>
    <t>Prepayments, other receivables and other assets (O)</t>
  </si>
  <si>
    <t>Due from related parties (O)</t>
  </si>
  <si>
    <t>Other current financial assets</t>
  </si>
  <si>
    <t>Restricted deposits</t>
  </si>
  <si>
    <t>Cash and cash equivalents</t>
  </si>
  <si>
    <t>Total current assets</t>
  </si>
  <si>
    <t>CURRENT LIABILITIES</t>
  </si>
  <si>
    <t>Trade payables (O)</t>
  </si>
  <si>
    <t>Other payables and accruals (O)</t>
  </si>
  <si>
    <t>Due to related parties (O)</t>
  </si>
  <si>
    <t>Other borrowings</t>
  </si>
  <si>
    <t>Interest-bearing bank and other borrowings</t>
  </si>
  <si>
    <t>Interest-bearing other borrowings</t>
  </si>
  <si>
    <t>Lease liabilities</t>
  </si>
  <si>
    <t>Tax payable</t>
  </si>
  <si>
    <t>Total current liabilities</t>
  </si>
  <si>
    <t>NET CURRENT ASSETS</t>
  </si>
  <si>
    <t>TOTAL ASSETS LESS CURRENT LIABILITIES</t>
  </si>
  <si>
    <t>NON-CURRENT LIABILITIES</t>
  </si>
  <si>
    <t>Convertible bonds</t>
  </si>
  <si>
    <t>Deferred tax liabilities</t>
  </si>
  <si>
    <t>Other payables and accruals</t>
  </si>
  <si>
    <t>Total non-current liabilities</t>
  </si>
  <si>
    <t>Net assets</t>
  </si>
  <si>
    <t>EQUITY</t>
  </si>
  <si>
    <t>Equity attributable to owners of the parent</t>
  </si>
  <si>
    <t>Share capital</t>
  </si>
  <si>
    <t>Treasury shares</t>
  </si>
  <si>
    <t>Equity component of convertible bonds</t>
  </si>
  <si>
    <t>Reserves</t>
  </si>
  <si>
    <t>Non-controlling interests</t>
  </si>
  <si>
    <t>Total equity</t>
  </si>
  <si>
    <t>Statement of Cash Flows</t>
  </si>
  <si>
    <t>CASH FLOWS FROM OPERATING ACTIVITIES</t>
  </si>
  <si>
    <t>Profit before tax</t>
  </si>
  <si>
    <t>Adjustments for:</t>
  </si>
  <si>
    <t>Shareoflossesofassociates</t>
  </si>
  <si>
    <t>Interest income</t>
  </si>
  <si>
    <t>Foreign exchange differences, net</t>
  </si>
  <si>
    <t>Gainonbargainpurchase</t>
  </si>
  <si>
    <t>Fair value gains on financial assets at fair value through profit or loss</t>
  </si>
  <si>
    <t>Depreciation of property, plant and equipment</t>
  </si>
  <si>
    <t>Depreciation of investment properties</t>
  </si>
  <si>
    <t>Impairment of of investment properties</t>
  </si>
  <si>
    <t>Depreciation of right-of-use assets</t>
  </si>
  <si>
    <t>Amortisation of intangible assets</t>
  </si>
  <si>
    <t>Write-down of inventories</t>
  </si>
  <si>
    <t>Impairment/(reversal of impairment) of trade receivables</t>
  </si>
  <si>
    <t>(Reversal of impairment)/impairments of prepayments and other receivables</t>
  </si>
  <si>
    <t>Impairment of property, plant and equipment</t>
  </si>
  <si>
    <t>Impairment of goodwill</t>
  </si>
  <si>
    <t>Impairment of amounts due from related parties</t>
  </si>
  <si>
    <t>Loss/(gain) on disposal of items of property, plant and equipment, net</t>
  </si>
  <si>
    <t>Loss on disposal of a subsidiary</t>
  </si>
  <si>
    <t>Loss on disposal of items of intangible assets, net</t>
  </si>
  <si>
    <t>Gain on revision of leases</t>
  </si>
  <si>
    <t>Gain on a deemed disposal of interest previously held in an associate</t>
  </si>
  <si>
    <t>Gainondisposalofanassociate</t>
  </si>
  <si>
    <t>Gain on disposal of a subsidiary</t>
  </si>
  <si>
    <t>Share-based payments</t>
  </si>
  <si>
    <t>Covid-19-related rent concessions from lessors</t>
  </si>
  <si>
    <t/>
  </si>
  <si>
    <t>Decrease/(increase) in inventories</t>
  </si>
  <si>
    <t>(Increase)/decrease in trade receivables</t>
  </si>
  <si>
    <t>Decrease/(increase) in prepayments, other receivables and other assets</t>
  </si>
  <si>
    <t>Decrease in amounts due from related parties</t>
  </si>
  <si>
    <t>(Decrease)/increase in trade payables</t>
  </si>
  <si>
    <t>(Decrease)/increaseinotherpayablesand accruals</t>
  </si>
  <si>
    <t>(Increase)/decrease in amounts due from related parties</t>
  </si>
  <si>
    <t>(Decrease)/increase in amounts due to related parties</t>
  </si>
  <si>
    <t>(Increase)/decreaseinrestricteddeposits</t>
  </si>
  <si>
    <t>–</t>
  </si>
  <si>
    <t>Cash generated from operations</t>
  </si>
  <si>
    <t>Interest received</t>
  </si>
  <si>
    <t>Interest paid</t>
  </si>
  <si>
    <t>Income tax paid</t>
  </si>
  <si>
    <t>Net cash flows from operating activities</t>
  </si>
  <si>
    <t>CASH FLOWS FROM INVESTING ACTIVITIES</t>
  </si>
  <si>
    <t>Purchases of financial assets at fair value through profit or loss</t>
  </si>
  <si>
    <t>Proceeds/(disposal) from financial assets at fair value through profit or loss</t>
  </si>
  <si>
    <t>Purchases of time deposits over three months</t>
  </si>
  <si>
    <t>Withdrawal of time deposits over three months</t>
  </si>
  <si>
    <t>Purchases of other current financial assets</t>
  </si>
  <si>
    <t>Redemption of other current financial assets</t>
  </si>
  <si>
    <t>Increase of financial assets at fair value through profit or loss</t>
  </si>
  <si>
    <t>Payments for acquisition of items of property, plant and equipment</t>
  </si>
  <si>
    <t>Payments for acquisition of intangible assets</t>
  </si>
  <si>
    <t>Payments for acquisition of leasehold land</t>
  </si>
  <si>
    <t>Proceedsfromdisposalofanassociate</t>
  </si>
  <si>
    <t>Proceeds from disposal of items of property, plant and equipment</t>
  </si>
  <si>
    <t>One-off payments for acquisition of right-of-use assets</t>
  </si>
  <si>
    <t>Acquisition of subsidiaries</t>
  </si>
  <si>
    <t>Payment for acquisition of subsidiaries in prior years</t>
  </si>
  <si>
    <t>Disposal of a subsidiary</t>
  </si>
  <si>
    <t>Decrease in prepayments, other receivables and other assets</t>
  </si>
  <si>
    <t>Net cash flows from/(used in) investing activities</t>
  </si>
  <si>
    <t>CASH FLOWS FROM FINANCING ACTIVITIES</t>
  </si>
  <si>
    <t>Proceeds from issue of convertible bonds</t>
  </si>
  <si>
    <t>Purchases of shares for the share award scheme</t>
  </si>
  <si>
    <t>Prepayments received from the award of shares under the share award scheme</t>
  </si>
  <si>
    <t>Repurchase of restricted shares under the share award scheme</t>
  </si>
  <si>
    <t>Acquisition of non-controlling interests</t>
  </si>
  <si>
    <t>Repayment of interest-bearing other borrowings</t>
  </si>
  <si>
    <t>Proceeds from issue of share capital</t>
  </si>
  <si>
    <t>Repayment of non-controlling interests</t>
  </si>
  <si>
    <t>Contributions by non-controlling shareholders</t>
  </si>
  <si>
    <t>Increase in interest-bearing bank and other borrowings</t>
  </si>
  <si>
    <t>(Increase)/decrease inrestricteddeposits</t>
  </si>
  <si>
    <t>Repayment of interest-bearing bank and other borrowings</t>
  </si>
  <si>
    <t>Repayment of amounts due to related parties</t>
  </si>
  <si>
    <t>Principal portion of lease payments</t>
  </si>
  <si>
    <t>Payments of listing expenses</t>
  </si>
  <si>
    <t>Dividends paid</t>
  </si>
  <si>
    <t>Net cash flows from/(usedin) financing activities</t>
  </si>
  <si>
    <t>NET INCREASE/(DECREASE) IN CASH AND CASH EQUIVALENTS</t>
  </si>
  <si>
    <t>Cash and cash equivalents at beginning of year</t>
  </si>
  <si>
    <t>Effect of foreign exchange rate changes, net</t>
  </si>
  <si>
    <t>CASH AND CASH EQUIVALENTS AT END OF YEAR</t>
  </si>
  <si>
    <t>ANALYSIS OF BALANCES OF CASH AND CASH EQUIVALENTS</t>
  </si>
  <si>
    <t>Cash and bank balances</t>
  </si>
  <si>
    <t>Non-pledged time deposits with original maturity of less than three months when acquired</t>
  </si>
  <si>
    <t>Cash and cash equivalents as stated in the consolidated statement of financial position and statement of cash flows</t>
  </si>
  <si>
    <t>Assumptions</t>
  </si>
  <si>
    <t>No.</t>
  </si>
  <si>
    <t>Assumes linearity</t>
  </si>
  <si>
    <t>Assumes cumulative sum to be close to aproximate, if not linear</t>
  </si>
  <si>
    <t>Assumes capital invested operating at optimal capacity, if not full capacity</t>
  </si>
  <si>
    <t>Assumes depreciation and amortization to be roughly equal as maintenance capital expenditures</t>
  </si>
  <si>
    <t>Intrinsic value calculation ignores book value of equity</t>
  </si>
  <si>
    <t>Leases are capitalized</t>
  </si>
  <si>
    <t>Assumes PPE, ROU assets, goodwill and intangibles to have consistent composition to invested capital</t>
  </si>
  <si>
    <t>Assumes zero net working capital</t>
  </si>
  <si>
    <t>Ignores tax breaks, assumes HK tax rate at 24%</t>
  </si>
  <si>
    <t>Assumes all debt are paid in full after base year (2023)</t>
  </si>
  <si>
    <t>Assumes no new debt is issued starting from forcasted year (2024)</t>
  </si>
  <si>
    <t>Assumes no increase in number of shares</t>
  </si>
  <si>
    <t>Chaoju Eye Care Holdings Ltd (RMB '000), Past Performance</t>
  </si>
  <si>
    <t>Sales, Costs and Profits</t>
  </si>
  <si>
    <t>2018</t>
  </si>
  <si>
    <t>2019</t>
  </si>
  <si>
    <t>2020</t>
  </si>
  <si>
    <t>2021</t>
  </si>
  <si>
    <t>2022</t>
  </si>
  <si>
    <t>Base Year</t>
  </si>
  <si>
    <t>Revenue Growth</t>
  </si>
  <si>
    <t>COGS, Selling and Admin Expenses</t>
  </si>
  <si>
    <t>Tax Rate</t>
  </si>
  <si>
    <t>Taxes</t>
  </si>
  <si>
    <t>Zakat</t>
  </si>
  <si>
    <t>Operating Earnings Growth</t>
  </si>
  <si>
    <t>Operating Earnings After Tax</t>
  </si>
  <si>
    <t>FCFF Bridge</t>
  </si>
  <si>
    <t>Invested Capital Growth</t>
  </si>
  <si>
    <t>Return on Invested Capital</t>
  </si>
  <si>
    <t>Reinvestment Rate</t>
  </si>
  <si>
    <t>Free Cash Flow to Firm</t>
  </si>
  <si>
    <t>FCFE Bridge</t>
  </si>
  <si>
    <t>Payment of Debt</t>
  </si>
  <si>
    <t>Cost of Debt</t>
  </si>
  <si>
    <t>Cost of Lease</t>
  </si>
  <si>
    <t>Free Cash Flow to Equity</t>
  </si>
  <si>
    <t>Drivers and Inputs</t>
  </si>
  <si>
    <t>Inputs Summary</t>
  </si>
  <si>
    <t>2024</t>
  </si>
  <si>
    <t>2025</t>
  </si>
  <si>
    <t>2026</t>
  </si>
  <si>
    <t>2027</t>
  </si>
  <si>
    <t>2028</t>
  </si>
  <si>
    <t>2029</t>
  </si>
  <si>
    <t>2030</t>
  </si>
  <si>
    <t>2031</t>
  </si>
  <si>
    <t>2032</t>
  </si>
  <si>
    <t>2033</t>
  </si>
  <si>
    <t>Invested Capital Levers</t>
  </si>
  <si>
    <t>Property Plant and Equipment, %</t>
  </si>
  <si>
    <t>Right-of-Use Assets, %</t>
  </si>
  <si>
    <t>Goodwill and Intangibles, %</t>
  </si>
  <si>
    <t>Revenue Levers</t>
  </si>
  <si>
    <t>Sales to Capital Ratio</t>
  </si>
  <si>
    <t>Cost Levers</t>
  </si>
  <si>
    <t>Cost of Debt, %</t>
  </si>
  <si>
    <t>Cost of Lease, %</t>
  </si>
  <si>
    <t>Current Valuation</t>
  </si>
  <si>
    <t>Share price</t>
  </si>
  <si>
    <t>Market Cap</t>
  </si>
  <si>
    <t>Past Values</t>
  </si>
  <si>
    <t>Forecast Values</t>
  </si>
  <si>
    <t>Invested Capital as Determinant of Revenue</t>
  </si>
  <si>
    <t>Operating Current Assets</t>
  </si>
  <si>
    <t>Operating Current Liabilities</t>
  </si>
  <si>
    <t>Net Working Capital (O)</t>
  </si>
  <si>
    <t>% of Invested capital</t>
  </si>
  <si>
    <t>Property, Plant and Equipment</t>
  </si>
  <si>
    <t>Right-of-Use Assets</t>
  </si>
  <si>
    <t>Goodwill and Intangibles</t>
  </si>
  <si>
    <t>Net of Invested Capital</t>
  </si>
  <si>
    <t>Time Series Forecasts for Costs and Profits</t>
  </si>
  <si>
    <t>2023</t>
  </si>
  <si>
    <t>Cost of Goods</t>
  </si>
  <si>
    <t>% of Revenue</t>
  </si>
  <si>
    <t>Cost of Marketing</t>
  </si>
  <si>
    <t>Cost of Administration</t>
  </si>
  <si>
    <t>Other Costs</t>
  </si>
  <si>
    <t xml:space="preserve">Net of Cost </t>
  </si>
  <si>
    <t>CHECK</t>
  </si>
  <si>
    <t>% of Operating Earnings</t>
  </si>
  <si>
    <t>Operating Earnings (1-t)</t>
  </si>
  <si>
    <t>Returns on Invested Capital</t>
  </si>
  <si>
    <t>Bridge to Free Cash Flow to Firm</t>
  </si>
  <si>
    <t>Invested Capital Growth, %</t>
  </si>
  <si>
    <t>Bridge to Free Cash Flow to Equity</t>
  </si>
  <si>
    <t xml:space="preserve">Debt </t>
  </si>
  <si>
    <t>Leases</t>
  </si>
  <si>
    <t>Weighted Average Cost of Debt</t>
  </si>
  <si>
    <t>Payment of debt</t>
  </si>
  <si>
    <t xml:space="preserve">Interest Cost </t>
  </si>
  <si>
    <t>Chaoju Eye Care Holdings Ltd (RMB '000), Forecasted Performance</t>
  </si>
  <si>
    <t>Primary Drivers</t>
  </si>
  <si>
    <t>Settlement of Debt</t>
  </si>
  <si>
    <t>Valuation Summary</t>
  </si>
  <si>
    <t>10-year FCFE returns</t>
  </si>
  <si>
    <t>FCFE yield CAGR</t>
  </si>
  <si>
    <t>Capital gains CAGR</t>
  </si>
  <si>
    <t>Total annual return, %</t>
  </si>
  <si>
    <t>Required annual return, %</t>
  </si>
  <si>
    <t>Invested Capital Composition, %</t>
  </si>
  <si>
    <t>Working Capital</t>
  </si>
  <si>
    <t>Plant, Property and Equipment</t>
  </si>
  <si>
    <t>Capital Gains and Yields</t>
  </si>
  <si>
    <t>FCFE per share</t>
  </si>
  <si>
    <t>Capital Growth</t>
  </si>
  <si>
    <t>Sum of FCFE yield and growth</t>
  </si>
  <si>
    <t>Required Annual Return</t>
  </si>
  <si>
    <t>Payment of Lease</t>
  </si>
  <si>
    <t>Cumulative FCFE</t>
  </si>
  <si>
    <t>Cumulative FCFE + Market Cap</t>
  </si>
  <si>
    <t>Cumulative market cap growth</t>
  </si>
  <si>
    <t>Intrinsic value</t>
  </si>
  <si>
    <t>Required market cap</t>
  </si>
  <si>
    <t>Chaoju Eye Care Holdings Ltd (RMB '000), Valuations</t>
  </si>
  <si>
    <t>Discounted Cash Flow Method</t>
  </si>
  <si>
    <t>DCF Assumptions</t>
  </si>
  <si>
    <t>Risk Free Rate</t>
  </si>
  <si>
    <t>Market Returns</t>
  </si>
  <si>
    <t>Beta</t>
  </si>
  <si>
    <t>Discount Rate</t>
  </si>
  <si>
    <t>Terminal Growth Rate</t>
  </si>
  <si>
    <t xml:space="preserve">Discounted Cash Flow </t>
  </si>
  <si>
    <t>Terminal Year</t>
  </si>
  <si>
    <t>Terminal Cash Flow</t>
  </si>
  <si>
    <t>Discount Factor</t>
  </si>
  <si>
    <t>Discounted Free Cash Flow</t>
  </si>
  <si>
    <t>Intrinsic Value</t>
  </si>
  <si>
    <t>Discounted Terminal Value Possibilities</t>
  </si>
  <si>
    <t>Sum of Present Value</t>
  </si>
  <si>
    <t>Cost of Capital</t>
  </si>
  <si>
    <t>Terminal Growth</t>
  </si>
  <si>
    <t xml:space="preserve"> - Debt</t>
  </si>
  <si>
    <t xml:space="preserve"> - Minority Interest</t>
  </si>
  <si>
    <t xml:space="preserve"> + Cash</t>
  </si>
  <si>
    <t xml:space="preserve"> + Non-Operating Assets</t>
  </si>
  <si>
    <t>Value of Equity</t>
  </si>
  <si>
    <t>Value of Equity Per Share</t>
  </si>
  <si>
    <t>Market Price</t>
  </si>
  <si>
    <t>Upside</t>
  </si>
  <si>
    <t>Modified Rate of Return Method</t>
  </si>
  <si>
    <t>Market Capitalization</t>
  </si>
  <si>
    <t>Required FCFE Yield</t>
  </si>
  <si>
    <t>Capital Gains and Cash Distribution</t>
  </si>
  <si>
    <t>Distributable Free Cash Flow</t>
  </si>
  <si>
    <t>Free Cash Flow to Equity Growth</t>
  </si>
  <si>
    <t>Free Cash Flow to Equity Yield</t>
  </si>
  <si>
    <t>Cumulative market cap</t>
  </si>
  <si>
    <t>Capital Gains</t>
  </si>
  <si>
    <t>Market Cap and FCFE Yield Requirement Threshold</t>
  </si>
  <si>
    <t>Final Market Cap</t>
  </si>
  <si>
    <t>Required Yield</t>
  </si>
  <si>
    <t>Total Cash Distributed</t>
  </si>
  <si>
    <t>Sum of Profits</t>
  </si>
  <si>
    <t>CAGR</t>
  </si>
  <si>
    <t>Investable?</t>
  </si>
  <si>
    <t>Expected Annual Returns</t>
  </si>
  <si>
    <t>Key Risk</t>
  </si>
  <si>
    <t>Positive Outcome</t>
  </si>
  <si>
    <t>Negative Outcome</t>
  </si>
  <si>
    <t>Price reduction directives</t>
  </si>
  <si>
    <t xml:space="preserve">Chaoju may be subjected to price reduction directives from local provincial or national policies if opthalmic treatment is commoditized and considered basic. </t>
  </si>
  <si>
    <t>No price reduction directives imposed as it was not seen as a basic, commoditized healthcare.</t>
  </si>
  <si>
    <t>Price reduction is imposed, affecting revenue and decreasing gross margins.</t>
  </si>
  <si>
    <t>Non-profit mandate</t>
  </si>
  <si>
    <t xml:space="preserve">Chaoju may be subjected to non-profit mandates from local provincial or national policies if opthalmic treatment is commoditized and considered basic. </t>
  </si>
  <si>
    <t>No non-profit mandate imposed as the government does no consider it to be critical or strategic.</t>
  </si>
  <si>
    <t>Case Study</t>
  </si>
  <si>
    <t>Revenue, margins and profits nosedive as companies are no longer allowed to profit from opthalmic services</t>
  </si>
  <si>
    <t>Likely</t>
  </si>
  <si>
    <t>Highly unlikely</t>
  </si>
  <si>
    <t>Rising costs</t>
  </si>
  <si>
    <t>The costs of salary, medical devices and legal costs increases over time.</t>
  </si>
  <si>
    <t>Chaoju increases the price of surgeries to match with inflation, compliant with medical practices</t>
  </si>
  <si>
    <t>Chaoju lost power over price and suffered shrinking margins</t>
  </si>
  <si>
    <t>Probability of risk</t>
  </si>
  <si>
    <t>Medical devices, surgical tools and minimum wage have increased over time in China.</t>
  </si>
  <si>
    <t>Prohibition of Variable Interest Entity (VIE)</t>
  </si>
  <si>
    <t>Chaoju retains control as the Chinese government viewed it as legal</t>
  </si>
  <si>
    <t>Chaoju loses control of 30% or more if the Chinese government viewed it as illegal</t>
  </si>
  <si>
    <t>Chaoju has entered into a contractual agreement with investors that allows it to control 100% as a foreign entity, bypassing the 70% limit law. This means Chaoju does not legally own 30% of the equity. Legal advisors have stated this practice is legal in China.</t>
  </si>
  <si>
    <t>The Chinese government has mandated the Volume-Based Procurement program to allow hospitals to acquire mass medicine for cheap and commoditized medicine. This makes drugs and medicine cheap. They also had mandated the prohibition of profiteering from high school and middle school education (K-12). A $126 bilion industry wiped out because of the mandate.</t>
  </si>
  <si>
    <t>Highly likely</t>
  </si>
  <si>
    <t>There is no real case of a crackdown based solely on VIE. However, Chinese authorities has emphasized it is not officially recognized. Foreign investors equity ownership is restricted to 70% equity only.</t>
  </si>
  <si>
    <t>Assumes no purchase of financial assets</t>
  </si>
  <si>
    <t>Free Cash Flow Yield + Intrinsic Value Growth</t>
  </si>
  <si>
    <t>Required FCF Yield</t>
  </si>
  <si>
    <t>Free Cash Flow</t>
  </si>
  <si>
    <t>Intrinsic Value Growth</t>
  </si>
  <si>
    <t>(Final Year Intrinsic Value/Base Year Market Cap)^(1/n)-1</t>
  </si>
  <si>
    <t xml:space="preserve">The intrinsic value in this context is the minimum amount of yield a security can provide that is required by the investor. Note that the yield used is free cash flow yield and not dividends yield because FCF yield is real, tangible, practical yield. The yield may be derived from the risk-free rate plus a premium of the investor's choice. This will result in the intrinsic value of a company. This way every year, the market cap may grow or shrink based on the yield it generates. </t>
  </si>
  <si>
    <t xml:space="preserve">The growth of intrinsic value is the growth of market cap under the condition that it retains the FCF yield. This hypothesis would benefit both dividend seeking investors and growth investors to invest in a company that is both growing and has the capacity to distribute FCF. </t>
  </si>
  <si>
    <t>High Growth</t>
  </si>
  <si>
    <t>Ratings</t>
  </si>
  <si>
    <t>Unattractive</t>
  </si>
  <si>
    <t>Uninvestable</t>
  </si>
  <si>
    <t>Justifiable</t>
  </si>
  <si>
    <t>Attractive</t>
  </si>
  <si>
    <t>The Valuation Standard is a framework of principles and methods I’ve developed for my own investment approach. I believe it is an alternative to conventional investing and valuation techniques. While many of the principles align with industry standards, certain metrics and valuation methods intentionally deviate based on my personal understanding of how investing should function and how companies should truly be valued. If you choose to read my analysis and valuations, please note that I do not always adhere strictly to traditional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</si>
</sst>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3" formatCode="_-* #,##0.00_-;\-* #,##0.00_-;_-* &quot;-&quot;??_-;_-@_-"/>
    <numFmt numFmtId="164" formatCode="0.000%"/>
    <numFmt numFmtId="165" formatCode="_ [$¥-804]* #,##0.00_ ;_ [$¥-804]* \-#,##0.00_ ;_ [$¥-804]* &quot;-&quot;??_ ;_ @_ "/>
    <numFmt numFmtId="166" formatCode="_-* #,##0_-;\-* #,##0_-;_-* &quot;-&quot;??_-;_-@_-"/>
    <numFmt numFmtId="167" formatCode="_ [$¥-804]* #,##0_ ;_ [$¥-804]* \-#,##0_ ;_ [$¥-804]* &quot;-&quot;??_ ;_ @_ "/>
    <numFmt numFmtId="168" formatCode="_-[$€-2]\ * #,##0.00_-;\-[$€-2]\ * #,##0.00_-;_-[$€-2]\ * &quot;-&quot;??_-;_-@_-"/>
    <numFmt numFmtId="169" formatCode="_-[$RM-4409]* #,##0.00_-;\-[$RM-4409]* #,##0.00_-;_-[$RM-4409]* &quot;-&quot;??_-;_-@_-"/>
    <numFmt numFmtId="170" formatCode="0000"/>
    <numFmt numFmtId="171" formatCode="_-[$HKD]\ * #,##0.00_-;\-[$HKD]\ * #,##0.00_-;_-[$HKD]\ * &quot;-&quot;??_-;_-@_-"/>
    <numFmt numFmtId="172" formatCode="[$HKD]\ #,##0.00"/>
    <numFmt numFmtId="173" formatCode="#,##0_ ;\-#,##0\ "/>
    <numFmt numFmtId="174" formatCode="#,##0;\(#,##0\);&quot;-&quot;"/>
    <numFmt numFmtId="175" formatCode="#,##0;\(#,##0\);&quot;0&quot;"/>
    <numFmt numFmtId="176" formatCode="#,##0.00;\(#,##0.00\);&quot;-&quot;"/>
    <numFmt numFmtId="177" formatCode="#,##0.0000;\(#,##0.0000\);&quot;-&quot;"/>
    <numFmt numFmtId="178" formatCode="0.0000"/>
    <numFmt numFmtId="179" formatCode="_-* #,##0.0000_-;\-* #,##0.0000_-;_-* &quot;-&quot;??_-;_-@_-"/>
  </numFmts>
  <fonts count="37">
    <font>
      <sz val="11"/>
      <color theme="1"/>
      <name val="Aptos Narrow"/>
      <family val="2"/>
      <scheme val="minor"/>
    </font>
    <font>
      <sz val="11"/>
      <color theme="1"/>
      <name val="Aptos Narrow"/>
      <family val="2"/>
      <scheme val="minor"/>
    </font>
    <font>
      <sz val="8"/>
      <name val="Aptos Narrow"/>
      <family val="2"/>
      <scheme val="minor"/>
    </font>
    <font>
      <i/>
      <sz val="20"/>
      <color theme="1"/>
      <name val="Times"/>
    </font>
    <font>
      <sz val="11"/>
      <color theme="1"/>
      <name val="Georgia"/>
      <family val="1"/>
    </font>
    <font>
      <sz val="11"/>
      <color theme="1"/>
      <name val="Calibri"/>
      <family val="2"/>
    </font>
    <font>
      <sz val="10"/>
      <color theme="1"/>
      <name val="Aptos Narrow"/>
      <family val="2"/>
      <scheme val="minor"/>
    </font>
    <font>
      <b/>
      <sz val="11"/>
      <color theme="1"/>
      <name val="Aptos Narrow"/>
      <family val="2"/>
      <scheme val="minor"/>
    </font>
    <font>
      <i/>
      <sz val="16"/>
      <color theme="1"/>
      <name val="Times"/>
    </font>
    <font>
      <sz val="11"/>
      <name val="Aptos Narrow"/>
      <family val="2"/>
      <scheme val="minor"/>
    </font>
    <font>
      <b/>
      <sz val="11"/>
      <color theme="0"/>
      <name val="Aptos Narrow"/>
      <family val="2"/>
      <scheme val="minor"/>
    </font>
    <font>
      <sz val="11"/>
      <color theme="0"/>
      <name val="Aptos Narrow"/>
      <family val="2"/>
      <scheme val="minor"/>
    </font>
    <font>
      <sz val="11"/>
      <color theme="0"/>
      <name val="Calibri"/>
      <family val="2"/>
    </font>
    <font>
      <sz val="11"/>
      <color theme="0"/>
      <name val="Georgia"/>
      <family val="1"/>
    </font>
    <font>
      <sz val="16"/>
      <color theme="0"/>
      <name val="Georgia"/>
      <family val="1"/>
    </font>
    <font>
      <i/>
      <sz val="11"/>
      <color theme="1"/>
      <name val="Times"/>
    </font>
    <font>
      <b/>
      <sz val="11"/>
      <color theme="1"/>
      <name val="Cambria"/>
      <family val="1"/>
    </font>
    <font>
      <i/>
      <sz val="12"/>
      <color theme="1"/>
      <name val="Times"/>
    </font>
    <font>
      <b/>
      <i/>
      <sz val="12"/>
      <color theme="1"/>
      <name val="Times"/>
    </font>
    <font>
      <sz val="20"/>
      <color theme="1"/>
      <name val="Aptos Narrow"/>
      <family val="2"/>
      <scheme val="minor"/>
    </font>
    <font>
      <i/>
      <sz val="12"/>
      <color theme="1"/>
      <name val="Aptos Narrow"/>
      <family val="2"/>
      <scheme val="minor"/>
    </font>
    <font>
      <b/>
      <i/>
      <sz val="12"/>
      <color theme="1"/>
      <name val="Aptos Narrow"/>
      <family val="2"/>
      <scheme val="minor"/>
    </font>
    <font>
      <sz val="11"/>
      <color theme="1"/>
      <name val="Arial"/>
      <family val="2"/>
    </font>
    <font>
      <sz val="11"/>
      <color theme="3" tint="0.249977111117893"/>
      <name val="Aptos Narrow"/>
      <family val="2"/>
      <scheme val="minor"/>
    </font>
    <font>
      <b/>
      <sz val="11"/>
      <name val="Aptos Narrow"/>
      <family val="2"/>
      <scheme val="minor"/>
    </font>
    <font>
      <sz val="11"/>
      <color theme="6" tint="-0.249977111117893"/>
      <name val="Aptos Narrow"/>
      <family val="2"/>
      <scheme val="minor"/>
    </font>
    <font>
      <sz val="11"/>
      <color theme="1"/>
      <name val="YAFdJjTk5UU_0"/>
    </font>
    <font>
      <b/>
      <sz val="10"/>
      <color rgb="FF0070C0"/>
      <name val="Aptos Narrow"/>
      <family val="2"/>
      <scheme val="minor"/>
    </font>
    <font>
      <b/>
      <sz val="11"/>
      <color rgb="FF0070C0"/>
      <name val="Aptos Narrow"/>
      <family val="2"/>
      <scheme val="minor"/>
    </font>
    <font>
      <sz val="11"/>
      <color rgb="FF0070C0"/>
      <name val="Aptos Narrow"/>
      <family val="2"/>
      <scheme val="minor"/>
    </font>
    <font>
      <u/>
      <sz val="11"/>
      <color theme="10"/>
      <name val="Aptos Narrow"/>
      <family val="2"/>
      <scheme val="minor"/>
    </font>
    <font>
      <sz val="11"/>
      <color theme="0"/>
      <name val="Georgia"/>
      <family val="2"/>
    </font>
    <font>
      <sz val="36"/>
      <color theme="0"/>
      <name val="Aptos Narrow"/>
      <family val="2"/>
      <scheme val="minor"/>
    </font>
    <font>
      <sz val="11"/>
      <color theme="0"/>
      <name val="FZYaoTi"/>
      <charset val="134"/>
    </font>
    <font>
      <i/>
      <sz val="11"/>
      <color theme="0"/>
      <name val="FZYaoTi"/>
    </font>
    <font>
      <sz val="16"/>
      <color theme="1"/>
      <name val="Aptos Narrow"/>
      <family val="2"/>
      <scheme val="minor"/>
    </font>
    <font>
      <sz val="12"/>
      <color theme="0"/>
      <name val="Aptos Narrow"/>
      <family val="2"/>
      <scheme val="minor"/>
    </font>
  </fonts>
  <fills count="1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3" tint="9.9978637043366805E-2"/>
        <bgColor indexed="64"/>
      </patternFill>
    </fill>
    <fill>
      <patternFill patternType="solid">
        <fgColor theme="1"/>
        <bgColor indexed="64"/>
      </patternFill>
    </fill>
    <fill>
      <patternFill patternType="solid">
        <fgColor theme="4"/>
        <bgColor indexed="64"/>
      </patternFill>
    </fill>
    <fill>
      <patternFill patternType="solid">
        <fgColor theme="3" tint="0.24994659260841701"/>
        <bgColor indexed="64"/>
      </patternFill>
    </fill>
    <fill>
      <patternFill patternType="solid">
        <fgColor theme="6" tint="0.79998168889431442"/>
        <bgColor indexed="64"/>
      </patternFill>
    </fill>
    <fill>
      <patternFill patternType="solid">
        <fgColor rgb="FF1F4E79"/>
        <bgColor indexed="64"/>
      </patternFill>
    </fill>
    <fill>
      <patternFill patternType="solid">
        <fgColor rgb="FF117A65"/>
        <bgColor indexed="64"/>
      </patternFill>
    </fill>
    <fill>
      <patternFill patternType="solid">
        <fgColor rgb="FF239B56"/>
        <bgColor indexed="64"/>
      </patternFill>
    </fill>
    <fill>
      <patternFill patternType="solid">
        <fgColor rgb="FFF39C12"/>
        <bgColor indexed="64"/>
      </patternFill>
    </fill>
    <fill>
      <patternFill patternType="solid">
        <fgColor rgb="FFC0392B"/>
        <bgColor indexed="64"/>
      </patternFill>
    </fill>
    <fill>
      <patternFill patternType="solid">
        <fgColor rgb="FF5D6D7E"/>
        <bgColor indexed="64"/>
      </patternFill>
    </fill>
    <fill>
      <patternFill patternType="solid">
        <fgColor rgb="FFFFC000"/>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30" fillId="0" borderId="0" applyNumberFormat="0" applyFill="0" applyBorder="0" applyAlignment="0" applyProtection="0"/>
  </cellStyleXfs>
  <cellXfs count="310">
    <xf numFmtId="0" fontId="0" fillId="0" borderId="0" xfId="0"/>
    <xf numFmtId="0" fontId="0" fillId="0" borderId="0" xfId="0" applyAlignment="1">
      <alignment horizontal="center"/>
    </xf>
    <xf numFmtId="9" fontId="0" fillId="0" borderId="0" xfId="1" applyFont="1"/>
    <xf numFmtId="10" fontId="0" fillId="0" borderId="0" xfId="1" applyNumberFormat="1" applyFont="1"/>
    <xf numFmtId="9" fontId="0" fillId="0" borderId="0" xfId="0" applyNumberFormat="1"/>
    <xf numFmtId="10" fontId="0" fillId="0" borderId="0" xfId="0" applyNumberFormat="1"/>
    <xf numFmtId="164" fontId="0" fillId="0" borderId="0" xfId="0" applyNumberFormat="1"/>
    <xf numFmtId="0" fontId="0" fillId="0" borderId="0" xfId="0" applyAlignment="1">
      <alignment horizontal="right"/>
    </xf>
    <xf numFmtId="0" fontId="0" fillId="2" borderId="0" xfId="0" applyFill="1" applyAlignment="1">
      <alignment horizontal="center"/>
    </xf>
    <xf numFmtId="0" fontId="0" fillId="2" borderId="0" xfId="0" applyFill="1"/>
    <xf numFmtId="10" fontId="0" fillId="2" borderId="0" xfId="1" applyNumberFormat="1" applyFont="1" applyFill="1"/>
    <xf numFmtId="0" fontId="0" fillId="0" borderId="0" xfId="0" applyAlignment="1">
      <alignment horizontal="left"/>
    </xf>
    <xf numFmtId="0" fontId="0" fillId="0" borderId="0" xfId="0" applyAlignment="1">
      <alignment horizontal="center" vertical="center"/>
    </xf>
    <xf numFmtId="0" fontId="4" fillId="0" borderId="0" xfId="0" applyFont="1"/>
    <xf numFmtId="0" fontId="0" fillId="3" borderId="0" xfId="0" applyFill="1"/>
    <xf numFmtId="0" fontId="4" fillId="3" borderId="2" xfId="0" applyFont="1" applyFill="1" applyBorder="1" applyAlignment="1">
      <alignment horizontal="center"/>
    </xf>
    <xf numFmtId="0" fontId="4" fillId="3" borderId="3" xfId="0" applyFont="1" applyFill="1" applyBorder="1"/>
    <xf numFmtId="0" fontId="4" fillId="3" borderId="8" xfId="0" applyFont="1" applyFill="1" applyBorder="1"/>
    <xf numFmtId="0" fontId="4" fillId="0" borderId="0" xfId="0" applyFont="1" applyAlignment="1">
      <alignment horizontal="center" vertical="center"/>
    </xf>
    <xf numFmtId="0" fontId="5" fillId="3" borderId="2" xfId="0" applyFont="1" applyFill="1" applyBorder="1" applyAlignment="1">
      <alignment horizontal="center"/>
    </xf>
    <xf numFmtId="165" fontId="0" fillId="0" borderId="0" xfId="0" applyNumberFormat="1"/>
    <xf numFmtId="0" fontId="0" fillId="0" borderId="7" xfId="0" applyBorder="1"/>
    <xf numFmtId="165" fontId="0" fillId="0" borderId="7" xfId="0" applyNumberFormat="1" applyBorder="1"/>
    <xf numFmtId="10" fontId="0" fillId="0" borderId="7" xfId="1" applyNumberFormat="1" applyFont="1" applyBorder="1"/>
    <xf numFmtId="0" fontId="0" fillId="0" borderId="3" xfId="0" applyBorder="1"/>
    <xf numFmtId="10" fontId="0" fillId="0" borderId="0" xfId="1" applyNumberFormat="1" applyFont="1" applyBorder="1"/>
    <xf numFmtId="0" fontId="0" fillId="0" borderId="11" xfId="0" applyBorder="1"/>
    <xf numFmtId="10" fontId="0" fillId="0" borderId="4" xfId="1" applyNumberFormat="1" applyFont="1" applyBorder="1"/>
    <xf numFmtId="10" fontId="0" fillId="0" borderId="12" xfId="1" applyNumberFormat="1" applyFont="1" applyBorder="1"/>
    <xf numFmtId="167" fontId="0" fillId="0" borderId="0" xfId="0" applyNumberFormat="1"/>
    <xf numFmtId="167" fontId="0" fillId="0" borderId="7" xfId="0" applyNumberFormat="1" applyBorder="1"/>
    <xf numFmtId="168" fontId="0" fillId="0" borderId="0" xfId="0" applyNumberFormat="1"/>
    <xf numFmtId="168" fontId="0" fillId="0" borderId="7" xfId="0" applyNumberFormat="1" applyBorder="1"/>
    <xf numFmtId="169" fontId="0" fillId="0" borderId="0" xfId="0" applyNumberFormat="1"/>
    <xf numFmtId="169" fontId="0" fillId="0" borderId="7" xfId="0" applyNumberFormat="1" applyBorder="1"/>
    <xf numFmtId="10" fontId="0" fillId="0" borderId="0" xfId="1" applyNumberFormat="1" applyFont="1" applyFill="1" applyBorder="1"/>
    <xf numFmtId="171" fontId="0" fillId="0" borderId="0" xfId="0" applyNumberFormat="1"/>
    <xf numFmtId="172" fontId="0" fillId="0" borderId="0" xfId="0" applyNumberFormat="1"/>
    <xf numFmtId="0" fontId="0" fillId="0" borderId="0" xfId="0" applyAlignment="1">
      <alignment horizontal="left" wrapText="1"/>
    </xf>
    <xf numFmtId="0" fontId="0" fillId="0" borderId="0" xfId="0" applyAlignment="1">
      <alignment wrapText="1"/>
    </xf>
    <xf numFmtId="165" fontId="0" fillId="0" borderId="0" xfId="0" applyNumberFormat="1" applyAlignment="1">
      <alignment horizontal="left"/>
    </xf>
    <xf numFmtId="167" fontId="0" fillId="0" borderId="0" xfId="0" applyNumberFormat="1" applyAlignment="1">
      <alignment horizontal="left"/>
    </xf>
    <xf numFmtId="0" fontId="7" fillId="0" borderId="0" xfId="0" applyFont="1"/>
    <xf numFmtId="3" fontId="0" fillId="0" borderId="0" xfId="0" applyNumberFormat="1"/>
    <xf numFmtId="0" fontId="0" fillId="0" borderId="13" xfId="0" applyBorder="1"/>
    <xf numFmtId="0" fontId="7" fillId="0" borderId="0" xfId="0" applyFont="1" applyAlignment="1">
      <alignment wrapText="1"/>
    </xf>
    <xf numFmtId="0" fontId="8" fillId="3" borderId="0" xfId="0" applyFont="1" applyFill="1" applyAlignment="1">
      <alignment vertical="center"/>
    </xf>
    <xf numFmtId="0" fontId="0" fillId="6" borderId="0" xfId="0" applyFill="1"/>
    <xf numFmtId="0" fontId="10" fillId="6" borderId="0" xfId="0" applyFont="1" applyFill="1" applyAlignment="1">
      <alignment vertical="center"/>
    </xf>
    <xf numFmtId="0" fontId="0" fillId="0" borderId="0" xfId="0" applyAlignment="1">
      <alignment vertical="center"/>
    </xf>
    <xf numFmtId="174" fontId="0" fillId="0" borderId="0" xfId="0" applyNumberFormat="1"/>
    <xf numFmtId="174" fontId="0" fillId="0" borderId="0" xfId="1" applyNumberFormat="1" applyFont="1" applyFill="1" applyBorder="1"/>
    <xf numFmtId="175" fontId="0" fillId="0" borderId="0" xfId="0" applyNumberFormat="1" applyAlignment="1">
      <alignment horizontal="right"/>
    </xf>
    <xf numFmtId="3" fontId="0" fillId="0" borderId="0" xfId="1" applyNumberFormat="1" applyFont="1" applyFill="1"/>
    <xf numFmtId="3" fontId="0" fillId="0" borderId="0" xfId="1" applyNumberFormat="1" applyFont="1" applyFill="1" applyBorder="1"/>
    <xf numFmtId="0" fontId="7" fillId="0" borderId="0" xfId="0" applyFont="1" applyAlignment="1">
      <alignment vertical="center"/>
    </xf>
    <xf numFmtId="0" fontId="10" fillId="0" borderId="0" xfId="0" applyFont="1" applyAlignment="1">
      <alignment vertical="center"/>
    </xf>
    <xf numFmtId="0" fontId="11" fillId="0" borderId="0" xfId="0" applyFont="1" applyAlignment="1">
      <alignment horizontal="right"/>
    </xf>
    <xf numFmtId="0" fontId="12" fillId="0" borderId="0" xfId="0" applyFont="1" applyAlignment="1">
      <alignment horizontal="right"/>
    </xf>
    <xf numFmtId="0" fontId="10" fillId="7" borderId="0" xfId="0" applyFont="1" applyFill="1" applyAlignment="1">
      <alignment horizontal="left" vertical="center"/>
    </xf>
    <xf numFmtId="0" fontId="7" fillId="7" borderId="0" xfId="0" applyFont="1" applyFill="1" applyAlignment="1">
      <alignment horizontal="left" vertical="center"/>
    </xf>
    <xf numFmtId="9" fontId="0" fillId="0" borderId="0" xfId="1" applyFont="1" applyFill="1" applyBorder="1" applyAlignment="1">
      <alignment horizontal="right"/>
    </xf>
    <xf numFmtId="166" fontId="0" fillId="0" borderId="0" xfId="2" applyNumberFormat="1" applyFont="1" applyFill="1" applyBorder="1" applyAlignment="1">
      <alignment horizontal="right"/>
    </xf>
    <xf numFmtId="3" fontId="0" fillId="0" borderId="0" xfId="2" applyNumberFormat="1" applyFont="1" applyFill="1" applyBorder="1" applyAlignment="1">
      <alignment horizontal="right"/>
    </xf>
    <xf numFmtId="10" fontId="0" fillId="0" borderId="0" xfId="1" applyNumberFormat="1" applyFont="1" applyFill="1" applyBorder="1" applyAlignment="1">
      <alignment horizontal="right"/>
    </xf>
    <xf numFmtId="173" fontId="0" fillId="0" borderId="0" xfId="2" applyNumberFormat="1" applyFont="1" applyFill="1" applyBorder="1" applyAlignment="1">
      <alignment horizontal="right"/>
    </xf>
    <xf numFmtId="9" fontId="0" fillId="0" borderId="0" xfId="1" applyFont="1" applyFill="1" applyAlignment="1">
      <alignment horizontal="right"/>
    </xf>
    <xf numFmtId="0" fontId="0" fillId="0" borderId="0" xfId="0" applyAlignment="1">
      <alignment horizontal="left" vertical="center"/>
    </xf>
    <xf numFmtId="0" fontId="0" fillId="0" borderId="0" xfId="0" applyAlignment="1">
      <alignment horizontal="left" indent="1"/>
    </xf>
    <xf numFmtId="10" fontId="0" fillId="0" borderId="0" xfId="1" applyNumberFormat="1" applyFont="1" applyFill="1"/>
    <xf numFmtId="9" fontId="0" fillId="0" borderId="0" xfId="1" applyFont="1" applyFill="1"/>
    <xf numFmtId="9" fontId="0" fillId="0" borderId="0" xfId="1" applyFont="1" applyFill="1" applyBorder="1"/>
    <xf numFmtId="174" fontId="0" fillId="0" borderId="0" xfId="2" applyNumberFormat="1" applyFont="1" applyFill="1" applyBorder="1" applyAlignment="1">
      <alignment horizontal="right"/>
    </xf>
    <xf numFmtId="0" fontId="0" fillId="0" borderId="0" xfId="0" applyAlignment="1">
      <alignment horizontal="left" vertical="center" indent="1"/>
    </xf>
    <xf numFmtId="9" fontId="0" fillId="0" borderId="0" xfId="1" applyFont="1" applyAlignment="1">
      <alignment horizontal="right"/>
    </xf>
    <xf numFmtId="174" fontId="0" fillId="0" borderId="0" xfId="1" applyNumberFormat="1" applyFont="1"/>
    <xf numFmtId="174" fontId="0" fillId="0" borderId="0" xfId="1" applyNumberFormat="1" applyFont="1" applyFill="1" applyBorder="1" applyAlignment="1">
      <alignment horizontal="right"/>
    </xf>
    <xf numFmtId="176" fontId="0" fillId="0" borderId="0" xfId="0" applyNumberFormat="1"/>
    <xf numFmtId="174" fontId="0" fillId="6" borderId="0" xfId="0" applyNumberFormat="1" applyFill="1"/>
    <xf numFmtId="174" fontId="10" fillId="6" borderId="0" xfId="0" applyNumberFormat="1" applyFont="1" applyFill="1" applyAlignment="1">
      <alignment vertical="center"/>
    </xf>
    <xf numFmtId="0" fontId="11" fillId="0" borderId="0" xfId="0" applyFont="1"/>
    <xf numFmtId="0" fontId="10" fillId="0" borderId="0" xfId="0" applyFont="1"/>
    <xf numFmtId="166" fontId="0" fillId="0" borderId="0" xfId="2" applyNumberFormat="1" applyFont="1"/>
    <xf numFmtId="175" fontId="0" fillId="0" borderId="0" xfId="0" applyNumberFormat="1"/>
    <xf numFmtId="0" fontId="4" fillId="3" borderId="5" xfId="0" applyFont="1" applyFill="1" applyBorder="1"/>
    <xf numFmtId="0" fontId="4" fillId="3" borderId="11" xfId="0" applyFont="1" applyFill="1" applyBorder="1"/>
    <xf numFmtId="0" fontId="0" fillId="0" borderId="2" xfId="0" applyBorder="1"/>
    <xf numFmtId="0" fontId="15" fillId="0" borderId="0" xfId="0" applyFont="1"/>
    <xf numFmtId="0" fontId="0" fillId="0" borderId="5" xfId="0" applyBorder="1"/>
    <xf numFmtId="0" fontId="17" fillId="0" borderId="0" xfId="0" applyFont="1"/>
    <xf numFmtId="0" fontId="18" fillId="0" borderId="0" xfId="0" applyFont="1"/>
    <xf numFmtId="0" fontId="17" fillId="0" borderId="0" xfId="0" applyFont="1" applyAlignment="1">
      <alignment vertical="top" wrapText="1"/>
    </xf>
    <xf numFmtId="0" fontId="4" fillId="0" borderId="8" xfId="0" applyFont="1" applyBorder="1"/>
    <xf numFmtId="0" fontId="22" fillId="0" borderId="0" xfId="0" applyFont="1"/>
    <xf numFmtId="10" fontId="22" fillId="0" borderId="0" xfId="1" applyNumberFormat="1" applyFont="1"/>
    <xf numFmtId="0" fontId="1" fillId="0" borderId="0" xfId="0" applyFont="1"/>
    <xf numFmtId="176" fontId="0" fillId="0" borderId="0" xfId="1" applyNumberFormat="1" applyFont="1"/>
    <xf numFmtId="9" fontId="6" fillId="0" borderId="0" xfId="1" applyFont="1" applyFill="1" applyBorder="1" applyAlignment="1">
      <alignment horizontal="right"/>
    </xf>
    <xf numFmtId="0" fontId="21" fillId="0" borderId="0" xfId="0" applyFont="1"/>
    <xf numFmtId="0" fontId="9" fillId="0" borderId="0" xfId="0" applyFont="1"/>
    <xf numFmtId="0" fontId="9" fillId="0" borderId="0" xfId="0" applyFont="1" applyAlignment="1">
      <alignment horizontal="left" indent="1"/>
    </xf>
    <xf numFmtId="179" fontId="0" fillId="0" borderId="0" xfId="2" applyNumberFormat="1" applyFont="1"/>
    <xf numFmtId="174" fontId="0" fillId="0" borderId="0" xfId="0" applyNumberFormat="1" applyAlignment="1">
      <alignment horizontal="right"/>
    </xf>
    <xf numFmtId="0" fontId="23" fillId="0" borderId="0" xfId="0" applyFont="1"/>
    <xf numFmtId="174" fontId="23" fillId="0" borderId="0" xfId="0" applyNumberFormat="1" applyFont="1" applyAlignment="1">
      <alignment horizontal="right"/>
    </xf>
    <xf numFmtId="10" fontId="6" fillId="0" borderId="4" xfId="1" applyNumberFormat="1" applyFont="1" applyFill="1" applyBorder="1"/>
    <xf numFmtId="0" fontId="10" fillId="8" borderId="0" xfId="0" applyFont="1" applyFill="1" applyAlignment="1">
      <alignment vertical="center"/>
    </xf>
    <xf numFmtId="0" fontId="11" fillId="8" borderId="0" xfId="0" applyFont="1" applyFill="1"/>
    <xf numFmtId="0" fontId="10" fillId="8" borderId="0" xfId="0" applyFont="1" applyFill="1"/>
    <xf numFmtId="9" fontId="0" fillId="8" borderId="0" xfId="1" applyFont="1" applyFill="1"/>
    <xf numFmtId="9" fontId="24" fillId="3" borderId="0" xfId="1" applyFont="1" applyFill="1"/>
    <xf numFmtId="0" fontId="24" fillId="3" borderId="0" xfId="0" applyFont="1" applyFill="1"/>
    <xf numFmtId="9" fontId="7" fillId="0" borderId="0" xfId="1" applyFont="1" applyFill="1"/>
    <xf numFmtId="0" fontId="10" fillId="6" borderId="0" xfId="0" applyFont="1" applyFill="1" applyAlignment="1">
      <alignment horizontal="right" vertical="center"/>
    </xf>
    <xf numFmtId="9" fontId="0" fillId="0" borderId="0" xfId="1" applyFont="1" applyFill="1" applyAlignment="1">
      <alignment horizontal="left"/>
    </xf>
    <xf numFmtId="9" fontId="0" fillId="0" borderId="0" xfId="1" applyFont="1" applyFill="1" applyAlignment="1">
      <alignment horizontal="left" indent="1"/>
    </xf>
    <xf numFmtId="174" fontId="0" fillId="0" borderId="0" xfId="0" applyNumberFormat="1" applyAlignment="1">
      <alignment vertical="center"/>
    </xf>
    <xf numFmtId="166" fontId="0" fillId="0" borderId="5" xfId="0" applyNumberFormat="1" applyBorder="1"/>
    <xf numFmtId="9" fontId="0" fillId="0" borderId="1" xfId="1" applyFont="1" applyBorder="1"/>
    <xf numFmtId="9" fontId="0" fillId="0" borderId="6" xfId="1" applyFont="1" applyBorder="1"/>
    <xf numFmtId="9" fontId="0" fillId="0" borderId="3" xfId="1" applyFont="1" applyBorder="1"/>
    <xf numFmtId="166" fontId="0" fillId="0" borderId="0" xfId="2" applyNumberFormat="1" applyFont="1" applyFill="1" applyBorder="1"/>
    <xf numFmtId="166" fontId="0" fillId="0" borderId="7" xfId="2" applyNumberFormat="1" applyFont="1" applyFill="1" applyBorder="1"/>
    <xf numFmtId="9" fontId="0" fillId="0" borderId="11" xfId="1" applyFont="1" applyBorder="1"/>
    <xf numFmtId="166" fontId="0" fillId="0" borderId="4" xfId="2" applyNumberFormat="1" applyFont="1" applyFill="1" applyBorder="1"/>
    <xf numFmtId="166" fontId="0" fillId="0" borderId="12" xfId="2" applyNumberFormat="1" applyFont="1" applyFill="1" applyBorder="1"/>
    <xf numFmtId="0" fontId="0" fillId="0" borderId="1" xfId="0" applyBorder="1"/>
    <xf numFmtId="174" fontId="0" fillId="0" borderId="10" xfId="0" applyNumberFormat="1" applyBorder="1"/>
    <xf numFmtId="10" fontId="0" fillId="0" borderId="0" xfId="1" applyNumberFormat="1" applyFont="1" applyAlignment="1">
      <alignment vertical="center"/>
    </xf>
    <xf numFmtId="10" fontId="0" fillId="0" borderId="5"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6" xfId="0" applyNumberFormat="1" applyBorder="1" applyAlignment="1">
      <alignment horizontal="center" vertical="center" wrapText="1"/>
    </xf>
    <xf numFmtId="10" fontId="0" fillId="0" borderId="3" xfId="0" applyNumberFormat="1" applyBorder="1" applyAlignment="1">
      <alignment vertical="center" wrapText="1"/>
    </xf>
    <xf numFmtId="10" fontId="0" fillId="0" borderId="0" xfId="0" applyNumberFormat="1" applyAlignment="1">
      <alignment vertical="center" wrapText="1"/>
    </xf>
    <xf numFmtId="0" fontId="0" fillId="0" borderId="0" xfId="0" applyAlignment="1">
      <alignment vertical="center" wrapText="1"/>
    </xf>
    <xf numFmtId="0" fontId="0" fillId="0" borderId="7" xfId="0" applyBorder="1" applyAlignment="1">
      <alignment vertical="center" wrapText="1"/>
    </xf>
    <xf numFmtId="10" fontId="0" fillId="0" borderId="11" xfId="0" applyNumberFormat="1" applyBorder="1" applyAlignment="1">
      <alignment vertical="center" wrapText="1"/>
    </xf>
    <xf numFmtId="0" fontId="0" fillId="0" borderId="4" xfId="0" applyBorder="1" applyAlignment="1">
      <alignment vertical="center" wrapText="1"/>
    </xf>
    <xf numFmtId="0" fontId="0" fillId="0" borderId="12" xfId="0" applyBorder="1" applyAlignment="1">
      <alignment vertical="center" wrapText="1"/>
    </xf>
    <xf numFmtId="10" fontId="0" fillId="0" borderId="0" xfId="1" applyNumberFormat="1" applyFont="1" applyBorder="1" applyAlignment="1">
      <alignment vertical="center" wrapText="1"/>
    </xf>
    <xf numFmtId="10" fontId="0" fillId="0" borderId="7" xfId="1" applyNumberFormat="1" applyFont="1" applyBorder="1" applyAlignment="1">
      <alignment vertical="center" wrapText="1"/>
    </xf>
    <xf numFmtId="10" fontId="0" fillId="0" borderId="4" xfId="1" applyNumberFormat="1" applyFont="1" applyBorder="1" applyAlignment="1">
      <alignment vertical="center" wrapText="1"/>
    </xf>
    <xf numFmtId="10" fontId="0" fillId="0" borderId="12" xfId="1" applyNumberFormat="1" applyFont="1" applyBorder="1" applyAlignment="1">
      <alignment vertical="center" wrapText="1"/>
    </xf>
    <xf numFmtId="10" fontId="0" fillId="0" borderId="5" xfId="1" applyNumberFormat="1" applyFont="1" applyBorder="1" applyAlignment="1">
      <alignment vertical="center" wrapText="1"/>
    </xf>
    <xf numFmtId="10" fontId="0" fillId="0" borderId="1" xfId="1" applyNumberFormat="1" applyFont="1" applyBorder="1" applyAlignment="1">
      <alignment vertical="center" wrapText="1"/>
    </xf>
    <xf numFmtId="10" fontId="0" fillId="0" borderId="3" xfId="1" applyNumberFormat="1" applyFont="1" applyBorder="1" applyAlignment="1">
      <alignment vertical="center" wrapText="1"/>
    </xf>
    <xf numFmtId="167" fontId="0" fillId="4" borderId="0" xfId="0" applyNumberFormat="1" applyFill="1"/>
    <xf numFmtId="167" fontId="0" fillId="4" borderId="7" xfId="0" applyNumberFormat="1" applyFill="1" applyBorder="1"/>
    <xf numFmtId="9" fontId="0" fillId="4" borderId="0" xfId="1" applyFont="1" applyFill="1" applyBorder="1"/>
    <xf numFmtId="9" fontId="0" fillId="4" borderId="7" xfId="1" applyFont="1" applyFill="1" applyBorder="1"/>
    <xf numFmtId="165" fontId="0" fillId="4" borderId="0" xfId="0" applyNumberFormat="1" applyFill="1"/>
    <xf numFmtId="165" fontId="0" fillId="4" borderId="7" xfId="0" applyNumberFormat="1" applyFill="1" applyBorder="1"/>
    <xf numFmtId="10" fontId="0" fillId="4" borderId="12" xfId="1" applyNumberFormat="1" applyFont="1" applyFill="1" applyBorder="1"/>
    <xf numFmtId="0" fontId="0" fillId="0" borderId="6" xfId="0" applyBorder="1"/>
    <xf numFmtId="10" fontId="0" fillId="4" borderId="7" xfId="0" applyNumberFormat="1" applyFill="1" applyBorder="1"/>
    <xf numFmtId="9" fontId="0" fillId="0" borderId="0" xfId="1" applyFont="1" applyBorder="1"/>
    <xf numFmtId="9" fontId="0" fillId="0" borderId="7" xfId="1" applyFont="1" applyBorder="1"/>
    <xf numFmtId="10" fontId="0" fillId="0" borderId="7" xfId="0" applyNumberFormat="1" applyBorder="1"/>
    <xf numFmtId="10" fontId="0" fillId="0" borderId="11" xfId="1" applyNumberFormat="1" applyFont="1" applyBorder="1" applyAlignment="1">
      <alignment vertical="center" wrapText="1"/>
    </xf>
    <xf numFmtId="0" fontId="26" fillId="0" borderId="0" xfId="0" applyFont="1" applyAlignment="1">
      <alignment vertical="center"/>
    </xf>
    <xf numFmtId="10" fontId="27" fillId="0" borderId="4" xfId="1" applyNumberFormat="1" applyFont="1" applyFill="1" applyBorder="1"/>
    <xf numFmtId="10" fontId="28" fillId="0" borderId="0" xfId="1" applyNumberFormat="1" applyFont="1" applyFill="1" applyBorder="1"/>
    <xf numFmtId="174" fontId="28" fillId="0" borderId="0" xfId="1" applyNumberFormat="1" applyFont="1" applyFill="1" applyBorder="1"/>
    <xf numFmtId="174" fontId="0" fillId="0" borderId="10" xfId="1" applyNumberFormat="1" applyFont="1" applyFill="1" applyBorder="1"/>
    <xf numFmtId="0" fontId="0" fillId="7" borderId="0" xfId="0" applyFill="1"/>
    <xf numFmtId="0" fontId="11" fillId="7" borderId="0" xfId="0" applyFont="1" applyFill="1"/>
    <xf numFmtId="0" fontId="10" fillId="7" borderId="0" xfId="0" applyFont="1" applyFill="1"/>
    <xf numFmtId="0" fontId="10" fillId="6" borderId="3" xfId="0" applyFont="1" applyFill="1" applyBorder="1" applyAlignment="1">
      <alignment vertical="center"/>
    </xf>
    <xf numFmtId="0" fontId="10" fillId="6" borderId="7" xfId="0" applyFont="1" applyFill="1" applyBorder="1" applyAlignment="1">
      <alignment horizontal="right" vertical="center"/>
    </xf>
    <xf numFmtId="174" fontId="0" fillId="0" borderId="7" xfId="0" applyNumberFormat="1" applyBorder="1"/>
    <xf numFmtId="0" fontId="0" fillId="0" borderId="11" xfId="0" applyBorder="1" applyAlignment="1">
      <alignment vertical="center"/>
    </xf>
    <xf numFmtId="9" fontId="0" fillId="0" borderId="12" xfId="1" applyFont="1" applyBorder="1"/>
    <xf numFmtId="0" fontId="10" fillId="6" borderId="5" xfId="0" applyFont="1" applyFill="1" applyBorder="1" applyAlignment="1">
      <alignment vertical="center"/>
    </xf>
    <xf numFmtId="0" fontId="0" fillId="0" borderId="3" xfId="0" applyBorder="1" applyAlignment="1">
      <alignment vertical="center"/>
    </xf>
    <xf numFmtId="10" fontId="0" fillId="0" borderId="0" xfId="1" applyNumberFormat="1" applyFont="1" applyBorder="1" applyAlignment="1">
      <alignment horizontal="left"/>
    </xf>
    <xf numFmtId="166" fontId="0" fillId="0" borderId="0" xfId="2" applyNumberFormat="1" applyFont="1" applyBorder="1"/>
    <xf numFmtId="178" fontId="0" fillId="0" borderId="0" xfId="0" applyNumberFormat="1"/>
    <xf numFmtId="174" fontId="0" fillId="0" borderId="0" xfId="1" applyNumberFormat="1" applyFont="1" applyBorder="1"/>
    <xf numFmtId="0" fontId="0" fillId="0" borderId="13" xfId="0" applyBorder="1" applyAlignment="1">
      <alignment horizontal="center"/>
    </xf>
    <xf numFmtId="0" fontId="20" fillId="0" borderId="0" xfId="0" applyFont="1" applyAlignment="1">
      <alignment horizontal="center" vertical="top" wrapText="1"/>
    </xf>
    <xf numFmtId="0" fontId="0" fillId="0" borderId="0" xfId="0" applyAlignment="1">
      <alignment horizontal="center" vertical="center" wrapText="1"/>
    </xf>
    <xf numFmtId="0" fontId="0" fillId="2" borderId="13" xfId="0" applyFill="1" applyBorder="1" applyAlignment="1">
      <alignment horizontal="center" vertical="center"/>
    </xf>
    <xf numFmtId="0" fontId="0" fillId="0" borderId="13" xfId="0" applyBorder="1" applyAlignment="1">
      <alignment horizontal="center" vertical="center" wrapText="1"/>
    </xf>
    <xf numFmtId="0" fontId="0" fillId="0" borderId="4" xfId="0" applyBorder="1"/>
    <xf numFmtId="0" fontId="0" fillId="0" borderId="12" xfId="0" applyBorder="1"/>
    <xf numFmtId="0" fontId="0" fillId="0" borderId="13" xfId="0" applyBorder="1" applyAlignment="1">
      <alignment horizontal="center" vertical="center"/>
    </xf>
    <xf numFmtId="10" fontId="0" fillId="0" borderId="6" xfId="1" applyNumberFormat="1" applyFont="1" applyBorder="1" applyAlignment="1">
      <alignment vertical="center" wrapText="1"/>
    </xf>
    <xf numFmtId="176" fontId="0" fillId="0" borderId="0" xfId="1" applyNumberFormat="1" applyFont="1" applyFill="1" applyBorder="1"/>
    <xf numFmtId="9" fontId="7" fillId="0" borderId="0" xfId="1" applyFont="1" applyFill="1" applyBorder="1" applyAlignment="1">
      <alignment horizontal="left"/>
    </xf>
    <xf numFmtId="9" fontId="0" fillId="0" borderId="0" xfId="1" applyFont="1" applyFill="1" applyBorder="1" applyAlignment="1">
      <alignment horizontal="left" indent="1"/>
    </xf>
    <xf numFmtId="9" fontId="29" fillId="0" borderId="0" xfId="1" applyFont="1" applyFill="1" applyBorder="1"/>
    <xf numFmtId="9" fontId="29" fillId="0" borderId="0" xfId="0" applyNumberFormat="1" applyFont="1"/>
    <xf numFmtId="0" fontId="29" fillId="0" borderId="0" xfId="0" applyFont="1"/>
    <xf numFmtId="177" fontId="29" fillId="0" borderId="0" xfId="1" applyNumberFormat="1" applyFont="1" applyFill="1" applyBorder="1"/>
    <xf numFmtId="10" fontId="29" fillId="0" borderId="0" xfId="1" applyNumberFormat="1" applyFont="1" applyFill="1" applyBorder="1"/>
    <xf numFmtId="10" fontId="29" fillId="0" borderId="0" xfId="0" applyNumberFormat="1" applyFont="1"/>
    <xf numFmtId="0" fontId="10" fillId="10" borderId="0" xfId="0" applyFont="1" applyFill="1" applyAlignment="1">
      <alignment horizontal="right"/>
    </xf>
    <xf numFmtId="10" fontId="6" fillId="0" borderId="0" xfId="1" applyNumberFormat="1" applyFont="1" applyFill="1" applyBorder="1"/>
    <xf numFmtId="0" fontId="7" fillId="0" borderId="3" xfId="0" applyFont="1" applyBorder="1" applyAlignment="1">
      <alignment horizontal="left" indent="1"/>
    </xf>
    <xf numFmtId="10" fontId="1" fillId="0" borderId="0" xfId="1" applyNumberFormat="1" applyFont="1" applyFill="1" applyBorder="1"/>
    <xf numFmtId="10" fontId="28" fillId="0" borderId="7" xfId="1" applyNumberFormat="1" applyFont="1" applyFill="1" applyBorder="1"/>
    <xf numFmtId="0" fontId="10" fillId="10" borderId="0" xfId="0" applyFont="1" applyFill="1" applyAlignment="1">
      <alignment vertical="center"/>
    </xf>
    <xf numFmtId="0" fontId="7" fillId="0" borderId="0" xfId="0" applyFont="1" applyAlignment="1">
      <alignment horizontal="left" indent="1"/>
    </xf>
    <xf numFmtId="0" fontId="7" fillId="0" borderId="0" xfId="0" applyFont="1" applyAlignment="1">
      <alignment horizontal="left"/>
    </xf>
    <xf numFmtId="9" fontId="28" fillId="0" borderId="0" xfId="1" applyFont="1" applyFill="1" applyBorder="1"/>
    <xf numFmtId="174" fontId="0" fillId="0" borderId="7" xfId="1" applyNumberFormat="1" applyFont="1" applyFill="1" applyBorder="1"/>
    <xf numFmtId="0" fontId="0" fillId="0" borderId="3" xfId="0" applyBorder="1" applyAlignment="1">
      <alignment horizontal="left" vertical="center" indent="1"/>
    </xf>
    <xf numFmtId="10" fontId="0" fillId="0" borderId="7" xfId="1" applyNumberFormat="1" applyFont="1" applyFill="1" applyBorder="1"/>
    <xf numFmtId="0" fontId="0" fillId="0" borderId="3" xfId="0" applyBorder="1" applyAlignment="1">
      <alignment horizontal="left" vertical="center"/>
    </xf>
    <xf numFmtId="174" fontId="0" fillId="0" borderId="14" xfId="1" applyNumberFormat="1" applyFont="1" applyFill="1" applyBorder="1"/>
    <xf numFmtId="0" fontId="25" fillId="11" borderId="3" xfId="0" applyFont="1" applyFill="1" applyBorder="1"/>
    <xf numFmtId="0" fontId="7" fillId="0" borderId="3" xfId="0" applyFont="1" applyBorder="1" applyAlignment="1">
      <alignment horizontal="left" vertical="center" indent="1"/>
    </xf>
    <xf numFmtId="174" fontId="0" fillId="0" borderId="4" xfId="0" applyNumberFormat="1" applyBorder="1"/>
    <xf numFmtId="0" fontId="7" fillId="0" borderId="0" xfId="0" applyFont="1" applyAlignment="1">
      <alignment horizontal="left" vertical="center" indent="1"/>
    </xf>
    <xf numFmtId="0" fontId="10" fillId="6" borderId="1" xfId="0" applyFont="1" applyFill="1" applyBorder="1" applyAlignment="1">
      <alignment horizontal="right" vertical="center"/>
    </xf>
    <xf numFmtId="0" fontId="10" fillId="6" borderId="6" xfId="0" applyFont="1" applyFill="1" applyBorder="1" applyAlignment="1">
      <alignment horizontal="right" vertical="center"/>
    </xf>
    <xf numFmtId="0" fontId="36" fillId="16" borderId="13" xfId="0" applyFont="1" applyFill="1" applyBorder="1" applyAlignment="1">
      <alignment horizontal="center" vertical="center" wrapText="1"/>
    </xf>
    <xf numFmtId="0" fontId="13" fillId="0" borderId="0" xfId="0" applyFont="1" applyAlignment="1">
      <alignment horizontal="right"/>
    </xf>
    <xf numFmtId="9" fontId="6" fillId="0" borderId="0" xfId="1" applyFont="1" applyBorder="1" applyAlignment="1">
      <alignment horizontal="right"/>
    </xf>
    <xf numFmtId="0" fontId="19" fillId="0" borderId="13" xfId="0" applyFont="1" applyBorder="1" applyAlignment="1">
      <alignment horizontal="center" vertical="center"/>
    </xf>
    <xf numFmtId="0" fontId="0" fillId="0" borderId="13" xfId="0" applyBorder="1" applyAlignment="1">
      <alignment horizontal="center"/>
    </xf>
    <xf numFmtId="9" fontId="31" fillId="17" borderId="13" xfId="0" applyNumberFormat="1" applyFont="1" applyFill="1" applyBorder="1" applyAlignment="1">
      <alignment horizontal="center" vertical="top" wrapText="1"/>
    </xf>
    <xf numFmtId="0" fontId="13" fillId="17" borderId="13" xfId="0" applyFont="1" applyFill="1" applyBorder="1" applyAlignment="1">
      <alignment horizontal="center" vertical="top" wrapText="1"/>
    </xf>
    <xf numFmtId="9" fontId="31" fillId="13" borderId="13" xfId="0" applyNumberFormat="1" applyFont="1" applyFill="1" applyBorder="1" applyAlignment="1">
      <alignment horizontal="center" wrapText="1"/>
    </xf>
    <xf numFmtId="0" fontId="13" fillId="13" borderId="13" xfId="0" applyFont="1" applyFill="1" applyBorder="1" applyAlignment="1">
      <alignment horizontal="center" wrapText="1"/>
    </xf>
    <xf numFmtId="9" fontId="31" fillId="14" borderId="13" xfId="0" applyNumberFormat="1" applyFont="1" applyFill="1" applyBorder="1" applyAlignment="1">
      <alignment horizontal="center" vertical="top" wrapText="1"/>
    </xf>
    <xf numFmtId="0" fontId="13" fillId="14" borderId="13" xfId="0" applyFont="1" applyFill="1" applyBorder="1" applyAlignment="1">
      <alignment horizontal="center" vertical="top" wrapText="1"/>
    </xf>
    <xf numFmtId="9" fontId="31" fillId="15" borderId="13" xfId="0" applyNumberFormat="1" applyFont="1" applyFill="1" applyBorder="1" applyAlignment="1">
      <alignment horizontal="center" vertical="top" wrapText="1"/>
    </xf>
    <xf numFmtId="0" fontId="13" fillId="15" borderId="13" xfId="0" applyFont="1" applyFill="1" applyBorder="1" applyAlignment="1">
      <alignment horizontal="center" vertical="top" wrapText="1"/>
    </xf>
    <xf numFmtId="9" fontId="31" fillId="16" borderId="13" xfId="0" applyNumberFormat="1" applyFont="1" applyFill="1" applyBorder="1" applyAlignment="1">
      <alignment horizontal="center" vertical="top" wrapText="1"/>
    </xf>
    <xf numFmtId="0" fontId="13" fillId="16" borderId="13" xfId="0" applyFont="1" applyFill="1" applyBorder="1" applyAlignment="1">
      <alignment horizontal="center" vertical="top" wrapText="1"/>
    </xf>
    <xf numFmtId="9" fontId="31" fillId="12" borderId="13" xfId="0" applyNumberFormat="1" applyFont="1" applyFill="1" applyBorder="1" applyAlignment="1">
      <alignment horizontal="center" vertical="top" wrapText="1"/>
    </xf>
    <xf numFmtId="0" fontId="13" fillId="12" borderId="13" xfId="0" applyFont="1" applyFill="1"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11" xfId="0" applyBorder="1" applyAlignment="1">
      <alignment horizontal="center" vertical="top" wrapText="1"/>
    </xf>
    <xf numFmtId="0" fontId="0" fillId="0" borderId="4"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left"/>
    </xf>
    <xf numFmtId="0" fontId="0" fillId="0" borderId="5" xfId="0" applyBorder="1" applyAlignment="1">
      <alignment horizontal="center"/>
    </xf>
    <xf numFmtId="0" fontId="0" fillId="0" borderId="6" xfId="0" applyBorder="1" applyAlignment="1">
      <alignment horizontal="center"/>
    </xf>
    <xf numFmtId="0" fontId="4" fillId="4" borderId="0" xfId="0" applyFont="1" applyFill="1" applyAlignment="1">
      <alignment horizontal="center"/>
    </xf>
    <xf numFmtId="0" fontId="5" fillId="3" borderId="0" xfId="0" applyFont="1" applyFill="1" applyAlignment="1">
      <alignment horizontal="center"/>
    </xf>
    <xf numFmtId="0" fontId="5" fillId="3" borderId="7" xfId="0" applyFont="1" applyFill="1" applyBorder="1" applyAlignment="1">
      <alignment horizontal="center"/>
    </xf>
    <xf numFmtId="0" fontId="4" fillId="3" borderId="1" xfId="0" applyFont="1" applyFill="1" applyBorder="1" applyAlignment="1">
      <alignment horizontal="center"/>
    </xf>
    <xf numFmtId="0" fontId="4" fillId="3" borderId="6" xfId="0" applyFont="1" applyFill="1" applyBorder="1" applyAlignment="1">
      <alignment horizontal="center"/>
    </xf>
    <xf numFmtId="0" fontId="5" fillId="3" borderId="2" xfId="0" applyFont="1" applyFill="1" applyBorder="1" applyAlignment="1">
      <alignment horizontal="center"/>
    </xf>
    <xf numFmtId="9" fontId="0" fillId="4" borderId="0" xfId="0" applyNumberFormat="1" applyFill="1" applyAlignment="1">
      <alignment horizontal="center"/>
    </xf>
    <xf numFmtId="0" fontId="0" fillId="4" borderId="0" xfId="0" applyFill="1" applyAlignment="1">
      <alignment horizontal="center"/>
    </xf>
    <xf numFmtId="0" fontId="5" fillId="3" borderId="9" xfId="0" applyFont="1" applyFill="1" applyBorder="1" applyAlignment="1">
      <alignment horizontal="center"/>
    </xf>
    <xf numFmtId="0" fontId="14" fillId="9" borderId="3" xfId="0" applyFont="1" applyFill="1" applyBorder="1" applyAlignment="1">
      <alignment horizontal="center" vertical="center"/>
    </xf>
    <xf numFmtId="0" fontId="14" fillId="9" borderId="0" xfId="0" applyFont="1" applyFill="1" applyAlignment="1">
      <alignment horizontal="center" vertical="center"/>
    </xf>
    <xf numFmtId="0" fontId="15" fillId="0" borderId="0" xfId="0" applyFont="1" applyAlignment="1">
      <alignment horizontal="center"/>
    </xf>
    <xf numFmtId="0" fontId="20" fillId="0" borderId="0" xfId="0" applyFont="1" applyAlignment="1">
      <alignment horizontal="center" vertical="top" wrapText="1"/>
    </xf>
    <xf numFmtId="0" fontId="0" fillId="0" borderId="2" xfId="0" applyBorder="1" applyAlignment="1">
      <alignment horizontal="center"/>
    </xf>
    <xf numFmtId="0" fontId="0" fillId="0" borderId="9" xfId="0" applyBorder="1" applyAlignment="1">
      <alignment horizontal="center"/>
    </xf>
    <xf numFmtId="0" fontId="4" fillId="0" borderId="1" xfId="0" applyFont="1" applyBorder="1" applyAlignment="1">
      <alignment horizontal="center"/>
    </xf>
    <xf numFmtId="0" fontId="4" fillId="0" borderId="6" xfId="0" applyFont="1" applyBorder="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12" xfId="0" applyBorder="1" applyAlignment="1">
      <alignment horizontal="center"/>
    </xf>
    <xf numFmtId="9"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0" fontId="16" fillId="0" borderId="0" xfId="0" applyFont="1" applyAlignment="1">
      <alignment horizontal="center" vertical="center"/>
    </xf>
    <xf numFmtId="0" fontId="20" fillId="0" borderId="0" xfId="0" applyFont="1" applyAlignment="1">
      <alignment horizontal="center" wrapText="1"/>
    </xf>
    <xf numFmtId="0" fontId="16" fillId="0" borderId="4" xfId="0" applyFont="1" applyBorder="1" applyAlignment="1">
      <alignment horizontal="center" vertical="center"/>
    </xf>
    <xf numFmtId="0" fontId="0" fillId="0" borderId="3" xfId="0" applyBorder="1" applyAlignment="1">
      <alignment horizontal="center"/>
    </xf>
    <xf numFmtId="0" fontId="30" fillId="0" borderId="0" xfId="3" applyAlignment="1">
      <alignment horizontal="left"/>
    </xf>
    <xf numFmtId="0" fontId="0" fillId="3" borderId="5" xfId="0" applyFill="1" applyBorder="1" applyAlignment="1">
      <alignment horizontal="center"/>
    </xf>
    <xf numFmtId="0" fontId="0" fillId="3" borderId="1" xfId="0" applyFill="1" applyBorder="1" applyAlignment="1">
      <alignment horizontal="center"/>
    </xf>
    <xf numFmtId="0" fontId="0" fillId="3" borderId="6"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3" xfId="0" applyFill="1" applyBorder="1" applyAlignment="1">
      <alignment horizontal="center"/>
    </xf>
    <xf numFmtId="0" fontId="0" fillId="5" borderId="0" xfId="0" applyFill="1" applyAlignment="1">
      <alignment horizontal="center"/>
    </xf>
    <xf numFmtId="0" fontId="0" fillId="5" borderId="7" xfId="0" applyFill="1" applyBorder="1" applyAlignment="1">
      <alignment horizontal="center"/>
    </xf>
    <xf numFmtId="170" fontId="0" fillId="5" borderId="5" xfId="0" applyNumberFormat="1" applyFill="1" applyBorder="1" applyAlignment="1">
      <alignment horizontal="center"/>
    </xf>
    <xf numFmtId="170" fontId="0" fillId="5" borderId="1" xfId="0" applyNumberFormat="1" applyFill="1" applyBorder="1" applyAlignment="1">
      <alignment horizontal="center"/>
    </xf>
    <xf numFmtId="170" fontId="0" fillId="5" borderId="6" xfId="0" applyNumberFormat="1" applyFill="1" applyBorder="1" applyAlignment="1">
      <alignment horizontal="center"/>
    </xf>
    <xf numFmtId="170" fontId="0" fillId="3" borderId="5" xfId="0" applyNumberFormat="1" applyFill="1" applyBorder="1" applyAlignment="1">
      <alignment horizontal="center"/>
    </xf>
    <xf numFmtId="170" fontId="0" fillId="3" borderId="1" xfId="0" applyNumberFormat="1" applyFill="1" applyBorder="1" applyAlignment="1">
      <alignment horizontal="center"/>
    </xf>
    <xf numFmtId="170" fontId="0" fillId="3" borderId="6" xfId="0" applyNumberFormat="1" applyFill="1" applyBorder="1" applyAlignment="1">
      <alignment horizontal="center"/>
    </xf>
    <xf numFmtId="0" fontId="0" fillId="0" borderId="13" xfId="0" applyBorder="1" applyAlignment="1">
      <alignment horizontal="center" vertical="center" wrapText="1"/>
    </xf>
    <xf numFmtId="0" fontId="35" fillId="18" borderId="13" xfId="0" applyFont="1" applyFill="1" applyBorder="1" applyAlignment="1">
      <alignment horizontal="center" vertical="center"/>
    </xf>
    <xf numFmtId="0" fontId="0" fillId="0" borderId="0" xfId="0" applyAlignment="1">
      <alignment horizontal="left"/>
    </xf>
    <xf numFmtId="0" fontId="0" fillId="0" borderId="7" xfId="0" applyBorder="1" applyAlignment="1">
      <alignment horizontal="left"/>
    </xf>
    <xf numFmtId="0" fontId="3" fillId="2" borderId="0" xfId="0" applyFont="1" applyFill="1" applyAlignment="1">
      <alignment horizontal="center" vertical="center"/>
    </xf>
    <xf numFmtId="0" fontId="10" fillId="7" borderId="0" xfId="0" applyFont="1" applyFill="1" applyAlignment="1">
      <alignment horizontal="left" vertical="center"/>
    </xf>
    <xf numFmtId="0" fontId="7" fillId="7" borderId="0" xfId="0" applyFont="1" applyFill="1" applyAlignment="1">
      <alignment horizontal="left" vertical="center"/>
    </xf>
    <xf numFmtId="0" fontId="10" fillId="7" borderId="1" xfId="0" applyFont="1" applyFill="1" applyBorder="1" applyAlignment="1">
      <alignment horizontal="left" vertical="center"/>
    </xf>
    <xf numFmtId="0" fontId="10" fillId="8" borderId="5" xfId="0" applyFont="1" applyFill="1" applyBorder="1" applyAlignment="1">
      <alignment horizontal="center"/>
    </xf>
    <xf numFmtId="0" fontId="10" fillId="8" borderId="6" xfId="0" applyFont="1" applyFill="1" applyBorder="1" applyAlignment="1">
      <alignment horizontal="center"/>
    </xf>
    <xf numFmtId="0" fontId="0" fillId="0" borderId="1" xfId="0" applyBorder="1" applyAlignment="1">
      <alignment horizontal="center"/>
    </xf>
    <xf numFmtId="0" fontId="0" fillId="0" borderId="5" xfId="0" applyBorder="1" applyAlignment="1">
      <alignment horizontal="center" vertical="center" textRotation="90" wrapText="1"/>
    </xf>
    <xf numFmtId="0" fontId="0" fillId="0" borderId="3" xfId="0" applyBorder="1" applyAlignment="1">
      <alignment horizontal="center" vertical="center" textRotation="90" wrapText="1"/>
    </xf>
    <xf numFmtId="0" fontId="0" fillId="0" borderId="11" xfId="0" applyBorder="1" applyAlignment="1">
      <alignment horizontal="center" vertical="center" textRotation="90" wrapText="1"/>
    </xf>
    <xf numFmtId="0" fontId="10" fillId="6" borderId="4" xfId="0" applyFont="1" applyFill="1" applyBorder="1" applyAlignment="1">
      <alignment horizontal="left" vertical="center"/>
    </xf>
    <xf numFmtId="0" fontId="10" fillId="6" borderId="8" xfId="0" applyFont="1" applyFill="1" applyBorder="1" applyAlignment="1">
      <alignment horizontal="left" vertical="center"/>
    </xf>
    <xf numFmtId="0" fontId="10" fillId="6" borderId="2" xfId="0" applyFont="1" applyFill="1" applyBorder="1" applyAlignment="1">
      <alignment horizontal="left" vertical="center"/>
    </xf>
    <xf numFmtId="0" fontId="10" fillId="6" borderId="9" xfId="0" applyFont="1" applyFill="1" applyBorder="1" applyAlignment="1">
      <alignment horizontal="left" vertical="center"/>
    </xf>
    <xf numFmtId="0" fontId="7" fillId="0" borderId="5" xfId="0" applyFont="1" applyBorder="1" applyAlignment="1">
      <alignment horizontal="center" vertical="center" textRotation="90" wrapText="1"/>
    </xf>
    <xf numFmtId="0" fontId="7" fillId="0" borderId="3" xfId="0" applyFont="1" applyBorder="1" applyAlignment="1">
      <alignment horizontal="center" vertical="center" textRotation="90" wrapText="1"/>
    </xf>
    <xf numFmtId="0" fontId="7" fillId="0" borderId="11" xfId="0" applyFont="1" applyBorder="1" applyAlignment="1">
      <alignment horizontal="center" vertical="center" textRotation="90" wrapText="1"/>
    </xf>
    <xf numFmtId="0" fontId="7" fillId="0" borderId="2" xfId="0" applyFont="1" applyBorder="1" applyAlignment="1">
      <alignment horizontal="center"/>
    </xf>
    <xf numFmtId="0" fontId="7" fillId="0" borderId="9" xfId="0" applyFont="1" applyBorder="1" applyAlignment="1">
      <alignment horizontal="center"/>
    </xf>
  </cellXfs>
  <cellStyles count="4">
    <cellStyle name="Comma" xfId="2" builtinId="3"/>
    <cellStyle name="Hyperlink" xfId="3" builtinId="8"/>
    <cellStyle name="Normal" xfId="0" builtinId="0"/>
    <cellStyle name="Percent" xfId="1" builtinId="5"/>
  </cellStyles>
  <dxfs count="10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FF0000"/>
      </font>
    </dxf>
    <dxf>
      <font>
        <color rgb="FF006100"/>
      </font>
      <fill>
        <patternFill>
          <bgColor rgb="FFC6EFCE"/>
        </patternFill>
      </fill>
    </dxf>
    <dxf>
      <font>
        <color rgb="FFFF0000"/>
      </font>
    </dxf>
    <dxf>
      <font>
        <b val="0"/>
        <i val="0"/>
        <strike val="0"/>
        <condense val="0"/>
        <extend val="0"/>
        <outline val="0"/>
        <shadow val="0"/>
        <u val="none"/>
        <vertAlign val="baseline"/>
        <sz val="11"/>
        <color theme="1"/>
        <name val="Aptos Narrow"/>
        <family val="2"/>
        <scheme val="minor"/>
      </font>
      <numFmt numFmtId="14" formatCode="0.0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numFmt numFmtId="14" formatCode="0.00%"/>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4" formatCode="0.00%"/>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general" vertical="center" textRotation="0" wrapText="0" indent="0" justifyLastLine="0" shrinkToFit="0" readingOrder="0"/>
    </dxf>
    <dxf>
      <alignment horizontal="left" vertical="bottom" textRotation="0" wrapText="0" indent="1" justifyLastLine="0" shrinkToFit="0" readingOrder="0"/>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numFmt numFmtId="174" formatCode="#,##0;\(#,##0\);&quot;-&quot;"/>
    </dxf>
    <dxf>
      <numFmt numFmtId="174" formatCode="#,##0;\(#,##0\);&quot;-&quot;"/>
    </dxf>
    <dxf>
      <numFmt numFmtId="174" formatCode="#,##0;\(#,##0\);&quot;-&quot;"/>
    </dxf>
    <dxf>
      <numFmt numFmtId="174" formatCode="#,##0;\(#,##0\);&quot;-&quot;"/>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Aptos Narrow"/>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4" formatCode="0.00%"/>
    </dxf>
    <dxf>
      <font>
        <strike val="0"/>
        <outline val="0"/>
        <shadow val="0"/>
        <u val="none"/>
        <vertAlign val="baseline"/>
        <sz val="11"/>
        <color theme="0"/>
        <name val="Aptos Narrow"/>
        <family val="2"/>
        <scheme val="minor"/>
      </font>
      <fill>
        <patternFill patternType="none">
          <fgColor indexed="64"/>
          <bgColor auto="1"/>
        </patternFill>
      </fill>
    </dxf>
    <dxf>
      <numFmt numFmtId="174" formatCode="#,##0;\(#,##0\);&quot;-&quot;"/>
    </dxf>
    <dxf>
      <numFmt numFmtId="174" formatCode="#,##0;\(#,##0\);&quot;-&quot;"/>
    </dxf>
    <dxf>
      <numFmt numFmtId="174" formatCode="#,##0;\(#,##0\);&quot;-&quot;"/>
    </dxf>
    <dxf>
      <numFmt numFmtId="174" formatCode="#,##0;\(#,##0\);&quot;-&quot;"/>
    </dxf>
    <dxf>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alignment horizontal="right" vertical="bottom" textRotation="0" wrapText="0" indent="0" justifyLastLine="0" shrinkToFit="0" readingOrder="0"/>
    </dxf>
    <dxf>
      <numFmt numFmtId="174" formatCode="#,##0;\(#,##0\);&quot;-&quot;"/>
    </dxf>
    <dxf>
      <numFmt numFmtId="174" formatCode="#,##0;\(#,##0\);&quot;-&quot;"/>
    </dxf>
    <dxf>
      <numFmt numFmtId="174" formatCode="#,##0;\(#,##0\);&quot;-&quot;"/>
    </dxf>
    <dxf>
      <numFmt numFmtId="174" formatCode="#,##0;\(#,##0\);&quot;-&quot;"/>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Aptos Narrow"/>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right style="thin">
          <color indexed="64"/>
        </right>
        <vertical/>
      </border>
    </dxf>
    <dxf>
      <numFmt numFmtId="14" formatCode="0.00%"/>
    </dxf>
    <dxf>
      <border diagonalUp="0" diagonalDown="0">
        <left style="thin">
          <color indexed="64"/>
        </left>
        <right/>
        <vertic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general"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1"/>
        <color theme="0"/>
        <name val="Calibri"/>
        <family val="2"/>
        <scheme val="none"/>
      </font>
      <fill>
        <patternFill patternType="none">
          <fgColor indexed="64"/>
          <bgColor auto="1"/>
        </patternFill>
      </fill>
      <alignment horizontal="right" vertical="bottom" textRotation="0" wrapText="0" indent="0" justifyLastLine="0" shrinkToFit="0" readingOrder="0"/>
    </dxf>
    <dxf>
      <numFmt numFmtId="0" formatCode="General"/>
    </dxf>
    <dxf>
      <numFmt numFmtId="175" formatCode="#,##0;\(#,##0\);&quot;0&quot;"/>
      <alignment horizontal="right" vertical="bottom" textRotation="0" wrapText="0" indent="0" justifyLastLine="0" shrinkToFit="0" readingOrder="0"/>
    </dxf>
    <dxf>
      <numFmt numFmtId="175" formatCode="#,##0;\(#,##0\);&quot;0&quot;"/>
      <alignment horizontal="right" vertical="bottom" textRotation="0" wrapText="0" indent="0" justifyLastLine="0" shrinkToFit="0" readingOrder="0"/>
    </dxf>
    <dxf>
      <numFmt numFmtId="175" formatCode="#,##0;\(#,##0\);&quot;0&quot;"/>
      <alignment horizontal="right" vertical="bottom" textRotation="0" wrapText="0" indent="0" justifyLastLine="0" shrinkToFit="0" readingOrder="0"/>
    </dxf>
    <dxf>
      <numFmt numFmtId="175" formatCode="#,##0;\(#,##0\);&quot;0&quot;"/>
      <alignment horizontal="right" vertical="bottom" textRotation="0" wrapText="0" indent="0" justifyLastLine="0" shrinkToFit="0" readingOrder="0"/>
    </dxf>
    <dxf>
      <numFmt numFmtId="175" formatCode="#,##0;\(#,##0\);&quot;0&quot;"/>
      <alignment horizontal="right" vertical="bottom" textRotation="0" wrapText="0" indent="0" justifyLastLine="0" shrinkToFit="0" readingOrder="0"/>
    </dxf>
    <dxf>
      <numFmt numFmtId="175" formatCode="#,##0;\(#,##0\);&quot;0&quot;"/>
      <alignment horizontal="right" vertical="bottom" textRotation="0" wrapText="0" indent="0" justifyLastLine="0" shrinkToFit="0" readingOrder="0"/>
    </dxf>
    <dxf>
      <numFmt numFmtId="0" formatCode="General"/>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0" formatCode="General"/>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167" formatCode="_ [$¥-804]* #,##0_ ;_ [$¥-804]* \-#,##0_ ;_ [$¥-804]* &quot;-&quot;??_ ;_ @_ "/>
      <alignment horizontal="left" vertical="bottom" textRotation="0" wrapText="0" indent="0" justifyLastLine="0" shrinkToFit="0" readingOrder="0"/>
    </dxf>
    <dxf>
      <numFmt numFmtId="0" formatCode="General"/>
    </dxf>
    <dxf>
      <alignment horizontal="center" vertical="bottom" textRotation="0" wrapText="0" indent="0" justifyLastLine="0" shrinkToFit="0" readingOrder="0"/>
    </dxf>
    <dxf>
      <fill>
        <patternFill>
          <bgColor theme="3" tint="0.89996032593768116"/>
        </patternFill>
      </fill>
    </dxf>
    <dxf>
      <fill>
        <patternFill>
          <bgColor theme="3" tint="0.24994659260841701"/>
        </patternFill>
      </fill>
    </dxf>
    <dxf>
      <fill>
        <patternFill>
          <bgColor theme="3" tint="0.24994659260841701"/>
        </patternFill>
      </fill>
    </dxf>
  </dxfs>
  <tableStyles count="2" defaultTableStyle="TableStyleMedium2" defaultPivotStyle="PivotStyleLight16">
    <tableStyle name="Secundus" pivot="0" count="1" xr9:uid="{A58765A3-6433-48E4-B8DC-BF2E8B0EABB4}">
      <tableStyleElement type="headerRow" dxfId="104"/>
    </tableStyle>
    <tableStyle name="Table Style 1" pivot="0" count="2" xr9:uid="{AA603CBC-9B68-48A2-93AF-CDC95245C04B}">
      <tableStyleElement type="headerRow" dxfId="103"/>
      <tableStyleElement type="secondRowStripe" dxfId="102"/>
    </tableStyle>
  </tableStyles>
  <colors>
    <mruColors>
      <color rgb="FFC0392B"/>
      <color rgb="FF5D6D7E"/>
      <color rgb="FF6F42C1"/>
      <color rgb="FFB97B59"/>
      <color rgb="FFFD7E14"/>
      <color rgb="FFF39C12"/>
      <color rgb="FF239B56"/>
      <color rgb="FF117A65"/>
      <color rgb="FF1F4E79"/>
      <color rgb="FF28A7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AHMAD ZARRUQ BIN MOHD. AZLAN" id="{6913920C-53B3-404B-BF89-09EC5C799490}" userId="S::2024905559@isiswa.uitm.edu.my::7ff239f2-6499-4ab1-9d82-877e7cfe582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21787F-2796-4005-A492-80B3332ADE52}" name="Name" displayName="Name" ref="A11:I19" totalsRowShown="0">
  <autoFilter ref="A11:I19" xr:uid="{DD21787F-2796-4005-A492-80B3332ADE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12:J19">
    <sortCondition ref="D11:D19"/>
  </sortState>
  <tableColumns count="9">
    <tableColumn id="1" xr3:uid="{F4F85A53-AA42-4B2B-9739-5042AA0611BE}" name="Name"/>
    <tableColumn id="2" xr3:uid="{76D7C8FF-0EA2-4D5C-8F29-F2A72ABAEA13}" name="Revenue, B" dataDxfId="101"/>
    <tableColumn id="3" xr3:uid="{25E455C3-17A5-44EE-8E8B-37DB94F5735C}" name="CAGR 4Y"/>
    <tableColumn id="4" xr3:uid="{D74D194C-45FA-45AC-AD3D-205AB918C032}" name="P/E"/>
    <tableColumn id="5" xr3:uid="{D12D1617-1B76-42F4-989B-D4A1868FA952}" name="P/FCF"/>
    <tableColumn id="7" xr3:uid="{A9D52C98-7539-412C-A80D-1E5D772D51E0}" name="Gross Margin"/>
    <tableColumn id="8" xr3:uid="{CCDAE76F-A3BD-4992-8E24-B36C6F674EC0}" name="Operating Margin"/>
    <tableColumn id="6" xr3:uid="{6BFB7499-5503-465B-BA2A-647F29B60751}" name="Net Margin"/>
    <tableColumn id="9" xr3:uid="{78A92F91-12DA-42BA-8DEA-505833974E92}" name="ROIC, %"/>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197AC55-FB22-48A9-8148-2756D615BCBA}" name="Page00212" displayName="Page00212" ref="A1:H18" totalsRowShown="0">
  <autoFilter ref="A1:H18" xr:uid="{6197AC55-FB22-48A9-8148-2756D615BCBA}"/>
  <tableColumns count="8">
    <tableColumn id="1" xr3:uid="{F0A208C6-2D3D-484E-A59F-91AACE9FC050}" name="Income Statement" dataDxfId="100"/>
    <tableColumn id="8" xr3:uid="{F4DF6381-F213-4626-A1B6-358AD601AB73}" name="2018 RMB’000" dataDxfId="99"/>
    <tableColumn id="7" xr3:uid="{AFF67FDA-1787-442A-95D1-82E602C09FB6}" name="2019 RMB’000" dataDxfId="98"/>
    <tableColumn id="6" xr3:uid="{D6C130B6-A7B3-4640-AE16-D22A940C69E6}" name="2020 RMB’000" dataDxfId="97"/>
    <tableColumn id="2" xr3:uid="{DDE9E683-95EF-4D2D-9DEE-E1E17B9F506D}" name="2021 RMB’000" dataDxfId="96"/>
    <tableColumn id="5" xr3:uid="{C723C41E-F04B-44CD-A7B7-F186171D8A75}" name="2022 RMB’000" dataDxfId="95"/>
    <tableColumn id="4" xr3:uid="{3BEFED62-7EAD-42FA-A623-1C65C55E7FA9}" name="2023 RMB’000" dataDxfId="94"/>
    <tableColumn id="3" xr3:uid="{F16FBEC4-73F7-4DA7-BEEF-1030E952ACD1}" name="2024 RMB’000" dataDxfId="9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044A148-C77C-41A4-B4E3-92B3C4EBFFA5}" name="Table003__Page_4_522" displayName="Table003__Page_4_522" ref="A20:H78" totalsRowShown="0">
  <autoFilter ref="A20:H78" xr:uid="{7044A148-C77C-41A4-B4E3-92B3C4EBFFA5}"/>
  <tableColumns count="8">
    <tableColumn id="1" xr3:uid="{380ED031-914A-467A-A449-FBC64EB72538}" name="Balance Sheet" dataDxfId="92"/>
    <tableColumn id="8" xr3:uid="{3768044C-F440-4DDD-B099-18379BAEDFEE}" name="2018 RMB'000" dataDxfId="91"/>
    <tableColumn id="7" xr3:uid="{481AD4BB-6C66-4CB9-B791-7A3260407D29}" name="2019 RMB’000" dataDxfId="90"/>
    <tableColumn id="6" xr3:uid="{FD8F3C58-1F46-47D7-982C-D271AE8FBFBA}" name="2020 RMB’000" dataDxfId="89"/>
    <tableColumn id="5" xr3:uid="{0216D0D8-EDD6-4A57-97FA-6AC39364B5FA}" name="2021 RMB’000" dataDxfId="88"/>
    <tableColumn id="4" xr3:uid="{6CFCFCB6-7B8C-4751-8171-BA842C3C9DE8}" name="2022 RMB’000" dataDxfId="87"/>
    <tableColumn id="3" xr3:uid="{7061E3DA-02E2-4A97-9FAC-C385FFE257E8}" name="2023 RMB’000" dataDxfId="86"/>
    <tableColumn id="2" xr3:uid="{E4A5E912-D795-4FBF-A0C1-B9AF8F9EFCF7}" name="2024 RMB’00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7C6CC8B-CA9E-4431-A2D6-269CA71F5D3C}" name="Table007__Page_8_923" displayName="Table007__Page_8_923" ref="A82:H180" totalsRowShown="0">
  <autoFilter ref="A82:H180" xr:uid="{07C6CC8B-CA9E-4431-A2D6-269CA71F5D3C}"/>
  <tableColumns count="8">
    <tableColumn id="1" xr3:uid="{AE85AFA0-15B2-43F5-8B85-C9AA171C95AB}" name="Statement of Cash Flows" dataDxfId="85"/>
    <tableColumn id="8" xr3:uid="{70303C8F-4568-4C56-BF7D-98615860FE2A}" name="2018 RMB’000" dataDxfId="84"/>
    <tableColumn id="7" xr3:uid="{F089A596-AEE4-4323-BA25-E13F2FDF613A}" name="2019 RMB’000" dataDxfId="83"/>
    <tableColumn id="6" xr3:uid="{9AF51236-979D-4454-B8D5-3E25EB670963}" name="2020 RMB’000" dataDxfId="82"/>
    <tableColumn id="5" xr3:uid="{D8B5E716-1A44-42AC-8FAC-D44AD63663E0}" name="2021 RMB’000" dataDxfId="81"/>
    <tableColumn id="4" xr3:uid="{9F87B291-EB9B-495B-8A1B-92DFDE7597A2}" name="2022 RMB’000" dataDxfId="80"/>
    <tableColumn id="3" xr3:uid="{CAC7F4E8-001C-4747-A932-0DFA2DFD0486}" name="2023 RMB’000" dataDxfId="79"/>
    <tableColumn id="2" xr3:uid="{B99D13BB-5D1C-42D9-96CD-D2EA68713807}" name="2024 RMB’000" dataDxfId="7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61F33C-3648-4178-96C9-68436E0830C6}" name="Table4" displayName="Table4" ref="A3:G25" totalsRowShown="0" headerRowDxfId="77" dataDxfId="76" tableBorderDxfId="75">
  <autoFilter ref="A3:G25" xr:uid="{2461F33C-3648-4178-96C9-68436E0830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BB4FE11-C6BB-462D-9031-9A164208DE0F}" name="Sales, Costs and Profits" dataDxfId="74"/>
    <tableColumn id="2" xr3:uid="{1AB15543-166F-4CCE-9361-8B4A20F7D515}" name="2018" dataDxfId="73"/>
    <tableColumn id="3" xr3:uid="{79A57A56-E397-4C5E-AB56-099A6E3C0DFB}" name="2019" dataDxfId="72"/>
    <tableColumn id="4" xr3:uid="{921ECD0B-D86C-472E-8C99-928AFE6B043C}" name="2020" dataDxfId="71"/>
    <tableColumn id="5" xr3:uid="{95B31BEF-140F-4613-BC8A-63E8C72BBB8D}" name="2021" dataDxfId="70"/>
    <tableColumn id="6" xr3:uid="{9AD00154-D092-4FDF-9AE4-74E9892B5924}" name="2022" dataDxfId="69"/>
    <tableColumn id="7" xr3:uid="{BD1C53A5-949F-430B-9346-A2A06BE84349}" name="Base Year" dataDxfId="68"/>
  </tableColumns>
  <tableStyleInfo name="Secundus"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7F313A-430B-48D3-923B-EA89C73B1FD1}" name="Table5" displayName="Table5" ref="A2:K15" totalsRowShown="0" headerRowDxfId="67" dataDxfId="66" tableBorderDxfId="65" dataCellStyle="Percent">
  <autoFilter ref="A2:K15" xr:uid="{5B7F313A-430B-48D3-923B-EA89C73B1F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07EA5B1-2731-4665-9934-3584245CEB45}" name="Inputs Summary"/>
    <tableColumn id="2" xr3:uid="{C086A057-8D38-412F-A330-B6381EC95F7F}" name="2024"/>
    <tableColumn id="3" xr3:uid="{013C5E43-34F9-403D-86F8-AE2CCA611059}" name="2025" dataDxfId="64" dataCellStyle="Percent"/>
    <tableColumn id="4" xr3:uid="{D5739C82-75D2-4E67-A7CB-125D339FDF92}" name="2026" dataDxfId="63" dataCellStyle="Percent"/>
    <tableColumn id="5" xr3:uid="{A95EB449-AC90-4219-A1D3-2D6A6D59E87F}" name="2027" dataDxfId="62" dataCellStyle="Percent"/>
    <tableColumn id="6" xr3:uid="{CA9D4369-5DA7-4FAC-A5AB-DA890781F8E1}" name="2028" dataDxfId="61" dataCellStyle="Percent"/>
    <tableColumn id="7" xr3:uid="{86930F4D-23AD-4537-9B69-22EC75FC984C}" name="2029" dataDxfId="60" dataCellStyle="Percent"/>
    <tableColumn id="8" xr3:uid="{5AAD95CA-8966-439E-9BB5-35CA3F182179}" name="2030" dataDxfId="59" dataCellStyle="Percent"/>
    <tableColumn id="9" xr3:uid="{0C93C764-0737-4945-BF47-5A4E7C575261}" name="2031" dataDxfId="58" dataCellStyle="Percent"/>
    <tableColumn id="10" xr3:uid="{B42045DE-D49D-46D9-823D-B83E7B1B0782}" name="2032" dataDxfId="57" dataCellStyle="Percent"/>
    <tableColumn id="11" xr3:uid="{E396074F-BFC0-4D69-A2C3-C0D0047FEB16}" name="2033" dataDxfId="56" dataCellStyle="Percent"/>
  </tableColumns>
  <tableStyleInfo name="Secundus"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8A910A-A2D4-47E2-8559-9962DA5F3436}" name="Table1" displayName="Table1" ref="A23:Q42" totalsRowShown="0" headerRowDxfId="55" tableBorderDxfId="54" headerRowCellStyle="Percent">
  <autoFilter ref="A23:Q42" xr:uid="{108A910A-A2D4-47E2-8559-9962DA5F343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73519C2-721C-4509-BDD0-B700B7E1459F}" name="Invested Capital as Determinant of Revenue"/>
    <tableColumn id="2" xr3:uid="{EB870B7D-E69C-48DF-B1C6-1412688416EE}" name="2018"/>
    <tableColumn id="3" xr3:uid="{4F6D57DE-AB91-438A-8BD9-E9C3E8EBF1F3}" name="2019"/>
    <tableColumn id="4" xr3:uid="{70A0CB0E-0150-4AAC-A34C-2BD451E499E9}" name="2020"/>
    <tableColumn id="5" xr3:uid="{8A05C4BD-2F44-4FAA-B8B8-F8B69AA818D4}" name="2021"/>
    <tableColumn id="6" xr3:uid="{C48BDD45-4569-4FFA-9C4B-02F2493EC935}" name="2022"/>
    <tableColumn id="7" xr3:uid="{26C692CE-E281-4959-B7C1-76D40249DE72}" name="Base Year"/>
    <tableColumn id="8" xr3:uid="{FC96A736-A11E-4915-B3D5-9CE02A1BCA45}" name="2024"/>
    <tableColumn id="9" xr3:uid="{CF03A16C-9A93-4A64-9598-0B53BE8D352E}" name="2025"/>
    <tableColumn id="10" xr3:uid="{A0981C3C-4D97-49C1-AFC3-11A6923984EB}" name="2026"/>
    <tableColumn id="11" xr3:uid="{BBB5869F-C292-4AC7-B63D-6FA785278CE1}" name="2027"/>
    <tableColumn id="12" xr3:uid="{E1D59786-EA67-4177-95F4-93FB152E01FB}" name="2028"/>
    <tableColumn id="13" xr3:uid="{66EA1E77-CD4C-43A2-ACB1-EB0089868971}" name="2029"/>
    <tableColumn id="14" xr3:uid="{E32AF280-A770-457C-9A67-A6FB1F3B3277}" name="2030"/>
    <tableColumn id="15" xr3:uid="{AA118A4A-A445-4831-A28C-CB2424EF5ED5}" name="2031"/>
    <tableColumn id="16" xr3:uid="{9408BC5D-09F1-4B3F-AF10-63087383B562}" name="2032"/>
    <tableColumn id="17" xr3:uid="{7C3E9758-97FE-4BED-B8AE-AD0263A25128}" name="2033"/>
  </tableColumns>
  <tableStyleInfo name="Secundus"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DE3E5B0-9962-44E4-A5F0-299A5315C5D8}" name="Table14" displayName="Table14" ref="A45:Q64" totalsRowCount="1">
  <autoFilter ref="A45:Q63" xr:uid="{3DE3E5B0-9962-44E4-A5F0-299A5315C5D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35AA516-BF3E-42BD-9F63-349864151656}" name="Time Series Forecasts for Costs and Profits" dataDxfId="53"/>
    <tableColumn id="2" xr3:uid="{B90D8A34-5932-49A6-9CC1-DE27C659744B}" name="2018"/>
    <tableColumn id="3" xr3:uid="{BC576E98-9D93-437B-9131-3AC3C39DB7BC}" name="2019"/>
    <tableColumn id="4" xr3:uid="{56B279C7-C4C8-43D3-A4DB-F00CF95B84FA}" name="2020"/>
    <tableColumn id="5" xr3:uid="{617098DB-7D5B-43C3-A4EC-86A7F487F91D}" name="2021"/>
    <tableColumn id="6" xr3:uid="{ADA9AD68-8CBF-42A7-881B-EAD57B711943}" name="2022"/>
    <tableColumn id="7" xr3:uid="{9F47BE9C-484F-4FC9-B61C-D8ABA11DDE61}" name="2023" totalsRowDxfId="52"/>
    <tableColumn id="8" xr3:uid="{E78D1810-A493-4FFB-92BD-5E9FE2AEEB72}" name="2024"/>
    <tableColumn id="9" xr3:uid="{C850A266-21FE-4A89-BFBB-C4F478D21522}" name="2025"/>
    <tableColumn id="10" xr3:uid="{EC058B8E-D45A-4359-B705-66DF3C4DE46E}" name="2026"/>
    <tableColumn id="11" xr3:uid="{2D95DF3E-CD88-4FF2-B555-2801B7DC8B79}" name="2027"/>
    <tableColumn id="12" xr3:uid="{C2F53F58-87AE-4C52-8D20-1C9D5C63FF87}" name="2028"/>
    <tableColumn id="13" xr3:uid="{3FA5C9C4-9921-4115-AE1D-DDD0C212FEDF}" name="2029"/>
    <tableColumn id="14" xr3:uid="{02BADC7C-FBCF-49E4-B12F-1CD226745EC5}" name="2030"/>
    <tableColumn id="15" xr3:uid="{5CE607B0-7F64-4A06-A618-C017DA0E326C}" name="2031"/>
    <tableColumn id="16" xr3:uid="{90480009-4268-4782-853E-FF2053A1DE0D}" name="2032"/>
    <tableColumn id="17" xr3:uid="{55EE403C-C46B-4002-946E-747769B66D27}" name="2033" dataDxfId="51"/>
  </tableColumns>
  <tableStyleInfo name="Secundus"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1B85CE5-253D-405F-8076-AFDB8349A9C4}" name="Table1417" displayName="Table1417" ref="A66:Q72" totalsRowShown="0" tableBorderDxfId="50">
  <autoFilter ref="A66:Q72" xr:uid="{51B85CE5-253D-405F-8076-AFDB8349A9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826B6E7-62A8-4551-A3ED-DEB86F23145E}" name="Bridge to Free Cash Flow to Firm"/>
    <tableColumn id="2" xr3:uid="{4CB6C084-FCA7-4843-86C9-B5B46CEED99F}" name="2018"/>
    <tableColumn id="3" xr3:uid="{8C475E18-48EE-4588-8A28-D8B0BBF9A083}" name="2019"/>
    <tableColumn id="4" xr3:uid="{DD662648-1FF9-4E00-A84F-3A8E88F99897}" name="2020"/>
    <tableColumn id="5" xr3:uid="{6B5B3CEF-9078-4B55-B73E-9322BC4E6D4A}" name="2021"/>
    <tableColumn id="6" xr3:uid="{C9A7A371-1A37-4730-A236-BAA3D899707C}" name="2022"/>
    <tableColumn id="7" xr3:uid="{505B04DD-28AE-4032-819D-65BDE8852D82}" name="2023"/>
    <tableColumn id="8" xr3:uid="{451DB67B-0D5E-46E7-A344-E04AB442446E}" name="2024"/>
    <tableColumn id="9" xr3:uid="{5182052A-6BDF-4B3E-AB8C-DE80D2BC34DF}" name="2025"/>
    <tableColumn id="10" xr3:uid="{CA1E47BB-B4FD-45C0-A914-FE3111BDFA28}" name="2026"/>
    <tableColumn id="11" xr3:uid="{A276D296-4B01-4BA6-84CE-7BD3BFF61E56}" name="2027"/>
    <tableColumn id="12" xr3:uid="{4BE9D9A9-7EF7-45E3-AFFE-03CDAD284343}" name="2028"/>
    <tableColumn id="13" xr3:uid="{701CABBD-6523-4A05-83CF-202E4224D3BD}" name="2029"/>
    <tableColumn id="14" xr3:uid="{D6C7D0E6-C12B-430C-BB2C-CD70A9BFAB87}" name="2030"/>
    <tableColumn id="15" xr3:uid="{61CACBEF-DEBF-40C5-8D87-BDAAF95B68B2}" name="2031"/>
    <tableColumn id="16" xr3:uid="{1C65DC48-6F24-461A-9525-C2350919F24C}" name="2032"/>
    <tableColumn id="17" xr3:uid="{7FF9D602-4C90-4775-80FE-8CD356666312}" name="2033"/>
  </tableColumns>
  <tableStyleInfo name="Secundus"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A936704-4DED-43F8-92CD-9820992C0E0D}" name="Table141718" displayName="Table141718" ref="A75:Q86" totalsRowShown="0" tableBorderDxfId="49">
  <autoFilter ref="A75:Q86" xr:uid="{EA936704-4DED-43F8-92CD-9820992C0E0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D8A0D1C-AEB2-4F19-B09E-96A9929E31A2}" name="Bridge to Free Cash Flow to Equity" dataDxfId="48"/>
    <tableColumn id="2" xr3:uid="{20D69756-40D5-4CBD-BAD0-874C132A860F}" name="2018"/>
    <tableColumn id="3" xr3:uid="{90FCFBCF-9A83-446A-87D8-50162483F598}" name="2019"/>
    <tableColumn id="4" xr3:uid="{007DED8F-269A-467B-A25E-AA0B6CF34261}" name="2020"/>
    <tableColumn id="5" xr3:uid="{488DF8C1-4EE4-4582-A51C-47964E2CB60E}" name="2021"/>
    <tableColumn id="6" xr3:uid="{E6454261-2D16-4CFB-85A6-82F9FDDABF81}" name="2022"/>
    <tableColumn id="7" xr3:uid="{931DE955-228C-491D-BE31-2B90D9C8998C}" name="2023"/>
    <tableColumn id="8" xr3:uid="{648A105B-BDDD-42B6-A328-52DB71E106D3}" name="2024"/>
    <tableColumn id="9" xr3:uid="{7613F0E3-2B74-4E22-A8EF-49F47C8621DE}" name="2025"/>
    <tableColumn id="10" xr3:uid="{75F66079-9362-46A1-A848-A98ECBC1BFD5}" name="2026"/>
    <tableColumn id="11" xr3:uid="{CF7A7BC7-16BE-4123-9659-CE40799E6960}" name="2027"/>
    <tableColumn id="12" xr3:uid="{F331E3CD-17F2-4A29-9628-C61E4CE5947A}" name="2028"/>
    <tableColumn id="13" xr3:uid="{5115A842-0F53-49C7-8D33-D18562F15590}" name="2029"/>
    <tableColumn id="14" xr3:uid="{5382CF2C-3458-49A2-96B2-ADA2BF08B7E6}" name="2030"/>
    <tableColumn id="15" xr3:uid="{3AEF7409-1EDD-404C-AF2D-2BAC77F53BCE}" name="2031"/>
    <tableColumn id="16" xr3:uid="{AD253880-4FA3-4EFB-B9EE-7BEE34F11635}" name="2032"/>
    <tableColumn id="17" xr3:uid="{2A6D61B7-BBBB-4981-B78B-57202DB9A044}" name="2033"/>
  </tableColumns>
  <tableStyleInfo name="Secundus"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96A15B-C1D6-46DC-877A-933C3E1169D5}" name="Table3" displayName="Table3" ref="A17:B20" totalsRowShown="0" dataDxfId="47" tableBorderDxfId="46" dataCellStyle="Percent">
  <autoFilter ref="A17:B20" xr:uid="{F596A15B-C1D6-46DC-877A-933C3E1169D5}">
    <filterColumn colId="0" hiddenButton="1"/>
    <filterColumn colId="1" hiddenButton="1"/>
  </autoFilter>
  <tableColumns count="2">
    <tableColumn id="1" xr3:uid="{E7863419-66D4-4B2C-9B8B-259D4F205928}" name="Current Valuation" dataDxfId="45" dataCellStyle="Percent"/>
    <tableColumn id="2" xr3:uid="{3B6DC197-06D2-4000-94D7-1BF935336C9C}" name="Values" dataDxfId="44" dataCellStyle="Percent"/>
  </tableColumns>
  <tableStyleInfo name="Secundus"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EA8FFCB-C3AF-466C-98F9-F86504626183}" name="Table8" displayName="Table8" ref="A3:K24" totalsRowShown="0" headerRowDxfId="43" tableBorderDxfId="42">
  <autoFilter ref="A3:K24" xr:uid="{BEA8FFCB-C3AF-466C-98F9-F865046261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8E33965-7AE5-449F-8A6C-3D25D9EE3DAD}" name="Sales, Costs and Profits" dataDxfId="41"/>
    <tableColumn id="2" xr3:uid="{76E3FCFE-2B11-4CF6-91F3-6563C60801C9}" name="2024"/>
    <tableColumn id="3" xr3:uid="{C202EC14-45E6-4190-84A4-0259C90D6C6A}" name="2025"/>
    <tableColumn id="4" xr3:uid="{643408EA-3B92-4D0C-8572-0126E29DF431}" name="2026"/>
    <tableColumn id="5" xr3:uid="{7D98AAFE-98C8-4FF1-AECA-8AF6CB955160}" name="2027"/>
    <tableColumn id="6" xr3:uid="{3BA0895C-E798-4D08-B34D-67B61EF341F5}" name="2028"/>
    <tableColumn id="7" xr3:uid="{9297ECAF-2537-4503-B899-006895C0FBE4}" name="2029"/>
    <tableColumn id="8" xr3:uid="{77547B23-64ED-4406-969E-30080EDBD01A}" name="2030" dataDxfId="40"/>
    <tableColumn id="9" xr3:uid="{6BCDEA44-C4AF-434B-A057-AA93E79204B5}" name="2031" dataDxfId="39"/>
    <tableColumn id="10" xr3:uid="{34B8DE38-AB80-4445-A77B-15500FAD8EEA}" name="2032" dataDxfId="38"/>
    <tableColumn id="11" xr3:uid="{6B156AC8-91B6-4C39-B25A-42C38C65E50D}" name="2033" dataDxfId="37"/>
  </tableColumns>
  <tableStyleInfo name="Secundus"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F40C67-0F58-4915-80D1-035293D673DC}" name="Table88" displayName="Table88" ref="A56:K92" totalsRowShown="0" headerRowDxfId="36">
  <autoFilter ref="A56:K92" xr:uid="{ABF40C67-0F58-4915-80D1-035293D673DC}"/>
  <tableColumns count="11">
    <tableColumn id="1" xr3:uid="{B4E714CD-0F87-4B2B-8B2F-BC88E0150AA2}" name="Sales, Costs and Profits" dataDxfId="35"/>
    <tableColumn id="2" xr3:uid="{2F9FABEC-B07A-4994-9778-033655257C05}" name="2024"/>
    <tableColumn id="3" xr3:uid="{F0D38306-99C0-490C-8A6A-96DFC2226305}" name="2025"/>
    <tableColumn id="4" xr3:uid="{D04FD00C-2F88-4D78-BA26-0271C2572C35}" name="2026"/>
    <tableColumn id="5" xr3:uid="{2EAC51DD-6A51-4922-A61B-C6F72AA6E5F3}" name="2027"/>
    <tableColumn id="6" xr3:uid="{E775410A-CAA5-4B7B-AEB1-D42A830E616B}" name="2028"/>
    <tableColumn id="7" xr3:uid="{89F00EA5-6FF9-480A-B402-9CE160711E49}" name="2029"/>
    <tableColumn id="8" xr3:uid="{43A101D3-C4ED-4A2C-B7A6-6462A850C087}" name="2030" dataDxfId="34"/>
    <tableColumn id="9" xr3:uid="{40077229-8DBB-4F32-B195-4601D04CBA7B}" name="2031" dataDxfId="33"/>
    <tableColumn id="10" xr3:uid="{8920FC50-A5DA-40D8-ACCD-DEED5A4099A0}" name="2032" dataDxfId="32"/>
    <tableColumn id="11" xr3:uid="{E6A73039-3D23-4040-B40B-3E6FAF366BB4}" name="2033" dataDxfId="31"/>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9CFC238-1EFB-43F9-B024-0621923DAAF6}" name="Table610" displayName="Table610" ref="M56:N66" totalsRowShown="0" headerRowDxfId="30">
  <autoFilter ref="M56:N66" xr:uid="{99CFC238-1EFB-43F9-B024-0621923DAAF6}"/>
  <tableColumns count="2">
    <tableColumn id="1" xr3:uid="{95239A80-AA32-41A2-AC21-6ED388F4EDE7}" name="Valuation Summary"/>
    <tableColumn id="2" xr3:uid="{A3B00B1F-CD0B-4A01-8FCA-00EB2CC454C1}" name="Values" dataDxfId="29" dataCellStyle="Percent"/>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6EC75AF-14D2-4D5D-99BC-1535D485DC1E}" name="Table87" displayName="Table87" ref="A39:K44" totalsRowShown="0" headerRowDxfId="28" tableBorderDxfId="27">
  <autoFilter ref="A39:K44" xr:uid="{B6EC75AF-14D2-4D5D-99BC-1535D485DC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F9ECA03-1229-4F86-8A0D-3897DB1DE9FF}" name="Capital Gains and Cash Distribution" dataDxfId="26"/>
    <tableColumn id="2" xr3:uid="{7B3AD9FD-0073-4765-8132-D5B82C25AE99}" name="2024"/>
    <tableColumn id="3" xr3:uid="{5F7F3395-A492-436E-A378-AE822E6F3321}" name="2025"/>
    <tableColumn id="4" xr3:uid="{9084A7B8-5E8D-41DC-AB84-BA5501B7CB5C}" name="2026"/>
    <tableColumn id="5" xr3:uid="{1A300D1D-8682-403F-ABF7-5F94670EDD6B}" name="2027"/>
    <tableColumn id="6" xr3:uid="{4DB73766-3DEB-492D-89E4-AA90B670AF3C}" name="2028"/>
    <tableColumn id="7" xr3:uid="{B86B5B75-A207-47AC-BD9A-6F318C9014DB}" name="2029"/>
    <tableColumn id="8" xr3:uid="{1CAE3484-5CF3-462E-891A-C59CE114F055}" name="2030" dataDxfId="25"/>
    <tableColumn id="9" xr3:uid="{FEF71AE7-FFFD-4599-B8B9-43A292642CC7}" name="2031" dataDxfId="24"/>
    <tableColumn id="10" xr3:uid="{113D6A5D-8064-444F-9D46-BE0D2FC193F3}" name="2032" dataDxfId="23"/>
    <tableColumn id="11" xr3:uid="{CC352C70-E934-46CE-930D-B8B885D3784F}" name="2033" dataDxfId="22"/>
  </tableColumns>
  <tableStyleInfo name="Secundus"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BD71A3-07DE-4FD9-860D-62503E90EECF}" name="Table10" displayName="Table10" ref="A11:L16" totalsRowShown="0" tableBorderDxfId="21">
  <autoFilter ref="A11:L16" xr:uid="{6BBD71A3-07DE-4FD9-860D-62503E90EE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A2F62D69-026D-48E5-B1F2-649629005206}" name="Discounted Cash Flow "/>
    <tableColumn id="2" xr3:uid="{CFE9D13A-B524-4C42-ACF6-03B22026E9FB}" name="2024"/>
    <tableColumn id="3" xr3:uid="{8ABA2AC9-A696-4487-B86F-57D732E76EBF}" name="2025"/>
    <tableColumn id="4" xr3:uid="{0D8F35F8-B770-40D7-AC88-2815966FEC97}" name="2026"/>
    <tableColumn id="5" xr3:uid="{2FF5E6E5-3783-42C0-9CB7-E37B104D1AFB}" name="2027"/>
    <tableColumn id="6" xr3:uid="{08E198A3-D663-421D-9355-E182E6E68C39}" name="2028"/>
    <tableColumn id="7" xr3:uid="{1B1BCCE0-88FF-4383-B5D6-6D50ED253EDA}" name="2029"/>
    <tableColumn id="8" xr3:uid="{4B4589DF-CF7D-4464-88FE-D805FF02842F}" name="2030"/>
    <tableColumn id="9" xr3:uid="{141D5548-868A-469E-8223-D0095E58CB0C}" name="2031"/>
    <tableColumn id="10" xr3:uid="{1CD59849-8E7D-4C03-832C-DEB7D37512FE}" name="2032"/>
    <tableColumn id="11" xr3:uid="{19716431-EEB5-439F-9EF2-09C92CF61E76}" name="2033"/>
    <tableColumn id="12" xr3:uid="{D1C4A342-9B36-4C20-8772-CF4C57BABB22}" name="Terminal Year"/>
  </tableColumns>
  <tableStyleInfo name="Secundus"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D0E0FDE-9E27-4302-8665-012B05FA5E14}" name="Table15" displayName="Table15" ref="A18:B28" totalsRowShown="0" tableBorderDxfId="20">
  <autoFilter ref="A18:B28" xr:uid="{6D0E0FDE-9E27-4302-8665-012B05FA5E14}">
    <filterColumn colId="0" hiddenButton="1"/>
    <filterColumn colId="1" hiddenButton="1"/>
  </autoFilter>
  <tableColumns count="2">
    <tableColumn id="1" xr3:uid="{EDEFA097-072B-43AC-8E26-80A870A6F0D1}" name="Intrinsic Value" dataDxfId="19"/>
    <tableColumn id="2" xr3:uid="{037B2F99-EC15-4C36-BE25-A4ED92419022}" name="Values"/>
  </tableColumns>
  <tableStyleInfo name="Secundus"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D1014E-39CD-4564-B660-8E0114187386}" name="Table19" displayName="Table19" ref="A4:B9" totalsRowShown="0" headerRowDxfId="18">
  <autoFilter ref="A4:B9" xr:uid="{11D1014E-39CD-4564-B660-8E0114187386}">
    <filterColumn colId="0" hiddenButton="1"/>
    <filterColumn colId="1" hiddenButton="1"/>
  </autoFilter>
  <tableColumns count="2">
    <tableColumn id="1" xr3:uid="{C064381E-E91C-4098-8B6A-4B5085E1F562}" name="DCF Assumptions"/>
    <tableColumn id="2" xr3:uid="{132428F2-3B91-47AD-8A97-E74AAF8B4A77}" name="Values" dataDxfId="17" dataCellStyle="Percent"/>
  </tableColumns>
  <tableStyleInfo name="Secundus"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39CBE86-F9D9-49CA-BC29-3D166D0C5E04}" name="Table1921" displayName="Table1921" ref="A34:B37" totalsRowShown="0" headerRowDxfId="16">
  <autoFilter ref="A34:B37" xr:uid="{E39CBE86-F9D9-49CA-BC29-3D166D0C5E04}">
    <filterColumn colId="0" hiddenButton="1"/>
    <filterColumn colId="1" hiddenButton="1"/>
  </autoFilter>
  <tableColumns count="2">
    <tableColumn id="1" xr3:uid="{4DAB2535-F6EA-4E01-B079-68CC3DA08DE5}" name="Assumptions"/>
    <tableColumn id="2" xr3:uid="{C5A991CD-F54B-4FC0-A9C0-2E1AD95598CB}" name="Values" dataDxfId="15" dataCellStyle="Percent"/>
  </tableColumns>
  <tableStyleInfo name="Secundus"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ABE65AE-9F76-4878-BE2A-2794383845C8}" name="Table21" displayName="Table21" ref="A46:B51" totalsRowShown="0" tableBorderDxfId="14">
  <autoFilter ref="A46:B51" xr:uid="{AABE65AE-9F76-4878-BE2A-2794383845C8}">
    <filterColumn colId="0" hiddenButton="1"/>
    <filterColumn colId="1" hiddenButton="1"/>
  </autoFilter>
  <tableColumns count="2">
    <tableColumn id="1" xr3:uid="{3F802B61-D44F-45F8-9C4E-CCB7892E6631}" name="Valuation Summary" dataDxfId="13"/>
    <tableColumn id="2" xr3:uid="{D07988EA-DADF-400B-9B29-04A0A31494FA}" name="Values" dataDxfId="12" dataCellStyle="Percent"/>
  </tableColumns>
  <tableStyleInfo name="Secundus"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3" dT="2025-08-16T02:34:32.68" personId="{6913920C-53B3-404B-BF89-09EC5C799490}" id="{0E7D31A6-327C-4BB2-B792-D12CFACAE1A3}">
    <text>I used the amount of invested capital to be the determinant of future revenues. This is because operating assets are needed to generate revenues. Assuming at optimal capacity, invested capital increase is proportional to revenue increase. The industry average is used to consider the degree of proportionality between the two. Since the net working capital has been consistently negative, I make the assumption that it is zero going forward.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b:/g/personal/2024905559_isiswa_uitm_edu_my/Ec4b69h5oWpJnJMnj8Q9B2wBI2TIvCh_YgPFOW43h8ooBQ?e=3RHSxi" TargetMode="External"/><Relationship Id="rId2" Type="http://schemas.openxmlformats.org/officeDocument/2006/relationships/hyperlink" Target="../../../../../../:f:/g/personal/2024905559_isiswa_uitm_edu_my/En46LnuW0JBPl2qADFTHsRsBXGecEKX7nxivn86ZZtqPnQ?e=oQayQJ" TargetMode="External"/><Relationship Id="rId1" Type="http://schemas.openxmlformats.org/officeDocument/2006/relationships/hyperlink" Target="Opthalmology%20Services%20Industry%202018.pdf" TargetMode="External"/><Relationship Id="rId5" Type="http://schemas.openxmlformats.org/officeDocument/2006/relationships/table" Target="../tables/table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5.bin"/><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vmlDrawing" Target="../drawings/vmlDrawing1.vml"/><Relationship Id="rId1" Type="http://schemas.openxmlformats.org/officeDocument/2006/relationships/printerSettings" Target="../printerSettings/printerSettings8.bin"/><Relationship Id="rId6" Type="http://schemas.openxmlformats.org/officeDocument/2006/relationships/table" Target="../tables/table9.xml"/><Relationship Id="rId5" Type="http://schemas.openxmlformats.org/officeDocument/2006/relationships/table" Target="../tables/table8.xml"/><Relationship Id="rId10" Type="http://schemas.microsoft.com/office/2017/10/relationships/threadedComment" Target="../threadedComments/threadedComment1.xml"/><Relationship Id="rId4" Type="http://schemas.openxmlformats.org/officeDocument/2006/relationships/table" Target="../tables/table7.xml"/><Relationship Id="rId9"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9.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0.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EDD7E-2DE9-43AB-9B36-EB82A3AA2195}">
  <dimension ref="A1:AB41"/>
  <sheetViews>
    <sheetView showGridLines="0" zoomScaleNormal="100" workbookViewId="0">
      <selection activeCell="G15" sqref="G15"/>
    </sheetView>
  </sheetViews>
  <sheetFormatPr defaultRowHeight="15"/>
  <cols>
    <col min="1" max="17" width="15.7109375" customWidth="1"/>
  </cols>
  <sheetData>
    <row r="1" spans="1:14" ht="15" customHeight="1">
      <c r="A1" s="219" t="s">
        <v>0</v>
      </c>
      <c r="B1" s="219"/>
      <c r="C1" s="219"/>
      <c r="D1" s="219"/>
      <c r="E1" s="219"/>
      <c r="F1" s="219"/>
    </row>
    <row r="2" spans="1:14" ht="14.45" customHeight="1">
      <c r="A2" s="219"/>
      <c r="B2" s="219"/>
      <c r="C2" s="219"/>
      <c r="D2" s="219"/>
      <c r="E2" s="219"/>
      <c r="F2" s="219"/>
    </row>
    <row r="3" spans="1:14" ht="14.45" customHeight="1">
      <c r="A3" s="220" t="s">
        <v>1</v>
      </c>
      <c r="B3" s="220"/>
      <c r="C3" s="220"/>
      <c r="D3" s="220"/>
      <c r="E3" s="220"/>
      <c r="F3" s="220"/>
    </row>
    <row r="4" spans="1:14" ht="15" customHeight="1">
      <c r="A4" s="231" t="s">
        <v>2</v>
      </c>
      <c r="B4" s="223" t="s">
        <v>3</v>
      </c>
      <c r="C4" s="225" t="s">
        <v>4</v>
      </c>
      <c r="D4" s="227" t="s">
        <v>5</v>
      </c>
      <c r="E4" s="229" t="s">
        <v>6</v>
      </c>
      <c r="F4" s="221" t="s">
        <v>7</v>
      </c>
    </row>
    <row r="5" spans="1:14">
      <c r="A5" s="232"/>
      <c r="B5" s="224"/>
      <c r="C5" s="226"/>
      <c r="D5" s="228"/>
      <c r="E5" s="230"/>
      <c r="F5" s="222"/>
    </row>
    <row r="6" spans="1:14">
      <c r="A6" s="232"/>
      <c r="B6" s="224"/>
      <c r="C6" s="226"/>
      <c r="D6" s="228"/>
      <c r="E6" s="230"/>
      <c r="F6" s="222"/>
    </row>
    <row r="7" spans="1:14">
      <c r="A7" s="232"/>
      <c r="B7" s="224"/>
      <c r="C7" s="226"/>
      <c r="D7" s="228"/>
      <c r="E7" s="230"/>
      <c r="F7" s="222"/>
    </row>
    <row r="8" spans="1:14">
      <c r="A8" s="232"/>
      <c r="B8" s="224"/>
      <c r="C8" s="226"/>
      <c r="D8" s="228"/>
      <c r="E8" s="230"/>
      <c r="F8" s="222"/>
    </row>
    <row r="9" spans="1:14">
      <c r="A9" s="232"/>
      <c r="B9" s="224"/>
      <c r="C9" s="226"/>
      <c r="D9" s="228"/>
      <c r="E9" s="230"/>
      <c r="F9" s="222"/>
    </row>
    <row r="11" spans="1:14">
      <c r="C11" s="243" t="s">
        <v>8</v>
      </c>
      <c r="D11" s="244"/>
    </row>
    <row r="12" spans="1:14" ht="15" customHeight="1">
      <c r="A12" s="233" t="s">
        <v>9</v>
      </c>
      <c r="B12" s="234"/>
      <c r="C12" s="234"/>
      <c r="D12" s="234"/>
      <c r="E12" s="234"/>
      <c r="F12" s="235"/>
    </row>
    <row r="13" spans="1:14">
      <c r="A13" s="236"/>
      <c r="B13" s="237"/>
      <c r="C13" s="237"/>
      <c r="D13" s="237"/>
      <c r="E13" s="237"/>
      <c r="F13" s="238"/>
    </row>
    <row r="14" spans="1:14">
      <c r="A14" s="236"/>
      <c r="B14" s="237"/>
      <c r="C14" s="237"/>
      <c r="D14" s="237"/>
      <c r="E14" s="237"/>
      <c r="F14" s="238"/>
    </row>
    <row r="15" spans="1:14">
      <c r="A15" s="236"/>
      <c r="B15" s="237"/>
      <c r="C15" s="237"/>
      <c r="D15" s="237"/>
      <c r="E15" s="237"/>
      <c r="F15" s="238"/>
      <c r="I15" s="93"/>
      <c r="J15" s="93"/>
      <c r="L15" s="93"/>
      <c r="N15" s="93"/>
    </row>
    <row r="16" spans="1:14">
      <c r="A16" s="239"/>
      <c r="B16" s="240"/>
      <c r="C16" s="240"/>
      <c r="D16" s="240"/>
      <c r="E16" s="240"/>
      <c r="F16" s="241"/>
      <c r="I16" s="93"/>
      <c r="J16" s="93"/>
      <c r="L16" s="93"/>
      <c r="N16" s="93"/>
    </row>
    <row r="17" spans="1:28">
      <c r="I17" s="93"/>
      <c r="J17" s="93"/>
      <c r="L17" s="93"/>
      <c r="M17" s="3"/>
      <c r="N17" s="94"/>
    </row>
    <row r="18" spans="1:28">
      <c r="A18" s="220" t="s">
        <v>10</v>
      </c>
      <c r="B18" s="220"/>
      <c r="C18" s="220"/>
      <c r="D18" s="220"/>
      <c r="E18" s="220"/>
      <c r="F18" s="220"/>
      <c r="I18" s="93"/>
      <c r="J18" s="93"/>
      <c r="L18" s="93"/>
    </row>
    <row r="19" spans="1:28">
      <c r="A19" s="44" t="s">
        <v>11</v>
      </c>
      <c r="B19" s="220" t="s">
        <v>12</v>
      </c>
      <c r="C19" s="220"/>
      <c r="D19" s="220" t="s">
        <v>13</v>
      </c>
      <c r="E19" s="220"/>
      <c r="F19" s="220"/>
      <c r="I19" s="93"/>
      <c r="J19" s="93"/>
      <c r="L19" s="93"/>
      <c r="N19" s="5"/>
    </row>
    <row r="20" spans="1:28">
      <c r="A20" s="44" t="s">
        <v>14</v>
      </c>
      <c r="B20" s="220" t="s">
        <v>15</v>
      </c>
      <c r="C20" s="220"/>
      <c r="D20" s="220" t="s">
        <v>16</v>
      </c>
      <c r="E20" s="220"/>
      <c r="F20" s="220"/>
      <c r="I20" s="93"/>
      <c r="J20" s="93"/>
      <c r="L20" s="93"/>
    </row>
    <row r="21" spans="1:28">
      <c r="A21" s="44" t="s">
        <v>17</v>
      </c>
      <c r="B21" s="220" t="s">
        <v>18</v>
      </c>
      <c r="C21" s="220"/>
      <c r="D21" s="220" t="s">
        <v>19</v>
      </c>
      <c r="E21" s="220"/>
      <c r="F21" s="220"/>
      <c r="I21" s="95"/>
      <c r="J21" s="93"/>
      <c r="L21" s="93"/>
    </row>
    <row r="22" spans="1:28">
      <c r="A22" s="44" t="s">
        <v>20</v>
      </c>
      <c r="B22" s="220" t="s">
        <v>21</v>
      </c>
      <c r="C22" s="220"/>
      <c r="D22" s="220" t="s">
        <v>22</v>
      </c>
      <c r="E22" s="220"/>
      <c r="F22" s="220"/>
    </row>
    <row r="23" spans="1:28">
      <c r="A23" s="44" t="s">
        <v>23</v>
      </c>
      <c r="B23" s="220" t="s">
        <v>24</v>
      </c>
      <c r="C23" s="220"/>
      <c r="D23" s="220" t="s">
        <v>25</v>
      </c>
      <c r="E23" s="220"/>
      <c r="F23" s="220"/>
    </row>
    <row r="24" spans="1:28">
      <c r="A24" s="44" t="s">
        <v>26</v>
      </c>
      <c r="B24" s="220" t="s">
        <v>27</v>
      </c>
      <c r="C24" s="220"/>
      <c r="D24" s="220" t="s">
        <v>25</v>
      </c>
      <c r="E24" s="220"/>
      <c r="F24" s="220"/>
    </row>
    <row r="25" spans="1:28">
      <c r="A25" s="44" t="s">
        <v>28</v>
      </c>
      <c r="B25" s="220" t="s">
        <v>29</v>
      </c>
      <c r="C25" s="220"/>
      <c r="D25" s="220" t="s">
        <v>30</v>
      </c>
      <c r="E25" s="220"/>
      <c r="F25" s="220"/>
      <c r="AB25">
        <v>2</v>
      </c>
    </row>
    <row r="26" spans="1:28">
      <c r="A26" s="44" t="s">
        <v>31</v>
      </c>
      <c r="B26" s="220" t="s">
        <v>32</v>
      </c>
      <c r="C26" s="220"/>
      <c r="D26" s="220" t="s">
        <v>33</v>
      </c>
      <c r="E26" s="220"/>
      <c r="F26" s="220"/>
    </row>
    <row r="27" spans="1:28">
      <c r="A27" s="44" t="s">
        <v>34</v>
      </c>
      <c r="B27" s="220" t="s">
        <v>35</v>
      </c>
      <c r="C27" s="220"/>
      <c r="D27" s="220" t="s">
        <v>36</v>
      </c>
      <c r="E27" s="220"/>
      <c r="F27" s="220"/>
    </row>
    <row r="28" spans="1:28">
      <c r="A28" s="44" t="s">
        <v>37</v>
      </c>
      <c r="B28" s="220" t="s">
        <v>38</v>
      </c>
      <c r="C28" s="220"/>
      <c r="D28" s="220" t="s">
        <v>39</v>
      </c>
      <c r="E28" s="220"/>
      <c r="F28" s="220"/>
    </row>
    <row r="29" spans="1:28">
      <c r="A29" s="44" t="s">
        <v>40</v>
      </c>
      <c r="B29" s="220" t="s">
        <v>41</v>
      </c>
      <c r="C29" s="220"/>
      <c r="D29" s="220" t="s">
        <v>42</v>
      </c>
      <c r="E29" s="220"/>
      <c r="F29" s="220"/>
    </row>
    <row r="30" spans="1:28">
      <c r="A30" s="44" t="s">
        <v>43</v>
      </c>
      <c r="B30" s="220" t="s">
        <v>44</v>
      </c>
      <c r="C30" s="220"/>
      <c r="D30" s="220" t="s">
        <v>45</v>
      </c>
      <c r="E30" s="220"/>
      <c r="F30" s="220"/>
    </row>
    <row r="32" spans="1:28">
      <c r="A32" s="220" t="s">
        <v>46</v>
      </c>
      <c r="B32" s="220"/>
      <c r="C32" s="220"/>
      <c r="D32" s="220"/>
      <c r="E32" s="220"/>
      <c r="F32" s="220"/>
    </row>
    <row r="33" spans="1:6">
      <c r="A33" s="242" t="s">
        <v>47</v>
      </c>
      <c r="B33" s="242"/>
      <c r="C33" s="242" t="s">
        <v>48</v>
      </c>
      <c r="D33" s="242"/>
      <c r="E33" s="242"/>
      <c r="F33" s="242"/>
    </row>
    <row r="34" spans="1:6">
      <c r="A34" s="242" t="s">
        <v>49</v>
      </c>
      <c r="B34" s="242"/>
      <c r="C34" s="242" t="s">
        <v>50</v>
      </c>
      <c r="D34" s="242"/>
      <c r="E34" s="242"/>
      <c r="F34" s="242"/>
    </row>
    <row r="35" spans="1:6">
      <c r="A35" s="242" t="s">
        <v>51</v>
      </c>
      <c r="B35" s="242"/>
      <c r="C35" s="242" t="s">
        <v>52</v>
      </c>
      <c r="D35" s="242"/>
      <c r="E35" s="242"/>
      <c r="F35" s="242"/>
    </row>
    <row r="36" spans="1:6">
      <c r="A36" s="242" t="s">
        <v>53</v>
      </c>
      <c r="B36" s="242"/>
      <c r="C36" s="242" t="s">
        <v>54</v>
      </c>
      <c r="D36" s="242"/>
      <c r="E36" s="242"/>
      <c r="F36" s="242"/>
    </row>
    <row r="37" spans="1:6">
      <c r="A37" s="242" t="s">
        <v>55</v>
      </c>
      <c r="B37" s="242"/>
      <c r="C37" s="242" t="s">
        <v>56</v>
      </c>
      <c r="D37" s="242"/>
      <c r="E37" s="242"/>
      <c r="F37" s="242"/>
    </row>
    <row r="38" spans="1:6">
      <c r="A38" s="242" t="s">
        <v>57</v>
      </c>
      <c r="B38" s="242"/>
      <c r="C38" s="242" t="s">
        <v>58</v>
      </c>
      <c r="D38" s="242"/>
      <c r="E38" s="242"/>
      <c r="F38" s="242"/>
    </row>
    <row r="39" spans="1:6">
      <c r="A39" s="242" t="s">
        <v>57</v>
      </c>
      <c r="B39" s="242"/>
      <c r="C39" s="242" t="s">
        <v>59</v>
      </c>
      <c r="D39" s="242"/>
      <c r="E39" s="242"/>
      <c r="F39" s="242"/>
    </row>
    <row r="40" spans="1:6">
      <c r="A40" s="242" t="s">
        <v>60</v>
      </c>
      <c r="B40" s="242"/>
      <c r="C40" s="242" t="s">
        <v>61</v>
      </c>
      <c r="D40" s="242"/>
      <c r="E40" s="242"/>
      <c r="F40" s="242"/>
    </row>
    <row r="41" spans="1:6">
      <c r="A41" s="242" t="s">
        <v>62</v>
      </c>
      <c r="B41" s="242"/>
      <c r="C41" s="242" t="s">
        <v>63</v>
      </c>
      <c r="D41" s="242"/>
      <c r="E41" s="242"/>
      <c r="F41" s="242"/>
    </row>
  </sheetData>
  <mergeCells count="54">
    <mergeCell ref="C34:F34"/>
    <mergeCell ref="D24:F24"/>
    <mergeCell ref="D25:F25"/>
    <mergeCell ref="D26:F26"/>
    <mergeCell ref="C11:D11"/>
    <mergeCell ref="A18:F18"/>
    <mergeCell ref="D19:F19"/>
    <mergeCell ref="D20:F20"/>
    <mergeCell ref="D21:F21"/>
    <mergeCell ref="B24:C24"/>
    <mergeCell ref="B23:C23"/>
    <mergeCell ref="B20:C20"/>
    <mergeCell ref="D23:F23"/>
    <mergeCell ref="A41:B41"/>
    <mergeCell ref="C36:F36"/>
    <mergeCell ref="C37:F37"/>
    <mergeCell ref="C38:F38"/>
    <mergeCell ref="C39:F39"/>
    <mergeCell ref="C40:F40"/>
    <mergeCell ref="C41:F41"/>
    <mergeCell ref="A38:B38"/>
    <mergeCell ref="A37:B37"/>
    <mergeCell ref="A39:B39"/>
    <mergeCell ref="A36:B36"/>
    <mergeCell ref="A40:B40"/>
    <mergeCell ref="A35:B35"/>
    <mergeCell ref="B25:C25"/>
    <mergeCell ref="B26:C26"/>
    <mergeCell ref="B27:C27"/>
    <mergeCell ref="B28:C28"/>
    <mergeCell ref="B29:C29"/>
    <mergeCell ref="B30:C30"/>
    <mergeCell ref="C35:F35"/>
    <mergeCell ref="D27:F27"/>
    <mergeCell ref="D28:F28"/>
    <mergeCell ref="D29:F29"/>
    <mergeCell ref="A33:B33"/>
    <mergeCell ref="A34:B34"/>
    <mergeCell ref="D30:F30"/>
    <mergeCell ref="A32:F32"/>
    <mergeCell ref="C33:F33"/>
    <mergeCell ref="A1:F2"/>
    <mergeCell ref="A3:F3"/>
    <mergeCell ref="F4:F9"/>
    <mergeCell ref="B21:C21"/>
    <mergeCell ref="B22:C22"/>
    <mergeCell ref="B19:C19"/>
    <mergeCell ref="B4:B9"/>
    <mergeCell ref="C4:C9"/>
    <mergeCell ref="D4:D9"/>
    <mergeCell ref="E4:E9"/>
    <mergeCell ref="A4:A9"/>
    <mergeCell ref="A12:F16"/>
    <mergeCell ref="D22:F22"/>
  </mergeCells>
  <phoneticPr fontId="2" type="noConversion"/>
  <pageMargins left="0.25" right="0.25" top="0.75" bottom="0.75" header="0.3" footer="0.3"/>
  <pageSetup paperSize="9" fitToWidth="3" fitToHeight="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132F-F483-4605-8AF9-AACC78E92D5B}">
  <dimension ref="A1:V109"/>
  <sheetViews>
    <sheetView showGridLines="0" zoomScaleNormal="100" workbookViewId="0">
      <selection activeCell="X14" sqref="X14"/>
    </sheetView>
  </sheetViews>
  <sheetFormatPr defaultRowHeight="15"/>
  <cols>
    <col min="1" max="2" width="9.140625" customWidth="1"/>
    <col min="13" max="13" width="25.7109375" customWidth="1"/>
  </cols>
  <sheetData>
    <row r="1" spans="1:22" ht="14.45" customHeight="1">
      <c r="A1" s="254" t="s">
        <v>64</v>
      </c>
      <c r="B1" s="255"/>
      <c r="C1" s="255"/>
      <c r="D1" s="255"/>
      <c r="E1" s="255"/>
      <c r="F1" s="255"/>
      <c r="G1" s="255"/>
      <c r="H1" s="255"/>
      <c r="I1" s="255"/>
      <c r="J1" s="255"/>
      <c r="M1" s="254" t="s">
        <v>65</v>
      </c>
      <c r="N1" s="255"/>
      <c r="O1" s="255"/>
      <c r="P1" s="255"/>
      <c r="Q1" s="255"/>
      <c r="R1" s="255"/>
      <c r="S1" s="255"/>
      <c r="T1" s="255"/>
      <c r="U1" s="255"/>
      <c r="V1" s="255"/>
    </row>
    <row r="2" spans="1:22" ht="14.45" customHeight="1">
      <c r="A2" s="254"/>
      <c r="B2" s="255"/>
      <c r="C2" s="255"/>
      <c r="D2" s="255"/>
      <c r="E2" s="255"/>
      <c r="F2" s="255"/>
      <c r="G2" s="255"/>
      <c r="H2" s="255"/>
      <c r="I2" s="255"/>
      <c r="J2" s="255"/>
      <c r="M2" s="254"/>
      <c r="N2" s="255"/>
      <c r="O2" s="255"/>
      <c r="P2" s="255"/>
      <c r="Q2" s="255"/>
      <c r="R2" s="255"/>
      <c r="S2" s="255"/>
      <c r="T2" s="255"/>
      <c r="U2" s="255"/>
      <c r="V2" s="255"/>
    </row>
    <row r="3" spans="1:22" ht="15.6" customHeight="1">
      <c r="A3" s="269" t="s">
        <v>516</v>
      </c>
      <c r="B3" s="269"/>
      <c r="C3" s="269"/>
      <c r="D3" s="269"/>
      <c r="E3" s="269"/>
      <c r="F3" s="269"/>
      <c r="G3" s="269"/>
      <c r="H3" s="269"/>
      <c r="I3" s="269"/>
      <c r="J3" s="269"/>
    </row>
    <row r="4" spans="1:22" ht="14.45" customHeight="1">
      <c r="A4" s="269"/>
      <c r="B4" s="269"/>
      <c r="C4" s="269"/>
      <c r="D4" s="269"/>
      <c r="E4" s="269"/>
      <c r="F4" s="269"/>
      <c r="G4" s="269"/>
      <c r="H4" s="269"/>
      <c r="I4" s="269"/>
      <c r="J4" s="269"/>
      <c r="M4" s="87" t="s">
        <v>66</v>
      </c>
      <c r="N4" s="256" t="s">
        <v>67</v>
      </c>
      <c r="O4" s="256"/>
      <c r="P4" s="256"/>
      <c r="Q4" s="256"/>
      <c r="R4" s="256"/>
      <c r="S4" s="256"/>
      <c r="T4" s="256"/>
      <c r="U4" s="256"/>
      <c r="V4" s="256"/>
    </row>
    <row r="5" spans="1:22" ht="14.45" customHeight="1">
      <c r="A5" s="269"/>
      <c r="B5" s="269"/>
      <c r="C5" s="269"/>
      <c r="D5" s="269"/>
      <c r="E5" s="269"/>
      <c r="F5" s="269"/>
      <c r="G5" s="269"/>
      <c r="H5" s="269"/>
      <c r="I5" s="269"/>
      <c r="J5" s="269"/>
      <c r="M5" s="42" t="s">
        <v>68</v>
      </c>
    </row>
    <row r="6" spans="1:22" ht="14.45" customHeight="1">
      <c r="A6" s="269"/>
      <c r="B6" s="269"/>
      <c r="C6" s="269"/>
      <c r="D6" s="269"/>
      <c r="E6" s="269"/>
      <c r="F6" s="269"/>
      <c r="G6" s="269"/>
      <c r="H6" s="269"/>
      <c r="I6" s="269"/>
      <c r="J6" s="269"/>
      <c r="M6" s="84"/>
      <c r="N6" s="248" t="s">
        <v>69</v>
      </c>
      <c r="O6" s="248"/>
      <c r="P6" s="248" t="s">
        <v>70</v>
      </c>
      <c r="Q6" s="248"/>
      <c r="R6" s="248" t="s">
        <v>71</v>
      </c>
      <c r="S6" s="248"/>
      <c r="T6" s="248" t="s">
        <v>72</v>
      </c>
      <c r="U6" s="248"/>
      <c r="V6" s="249"/>
    </row>
    <row r="7" spans="1:22" ht="14.45" customHeight="1">
      <c r="A7" s="269"/>
      <c r="B7" s="269"/>
      <c r="C7" s="269"/>
      <c r="D7" s="269"/>
      <c r="E7" s="269"/>
      <c r="F7" s="269"/>
      <c r="G7" s="269"/>
      <c r="H7" s="269"/>
      <c r="I7" s="269"/>
      <c r="J7" s="269"/>
      <c r="M7" s="16" t="s">
        <v>73</v>
      </c>
      <c r="N7" s="245" t="s">
        <v>74</v>
      </c>
      <c r="O7" s="245"/>
      <c r="P7" s="246" cm="1">
        <f t="array" ref="P7">_xlfn.XLOOKUP(N7, {"Monopoly","Major Oligopoly","Minor Oligopoly","Small Firm"}, {1,0.8,0.75,0.5})</f>
        <v>0.8</v>
      </c>
      <c r="Q7" s="246"/>
      <c r="R7" s="246">
        <v>0.2</v>
      </c>
      <c r="S7" s="246"/>
      <c r="T7" s="246">
        <f>(P7*R7)</f>
        <v>0.16000000000000003</v>
      </c>
      <c r="U7" s="246"/>
      <c r="V7" s="247"/>
    </row>
    <row r="8" spans="1:22" ht="14.45" customHeight="1">
      <c r="A8" s="269"/>
      <c r="B8" s="269"/>
      <c r="C8" s="269"/>
      <c r="D8" s="269"/>
      <c r="E8" s="269"/>
      <c r="F8" s="269"/>
      <c r="G8" s="269"/>
      <c r="H8" s="269"/>
      <c r="I8" s="269"/>
      <c r="J8" s="269"/>
      <c r="M8" s="16" t="s">
        <v>75</v>
      </c>
      <c r="N8" s="245" t="s">
        <v>76</v>
      </c>
      <c r="O8" s="245"/>
      <c r="P8" s="246" cm="1">
        <f t="array" ref="P8">_xlfn.XLOOKUP(N8, {"Perfect Inelastic","Inelastic","Elastic","Perfect Elastic"}, {1,0.8,0.5,0.25})</f>
        <v>0.8</v>
      </c>
      <c r="Q8" s="246"/>
      <c r="R8" s="246">
        <v>0.2</v>
      </c>
      <c r="S8" s="246"/>
      <c r="T8" s="246">
        <f t="shared" ref="T8:T14" si="0">(P8*R8)</f>
        <v>0.16000000000000003</v>
      </c>
      <c r="U8" s="246"/>
      <c r="V8" s="247"/>
    </row>
    <row r="9" spans="1:22" ht="14.45" customHeight="1">
      <c r="A9" s="269"/>
      <c r="B9" s="269"/>
      <c r="C9" s="269"/>
      <c r="D9" s="269"/>
      <c r="E9" s="269"/>
      <c r="F9" s="269"/>
      <c r="G9" s="269"/>
      <c r="H9" s="269"/>
      <c r="I9" s="269"/>
      <c r="J9" s="269"/>
      <c r="M9" s="16" t="s">
        <v>77</v>
      </c>
      <c r="N9" s="245" t="s">
        <v>78</v>
      </c>
      <c r="O9" s="245"/>
      <c r="P9" s="246" cm="1">
        <f t="array" ref="P9">_xlfn.XLOOKUP(N9,{"Critical","Essential","Important","Discretionary"},{1,0.8,0.75,0.5})</f>
        <v>0.8</v>
      </c>
      <c r="Q9" s="246"/>
      <c r="R9" s="246">
        <v>0.1</v>
      </c>
      <c r="S9" s="246"/>
      <c r="T9" s="246">
        <f t="shared" si="0"/>
        <v>8.0000000000000016E-2</v>
      </c>
      <c r="U9" s="246"/>
      <c r="V9" s="247"/>
    </row>
    <row r="10" spans="1:22" ht="14.45" customHeight="1">
      <c r="A10" s="91"/>
      <c r="B10" s="91"/>
      <c r="C10" s="91"/>
      <c r="D10" s="91"/>
      <c r="E10" s="91"/>
      <c r="F10" s="91"/>
      <c r="G10" s="91"/>
      <c r="H10" s="91"/>
      <c r="I10" s="91"/>
      <c r="J10" s="91"/>
      <c r="M10" s="16" t="s">
        <v>79</v>
      </c>
      <c r="N10" s="245" t="s">
        <v>80</v>
      </c>
      <c r="O10" s="245"/>
      <c r="P10" s="246" cm="1">
        <f t="array" ref="P10">_xlfn.XLOOKUP(N10,{"None","Few","Many"},{1,0.8,0.5})</f>
        <v>0.8</v>
      </c>
      <c r="Q10" s="246"/>
      <c r="R10" s="246">
        <v>0.1</v>
      </c>
      <c r="S10" s="246"/>
      <c r="T10" s="246">
        <f t="shared" si="0"/>
        <v>8.0000000000000016E-2</v>
      </c>
      <c r="U10" s="246"/>
      <c r="V10" s="247"/>
    </row>
    <row r="11" spans="1:22">
      <c r="M11" s="16" t="s">
        <v>81</v>
      </c>
      <c r="N11" s="245" t="s">
        <v>510</v>
      </c>
      <c r="O11" s="245"/>
      <c r="P11" s="246" cm="1">
        <f t="array" ref="P11">_xlfn.XLOOKUP(N11,{"High Growth","Growth","Low Growth","Stagnant"},{1,0.8,0.5,0.25})</f>
        <v>1</v>
      </c>
      <c r="Q11" s="246"/>
      <c r="R11" s="246">
        <v>0.1</v>
      </c>
      <c r="S11" s="246"/>
      <c r="T11" s="246">
        <f t="shared" si="0"/>
        <v>0.1</v>
      </c>
      <c r="U11" s="246"/>
      <c r="V11" s="247"/>
    </row>
    <row r="12" spans="1:22" ht="15.75">
      <c r="A12" s="90" t="s">
        <v>82</v>
      </c>
      <c r="B12" s="87"/>
      <c r="C12" s="87"/>
      <c r="D12" s="87"/>
      <c r="M12" s="16" t="s">
        <v>83</v>
      </c>
      <c r="N12" s="245" t="s">
        <v>48</v>
      </c>
      <c r="O12" s="245"/>
      <c r="P12" s="246" cm="1">
        <f t="array" ref="P12">_xlfn.XLOOKUP(N12,{"High Growth","Growth","Low Growth","Stagnant"},{1,0.8,0.5,0.25})</f>
        <v>0.8</v>
      </c>
      <c r="Q12" s="246"/>
      <c r="R12" s="246">
        <v>0.15</v>
      </c>
      <c r="S12" s="246"/>
      <c r="T12" s="246">
        <f t="shared" si="0"/>
        <v>0.12</v>
      </c>
      <c r="U12" s="246"/>
      <c r="V12" s="247"/>
    </row>
    <row r="13" spans="1:22">
      <c r="B13" s="268" t="s">
        <v>503</v>
      </c>
      <c r="C13" s="268"/>
      <c r="D13" s="268"/>
      <c r="E13" s="268"/>
      <c r="F13" s="268"/>
      <c r="G13" s="268"/>
      <c r="H13" s="268"/>
      <c r="M13" s="16" t="s">
        <v>84</v>
      </c>
      <c r="N13" s="245" t="s">
        <v>48</v>
      </c>
      <c r="O13" s="245"/>
      <c r="P13" s="246" cm="1">
        <f t="array" ref="P13">_xlfn.XLOOKUP(N13,{"High Growth","Growth","Low Growth","Stagnant"},{1,0.8,0.5,0.25})</f>
        <v>0.8</v>
      </c>
      <c r="Q13" s="246"/>
      <c r="R13" s="246">
        <v>0.1</v>
      </c>
      <c r="S13" s="246"/>
      <c r="T13" s="246">
        <f t="shared" si="0"/>
        <v>8.0000000000000016E-2</v>
      </c>
      <c r="U13" s="246"/>
      <c r="V13" s="247"/>
    </row>
    <row r="14" spans="1:22">
      <c r="B14" s="270"/>
      <c r="C14" s="270"/>
      <c r="D14" s="270"/>
      <c r="E14" s="270"/>
      <c r="F14" s="270"/>
      <c r="G14" s="270"/>
      <c r="H14" s="270"/>
      <c r="M14" s="16" t="s">
        <v>85</v>
      </c>
      <c r="N14" s="245" t="s">
        <v>86</v>
      </c>
      <c r="O14" s="245"/>
      <c r="P14" s="246" cm="1">
        <f t="array" ref="P14">_xlfn.XLOOKUP(N14,{"Sparse","Saturated","Bottleneck"},{1,0.5,0.25})</f>
        <v>0.5</v>
      </c>
      <c r="Q14" s="246"/>
      <c r="R14" s="246">
        <v>0.05</v>
      </c>
      <c r="S14" s="246"/>
      <c r="T14" s="246">
        <f t="shared" si="0"/>
        <v>2.5000000000000001E-2</v>
      </c>
      <c r="U14" s="246"/>
      <c r="V14" s="247"/>
    </row>
    <row r="15" spans="1:22">
      <c r="B15" s="267" t="s">
        <v>87</v>
      </c>
      <c r="C15" s="267"/>
      <c r="D15" s="267"/>
      <c r="E15" s="267"/>
      <c r="F15" s="267"/>
      <c r="G15" s="267"/>
      <c r="H15" s="267"/>
      <c r="M15" s="17" t="s">
        <v>88</v>
      </c>
      <c r="N15" s="15"/>
      <c r="O15" s="15"/>
      <c r="P15" s="19"/>
      <c r="Q15" s="19"/>
      <c r="R15" s="250">
        <f>SUM(R7:S14)</f>
        <v>1</v>
      </c>
      <c r="S15" s="250"/>
      <c r="T15" s="250">
        <f>SUM(T7:V14)</f>
        <v>0.80500000000000005</v>
      </c>
      <c r="U15" s="250"/>
      <c r="V15" s="253"/>
    </row>
    <row r="16" spans="1:22">
      <c r="B16" s="268"/>
      <c r="C16" s="268"/>
      <c r="D16" s="268"/>
      <c r="E16" s="268"/>
      <c r="F16" s="268"/>
      <c r="G16" s="268"/>
      <c r="H16" s="268"/>
    </row>
    <row r="17" spans="1:22" ht="15.75">
      <c r="A17" s="89"/>
      <c r="M17" s="42" t="s">
        <v>89</v>
      </c>
    </row>
    <row r="18" spans="1:22" ht="15.6" customHeight="1">
      <c r="A18" s="257" t="s">
        <v>90</v>
      </c>
      <c r="B18" s="257"/>
      <c r="C18" s="257"/>
      <c r="D18" s="257"/>
      <c r="E18" s="257"/>
      <c r="F18" s="257"/>
      <c r="G18" s="257"/>
      <c r="H18" s="257"/>
      <c r="I18" s="257"/>
      <c r="J18" s="257"/>
      <c r="M18" s="88"/>
      <c r="N18" s="248" t="s">
        <v>69</v>
      </c>
      <c r="O18" s="248"/>
      <c r="P18" s="248" t="s">
        <v>70</v>
      </c>
      <c r="Q18" s="248"/>
      <c r="R18" s="248" t="s">
        <v>71</v>
      </c>
      <c r="S18" s="248"/>
      <c r="T18" s="248" t="s">
        <v>72</v>
      </c>
      <c r="U18" s="248"/>
      <c r="V18" s="249"/>
    </row>
    <row r="19" spans="1:22" ht="14.45" customHeight="1">
      <c r="A19" s="257"/>
      <c r="B19" s="257"/>
      <c r="C19" s="257"/>
      <c r="D19" s="257"/>
      <c r="E19" s="257"/>
      <c r="F19" s="257"/>
      <c r="G19" s="257"/>
      <c r="H19" s="257"/>
      <c r="I19" s="257"/>
      <c r="J19" s="257"/>
      <c r="M19" s="16" t="s">
        <v>91</v>
      </c>
      <c r="N19" s="251">
        <v>0.15</v>
      </c>
      <c r="O19" s="252"/>
      <c r="P19" s="246" cm="1">
        <f t="array" ref="P19">_xlfn.XLOOKUP(N19, {0.05,0.1,0.15}, {0.5,0.8,1})</f>
        <v>1</v>
      </c>
      <c r="Q19" s="246"/>
      <c r="R19" s="246">
        <v>0.5</v>
      </c>
      <c r="S19" s="246"/>
      <c r="T19" s="246">
        <f>(P19*R19)</f>
        <v>0.5</v>
      </c>
      <c r="U19" s="246"/>
      <c r="V19" s="247"/>
    </row>
    <row r="20" spans="1:22" ht="14.45" customHeight="1">
      <c r="A20" s="257"/>
      <c r="B20" s="257"/>
      <c r="C20" s="257"/>
      <c r="D20" s="257"/>
      <c r="E20" s="257"/>
      <c r="F20" s="257"/>
      <c r="G20" s="257"/>
      <c r="H20" s="257"/>
      <c r="I20" s="257"/>
      <c r="J20" s="257"/>
      <c r="M20" s="16" t="s">
        <v>92</v>
      </c>
      <c r="N20" s="251">
        <v>0.05</v>
      </c>
      <c r="O20" s="252"/>
      <c r="P20" s="246" cm="1">
        <f t="array" ref="P20">_xlfn.XLOOKUP(N20, {0.04,0.05,0.06,0.07}, {0.5,0.8,0.9,1})</f>
        <v>0.8</v>
      </c>
      <c r="Q20" s="246"/>
      <c r="R20" s="246">
        <v>0.3</v>
      </c>
      <c r="S20" s="246"/>
      <c r="T20" s="246">
        <f>(P20*R20)</f>
        <v>0.24</v>
      </c>
      <c r="U20" s="246"/>
      <c r="V20" s="247"/>
    </row>
    <row r="21" spans="1:22" ht="14.45" customHeight="1">
      <c r="A21" s="257"/>
      <c r="B21" s="257"/>
      <c r="C21" s="257"/>
      <c r="D21" s="257"/>
      <c r="E21" s="257"/>
      <c r="F21" s="257"/>
      <c r="G21" s="257"/>
      <c r="H21" s="257"/>
      <c r="I21" s="257"/>
      <c r="J21" s="257"/>
      <c r="M21" s="16" t="s">
        <v>93</v>
      </c>
      <c r="N21" s="251">
        <v>0.15</v>
      </c>
      <c r="O21" s="252"/>
      <c r="P21" s="246" cm="1">
        <f t="array" ref="P21">_xlfn.XLOOKUP(N21,{0.05,0.1,0.15},{0.5,0.75,1})</f>
        <v>1</v>
      </c>
      <c r="Q21" s="246"/>
      <c r="R21" s="246">
        <v>0.1</v>
      </c>
      <c r="S21" s="246"/>
      <c r="T21" s="246">
        <f>(P21*R21)</f>
        <v>0.1</v>
      </c>
      <c r="U21" s="246"/>
      <c r="V21" s="247"/>
    </row>
    <row r="22" spans="1:22" ht="14.45" customHeight="1">
      <c r="A22" s="257"/>
      <c r="B22" s="257"/>
      <c r="C22" s="257"/>
      <c r="D22" s="257"/>
      <c r="E22" s="257"/>
      <c r="F22" s="257"/>
      <c r="G22" s="257"/>
      <c r="H22" s="257"/>
      <c r="I22" s="257"/>
      <c r="J22" s="257"/>
      <c r="M22" s="16" t="s">
        <v>94</v>
      </c>
      <c r="N22" s="251">
        <v>0.2</v>
      </c>
      <c r="O22" s="252"/>
      <c r="P22" s="246" cm="1">
        <f t="array" ref="P22">_xlfn.XLOOKUP(N22,{0.1,0.15,0.2},{0.5,0.75,1})</f>
        <v>1</v>
      </c>
      <c r="Q22" s="246"/>
      <c r="R22" s="246">
        <v>0.05</v>
      </c>
      <c r="S22" s="246"/>
      <c r="T22" s="246">
        <f>(P22*R22)</f>
        <v>0.05</v>
      </c>
      <c r="U22" s="246"/>
      <c r="V22" s="247"/>
    </row>
    <row r="23" spans="1:22" ht="14.45" customHeight="1">
      <c r="A23" s="257"/>
      <c r="B23" s="257"/>
      <c r="C23" s="257"/>
      <c r="D23" s="257"/>
      <c r="E23" s="257"/>
      <c r="F23" s="257"/>
      <c r="G23" s="257"/>
      <c r="H23" s="257"/>
      <c r="I23" s="257"/>
      <c r="J23" s="257"/>
      <c r="M23" s="16" t="s">
        <v>95</v>
      </c>
      <c r="N23" s="251">
        <v>0.2</v>
      </c>
      <c r="O23" s="252"/>
      <c r="P23" s="246" cm="1">
        <f t="array" ref="P23">_xlfn.XLOOKUP(N23,{0.1,0.15,0.2},{0.5,0.75,1})</f>
        <v>1</v>
      </c>
      <c r="Q23" s="246"/>
      <c r="R23" s="246">
        <v>0.05</v>
      </c>
      <c r="S23" s="246"/>
      <c r="T23" s="246">
        <f>(P23*R23)</f>
        <v>0.05</v>
      </c>
      <c r="U23" s="246"/>
      <c r="V23" s="247"/>
    </row>
    <row r="24" spans="1:22" ht="14.45" customHeight="1">
      <c r="A24" s="257"/>
      <c r="B24" s="257"/>
      <c r="C24" s="257"/>
      <c r="D24" s="257"/>
      <c r="E24" s="257"/>
      <c r="F24" s="257"/>
      <c r="G24" s="257"/>
      <c r="H24" s="257"/>
      <c r="I24" s="257"/>
      <c r="J24" s="257"/>
      <c r="M24" s="17" t="s">
        <v>88</v>
      </c>
      <c r="N24" s="86"/>
      <c r="O24" s="86"/>
      <c r="P24" s="250"/>
      <c r="Q24" s="250"/>
      <c r="R24" s="250">
        <f>SUM(R19:S23)</f>
        <v>1</v>
      </c>
      <c r="S24" s="250"/>
      <c r="T24" s="250">
        <f>SUM(T19:V23)</f>
        <v>0.94000000000000006</v>
      </c>
      <c r="U24" s="250"/>
      <c r="V24" s="253"/>
    </row>
    <row r="25" spans="1:22" ht="14.45" customHeight="1">
      <c r="A25" s="257"/>
      <c r="B25" s="257"/>
      <c r="C25" s="257"/>
      <c r="D25" s="257"/>
      <c r="E25" s="257"/>
      <c r="F25" s="257"/>
      <c r="G25" s="257"/>
      <c r="H25" s="257"/>
      <c r="I25" s="257"/>
      <c r="J25" s="257"/>
    </row>
    <row r="26" spans="1:22" ht="14.45" customHeight="1">
      <c r="A26" s="257"/>
      <c r="B26" s="257"/>
      <c r="C26" s="257"/>
      <c r="D26" s="257"/>
      <c r="E26" s="257"/>
      <c r="F26" s="257"/>
      <c r="G26" s="257"/>
      <c r="H26" s="257"/>
      <c r="I26" s="257"/>
      <c r="J26" s="257"/>
      <c r="M26" s="88"/>
      <c r="N26" s="260" t="s">
        <v>69</v>
      </c>
      <c r="O26" s="260"/>
      <c r="P26" s="260" t="s">
        <v>70</v>
      </c>
      <c r="Q26" s="260"/>
      <c r="R26" s="260" t="s">
        <v>71</v>
      </c>
      <c r="S26" s="260"/>
      <c r="T26" s="260" t="s">
        <v>72</v>
      </c>
      <c r="U26" s="260"/>
      <c r="V26" s="261"/>
    </row>
    <row r="27" spans="1:22" ht="14.45" customHeight="1">
      <c r="A27" s="257"/>
      <c r="B27" s="257"/>
      <c r="C27" s="257"/>
      <c r="D27" s="257"/>
      <c r="E27" s="257"/>
      <c r="F27" s="257"/>
      <c r="G27" s="257"/>
      <c r="H27" s="257"/>
      <c r="I27" s="257"/>
      <c r="J27" s="257"/>
      <c r="M27" s="16" t="s">
        <v>96</v>
      </c>
      <c r="N27" s="262">
        <f>T15</f>
        <v>0.80500000000000005</v>
      </c>
      <c r="O27" s="262"/>
      <c r="P27" s="262">
        <v>1</v>
      </c>
      <c r="Q27" s="262"/>
      <c r="R27" s="262">
        <v>0.6</v>
      </c>
      <c r="S27" s="262"/>
      <c r="T27" s="262">
        <f>N27*R27</f>
        <v>0.48299999999999998</v>
      </c>
      <c r="U27" s="262"/>
      <c r="V27" s="264"/>
    </row>
    <row r="28" spans="1:22" ht="14.45" customHeight="1">
      <c r="A28" s="257"/>
      <c r="B28" s="257"/>
      <c r="C28" s="257"/>
      <c r="D28" s="257"/>
      <c r="E28" s="257"/>
      <c r="F28" s="257"/>
      <c r="G28" s="257"/>
      <c r="H28" s="257"/>
      <c r="I28" s="257"/>
      <c r="J28" s="257"/>
      <c r="M28" s="85" t="s">
        <v>97</v>
      </c>
      <c r="N28" s="263">
        <f>T24</f>
        <v>0.94000000000000006</v>
      </c>
      <c r="O28" s="263"/>
      <c r="P28" s="263">
        <v>1</v>
      </c>
      <c r="Q28" s="263"/>
      <c r="R28" s="263">
        <v>0.4</v>
      </c>
      <c r="S28" s="263"/>
      <c r="T28" s="263">
        <f>N28*R28</f>
        <v>0.37600000000000006</v>
      </c>
      <c r="U28" s="263"/>
      <c r="V28" s="265"/>
    </row>
    <row r="29" spans="1:22" ht="14.45" customHeight="1">
      <c r="A29" s="257"/>
      <c r="B29" s="257"/>
      <c r="C29" s="257"/>
      <c r="D29" s="257"/>
      <c r="E29" s="257"/>
      <c r="F29" s="257"/>
      <c r="G29" s="257"/>
      <c r="H29" s="257"/>
      <c r="I29" s="257"/>
      <c r="J29" s="257"/>
      <c r="M29" s="92" t="s">
        <v>98</v>
      </c>
      <c r="N29" s="86"/>
      <c r="O29" s="86"/>
      <c r="P29" s="86"/>
      <c r="Q29" s="86"/>
      <c r="R29" s="86"/>
      <c r="S29" s="86"/>
      <c r="T29" s="258">
        <f>SUM(T27:V28)</f>
        <v>0.85899999999999999</v>
      </c>
      <c r="U29" s="258"/>
      <c r="V29" s="259"/>
    </row>
    <row r="30" spans="1:22" ht="14.45" customHeight="1">
      <c r="A30" s="257"/>
      <c r="B30" s="257"/>
      <c r="C30" s="257"/>
      <c r="D30" s="257"/>
      <c r="E30" s="257"/>
      <c r="F30" s="257"/>
      <c r="G30" s="257"/>
      <c r="H30" s="257"/>
      <c r="I30" s="257"/>
      <c r="J30" s="257"/>
    </row>
    <row r="31" spans="1:22" ht="14.45" customHeight="1">
      <c r="A31" s="257"/>
      <c r="B31" s="257"/>
      <c r="C31" s="257"/>
      <c r="D31" s="257"/>
      <c r="E31" s="257"/>
      <c r="F31" s="257"/>
      <c r="G31" s="257"/>
      <c r="H31" s="257"/>
      <c r="I31" s="257"/>
      <c r="J31" s="257"/>
      <c r="M31" s="220" t="s">
        <v>511</v>
      </c>
      <c r="N31" s="220"/>
      <c r="O31" s="220"/>
      <c r="P31" s="220"/>
      <c r="Q31" s="220"/>
      <c r="R31" s="220"/>
      <c r="S31" s="220"/>
      <c r="T31" s="220"/>
      <c r="U31" s="220"/>
      <c r="V31" s="220"/>
    </row>
    <row r="32" spans="1:22">
      <c r="A32" s="257"/>
      <c r="B32" s="257"/>
      <c r="C32" s="257"/>
      <c r="D32" s="257"/>
      <c r="E32" s="257"/>
      <c r="F32" s="257"/>
      <c r="G32" s="257"/>
      <c r="H32" s="257"/>
      <c r="I32" s="257"/>
      <c r="J32" s="257"/>
      <c r="M32" s="178">
        <v>0.2</v>
      </c>
      <c r="N32" s="220">
        <v>0.4</v>
      </c>
      <c r="O32" s="220"/>
      <c r="P32" s="220"/>
      <c r="Q32" s="220">
        <v>0.6</v>
      </c>
      <c r="R32" s="220"/>
      <c r="S32" s="220"/>
      <c r="T32" s="220">
        <v>0.8</v>
      </c>
      <c r="U32" s="220"/>
      <c r="V32" s="220"/>
    </row>
    <row r="33" spans="1:22">
      <c r="A33" s="257"/>
      <c r="B33" s="257"/>
      <c r="C33" s="257"/>
      <c r="D33" s="257"/>
      <c r="E33" s="257"/>
      <c r="F33" s="257"/>
      <c r="G33" s="257"/>
      <c r="H33" s="257"/>
      <c r="I33" s="257"/>
      <c r="J33" s="257"/>
      <c r="M33" s="178" t="s">
        <v>513</v>
      </c>
      <c r="N33" s="220" t="s">
        <v>512</v>
      </c>
      <c r="O33" s="220"/>
      <c r="P33" s="220"/>
      <c r="Q33" s="220" t="s">
        <v>514</v>
      </c>
      <c r="R33" s="220"/>
      <c r="S33" s="220"/>
      <c r="T33" s="220" t="s">
        <v>515</v>
      </c>
      <c r="U33" s="220"/>
      <c r="V33" s="220"/>
    </row>
    <row r="35" spans="1:22" ht="15.75">
      <c r="A35" s="98" t="s">
        <v>99</v>
      </c>
    </row>
    <row r="36" spans="1:22">
      <c r="B36" s="268" t="s">
        <v>503</v>
      </c>
      <c r="C36" s="268"/>
      <c r="D36" s="268"/>
      <c r="E36" s="268"/>
      <c r="F36" s="268"/>
      <c r="G36" s="268"/>
      <c r="H36" s="268"/>
    </row>
    <row r="37" spans="1:22">
      <c r="B37" s="270"/>
      <c r="C37" s="270"/>
      <c r="D37" s="270"/>
      <c r="E37" s="270"/>
      <c r="F37" s="270"/>
      <c r="G37" s="270"/>
      <c r="H37" s="270"/>
    </row>
    <row r="38" spans="1:22">
      <c r="B38" s="266">
        <v>0.15</v>
      </c>
      <c r="C38" s="267"/>
      <c r="D38" s="267"/>
      <c r="E38" s="267"/>
      <c r="F38" s="267"/>
      <c r="G38" s="267"/>
      <c r="H38" s="267"/>
    </row>
    <row r="39" spans="1:22">
      <c r="B39" s="268"/>
      <c r="C39" s="268"/>
      <c r="D39" s="268"/>
      <c r="E39" s="268"/>
      <c r="F39" s="268"/>
      <c r="G39" s="268"/>
      <c r="H39" s="268"/>
    </row>
    <row r="41" spans="1:22" ht="14.45" customHeight="1">
      <c r="A41" s="257" t="s">
        <v>100</v>
      </c>
      <c r="B41" s="257"/>
      <c r="C41" s="257"/>
      <c r="D41" s="257"/>
      <c r="E41" s="257"/>
      <c r="F41" s="257"/>
      <c r="G41" s="257"/>
      <c r="H41" s="257"/>
      <c r="I41" s="257"/>
      <c r="J41" s="257"/>
    </row>
    <row r="42" spans="1:22" ht="14.45" customHeight="1">
      <c r="A42" s="257"/>
      <c r="B42" s="257"/>
      <c r="C42" s="257"/>
      <c r="D42" s="257"/>
      <c r="E42" s="257"/>
      <c r="F42" s="257"/>
      <c r="G42" s="257"/>
      <c r="H42" s="257"/>
      <c r="I42" s="257"/>
      <c r="J42" s="257"/>
    </row>
    <row r="43" spans="1:22" ht="14.45" customHeight="1">
      <c r="A43" s="257"/>
      <c r="B43" s="257"/>
      <c r="C43" s="257"/>
      <c r="D43" s="257"/>
      <c r="E43" s="257"/>
      <c r="F43" s="257"/>
      <c r="G43" s="257"/>
      <c r="H43" s="257"/>
      <c r="I43" s="257"/>
      <c r="J43" s="257"/>
    </row>
    <row r="44" spans="1:22" ht="14.45" customHeight="1">
      <c r="A44" s="257"/>
      <c r="B44" s="257"/>
      <c r="C44" s="257"/>
      <c r="D44" s="257"/>
      <c r="E44" s="257"/>
      <c r="F44" s="257"/>
      <c r="G44" s="257"/>
      <c r="H44" s="257"/>
      <c r="I44" s="257"/>
      <c r="J44" s="257"/>
    </row>
    <row r="45" spans="1:22" ht="14.45" customHeight="1">
      <c r="A45" s="257"/>
      <c r="B45" s="257"/>
      <c r="C45" s="257"/>
      <c r="D45" s="257"/>
      <c r="E45" s="257"/>
      <c r="F45" s="257"/>
      <c r="G45" s="257"/>
      <c r="H45" s="257"/>
      <c r="I45" s="257"/>
      <c r="J45" s="257"/>
    </row>
    <row r="46" spans="1:22" ht="14.45" customHeight="1">
      <c r="A46" s="257"/>
      <c r="B46" s="257"/>
      <c r="C46" s="257"/>
      <c r="D46" s="257"/>
      <c r="E46" s="257"/>
      <c r="F46" s="257"/>
      <c r="G46" s="257"/>
      <c r="H46" s="257"/>
      <c r="I46" s="257"/>
      <c r="J46" s="257"/>
    </row>
    <row r="47" spans="1:22" ht="14.45" customHeight="1">
      <c r="A47" s="257"/>
      <c r="B47" s="257"/>
      <c r="C47" s="257"/>
      <c r="D47" s="257"/>
      <c r="E47" s="257"/>
      <c r="F47" s="257"/>
      <c r="G47" s="257"/>
      <c r="H47" s="257"/>
      <c r="I47" s="257"/>
      <c r="J47" s="257"/>
    </row>
    <row r="48" spans="1:22" ht="14.45" customHeight="1">
      <c r="A48" s="179"/>
      <c r="B48" s="179"/>
      <c r="C48" s="179"/>
      <c r="D48" s="179"/>
      <c r="E48" s="179"/>
      <c r="F48" s="179"/>
      <c r="G48" s="179"/>
      <c r="H48" s="179"/>
      <c r="I48" s="179"/>
      <c r="J48" s="179"/>
    </row>
    <row r="49" spans="1:10" ht="14.45" customHeight="1">
      <c r="A49" s="98" t="s">
        <v>445</v>
      </c>
      <c r="B49" s="179"/>
      <c r="C49" s="179"/>
      <c r="D49" s="179"/>
      <c r="E49" s="179"/>
      <c r="F49" s="179"/>
      <c r="G49" s="179"/>
      <c r="H49" s="179"/>
      <c r="I49" s="179"/>
      <c r="J49" s="179"/>
    </row>
    <row r="50" spans="1:10" ht="14.45" customHeight="1">
      <c r="B50" s="268" t="s">
        <v>505</v>
      </c>
      <c r="C50" s="268"/>
      <c r="D50" s="268"/>
      <c r="E50" s="268"/>
      <c r="F50" s="268"/>
      <c r="G50" s="268"/>
      <c r="H50" s="268"/>
      <c r="I50" s="179"/>
      <c r="J50" s="179"/>
    </row>
    <row r="51" spans="1:10" ht="14.45" customHeight="1">
      <c r="A51" s="179"/>
      <c r="B51" s="270"/>
      <c r="C51" s="270"/>
      <c r="D51" s="270"/>
      <c r="E51" s="270"/>
      <c r="F51" s="270"/>
      <c r="G51" s="270"/>
      <c r="H51" s="270"/>
      <c r="I51" s="179"/>
      <c r="J51" s="179"/>
    </row>
    <row r="52" spans="1:10" ht="14.45" customHeight="1">
      <c r="A52" s="179"/>
      <c r="B52" s="266" t="s">
        <v>504</v>
      </c>
      <c r="C52" s="267"/>
      <c r="D52" s="267"/>
      <c r="E52" s="267"/>
      <c r="F52" s="267"/>
      <c r="G52" s="267"/>
      <c r="H52" s="267"/>
      <c r="I52" s="179"/>
      <c r="J52" s="179"/>
    </row>
    <row r="53" spans="1:10" ht="14.45" customHeight="1">
      <c r="A53" s="179"/>
      <c r="B53" s="268"/>
      <c r="C53" s="268"/>
      <c r="D53" s="268"/>
      <c r="E53" s="268"/>
      <c r="F53" s="268"/>
      <c r="G53" s="268"/>
      <c r="H53" s="268"/>
      <c r="I53" s="179"/>
      <c r="J53" s="179"/>
    </row>
    <row r="54" spans="1:10" ht="14.45" customHeight="1">
      <c r="A54" s="179"/>
      <c r="B54" s="179"/>
      <c r="C54" s="179"/>
      <c r="D54" s="179"/>
      <c r="E54" s="179"/>
      <c r="F54" s="179"/>
      <c r="G54" s="179"/>
      <c r="H54" s="179"/>
      <c r="I54" s="179"/>
      <c r="J54" s="179"/>
    </row>
    <row r="55" spans="1:10" ht="14.45" customHeight="1">
      <c r="A55" s="257" t="s">
        <v>508</v>
      </c>
      <c r="B55" s="257"/>
      <c r="C55" s="257"/>
      <c r="D55" s="257"/>
      <c r="E55" s="257"/>
      <c r="F55" s="257"/>
      <c r="G55" s="257"/>
      <c r="H55" s="257"/>
      <c r="I55" s="257"/>
      <c r="J55" s="257"/>
    </row>
    <row r="56" spans="1:10" ht="14.45" customHeight="1">
      <c r="A56" s="257"/>
      <c r="B56" s="257"/>
      <c r="C56" s="257"/>
      <c r="D56" s="257"/>
      <c r="E56" s="257"/>
      <c r="F56" s="257"/>
      <c r="G56" s="257"/>
      <c r="H56" s="257"/>
      <c r="I56" s="257"/>
      <c r="J56" s="257"/>
    </row>
    <row r="57" spans="1:10" ht="14.45" customHeight="1">
      <c r="A57" s="257"/>
      <c r="B57" s="257"/>
      <c r="C57" s="257"/>
      <c r="D57" s="257"/>
      <c r="E57" s="257"/>
      <c r="F57" s="257"/>
      <c r="G57" s="257"/>
      <c r="H57" s="257"/>
      <c r="I57" s="257"/>
      <c r="J57" s="257"/>
    </row>
    <row r="58" spans="1:10" ht="14.45" customHeight="1">
      <c r="A58" s="257"/>
      <c r="B58" s="257"/>
      <c r="C58" s="257"/>
      <c r="D58" s="257"/>
      <c r="E58" s="257"/>
      <c r="F58" s="257"/>
      <c r="G58" s="257"/>
      <c r="H58" s="257"/>
      <c r="I58" s="257"/>
      <c r="J58" s="257"/>
    </row>
    <row r="59" spans="1:10" ht="14.45" customHeight="1">
      <c r="A59" s="257"/>
      <c r="B59" s="257"/>
      <c r="C59" s="257"/>
      <c r="D59" s="257"/>
      <c r="E59" s="257"/>
      <c r="F59" s="257"/>
      <c r="G59" s="257"/>
      <c r="H59" s="257"/>
      <c r="I59" s="257"/>
      <c r="J59" s="257"/>
    </row>
    <row r="60" spans="1:10" ht="14.45" customHeight="1">
      <c r="A60" s="257"/>
      <c r="B60" s="257"/>
      <c r="C60" s="257"/>
      <c r="D60" s="257"/>
      <c r="E60" s="257"/>
      <c r="F60" s="257"/>
      <c r="G60" s="257"/>
      <c r="H60" s="257"/>
      <c r="I60" s="257"/>
      <c r="J60" s="257"/>
    </row>
    <row r="61" spans="1:10" ht="14.45" customHeight="1">
      <c r="A61" s="179"/>
      <c r="B61" s="179"/>
      <c r="C61" s="179"/>
      <c r="D61" s="179"/>
      <c r="E61" s="179"/>
      <c r="F61" s="179"/>
      <c r="G61" s="179"/>
      <c r="H61" s="179"/>
      <c r="I61" s="179"/>
      <c r="J61" s="179"/>
    </row>
    <row r="62" spans="1:10" ht="14.45" customHeight="1">
      <c r="A62" s="98" t="s">
        <v>506</v>
      </c>
      <c r="C62" s="179"/>
      <c r="D62" s="179"/>
      <c r="E62" s="179"/>
      <c r="F62" s="179"/>
      <c r="G62" s="179"/>
      <c r="H62" s="179"/>
      <c r="I62" s="179"/>
      <c r="J62" s="179"/>
    </row>
    <row r="63" spans="1:10" ht="14.45" customHeight="1">
      <c r="A63" s="179"/>
      <c r="B63" s="268" t="s">
        <v>507</v>
      </c>
      <c r="C63" s="268"/>
      <c r="D63" s="268"/>
      <c r="E63" s="268"/>
      <c r="F63" s="268"/>
      <c r="G63" s="268"/>
      <c r="H63" s="268"/>
      <c r="I63" s="179"/>
      <c r="J63" s="179"/>
    </row>
    <row r="64" spans="1:10" ht="14.45" customHeight="1">
      <c r="A64" s="179"/>
      <c r="B64" s="268"/>
      <c r="C64" s="268"/>
      <c r="D64" s="268"/>
      <c r="E64" s="268"/>
      <c r="F64" s="268"/>
      <c r="G64" s="268"/>
      <c r="H64" s="268"/>
      <c r="I64" s="179"/>
      <c r="J64" s="179"/>
    </row>
    <row r="65" spans="1:10" ht="14.45" customHeight="1">
      <c r="A65" s="179"/>
      <c r="B65" s="268"/>
      <c r="C65" s="268"/>
      <c r="D65" s="268"/>
      <c r="E65" s="268"/>
      <c r="F65" s="268"/>
      <c r="G65" s="268"/>
      <c r="H65" s="268"/>
      <c r="I65" s="179"/>
      <c r="J65" s="179"/>
    </row>
    <row r="66" spans="1:10" ht="14.45" customHeight="1">
      <c r="A66" s="179"/>
      <c r="B66" s="268"/>
      <c r="C66" s="268"/>
      <c r="D66" s="268"/>
      <c r="E66" s="268"/>
      <c r="F66" s="268"/>
      <c r="G66" s="268"/>
      <c r="H66" s="268"/>
      <c r="I66" s="179"/>
      <c r="J66" s="179"/>
    </row>
    <row r="67" spans="1:10" ht="14.45" customHeight="1">
      <c r="A67" s="257" t="s">
        <v>509</v>
      </c>
      <c r="B67" s="257"/>
      <c r="C67" s="257"/>
      <c r="D67" s="257"/>
      <c r="E67" s="257"/>
      <c r="F67" s="257"/>
      <c r="G67" s="257"/>
      <c r="H67" s="257"/>
      <c r="I67" s="257"/>
      <c r="J67" s="257"/>
    </row>
    <row r="68" spans="1:10" ht="14.45" customHeight="1">
      <c r="A68" s="257"/>
      <c r="B68" s="257"/>
      <c r="C68" s="257"/>
      <c r="D68" s="257"/>
      <c r="E68" s="257"/>
      <c r="F68" s="257"/>
      <c r="G68" s="257"/>
      <c r="H68" s="257"/>
      <c r="I68" s="257"/>
      <c r="J68" s="257"/>
    </row>
    <row r="69" spans="1:10" ht="14.45" customHeight="1">
      <c r="A69" s="257"/>
      <c r="B69" s="257"/>
      <c r="C69" s="257"/>
      <c r="D69" s="257"/>
      <c r="E69" s="257"/>
      <c r="F69" s="257"/>
      <c r="G69" s="257"/>
      <c r="H69" s="257"/>
      <c r="I69" s="257"/>
      <c r="J69" s="257"/>
    </row>
    <row r="70" spans="1:10" ht="14.45" customHeight="1">
      <c r="A70" s="257"/>
      <c r="B70" s="257"/>
      <c r="C70" s="257"/>
      <c r="D70" s="257"/>
      <c r="E70" s="257"/>
      <c r="F70" s="257"/>
      <c r="G70" s="257"/>
      <c r="H70" s="257"/>
      <c r="I70" s="257"/>
      <c r="J70" s="257"/>
    </row>
    <row r="71" spans="1:10" ht="14.45" customHeight="1">
      <c r="A71" s="179"/>
      <c r="B71" s="179"/>
      <c r="C71" s="179"/>
      <c r="D71" s="179"/>
      <c r="E71" s="179"/>
      <c r="F71" s="179"/>
      <c r="G71" s="179"/>
      <c r="H71" s="179"/>
      <c r="I71" s="179"/>
      <c r="J71" s="179"/>
    </row>
    <row r="72" spans="1:10" ht="14.45" customHeight="1">
      <c r="A72" s="98"/>
      <c r="B72" s="91"/>
      <c r="C72" s="91"/>
      <c r="D72" s="91"/>
      <c r="E72" s="91"/>
      <c r="F72" s="91"/>
      <c r="G72" s="91"/>
      <c r="H72" s="91"/>
      <c r="I72" s="91"/>
      <c r="J72" s="91"/>
    </row>
    <row r="73" spans="1:10" ht="14.45" customHeight="1"/>
    <row r="74" spans="1:10" ht="14.45" customHeight="1">
      <c r="A74" s="257"/>
      <c r="B74" s="257"/>
      <c r="C74" s="257"/>
      <c r="D74" s="257"/>
      <c r="E74" s="257"/>
      <c r="F74" s="257"/>
      <c r="G74" s="257"/>
      <c r="H74" s="257"/>
      <c r="I74" s="257"/>
      <c r="J74" s="257"/>
    </row>
    <row r="75" spans="1:10" ht="14.45" customHeight="1">
      <c r="A75" s="257"/>
      <c r="B75" s="257"/>
      <c r="C75" s="257"/>
      <c r="D75" s="257"/>
      <c r="E75" s="257"/>
      <c r="F75" s="257"/>
      <c r="G75" s="257"/>
      <c r="H75" s="257"/>
      <c r="I75" s="257"/>
      <c r="J75" s="257"/>
    </row>
    <row r="76" spans="1:10" ht="14.45" customHeight="1">
      <c r="A76" s="257"/>
      <c r="B76" s="257"/>
      <c r="C76" s="257"/>
      <c r="D76" s="257"/>
      <c r="E76" s="257"/>
      <c r="F76" s="257"/>
      <c r="G76" s="257"/>
      <c r="H76" s="257"/>
      <c r="I76" s="257"/>
      <c r="J76" s="257"/>
    </row>
    <row r="77" spans="1:10" ht="14.45" customHeight="1">
      <c r="A77" s="257"/>
      <c r="B77" s="257"/>
      <c r="C77" s="257"/>
      <c r="D77" s="257"/>
      <c r="E77" s="257"/>
      <c r="F77" s="257"/>
      <c r="G77" s="257"/>
      <c r="H77" s="257"/>
      <c r="I77" s="257"/>
      <c r="J77" s="257"/>
    </row>
    <row r="78" spans="1:10" ht="14.45" customHeight="1">
      <c r="A78" s="257"/>
      <c r="B78" s="257"/>
      <c r="C78" s="257"/>
      <c r="D78" s="257"/>
      <c r="E78" s="257"/>
      <c r="F78" s="257"/>
      <c r="G78" s="257"/>
      <c r="H78" s="257"/>
      <c r="I78" s="257"/>
      <c r="J78" s="257"/>
    </row>
    <row r="79" spans="1:10" ht="14.45" customHeight="1">
      <c r="A79" s="257"/>
      <c r="B79" s="257"/>
      <c r="C79" s="257"/>
      <c r="D79" s="257"/>
      <c r="E79" s="257"/>
      <c r="F79" s="257"/>
      <c r="G79" s="257"/>
      <c r="H79" s="257"/>
      <c r="I79" s="257"/>
      <c r="J79" s="257"/>
    </row>
    <row r="80" spans="1:10">
      <c r="A80" s="257"/>
      <c r="B80" s="257"/>
      <c r="C80" s="257"/>
      <c r="D80" s="257"/>
      <c r="E80" s="257"/>
      <c r="F80" s="257"/>
      <c r="G80" s="257"/>
      <c r="H80" s="257"/>
      <c r="I80" s="257"/>
      <c r="J80" s="257"/>
    </row>
    <row r="81" spans="1:10" ht="15.75">
      <c r="A81" s="179"/>
      <c r="B81" s="179"/>
      <c r="C81" s="179"/>
      <c r="D81" s="179"/>
      <c r="E81" s="179"/>
      <c r="F81" s="179"/>
      <c r="G81" s="179"/>
      <c r="H81" s="179"/>
      <c r="I81" s="179"/>
      <c r="J81" s="179"/>
    </row>
    <row r="82" spans="1:10" ht="15.75">
      <c r="A82" s="98"/>
    </row>
    <row r="84" spans="1:10" ht="14.45" customHeight="1">
      <c r="A84" s="257"/>
      <c r="B84" s="257"/>
      <c r="C84" s="257"/>
      <c r="D84" s="257"/>
      <c r="E84" s="257"/>
      <c r="F84" s="257"/>
      <c r="G84" s="257"/>
      <c r="H84" s="257"/>
      <c r="I84" s="257"/>
      <c r="J84" s="257"/>
    </row>
    <row r="85" spans="1:10" ht="14.45" customHeight="1">
      <c r="A85" s="257"/>
      <c r="B85" s="257"/>
      <c r="C85" s="257"/>
      <c r="D85" s="257"/>
      <c r="E85" s="257"/>
      <c r="F85" s="257"/>
      <c r="G85" s="257"/>
      <c r="H85" s="257"/>
      <c r="I85" s="257"/>
      <c r="J85" s="257"/>
    </row>
    <row r="86" spans="1:10" ht="14.45" customHeight="1">
      <c r="A86" s="257"/>
      <c r="B86" s="257"/>
      <c r="C86" s="257"/>
      <c r="D86" s="257"/>
      <c r="E86" s="257"/>
      <c r="F86" s="257"/>
      <c r="G86" s="257"/>
      <c r="H86" s="257"/>
      <c r="I86" s="257"/>
      <c r="J86" s="257"/>
    </row>
    <row r="87" spans="1:10" ht="14.45" customHeight="1">
      <c r="A87" s="257"/>
      <c r="B87" s="257"/>
      <c r="C87" s="257"/>
      <c r="D87" s="257"/>
      <c r="E87" s="257"/>
      <c r="F87" s="257"/>
      <c r="G87" s="257"/>
      <c r="H87" s="257"/>
      <c r="I87" s="257"/>
      <c r="J87" s="257"/>
    </row>
    <row r="88" spans="1:10" ht="14.45" customHeight="1">
      <c r="A88" s="257"/>
      <c r="B88" s="257"/>
      <c r="C88" s="257"/>
      <c r="D88" s="257"/>
      <c r="E88" s="257"/>
      <c r="F88" s="257"/>
      <c r="G88" s="257"/>
      <c r="H88" s="257"/>
      <c r="I88" s="257"/>
      <c r="J88" s="257"/>
    </row>
    <row r="89" spans="1:10" ht="14.45" customHeight="1">
      <c r="A89" s="257"/>
      <c r="B89" s="257"/>
      <c r="C89" s="257"/>
      <c r="D89" s="257"/>
      <c r="E89" s="257"/>
      <c r="F89" s="257"/>
      <c r="G89" s="257"/>
      <c r="H89" s="257"/>
      <c r="I89" s="257"/>
      <c r="J89" s="257"/>
    </row>
    <row r="90" spans="1:10" ht="14.45" customHeight="1">
      <c r="A90" s="257"/>
      <c r="B90" s="257"/>
      <c r="C90" s="257"/>
      <c r="D90" s="257"/>
      <c r="E90" s="257"/>
      <c r="F90" s="257"/>
      <c r="G90" s="257"/>
      <c r="H90" s="257"/>
      <c r="I90" s="257"/>
      <c r="J90" s="257"/>
    </row>
    <row r="91" spans="1:10" ht="14.45" customHeight="1">
      <c r="A91" s="257"/>
      <c r="B91" s="257"/>
      <c r="C91" s="257"/>
      <c r="D91" s="257"/>
      <c r="E91" s="257"/>
      <c r="F91" s="257"/>
      <c r="G91" s="257"/>
      <c r="H91" s="257"/>
      <c r="I91" s="257"/>
      <c r="J91" s="257"/>
    </row>
    <row r="92" spans="1:10" ht="14.45" customHeight="1">
      <c r="A92" s="257"/>
      <c r="B92" s="257"/>
      <c r="C92" s="257"/>
      <c r="D92" s="257"/>
      <c r="E92" s="257"/>
      <c r="F92" s="257"/>
      <c r="G92" s="257"/>
      <c r="H92" s="257"/>
      <c r="I92" s="257"/>
      <c r="J92" s="257"/>
    </row>
    <row r="93" spans="1:10" ht="14.45" customHeight="1">
      <c r="A93" s="257"/>
      <c r="B93" s="257"/>
      <c r="C93" s="257"/>
      <c r="D93" s="257"/>
      <c r="E93" s="257"/>
      <c r="F93" s="257"/>
      <c r="G93" s="257"/>
      <c r="H93" s="257"/>
      <c r="I93" s="257"/>
      <c r="J93" s="257"/>
    </row>
    <row r="94" spans="1:10" ht="14.45" customHeight="1">
      <c r="A94" s="257"/>
      <c r="B94" s="257"/>
      <c r="C94" s="257"/>
      <c r="D94" s="257"/>
      <c r="E94" s="257"/>
      <c r="F94" s="257"/>
      <c r="G94" s="257"/>
      <c r="H94" s="257"/>
      <c r="I94" s="257"/>
      <c r="J94" s="257"/>
    </row>
    <row r="95" spans="1:10" ht="14.45" customHeight="1">
      <c r="A95" s="91"/>
      <c r="B95" s="91"/>
      <c r="C95" s="91"/>
      <c r="D95" s="91"/>
      <c r="E95" s="91"/>
      <c r="F95" s="91"/>
      <c r="G95" s="91"/>
      <c r="H95" s="91"/>
      <c r="I95" s="91"/>
      <c r="J95" s="91"/>
    </row>
    <row r="96" spans="1:10" ht="14.45" customHeight="1">
      <c r="A96" s="98"/>
      <c r="B96" s="91"/>
      <c r="C96" s="91"/>
      <c r="D96" s="91"/>
      <c r="E96" s="91"/>
      <c r="F96" s="91"/>
      <c r="G96" s="91"/>
      <c r="H96" s="91"/>
      <c r="I96" s="91"/>
      <c r="J96" s="91"/>
    </row>
    <row r="97" spans="1:10" ht="14.45" customHeight="1">
      <c r="A97" s="91"/>
      <c r="B97" s="91"/>
      <c r="C97" s="91"/>
      <c r="D97" s="91"/>
      <c r="E97" s="91"/>
      <c r="F97" s="91"/>
      <c r="G97" s="91"/>
      <c r="H97" s="91"/>
      <c r="I97" s="91"/>
      <c r="J97" s="91"/>
    </row>
    <row r="98" spans="1:10">
      <c r="A98" s="257"/>
      <c r="B98" s="257"/>
      <c r="C98" s="257"/>
      <c r="D98" s="257"/>
      <c r="E98" s="257"/>
      <c r="F98" s="257"/>
      <c r="G98" s="257"/>
      <c r="H98" s="257"/>
      <c r="I98" s="257"/>
      <c r="J98" s="257"/>
    </row>
    <row r="99" spans="1:10">
      <c r="A99" s="257"/>
      <c r="B99" s="257"/>
      <c r="C99" s="257"/>
      <c r="D99" s="257"/>
      <c r="E99" s="257"/>
      <c r="F99" s="257"/>
      <c r="G99" s="257"/>
      <c r="H99" s="257"/>
      <c r="I99" s="257"/>
      <c r="J99" s="257"/>
    </row>
    <row r="100" spans="1:10">
      <c r="A100" s="257"/>
      <c r="B100" s="257"/>
      <c r="C100" s="257"/>
      <c r="D100" s="257"/>
      <c r="E100" s="257"/>
      <c r="F100" s="257"/>
      <c r="G100" s="257"/>
      <c r="H100" s="257"/>
      <c r="I100" s="257"/>
      <c r="J100" s="257"/>
    </row>
    <row r="101" spans="1:10">
      <c r="A101" s="257"/>
      <c r="B101" s="257"/>
      <c r="C101" s="257"/>
      <c r="D101" s="257"/>
      <c r="E101" s="257"/>
      <c r="F101" s="257"/>
      <c r="G101" s="257"/>
      <c r="H101" s="257"/>
      <c r="I101" s="257"/>
      <c r="J101" s="257"/>
    </row>
    <row r="102" spans="1:10">
      <c r="A102" s="257"/>
      <c r="B102" s="257"/>
      <c r="C102" s="257"/>
      <c r="D102" s="257"/>
      <c r="E102" s="257"/>
      <c r="F102" s="257"/>
      <c r="G102" s="257"/>
      <c r="H102" s="257"/>
      <c r="I102" s="257"/>
      <c r="J102" s="257"/>
    </row>
    <row r="103" spans="1:10">
      <c r="A103" s="257"/>
      <c r="B103" s="257"/>
      <c r="C103" s="257"/>
      <c r="D103" s="257"/>
      <c r="E103" s="257"/>
      <c r="F103" s="257"/>
      <c r="G103" s="257"/>
      <c r="H103" s="257"/>
      <c r="I103" s="257"/>
      <c r="J103" s="257"/>
    </row>
    <row r="104" spans="1:10">
      <c r="A104" s="257"/>
      <c r="B104" s="257"/>
      <c r="C104" s="257"/>
      <c r="D104" s="257"/>
      <c r="E104" s="257"/>
      <c r="F104" s="257"/>
      <c r="G104" s="257"/>
      <c r="H104" s="257"/>
      <c r="I104" s="257"/>
      <c r="J104" s="257"/>
    </row>
    <row r="105" spans="1:10">
      <c r="A105" s="257"/>
      <c r="B105" s="257"/>
      <c r="C105" s="257"/>
      <c r="D105" s="257"/>
      <c r="E105" s="257"/>
      <c r="F105" s="257"/>
      <c r="G105" s="257"/>
      <c r="H105" s="257"/>
      <c r="I105" s="257"/>
      <c r="J105" s="257"/>
    </row>
    <row r="106" spans="1:10">
      <c r="A106" s="257"/>
      <c r="B106" s="257"/>
      <c r="C106" s="257"/>
      <c r="D106" s="257"/>
      <c r="E106" s="257"/>
      <c r="F106" s="257"/>
      <c r="G106" s="257"/>
      <c r="H106" s="257"/>
      <c r="I106" s="257"/>
      <c r="J106" s="257"/>
    </row>
    <row r="107" spans="1:10">
      <c r="A107" s="257"/>
      <c r="B107" s="257"/>
      <c r="C107" s="257"/>
      <c r="D107" s="257"/>
      <c r="E107" s="257"/>
      <c r="F107" s="257"/>
      <c r="G107" s="257"/>
      <c r="H107" s="257"/>
      <c r="I107" s="257"/>
      <c r="J107" s="257"/>
    </row>
    <row r="108" spans="1:10">
      <c r="A108" s="257"/>
      <c r="B108" s="257"/>
      <c r="C108" s="257"/>
      <c r="D108" s="257"/>
      <c r="E108" s="257"/>
      <c r="F108" s="257"/>
      <c r="G108" s="257"/>
      <c r="H108" s="257"/>
      <c r="I108" s="257"/>
      <c r="J108" s="257"/>
    </row>
    <row r="109" spans="1:10">
      <c r="A109" s="257"/>
      <c r="B109" s="257"/>
      <c r="C109" s="257"/>
      <c r="D109" s="257"/>
      <c r="E109" s="257"/>
      <c r="F109" s="257"/>
      <c r="G109" s="257"/>
      <c r="H109" s="257"/>
      <c r="I109" s="257"/>
      <c r="J109" s="257"/>
    </row>
  </sheetData>
  <mergeCells count="103">
    <mergeCell ref="A67:J70"/>
    <mergeCell ref="A84:J94"/>
    <mergeCell ref="M31:V31"/>
    <mergeCell ref="N32:P32"/>
    <mergeCell ref="Q32:S32"/>
    <mergeCell ref="T32:V32"/>
    <mergeCell ref="N33:P33"/>
    <mergeCell ref="Q33:S33"/>
    <mergeCell ref="T33:V33"/>
    <mergeCell ref="B50:H51"/>
    <mergeCell ref="B52:H53"/>
    <mergeCell ref="B63:H66"/>
    <mergeCell ref="A55:J60"/>
    <mergeCell ref="A98:J109"/>
    <mergeCell ref="M1:V2"/>
    <mergeCell ref="T29:V29"/>
    <mergeCell ref="A74:J80"/>
    <mergeCell ref="T26:V26"/>
    <mergeCell ref="N27:O27"/>
    <mergeCell ref="N28:O28"/>
    <mergeCell ref="P27:Q27"/>
    <mergeCell ref="P28:Q28"/>
    <mergeCell ref="R27:S27"/>
    <mergeCell ref="R28:S28"/>
    <mergeCell ref="T27:V27"/>
    <mergeCell ref="T28:V28"/>
    <mergeCell ref="B38:H39"/>
    <mergeCell ref="A3:J9"/>
    <mergeCell ref="A18:J33"/>
    <mergeCell ref="B13:H14"/>
    <mergeCell ref="B15:H16"/>
    <mergeCell ref="B36:H37"/>
    <mergeCell ref="A41:J47"/>
    <mergeCell ref="N26:O26"/>
    <mergeCell ref="P26:Q26"/>
    <mergeCell ref="R26:S26"/>
    <mergeCell ref="T23:V23"/>
    <mergeCell ref="T24:V24"/>
    <mergeCell ref="N23:O23"/>
    <mergeCell ref="A1:J2"/>
    <mergeCell ref="N4:V4"/>
    <mergeCell ref="T18:V18"/>
    <mergeCell ref="T19:V19"/>
    <mergeCell ref="T20:V20"/>
    <mergeCell ref="N12:O12"/>
    <mergeCell ref="P12:Q12"/>
    <mergeCell ref="R12:S12"/>
    <mergeCell ref="T12:V12"/>
    <mergeCell ref="R15:S15"/>
    <mergeCell ref="T15:V15"/>
    <mergeCell ref="N13:O13"/>
    <mergeCell ref="P13:Q13"/>
    <mergeCell ref="R13:S13"/>
    <mergeCell ref="T13:V13"/>
    <mergeCell ref="N14:O14"/>
    <mergeCell ref="T21:V21"/>
    <mergeCell ref="T22:V22"/>
    <mergeCell ref="P23:Q23"/>
    <mergeCell ref="P24:Q24"/>
    <mergeCell ref="R18:S18"/>
    <mergeCell ref="R19:S19"/>
    <mergeCell ref="R20:S20"/>
    <mergeCell ref="R21:S21"/>
    <mergeCell ref="R22:S22"/>
    <mergeCell ref="R23:S23"/>
    <mergeCell ref="R24:S24"/>
    <mergeCell ref="N22:O22"/>
    <mergeCell ref="P18:Q18"/>
    <mergeCell ref="P19:Q19"/>
    <mergeCell ref="P20:Q20"/>
    <mergeCell ref="P21:Q21"/>
    <mergeCell ref="P22:Q22"/>
    <mergeCell ref="N18:O18"/>
    <mergeCell ref="N19:O19"/>
    <mergeCell ref="N20:O20"/>
    <mergeCell ref="N21:O21"/>
    <mergeCell ref="P14:Q14"/>
    <mergeCell ref="R14:S14"/>
    <mergeCell ref="T14:V14"/>
    <mergeCell ref="N10:O10"/>
    <mergeCell ref="P10:Q10"/>
    <mergeCell ref="R10:S10"/>
    <mergeCell ref="T10:V10"/>
    <mergeCell ref="N11:O11"/>
    <mergeCell ref="P11:Q11"/>
    <mergeCell ref="R11:S11"/>
    <mergeCell ref="T11:V11"/>
    <mergeCell ref="N8:O8"/>
    <mergeCell ref="P8:Q8"/>
    <mergeCell ref="R8:S8"/>
    <mergeCell ref="T8:V8"/>
    <mergeCell ref="N9:O9"/>
    <mergeCell ref="P9:Q9"/>
    <mergeCell ref="R9:S9"/>
    <mergeCell ref="T9:V9"/>
    <mergeCell ref="N6:O6"/>
    <mergeCell ref="P6:Q6"/>
    <mergeCell ref="R6:S6"/>
    <mergeCell ref="T6:V6"/>
    <mergeCell ref="N7:O7"/>
    <mergeCell ref="P7:Q7"/>
    <mergeCell ref="R7:S7"/>
    <mergeCell ref="T7:V7"/>
  </mergeCells>
  <conditionalFormatting sqref="M32:V32">
    <cfRule type="colorScale" priority="1">
      <colorScale>
        <cfvo type="min"/>
        <cfvo type="percentile" val="50"/>
        <cfvo type="max"/>
        <color rgb="FFF8696B"/>
        <color rgb="FFFFEB84"/>
        <color rgb="FF63BE7B"/>
      </colorScale>
    </cfRule>
  </conditionalFormatting>
  <dataValidations count="9">
    <dataValidation type="list" allowBlank="1" showInputMessage="1" showErrorMessage="1" sqref="N14:O14" xr:uid="{61219824-A0CE-4812-8E16-CA860BF208B4}">
      <formula1>"Sparse, Saturated, Bottleneck"</formula1>
    </dataValidation>
    <dataValidation type="list" allowBlank="1" showInputMessage="1" showErrorMessage="1" sqref="N11:O13" xr:uid="{D53AE806-EBC3-4C56-A41F-47DCA9010EAA}">
      <formula1>"High Growth, Growth, Low Growth, Stagnant"</formula1>
    </dataValidation>
    <dataValidation type="list" allowBlank="1" showInputMessage="1" showErrorMessage="1" sqref="N10:O10" xr:uid="{8D6419C2-6819-40F4-B9FD-A03C00E624AB}">
      <formula1>"None, Few, Many"</formula1>
    </dataValidation>
    <dataValidation type="list" allowBlank="1" showInputMessage="1" showErrorMessage="1" sqref="N9:O9" xr:uid="{9EFCCC1F-E3C0-4D0C-93E1-88EFF7F27EFA}">
      <formula1>"Critical, Essential, Important, Discretionary"</formula1>
    </dataValidation>
    <dataValidation type="list" allowBlank="1" showInputMessage="1" showErrorMessage="1" sqref="N8:O8" xr:uid="{6528D19D-FB8E-4DB2-9198-126981B11E1B}">
      <formula1>"Perfect Inelastic, Inelastic, Elastic, Perfect Elastic"</formula1>
    </dataValidation>
    <dataValidation type="list" allowBlank="1" showInputMessage="1" showErrorMessage="1" sqref="N7" xr:uid="{A540ECFF-AC6A-4265-81D7-AC6C36905F3C}">
      <formula1>"Monopoly, Major Oligopoly, Minor Oligopoly, Small Firm"</formula1>
    </dataValidation>
    <dataValidation type="list" allowBlank="1" showInputMessage="1" showErrorMessage="1" sqref="N19:O19 N21:O21" xr:uid="{D974F92E-4B98-41D6-82DC-446839ABA291}">
      <formula1>"0.05,0.1,0.15"</formula1>
    </dataValidation>
    <dataValidation type="list" allowBlank="1" showInputMessage="1" showErrorMessage="1" sqref="N22:O23" xr:uid="{BA7D9026-5DE3-45F2-A90E-7EB5BE9588D5}">
      <formula1>"0.1,0.15,0.2"</formula1>
    </dataValidation>
    <dataValidation type="list" allowBlank="1" showInputMessage="1" showErrorMessage="1" sqref="N20:O20" xr:uid="{153AE5FD-B7E5-4450-9399-261DC1DD75D9}">
      <formula1>"0.04,0.05,0.06,0.07"</formula1>
    </dataValidation>
  </dataValidations>
  <pageMargins left="0.7" right="0.7" top="0.75" bottom="0.75" header="0.3" footer="0.3"/>
  <pageSetup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B0EF3-7681-4648-9821-6736DEDDE46E}">
  <dimension ref="A1:S132"/>
  <sheetViews>
    <sheetView showGridLines="0" zoomScaleNormal="100" workbookViewId="0">
      <selection activeCell="L29" sqref="L29"/>
    </sheetView>
  </sheetViews>
  <sheetFormatPr defaultRowHeight="15"/>
  <cols>
    <col min="1" max="1" width="20.7109375" customWidth="1"/>
    <col min="2" max="18" width="15.7109375" customWidth="1"/>
  </cols>
  <sheetData>
    <row r="1" spans="1:19" ht="15" customHeight="1">
      <c r="A1" s="166" t="s">
        <v>101</v>
      </c>
      <c r="B1" s="166"/>
      <c r="C1" s="166"/>
      <c r="D1" s="166"/>
      <c r="E1" s="164"/>
      <c r="F1" s="164"/>
      <c r="G1" s="164"/>
      <c r="H1" s="166" t="s">
        <v>102</v>
      </c>
      <c r="I1" s="166"/>
      <c r="J1" s="164"/>
    </row>
    <row r="2" spans="1:19" ht="15" customHeight="1">
      <c r="A2" t="s">
        <v>85</v>
      </c>
      <c r="B2" t="s">
        <v>103</v>
      </c>
      <c r="H2" s="272" t="s">
        <v>104</v>
      </c>
      <c r="I2" s="272"/>
      <c r="J2" s="272"/>
    </row>
    <row r="3" spans="1:19" ht="15" customHeight="1">
      <c r="A3" t="s">
        <v>84</v>
      </c>
      <c r="B3" t="s">
        <v>105</v>
      </c>
      <c r="H3" s="272" t="s">
        <v>106</v>
      </c>
      <c r="I3" s="272"/>
      <c r="J3" s="272"/>
    </row>
    <row r="4" spans="1:19" ht="15" customHeight="1">
      <c r="A4" t="s">
        <v>107</v>
      </c>
      <c r="B4" t="s">
        <v>108</v>
      </c>
      <c r="K4" s="6"/>
      <c r="M4" s="6"/>
      <c r="N4" s="6"/>
      <c r="O4" s="6"/>
      <c r="P4" s="6"/>
      <c r="Q4" s="6"/>
      <c r="R4" s="6"/>
      <c r="S4" s="6"/>
    </row>
    <row r="5" spans="1:19" ht="15" customHeight="1">
      <c r="A5" t="s">
        <v>109</v>
      </c>
      <c r="B5" t="s">
        <v>110</v>
      </c>
      <c r="K5" s="5"/>
      <c r="M5" s="5"/>
      <c r="N5" s="5"/>
      <c r="O5" s="5"/>
      <c r="P5" s="5"/>
      <c r="Q5" s="5"/>
      <c r="R5" s="5"/>
      <c r="S5" s="5"/>
    </row>
    <row r="6" spans="1:19" ht="15" customHeight="1">
      <c r="A6" t="s">
        <v>73</v>
      </c>
      <c r="B6" t="s">
        <v>111</v>
      </c>
      <c r="Q6" s="4"/>
    </row>
    <row r="7" spans="1:19" ht="15" customHeight="1">
      <c r="A7" t="s">
        <v>112</v>
      </c>
      <c r="B7" t="s">
        <v>113</v>
      </c>
    </row>
    <row r="8" spans="1:19" ht="15" customHeight="1">
      <c r="A8" t="s">
        <v>114</v>
      </c>
      <c r="B8" t="s">
        <v>115</v>
      </c>
    </row>
    <row r="9" spans="1:19" ht="15" customHeight="1"/>
    <row r="10" spans="1:19" ht="15" customHeight="1">
      <c r="A10" s="166" t="s">
        <v>116</v>
      </c>
      <c r="B10" s="166"/>
      <c r="C10" s="166"/>
      <c r="D10" s="166"/>
      <c r="E10" s="166"/>
      <c r="F10" s="166"/>
      <c r="G10" s="166"/>
      <c r="H10" s="166"/>
      <c r="I10" s="166"/>
      <c r="J10" s="166"/>
    </row>
    <row r="11" spans="1:19" ht="15" customHeight="1">
      <c r="A11" s="1" t="s">
        <v>11</v>
      </c>
      <c r="B11" s="7" t="s">
        <v>117</v>
      </c>
      <c r="C11" s="74" t="s">
        <v>118</v>
      </c>
      <c r="D11" s="7" t="s">
        <v>119</v>
      </c>
      <c r="E11" s="7" t="s">
        <v>120</v>
      </c>
      <c r="F11" s="7" t="s">
        <v>121</v>
      </c>
      <c r="G11" s="7" t="s">
        <v>122</v>
      </c>
      <c r="H11" s="7" t="s">
        <v>123</v>
      </c>
      <c r="I11" s="7" t="s">
        <v>124</v>
      </c>
    </row>
    <row r="12" spans="1:19" ht="15" customHeight="1">
      <c r="A12" s="8" t="s">
        <v>125</v>
      </c>
      <c r="B12" s="9">
        <v>1.38</v>
      </c>
      <c r="C12" s="10">
        <v>0.168485</v>
      </c>
      <c r="D12" s="9">
        <v>12.11</v>
      </c>
      <c r="E12" s="9">
        <v>7.44</v>
      </c>
      <c r="F12" s="9">
        <v>45.35</v>
      </c>
      <c r="G12" s="9">
        <v>21.02</v>
      </c>
      <c r="H12" s="9">
        <v>16.72</v>
      </c>
      <c r="I12" s="9">
        <v>20</v>
      </c>
    </row>
    <row r="13" spans="1:19" ht="15" customHeight="1">
      <c r="A13" s="1" t="s">
        <v>126</v>
      </c>
      <c r="B13">
        <v>0.65</v>
      </c>
      <c r="C13" s="3">
        <v>0.13567299999999999</v>
      </c>
      <c r="D13">
        <v>13.19</v>
      </c>
      <c r="E13" s="7">
        <v>9.02</v>
      </c>
      <c r="F13">
        <v>41.53</v>
      </c>
      <c r="G13">
        <v>22.28</v>
      </c>
      <c r="H13">
        <v>14.66</v>
      </c>
      <c r="I13">
        <v>7.34</v>
      </c>
    </row>
    <row r="14" spans="1:19" ht="15" customHeight="1">
      <c r="A14" s="1" t="s">
        <v>127</v>
      </c>
      <c r="B14">
        <v>4</v>
      </c>
      <c r="C14" s="3">
        <v>0.1303</v>
      </c>
      <c r="D14">
        <v>40.479999999999997</v>
      </c>
      <c r="E14">
        <v>25.95</v>
      </c>
      <c r="F14">
        <v>46.6</v>
      </c>
      <c r="G14">
        <v>21.94</v>
      </c>
      <c r="H14">
        <v>16.649999999999999</v>
      </c>
      <c r="I14">
        <v>31.67</v>
      </c>
    </row>
    <row r="15" spans="1:19" ht="15" customHeight="1">
      <c r="A15" s="1" t="s">
        <v>128</v>
      </c>
      <c r="B15">
        <v>20.318999999999999</v>
      </c>
      <c r="C15" s="3">
        <v>0.1948</v>
      </c>
      <c r="D15">
        <v>43.57</v>
      </c>
      <c r="E15">
        <v>24.75</v>
      </c>
      <c r="F15">
        <v>49.67</v>
      </c>
      <c r="G15">
        <v>25.94</v>
      </c>
      <c r="H15">
        <v>16.53</v>
      </c>
      <c r="I15">
        <v>20.5</v>
      </c>
    </row>
    <row r="16" spans="1:19" ht="15" customHeight="1">
      <c r="A16" s="1" t="s">
        <v>129</v>
      </c>
      <c r="B16">
        <v>2.7109999999999999</v>
      </c>
      <c r="C16" s="3">
        <v>0.22844500000000001</v>
      </c>
      <c r="D16" s="7">
        <v>47.93</v>
      </c>
      <c r="E16">
        <v>20.9</v>
      </c>
      <c r="F16">
        <v>39.29</v>
      </c>
      <c r="G16">
        <v>13.21</v>
      </c>
      <c r="H16">
        <v>9.8800000000000008</v>
      </c>
      <c r="I16">
        <v>7.84</v>
      </c>
    </row>
    <row r="17" spans="1:10" ht="15" customHeight="1">
      <c r="A17" s="1" t="s">
        <v>130</v>
      </c>
      <c r="B17">
        <v>0.93600000000000005</v>
      </c>
      <c r="C17" s="3">
        <v>0.48725000000000002</v>
      </c>
      <c r="D17">
        <v>59.57</v>
      </c>
      <c r="E17">
        <v>80.03</v>
      </c>
      <c r="F17">
        <v>71.5</v>
      </c>
      <c r="G17">
        <v>32.909999999999997</v>
      </c>
      <c r="H17">
        <v>32.47</v>
      </c>
      <c r="I17">
        <v>13.74</v>
      </c>
    </row>
    <row r="18" spans="1:10" ht="15" customHeight="1">
      <c r="A18" s="1" t="s">
        <v>131</v>
      </c>
      <c r="B18">
        <v>1.1779999999999999</v>
      </c>
      <c r="C18" s="3">
        <v>0.1237</v>
      </c>
      <c r="D18" s="7">
        <v>74.540000000000006</v>
      </c>
      <c r="E18">
        <v>26.42</v>
      </c>
      <c r="F18">
        <v>39.79</v>
      </c>
      <c r="G18">
        <v>6.81</v>
      </c>
      <c r="H18">
        <v>5.39</v>
      </c>
      <c r="I18">
        <v>2.71</v>
      </c>
    </row>
    <row r="19" spans="1:10" ht="15" customHeight="1">
      <c r="A19" s="1" t="s">
        <v>132</v>
      </c>
      <c r="B19">
        <v>1.07</v>
      </c>
      <c r="C19" s="3">
        <v>-4.1935E-2</v>
      </c>
      <c r="D19" s="7">
        <v>356.35</v>
      </c>
      <c r="E19">
        <v>75.47</v>
      </c>
      <c r="F19">
        <v>31.88</v>
      </c>
      <c r="G19">
        <v>3.47</v>
      </c>
      <c r="H19">
        <v>0.86</v>
      </c>
      <c r="I19">
        <v>1.21</v>
      </c>
    </row>
    <row r="20" spans="1:10" ht="15" customHeight="1"/>
    <row r="21" spans="1:10" ht="15" customHeight="1">
      <c r="A21" s="166" t="s">
        <v>133</v>
      </c>
      <c r="B21" s="165"/>
      <c r="C21" s="165"/>
      <c r="D21" s="165"/>
      <c r="E21" s="165"/>
      <c r="F21" s="165"/>
      <c r="G21" s="165"/>
      <c r="H21" s="165"/>
      <c r="I21" s="165"/>
      <c r="J21" s="165"/>
    </row>
    <row r="22" spans="1:10" ht="15" customHeight="1">
      <c r="A22" s="273">
        <v>300015</v>
      </c>
      <c r="B22" s="274"/>
      <c r="C22" s="274"/>
      <c r="D22" s="274"/>
      <c r="E22" s="274"/>
      <c r="F22" s="274"/>
      <c r="G22" s="274"/>
      <c r="H22" s="275"/>
    </row>
    <row r="23" spans="1:10" ht="15" customHeight="1">
      <c r="A23" s="271" t="s">
        <v>134</v>
      </c>
      <c r="B23" s="262"/>
      <c r="C23" s="262"/>
      <c r="D23" s="262"/>
      <c r="E23" s="262"/>
      <c r="F23" s="262"/>
      <c r="G23" s="262"/>
      <c r="H23" s="264"/>
    </row>
    <row r="24" spans="1:10" ht="15" customHeight="1">
      <c r="A24" s="24"/>
      <c r="B24">
        <v>2018</v>
      </c>
      <c r="C24">
        <v>2019</v>
      </c>
      <c r="D24">
        <v>2020</v>
      </c>
      <c r="E24">
        <v>2021</v>
      </c>
      <c r="F24">
        <v>2022</v>
      </c>
      <c r="G24">
        <v>2023</v>
      </c>
      <c r="H24" s="21">
        <v>2024</v>
      </c>
    </row>
    <row r="25" spans="1:10" ht="15" customHeight="1">
      <c r="A25" s="24" t="s">
        <v>135</v>
      </c>
      <c r="C25" s="29">
        <v>9970</v>
      </c>
      <c r="D25" s="29">
        <v>11880</v>
      </c>
      <c r="E25" s="29">
        <v>14960</v>
      </c>
      <c r="F25" s="29">
        <v>16070</v>
      </c>
      <c r="G25" s="29">
        <v>20320</v>
      </c>
      <c r="H25" s="30">
        <v>20982</v>
      </c>
    </row>
    <row r="26" spans="1:10" ht="15" customHeight="1">
      <c r="A26" s="24" t="s">
        <v>136</v>
      </c>
      <c r="C26" s="29"/>
      <c r="D26" s="29"/>
      <c r="E26" s="29"/>
      <c r="F26" s="29"/>
      <c r="G26" s="146">
        <v>5254</v>
      </c>
      <c r="H26" s="147">
        <v>4354</v>
      </c>
    </row>
    <row r="27" spans="1:10" ht="15" customHeight="1">
      <c r="A27" s="24" t="s">
        <v>122</v>
      </c>
      <c r="C27" s="29"/>
      <c r="D27" s="29"/>
      <c r="E27" s="29"/>
      <c r="F27" s="29"/>
      <c r="G27" s="148">
        <f>G26/G25</f>
        <v>0.25856299212598427</v>
      </c>
      <c r="H27" s="149">
        <f>H26/H25</f>
        <v>0.20751120007625584</v>
      </c>
    </row>
    <row r="28" spans="1:10" ht="15" customHeight="1">
      <c r="A28" s="24" t="s">
        <v>137</v>
      </c>
      <c r="B28" s="29">
        <v>1010</v>
      </c>
      <c r="C28" s="29">
        <v>1380</v>
      </c>
      <c r="D28" s="29">
        <v>1720</v>
      </c>
      <c r="E28" s="29">
        <v>2320</v>
      </c>
      <c r="F28" s="29">
        <v>2520</v>
      </c>
      <c r="G28" s="29">
        <v>3360</v>
      </c>
      <c r="H28" s="21"/>
    </row>
    <row r="29" spans="1:10" ht="15" customHeight="1">
      <c r="A29" s="24" t="s">
        <v>138</v>
      </c>
      <c r="B29" s="20">
        <f>C28/C31</f>
        <v>7805.4298642533931</v>
      </c>
      <c r="C29" s="20">
        <f t="shared" ref="C29:F29" si="0">D28/D31</f>
        <v>9806.1573546180152</v>
      </c>
      <c r="D29" s="20">
        <f t="shared" si="0"/>
        <v>12831.858407079646</v>
      </c>
      <c r="E29" s="20">
        <f t="shared" si="0"/>
        <v>17260.273972602739</v>
      </c>
      <c r="F29" s="20">
        <f t="shared" si="0"/>
        <v>21483.375959079283</v>
      </c>
      <c r="G29" s="150">
        <v>21240</v>
      </c>
      <c r="H29" s="151">
        <v>25314</v>
      </c>
    </row>
    <row r="30" spans="1:10" ht="15" customHeight="1">
      <c r="A30" s="24" t="s">
        <v>139</v>
      </c>
      <c r="C30" s="25">
        <f>C25/B29</f>
        <v>1.2773159420289857</v>
      </c>
      <c r="D30" s="25">
        <f t="shared" ref="D30:G30" si="1">D25/C29</f>
        <v>1.2114837209302327</v>
      </c>
      <c r="E30" s="25">
        <f>E25/D29</f>
        <v>1.165848275862069</v>
      </c>
      <c r="F30" s="25">
        <f t="shared" si="1"/>
        <v>0.93103968253968261</v>
      </c>
      <c r="G30" s="25">
        <f t="shared" si="1"/>
        <v>0.94584761904761905</v>
      </c>
      <c r="H30" s="149">
        <f>H25/G29</f>
        <v>0.98785310734463272</v>
      </c>
    </row>
    <row r="31" spans="1:10" ht="15" customHeight="1">
      <c r="A31" s="26" t="s">
        <v>140</v>
      </c>
      <c r="B31" s="27">
        <v>0.14560000000000001</v>
      </c>
      <c r="C31" s="27">
        <v>0.17680000000000001</v>
      </c>
      <c r="D31" s="27">
        <v>0.1754</v>
      </c>
      <c r="E31" s="27">
        <v>0.18079999999999999</v>
      </c>
      <c r="F31" s="27">
        <v>0.14599999999999999</v>
      </c>
      <c r="G31" s="27">
        <v>0.15640000000000001</v>
      </c>
      <c r="H31" s="152">
        <f>H26/G29</f>
        <v>0.20499058380414312</v>
      </c>
    </row>
    <row r="32" spans="1:10" ht="15" customHeight="1"/>
    <row r="33" spans="1:8" ht="15" customHeight="1">
      <c r="A33" s="273">
        <v>301267</v>
      </c>
      <c r="B33" s="274"/>
      <c r="C33" s="274"/>
      <c r="D33" s="274"/>
      <c r="E33" s="274"/>
      <c r="F33" s="274"/>
      <c r="G33" s="274"/>
      <c r="H33" s="153"/>
    </row>
    <row r="34" spans="1:8" ht="15" customHeight="1">
      <c r="A34" s="271" t="s">
        <v>141</v>
      </c>
      <c r="B34" s="262"/>
      <c r="C34" s="262"/>
      <c r="D34" s="262"/>
      <c r="E34" s="262"/>
      <c r="F34" s="262"/>
      <c r="G34" s="262"/>
      <c r="H34" s="21"/>
    </row>
    <row r="35" spans="1:8" ht="15" customHeight="1">
      <c r="A35" s="24"/>
      <c r="B35">
        <v>2018</v>
      </c>
      <c r="C35">
        <v>2019</v>
      </c>
      <c r="D35">
        <v>2020</v>
      </c>
      <c r="E35">
        <v>2021</v>
      </c>
      <c r="F35">
        <v>2022</v>
      </c>
      <c r="G35">
        <v>2023</v>
      </c>
      <c r="H35" s="21">
        <v>2024</v>
      </c>
    </row>
    <row r="36" spans="1:8" ht="15" customHeight="1">
      <c r="A36" s="24" t="s">
        <v>135</v>
      </c>
      <c r="B36" s="20">
        <v>2140</v>
      </c>
      <c r="C36" s="20">
        <v>2450</v>
      </c>
      <c r="D36" s="20">
        <v>2500</v>
      </c>
      <c r="E36" s="20">
        <v>3050</v>
      </c>
      <c r="F36" s="20">
        <v>3220</v>
      </c>
      <c r="G36" s="20">
        <v>4000</v>
      </c>
      <c r="H36" s="22">
        <v>4027</v>
      </c>
    </row>
    <row r="37" spans="1:8" ht="15" customHeight="1">
      <c r="A37" s="24" t="s">
        <v>136</v>
      </c>
      <c r="B37" s="20"/>
      <c r="C37" s="20"/>
      <c r="D37" s="20"/>
      <c r="E37" s="20"/>
      <c r="F37" s="20"/>
      <c r="G37" s="150">
        <v>574</v>
      </c>
      <c r="H37" s="151">
        <v>869</v>
      </c>
    </row>
    <row r="38" spans="1:8" ht="15" customHeight="1">
      <c r="A38" s="24" t="s">
        <v>122</v>
      </c>
      <c r="B38" s="20"/>
      <c r="C38" s="20"/>
      <c r="D38" s="20"/>
      <c r="E38" s="20"/>
      <c r="F38" s="20"/>
      <c r="G38" s="148">
        <f>G37/G36</f>
        <v>0.14349999999999999</v>
      </c>
      <c r="H38" s="149">
        <f>H37/H36</f>
        <v>0.21579339458654084</v>
      </c>
    </row>
    <row r="39" spans="1:8" ht="15" customHeight="1">
      <c r="A39" s="24" t="s">
        <v>137</v>
      </c>
      <c r="B39" s="20">
        <v>164.23</v>
      </c>
      <c r="C39" s="20">
        <v>217.76</v>
      </c>
      <c r="D39" s="20">
        <v>334.46</v>
      </c>
      <c r="E39" s="20">
        <v>454.92</v>
      </c>
      <c r="F39" s="20">
        <v>513.82000000000005</v>
      </c>
      <c r="G39" s="20">
        <v>665.93</v>
      </c>
      <c r="H39" s="21"/>
    </row>
    <row r="40" spans="1:8" ht="15" customHeight="1">
      <c r="A40" s="24" t="s">
        <v>142</v>
      </c>
      <c r="B40" s="20">
        <f>C39/C42</f>
        <v>1319.7575757575758</v>
      </c>
      <c r="C40" s="20">
        <f t="shared" ref="C40:F40" si="2">D39/D42</f>
        <v>1355.1863857374392</v>
      </c>
      <c r="D40" s="20">
        <f t="shared" si="2"/>
        <v>1897.872340425532</v>
      </c>
      <c r="E40" s="20">
        <f t="shared" si="2"/>
        <v>4058.6097946287528</v>
      </c>
      <c r="F40" s="20">
        <f t="shared" si="2"/>
        <v>6004.7790802524796</v>
      </c>
      <c r="G40" s="150">
        <v>2744</v>
      </c>
      <c r="H40" s="151">
        <v>3636</v>
      </c>
    </row>
    <row r="41" spans="1:8" ht="15" customHeight="1">
      <c r="A41" s="24" t="s">
        <v>139</v>
      </c>
      <c r="C41" s="25">
        <f>C36/B40</f>
        <v>1.8564015429831007</v>
      </c>
      <c r="D41" s="25">
        <f t="shared" ref="D41:G41" si="3">D36/C40</f>
        <v>1.8447646953297854</v>
      </c>
      <c r="E41" s="25">
        <f t="shared" si="3"/>
        <v>1.6070627802690582</v>
      </c>
      <c r="F41" s="25">
        <f t="shared" si="3"/>
        <v>0.79337511190689336</v>
      </c>
      <c r="G41" s="25">
        <f t="shared" si="3"/>
        <v>0.66613608036880756</v>
      </c>
      <c r="H41" s="154">
        <f>H36/G40</f>
        <v>1.4675655976676385</v>
      </c>
    </row>
    <row r="42" spans="1:8" ht="15" customHeight="1">
      <c r="A42" s="26" t="s">
        <v>140</v>
      </c>
      <c r="B42" s="27">
        <v>0.14560000000000001</v>
      </c>
      <c r="C42" s="27">
        <v>0.16500000000000001</v>
      </c>
      <c r="D42" s="27">
        <v>0.24679999999999999</v>
      </c>
      <c r="E42" s="27">
        <v>0.2397</v>
      </c>
      <c r="F42" s="27">
        <v>0.12659999999999999</v>
      </c>
      <c r="G42" s="27">
        <v>0.1109</v>
      </c>
      <c r="H42" s="152">
        <f>H37/G40</f>
        <v>0.31669096209912534</v>
      </c>
    </row>
    <row r="43" spans="1:8" ht="15" customHeight="1"/>
    <row r="44" spans="1:8" ht="15" customHeight="1">
      <c r="A44" s="276">
        <v>301239</v>
      </c>
      <c r="B44" s="277"/>
      <c r="C44" s="277"/>
      <c r="D44" s="277"/>
      <c r="E44" s="277"/>
      <c r="F44" s="277"/>
      <c r="G44" s="277"/>
      <c r="H44" s="153"/>
    </row>
    <row r="45" spans="1:8" ht="15" customHeight="1">
      <c r="A45" s="278" t="s">
        <v>143</v>
      </c>
      <c r="B45" s="279"/>
      <c r="C45" s="279"/>
      <c r="D45" s="279"/>
      <c r="E45" s="279"/>
      <c r="F45" s="279"/>
      <c r="G45" s="279"/>
      <c r="H45" s="21"/>
    </row>
    <row r="46" spans="1:8" ht="15" customHeight="1">
      <c r="A46" s="24"/>
      <c r="B46">
        <v>2018</v>
      </c>
      <c r="C46">
        <v>2019</v>
      </c>
      <c r="D46">
        <v>2020</v>
      </c>
      <c r="E46">
        <v>2021</v>
      </c>
      <c r="F46">
        <v>2022</v>
      </c>
      <c r="G46">
        <v>2023</v>
      </c>
      <c r="H46" s="21">
        <v>2024</v>
      </c>
    </row>
    <row r="47" spans="1:8" ht="15" customHeight="1">
      <c r="A47" s="24" t="s">
        <v>135</v>
      </c>
      <c r="B47" s="20">
        <v>2140</v>
      </c>
      <c r="C47" s="20">
        <v>2450</v>
      </c>
      <c r="D47" s="20">
        <v>2500</v>
      </c>
      <c r="E47" s="20">
        <v>3050</v>
      </c>
      <c r="F47" s="20">
        <v>3220</v>
      </c>
      <c r="G47" s="20">
        <v>2717</v>
      </c>
      <c r="H47" s="22">
        <v>2678</v>
      </c>
    </row>
    <row r="48" spans="1:8" ht="15" customHeight="1">
      <c r="A48" s="24" t="s">
        <v>136</v>
      </c>
      <c r="B48" s="20"/>
      <c r="C48" s="20"/>
      <c r="D48" s="20"/>
      <c r="E48" s="20"/>
      <c r="F48" s="20"/>
      <c r="G48" s="20">
        <v>300</v>
      </c>
      <c r="H48" s="22">
        <v>5</v>
      </c>
    </row>
    <row r="49" spans="1:8" ht="15" customHeight="1">
      <c r="A49" s="24" t="s">
        <v>122</v>
      </c>
      <c r="B49" s="20"/>
      <c r="C49" s="20"/>
      <c r="D49" s="20"/>
      <c r="E49" s="20"/>
      <c r="F49" s="20"/>
      <c r="G49" s="155">
        <f>G48/G47</f>
        <v>0.1104158998895841</v>
      </c>
      <c r="H49" s="156">
        <f>H48/H47</f>
        <v>1.8670649738610904E-3</v>
      </c>
    </row>
    <row r="50" spans="1:8" ht="15" customHeight="1">
      <c r="A50" s="24" t="s">
        <v>137</v>
      </c>
      <c r="B50" s="20"/>
      <c r="C50" s="20">
        <v>49.05</v>
      </c>
      <c r="D50" s="20">
        <v>108.93</v>
      </c>
      <c r="E50" s="20">
        <v>93.89</v>
      </c>
      <c r="F50" s="20">
        <v>20.57</v>
      </c>
      <c r="G50" s="20">
        <v>267.91000000000003</v>
      </c>
      <c r="H50" s="21"/>
    </row>
    <row r="51" spans="1:8" ht="15" customHeight="1">
      <c r="A51" s="24" t="s">
        <v>142</v>
      </c>
      <c r="B51" s="20"/>
      <c r="C51" s="20">
        <f t="shared" ref="C51:F51" si="4">D50/D53</f>
        <v>815.95505617977528</v>
      </c>
      <c r="D51" s="20">
        <f t="shared" si="4"/>
        <v>1350.935251798561</v>
      </c>
      <c r="E51" s="20">
        <f>F50/F53</f>
        <v>2448.8095238095239</v>
      </c>
      <c r="F51" s="20">
        <f t="shared" si="4"/>
        <v>3417.2193877551026</v>
      </c>
      <c r="G51" s="20">
        <v>3876</v>
      </c>
      <c r="H51" s="22">
        <v>3310</v>
      </c>
    </row>
    <row r="52" spans="1:8" ht="15" customHeight="1">
      <c r="A52" s="24" t="s">
        <v>139</v>
      </c>
      <c r="C52" s="25"/>
      <c r="D52" s="25">
        <f t="shared" ref="D52:G52" si="5">D47/C51</f>
        <v>3.0638942440099148</v>
      </c>
      <c r="E52" s="25">
        <f t="shared" si="5"/>
        <v>2.2576951752050274</v>
      </c>
      <c r="F52" s="25">
        <f t="shared" si="5"/>
        <v>1.3149246475449683</v>
      </c>
      <c r="G52" s="25">
        <f t="shared" si="5"/>
        <v>0.79509088873129019</v>
      </c>
      <c r="H52" s="157">
        <f>H47/G51</f>
        <v>0.69091847265221873</v>
      </c>
    </row>
    <row r="53" spans="1:8" ht="15" customHeight="1">
      <c r="A53" s="26" t="s">
        <v>140</v>
      </c>
      <c r="B53" s="27"/>
      <c r="C53" s="27"/>
      <c r="D53" s="27">
        <v>0.13350000000000001</v>
      </c>
      <c r="E53" s="27">
        <v>6.9500000000000006E-2</v>
      </c>
      <c r="F53" s="27">
        <v>8.3999999999999995E-3</v>
      </c>
      <c r="G53" s="27">
        <v>7.8399999999999997E-2</v>
      </c>
      <c r="H53" s="28">
        <f>H48/G51</f>
        <v>1.2899896800825593E-3</v>
      </c>
    </row>
    <row r="54" spans="1:8" ht="15" customHeight="1"/>
    <row r="55" spans="1:8" ht="15" customHeight="1">
      <c r="A55" s="273">
        <v>301103</v>
      </c>
      <c r="B55" s="274"/>
      <c r="C55" s="274"/>
      <c r="D55" s="274"/>
      <c r="E55" s="274"/>
      <c r="F55" s="274"/>
      <c r="G55" s="275"/>
    </row>
    <row r="56" spans="1:8" ht="15" customHeight="1">
      <c r="A56" s="271" t="s">
        <v>144</v>
      </c>
      <c r="B56" s="262"/>
      <c r="C56" s="262"/>
      <c r="D56" s="262"/>
      <c r="E56" s="262"/>
      <c r="F56" s="262"/>
      <c r="G56" s="264"/>
    </row>
    <row r="57" spans="1:8" ht="15" customHeight="1">
      <c r="A57" s="24"/>
      <c r="B57">
        <v>2018</v>
      </c>
      <c r="C57">
        <v>2019</v>
      </c>
      <c r="D57">
        <v>2020</v>
      </c>
      <c r="E57">
        <v>2021</v>
      </c>
      <c r="F57">
        <v>2022</v>
      </c>
      <c r="G57" s="21">
        <v>2023</v>
      </c>
    </row>
    <row r="58" spans="1:8" ht="15" customHeight="1">
      <c r="A58" s="24" t="s">
        <v>135</v>
      </c>
      <c r="B58" s="20">
        <v>610.04</v>
      </c>
      <c r="C58" s="20">
        <v>741.23</v>
      </c>
      <c r="D58" s="20">
        <v>834.09</v>
      </c>
      <c r="E58" s="20">
        <v>957</v>
      </c>
      <c r="F58" s="20">
        <v>949.33</v>
      </c>
      <c r="G58" s="22">
        <v>1180</v>
      </c>
    </row>
    <row r="59" spans="1:8" ht="15" customHeight="1">
      <c r="A59" s="24" t="s">
        <v>137</v>
      </c>
      <c r="B59" s="20">
        <v>56.17</v>
      </c>
      <c r="C59" s="20">
        <v>80.599999999999994</v>
      </c>
      <c r="D59" s="20">
        <v>100.24</v>
      </c>
      <c r="E59" s="20">
        <v>86.36</v>
      </c>
      <c r="F59" s="20">
        <v>32.590000000000003</v>
      </c>
      <c r="G59" s="22">
        <v>63.55</v>
      </c>
    </row>
    <row r="60" spans="1:8" ht="15" customHeight="1">
      <c r="A60" s="24" t="s">
        <v>142</v>
      </c>
      <c r="B60" s="20">
        <f>C59/C62</f>
        <v>804.3912175648702</v>
      </c>
      <c r="C60" s="20">
        <f t="shared" ref="C60:F60" si="6">D59/D62</f>
        <v>912.93260473588339</v>
      </c>
      <c r="D60" s="20">
        <f>E59/E62</f>
        <v>1100.1273885350317</v>
      </c>
      <c r="E60" s="20">
        <f t="shared" si="6"/>
        <v>1830.8988764044946</v>
      </c>
      <c r="F60" s="20">
        <f t="shared" si="6"/>
        <v>2345.0184501845019</v>
      </c>
      <c r="G60" s="22"/>
    </row>
    <row r="61" spans="1:8" ht="15" customHeight="1">
      <c r="A61" s="24" t="s">
        <v>139</v>
      </c>
      <c r="C61" s="25">
        <f>C58/B60</f>
        <v>0.92147947890818871</v>
      </c>
      <c r="D61" s="25">
        <f t="shared" ref="D61:G61" si="7">D58/C60</f>
        <v>0.91363808858739037</v>
      </c>
      <c r="E61" s="25">
        <f t="shared" si="7"/>
        <v>0.86989925891616493</v>
      </c>
      <c r="F61" s="25">
        <f>F58/E60</f>
        <v>0.51850487879717699</v>
      </c>
      <c r="G61" s="23">
        <f t="shared" si="7"/>
        <v>0.50319433516915812</v>
      </c>
      <c r="H61" s="5"/>
    </row>
    <row r="62" spans="1:8" ht="15" customHeight="1">
      <c r="A62" s="26" t="s">
        <v>140</v>
      </c>
      <c r="B62" s="27"/>
      <c r="C62" s="27">
        <v>0.1002</v>
      </c>
      <c r="D62" s="27">
        <v>0.10979999999999999</v>
      </c>
      <c r="E62" s="27">
        <v>7.85E-2</v>
      </c>
      <c r="F62" s="27">
        <v>1.78E-2</v>
      </c>
      <c r="G62" s="28">
        <v>2.7099999999999999E-2</v>
      </c>
    </row>
    <row r="63" spans="1:8" ht="15" customHeight="1"/>
    <row r="64" spans="1:8" ht="15" customHeight="1">
      <c r="A64" s="284">
        <v>2524</v>
      </c>
      <c r="B64" s="285"/>
      <c r="C64" s="285"/>
      <c r="D64" s="285"/>
      <c r="E64" s="285"/>
      <c r="F64" s="285"/>
      <c r="G64" s="286"/>
    </row>
    <row r="65" spans="1:8" ht="15" customHeight="1">
      <c r="A65" s="271" t="s">
        <v>145</v>
      </c>
      <c r="B65" s="262"/>
      <c r="C65" s="262"/>
      <c r="D65" s="262"/>
      <c r="E65" s="262"/>
      <c r="F65" s="262"/>
      <c r="G65" s="264"/>
    </row>
    <row r="66" spans="1:8" ht="15" customHeight="1">
      <c r="A66" s="24"/>
      <c r="B66">
        <v>2018</v>
      </c>
      <c r="C66">
        <v>2019</v>
      </c>
      <c r="D66">
        <v>2020</v>
      </c>
      <c r="E66">
        <v>2021</v>
      </c>
      <c r="F66">
        <v>2022</v>
      </c>
      <c r="G66" s="21">
        <v>2023</v>
      </c>
    </row>
    <row r="67" spans="1:8" ht="15" customHeight="1">
      <c r="A67" s="24" t="s">
        <v>135</v>
      </c>
      <c r="B67" s="20">
        <v>1160</v>
      </c>
      <c r="C67" s="20">
        <v>1270</v>
      </c>
      <c r="D67" s="20">
        <v>914.64</v>
      </c>
      <c r="E67" s="20">
        <v>1040</v>
      </c>
      <c r="F67" s="20">
        <v>762.69</v>
      </c>
      <c r="G67" s="22">
        <v>1070</v>
      </c>
    </row>
    <row r="68" spans="1:8" ht="15" customHeight="1">
      <c r="A68" s="24" t="s">
        <v>137</v>
      </c>
      <c r="B68" s="20">
        <v>-74.819999999999993</v>
      </c>
      <c r="C68" s="20">
        <v>72.67</v>
      </c>
      <c r="D68" s="20">
        <v>42.6</v>
      </c>
      <c r="E68" s="20">
        <v>42.67</v>
      </c>
      <c r="F68" s="20">
        <v>-78.22</v>
      </c>
      <c r="G68" s="22">
        <v>9.26</v>
      </c>
    </row>
    <row r="69" spans="1:8" ht="15" customHeight="1">
      <c r="A69" s="24" t="s">
        <v>142</v>
      </c>
      <c r="B69" s="20">
        <f>C68/C71</f>
        <v>1087.8742514970061</v>
      </c>
      <c r="C69" s="20">
        <f t="shared" ref="C69:F69" si="8">D68/D71</f>
        <v>1059.7014925373135</v>
      </c>
      <c r="D69" s="20">
        <f t="shared" si="8"/>
        <v>718.35016835016836</v>
      </c>
      <c r="E69" s="20">
        <f>F68/F71</f>
        <v>795.72736520854528</v>
      </c>
      <c r="F69" s="20">
        <f t="shared" si="8"/>
        <v>765.28925619834706</v>
      </c>
      <c r="G69" s="22"/>
    </row>
    <row r="70" spans="1:8" ht="15" customHeight="1">
      <c r="A70" s="24" t="s">
        <v>139</v>
      </c>
      <c r="C70" s="25">
        <f>C67/B69</f>
        <v>1.1674143387917983</v>
      </c>
      <c r="D70" s="25">
        <f t="shared" ref="D70:G70" si="9">D67/C69</f>
        <v>0.86311098591549296</v>
      </c>
      <c r="E70" s="25">
        <f t="shared" si="9"/>
        <v>1.4477618936020624</v>
      </c>
      <c r="F70" s="25">
        <f t="shared" si="9"/>
        <v>0.95848155203272822</v>
      </c>
      <c r="G70" s="23">
        <f t="shared" si="9"/>
        <v>1.3981641468682506</v>
      </c>
      <c r="H70" s="5"/>
    </row>
    <row r="71" spans="1:8" ht="15" customHeight="1">
      <c r="A71" s="26" t="s">
        <v>140</v>
      </c>
      <c r="B71" s="27">
        <v>-7.4700000000000003E-2</v>
      </c>
      <c r="C71" s="27">
        <v>6.6799999999999998E-2</v>
      </c>
      <c r="D71" s="27">
        <v>4.02E-2</v>
      </c>
      <c r="E71" s="27">
        <v>5.9400000000000001E-2</v>
      </c>
      <c r="F71" s="27">
        <v>-9.8299999999999998E-2</v>
      </c>
      <c r="G71" s="28">
        <v>1.21E-2</v>
      </c>
    </row>
    <row r="72" spans="1:8" ht="15" customHeight="1"/>
    <row r="73" spans="1:8" ht="15" customHeight="1">
      <c r="A73" s="281">
        <v>688050</v>
      </c>
      <c r="B73" s="282"/>
      <c r="C73" s="282"/>
      <c r="D73" s="282"/>
      <c r="E73" s="282"/>
      <c r="F73" s="282"/>
      <c r="G73" s="283"/>
    </row>
    <row r="74" spans="1:8" ht="15" customHeight="1">
      <c r="A74" s="278" t="s">
        <v>146</v>
      </c>
      <c r="B74" s="279"/>
      <c r="C74" s="279"/>
      <c r="D74" s="279"/>
      <c r="E74" s="279"/>
      <c r="F74" s="279"/>
      <c r="G74" s="280"/>
    </row>
    <row r="75" spans="1:8" ht="15" customHeight="1">
      <c r="A75" s="24"/>
      <c r="B75">
        <v>2018</v>
      </c>
      <c r="C75">
        <v>2019</v>
      </c>
      <c r="D75">
        <v>2020</v>
      </c>
      <c r="E75">
        <v>2021</v>
      </c>
      <c r="F75">
        <v>2022</v>
      </c>
      <c r="G75" s="21">
        <v>2023</v>
      </c>
    </row>
    <row r="76" spans="1:8" ht="15" customHeight="1">
      <c r="A76" s="24" t="s">
        <v>135</v>
      </c>
      <c r="B76" s="20">
        <v>124.9</v>
      </c>
      <c r="C76" s="20">
        <v>191.95</v>
      </c>
      <c r="D76" s="20">
        <v>269.06</v>
      </c>
      <c r="E76" s="20">
        <v>425.9</v>
      </c>
      <c r="F76" s="20">
        <v>570.80999999999995</v>
      </c>
      <c r="G76" s="22">
        <v>936.19</v>
      </c>
    </row>
    <row r="77" spans="1:8" ht="15" customHeight="1">
      <c r="A77" s="24" t="s">
        <v>137</v>
      </c>
      <c r="B77" s="20">
        <v>20.309999999999999</v>
      </c>
      <c r="C77" s="20">
        <v>66.69</v>
      </c>
      <c r="D77" s="20">
        <v>96.56</v>
      </c>
      <c r="E77" s="20">
        <v>171.34</v>
      </c>
      <c r="F77" s="20">
        <v>232.69</v>
      </c>
      <c r="G77" s="22">
        <v>303.98</v>
      </c>
    </row>
    <row r="78" spans="1:8" ht="15" customHeight="1">
      <c r="A78" s="24" t="s">
        <v>142</v>
      </c>
      <c r="B78" s="20">
        <f>C77/C80</f>
        <v>584.48729184925503</v>
      </c>
      <c r="C78" s="20">
        <f t="shared" ref="C78:D78" si="10">D77/D80</f>
        <v>1069.3244739756367</v>
      </c>
      <c r="D78" s="20">
        <f t="shared" si="10"/>
        <v>1673.2421875</v>
      </c>
      <c r="E78" s="20">
        <f>F77/F80</f>
        <v>1926.2417218543046</v>
      </c>
      <c r="F78" s="20">
        <f t="shared" ref="F78" si="11">G77/G80</f>
        <v>2212.3726346433773</v>
      </c>
      <c r="G78" s="22"/>
    </row>
    <row r="79" spans="1:8" ht="15" customHeight="1">
      <c r="A79" s="24" t="s">
        <v>139</v>
      </c>
      <c r="C79" s="25">
        <f>C76/B78</f>
        <v>0.32840748238116657</v>
      </c>
      <c r="D79" s="25">
        <f t="shared" ref="D79:G79" si="12">D76/C78</f>
        <v>0.25161679784589897</v>
      </c>
      <c r="E79" s="25">
        <f t="shared" si="12"/>
        <v>0.25453577681802264</v>
      </c>
      <c r="F79" s="25">
        <f t="shared" si="12"/>
        <v>0.29633352529115986</v>
      </c>
      <c r="G79" s="23">
        <f t="shared" si="12"/>
        <v>0.42316108296598459</v>
      </c>
      <c r="H79" s="5"/>
    </row>
    <row r="80" spans="1:8" ht="15" customHeight="1">
      <c r="A80" s="26" t="s">
        <v>140</v>
      </c>
      <c r="B80" s="27">
        <v>5.1999999999999998E-2</v>
      </c>
      <c r="C80" s="27">
        <v>0.11409999999999999</v>
      </c>
      <c r="D80" s="27">
        <v>9.0300000000000005E-2</v>
      </c>
      <c r="E80" s="27">
        <v>0.1024</v>
      </c>
      <c r="F80" s="27">
        <v>0.1208</v>
      </c>
      <c r="G80" s="28">
        <v>0.13739999999999999</v>
      </c>
    </row>
    <row r="81" spans="8:8" ht="15" customHeight="1"/>
    <row r="82" spans="8:8" ht="15" customHeight="1"/>
    <row r="83" spans="8:8" ht="15" customHeight="1"/>
    <row r="84" spans="8:8" ht="15" customHeight="1"/>
    <row r="85" spans="8:8" ht="15" customHeight="1"/>
    <row r="86" spans="8:8" ht="15" customHeight="1"/>
    <row r="87" spans="8:8" ht="15" customHeight="1"/>
    <row r="88" spans="8:8" ht="15" customHeight="1">
      <c r="H88" s="5"/>
    </row>
    <row r="89" spans="8:8" ht="15" customHeight="1"/>
    <row r="90" spans="8:8" ht="15" customHeight="1"/>
    <row r="91" spans="8:8" ht="15" customHeight="1"/>
    <row r="92" spans="8:8" ht="15" customHeight="1"/>
    <row r="93" spans="8:8" ht="15" customHeight="1"/>
    <row r="94" spans="8:8" ht="15" customHeight="1"/>
    <row r="95" spans="8:8" ht="15" customHeight="1"/>
    <row r="96" spans="8:8" ht="15" customHeight="1"/>
    <row r="97" spans="8:8" ht="15" customHeight="1">
      <c r="H97" s="35"/>
    </row>
    <row r="98" spans="8:8" ht="15" customHeight="1"/>
    <row r="99" spans="8:8" ht="15" customHeight="1"/>
    <row r="100" spans="8:8" ht="15" customHeight="1"/>
    <row r="101" spans="8:8" ht="15" customHeight="1"/>
    <row r="102" spans="8:8" ht="15" customHeight="1"/>
    <row r="103" spans="8:8" ht="15" customHeight="1"/>
    <row r="104" spans="8:8" ht="15" customHeight="1"/>
    <row r="105" spans="8:8" ht="15" customHeight="1"/>
    <row r="106" spans="8:8" ht="15" customHeight="1"/>
    <row r="107" spans="8:8" ht="15" customHeight="1"/>
    <row r="108" spans="8:8" ht="15" customHeight="1"/>
    <row r="109" spans="8:8" ht="15" customHeight="1"/>
    <row r="110" spans="8:8" ht="15" customHeight="1"/>
    <row r="116" spans="1:7">
      <c r="A116" s="273">
        <v>301239</v>
      </c>
      <c r="B116" s="274"/>
      <c r="C116" s="274"/>
      <c r="D116" s="274"/>
      <c r="E116" s="274"/>
      <c r="F116" s="274"/>
      <c r="G116" s="275"/>
    </row>
    <row r="117" spans="1:7">
      <c r="A117" s="271" t="s">
        <v>147</v>
      </c>
      <c r="B117" s="262"/>
      <c r="C117" s="262"/>
      <c r="D117" s="262"/>
      <c r="E117" s="262"/>
      <c r="F117" s="262"/>
      <c r="G117" s="264"/>
    </row>
    <row r="118" spans="1:7">
      <c r="A118" s="24"/>
      <c r="B118">
        <v>2018</v>
      </c>
      <c r="C118">
        <v>2019</v>
      </c>
      <c r="D118">
        <v>2020</v>
      </c>
      <c r="E118">
        <v>2021</v>
      </c>
      <c r="F118">
        <v>2022</v>
      </c>
      <c r="G118" s="21">
        <v>2023</v>
      </c>
    </row>
    <row r="119" spans="1:7">
      <c r="A119" s="24" t="s">
        <v>135</v>
      </c>
      <c r="B119" s="31">
        <v>42.960999999999999</v>
      </c>
      <c r="C119" s="31">
        <v>48.965000000000003</v>
      </c>
      <c r="D119" s="31">
        <v>473.81799999999998</v>
      </c>
      <c r="E119" s="31">
        <v>632.93100000000004</v>
      </c>
      <c r="F119" s="31">
        <v>610.29100000000005</v>
      </c>
      <c r="G119" s="32">
        <v>714.28899999999999</v>
      </c>
    </row>
    <row r="120" spans="1:7">
      <c r="A120" s="24" t="s">
        <v>136</v>
      </c>
      <c r="B120" s="31">
        <v>4.2690000000000001</v>
      </c>
      <c r="C120" s="31">
        <v>-0.70099999999999996</v>
      </c>
      <c r="D120" s="31">
        <v>61.555999999999997</v>
      </c>
      <c r="E120" s="31">
        <v>119.508</v>
      </c>
      <c r="F120" s="31">
        <v>118.24299999999999</v>
      </c>
      <c r="G120" s="32">
        <v>168.375</v>
      </c>
    </row>
    <row r="121" spans="1:7">
      <c r="A121" s="24" t="s">
        <v>142</v>
      </c>
      <c r="B121" s="31">
        <v>47.234999999999999</v>
      </c>
      <c r="C121" s="31">
        <v>48.515000000000001</v>
      </c>
      <c r="D121" s="31">
        <v>490.60599999999999</v>
      </c>
      <c r="E121" s="31">
        <v>448.42700000000002</v>
      </c>
      <c r="F121" s="31">
        <v>731.22799999999995</v>
      </c>
      <c r="G121" s="32"/>
    </row>
    <row r="122" spans="1:7">
      <c r="A122" s="24" t="s">
        <v>139</v>
      </c>
      <c r="C122" s="25">
        <f>C119/((C121+B121)/2)</f>
        <v>1.0227676240208878</v>
      </c>
      <c r="D122" s="25">
        <f t="shared" ref="D122:G122" si="13">D119/C121</f>
        <v>9.7664227558487067</v>
      </c>
      <c r="E122" s="25">
        <f t="shared" si="13"/>
        <v>1.2901004064361219</v>
      </c>
      <c r="F122" s="25">
        <f t="shared" si="13"/>
        <v>1.3609595318747534</v>
      </c>
      <c r="G122" s="23">
        <f t="shared" si="13"/>
        <v>0.97683485862138764</v>
      </c>
    </row>
    <row r="123" spans="1:7">
      <c r="A123" s="26" t="s">
        <v>140</v>
      </c>
      <c r="B123" s="27"/>
      <c r="C123" s="27">
        <f>C120/B121</f>
        <v>-1.4840690166190324E-2</v>
      </c>
      <c r="D123" s="27">
        <f t="shared" ref="D123:F123" si="14">D120/C121</f>
        <v>1.2688034628465423</v>
      </c>
      <c r="E123" s="27">
        <f t="shared" si="14"/>
        <v>0.24359261810903249</v>
      </c>
      <c r="F123" s="27">
        <f t="shared" si="14"/>
        <v>0.26368394409792451</v>
      </c>
      <c r="G123" s="28">
        <f>G120/F121</f>
        <v>0.23026333783717257</v>
      </c>
    </row>
    <row r="125" spans="1:7">
      <c r="A125" s="273" t="s">
        <v>148</v>
      </c>
      <c r="B125" s="274"/>
      <c r="C125" s="274"/>
      <c r="D125" s="274"/>
      <c r="E125" s="274"/>
      <c r="F125" s="274"/>
      <c r="G125" s="275"/>
    </row>
    <row r="126" spans="1:7">
      <c r="A126" s="271" t="s">
        <v>149</v>
      </c>
      <c r="B126" s="262"/>
      <c r="C126" s="262"/>
      <c r="D126" s="262"/>
      <c r="E126" s="262"/>
      <c r="F126" s="262"/>
      <c r="G126" s="264"/>
    </row>
    <row r="127" spans="1:7">
      <c r="A127" s="24"/>
      <c r="B127">
        <v>2018</v>
      </c>
      <c r="C127">
        <v>2019</v>
      </c>
      <c r="D127">
        <v>2020</v>
      </c>
      <c r="E127">
        <v>2021</v>
      </c>
      <c r="F127">
        <v>2022</v>
      </c>
      <c r="G127" s="21">
        <v>2023</v>
      </c>
    </row>
    <row r="128" spans="1:7">
      <c r="A128" s="24" t="s">
        <v>135</v>
      </c>
      <c r="B128" s="33">
        <v>49.234000000000002</v>
      </c>
      <c r="C128" s="33">
        <v>62.619</v>
      </c>
      <c r="D128" s="33">
        <v>58.02</v>
      </c>
      <c r="E128" s="33">
        <v>88.897999999999996</v>
      </c>
      <c r="F128" s="33">
        <v>108.003</v>
      </c>
      <c r="G128" s="34">
        <v>113.953</v>
      </c>
    </row>
    <row r="129" spans="1:7">
      <c r="A129" s="24" t="s">
        <v>136</v>
      </c>
      <c r="B129" s="33">
        <v>4.8559999999999999</v>
      </c>
      <c r="C129" s="33">
        <v>8.6039999999999992</v>
      </c>
      <c r="D129" s="33">
        <v>6.0590000000000002</v>
      </c>
      <c r="E129" s="33">
        <v>12.741</v>
      </c>
      <c r="F129" s="33">
        <v>16.068000000000001</v>
      </c>
      <c r="G129" s="34">
        <v>13.914999999999999</v>
      </c>
    </row>
    <row r="130" spans="1:7">
      <c r="A130" s="24" t="s">
        <v>142</v>
      </c>
      <c r="B130" s="33">
        <v>49.548999999999999</v>
      </c>
      <c r="C130" s="33">
        <v>54.954000000000001</v>
      </c>
      <c r="D130" s="33">
        <v>57.618000000000002</v>
      </c>
      <c r="E130" s="33">
        <v>68</v>
      </c>
      <c r="F130" s="33">
        <v>77.552000000000007</v>
      </c>
      <c r="G130" s="34"/>
    </row>
    <row r="131" spans="1:7">
      <c r="A131" s="24" t="s">
        <v>139</v>
      </c>
      <c r="C131" s="25">
        <f>C128/B130</f>
        <v>1.26377928918848</v>
      </c>
      <c r="D131" s="25">
        <f t="shared" ref="D131:G131" si="15">D128/C130</f>
        <v>1.0557921170433453</v>
      </c>
      <c r="E131" s="25">
        <f t="shared" si="15"/>
        <v>1.5428859037106459</v>
      </c>
      <c r="F131" s="25">
        <f t="shared" si="15"/>
        <v>1.5882794117647059</v>
      </c>
      <c r="G131" s="23">
        <f t="shared" si="15"/>
        <v>1.4693753868372188</v>
      </c>
    </row>
    <row r="132" spans="1:7">
      <c r="A132" s="26" t="s">
        <v>140</v>
      </c>
      <c r="B132" s="27"/>
      <c r="C132" s="27">
        <f>C129/B130</f>
        <v>0.17364628953157479</v>
      </c>
      <c r="D132" s="27">
        <f t="shared" ref="D132:F132" si="16">D129/C130</f>
        <v>0.11025585034756342</v>
      </c>
      <c r="E132" s="27">
        <f t="shared" si="16"/>
        <v>0.22112881391231906</v>
      </c>
      <c r="F132" s="27">
        <f t="shared" si="16"/>
        <v>0.23629411764705885</v>
      </c>
      <c r="G132" s="28">
        <f>G129/F130</f>
        <v>0.17942799669898904</v>
      </c>
    </row>
  </sheetData>
  <mergeCells count="18">
    <mergeCell ref="A34:G34"/>
    <mergeCell ref="A44:G44"/>
    <mergeCell ref="A126:G126"/>
    <mergeCell ref="A74:G74"/>
    <mergeCell ref="A116:G116"/>
    <mergeCell ref="A117:G117"/>
    <mergeCell ref="A125:G125"/>
    <mergeCell ref="A73:G73"/>
    <mergeCell ref="A45:G45"/>
    <mergeCell ref="A55:G55"/>
    <mergeCell ref="A56:G56"/>
    <mergeCell ref="A64:G64"/>
    <mergeCell ref="A65:G65"/>
    <mergeCell ref="A23:H23"/>
    <mergeCell ref="H2:J2"/>
    <mergeCell ref="H3:J3"/>
    <mergeCell ref="A22:H22"/>
    <mergeCell ref="A33:G33"/>
  </mergeCells>
  <phoneticPr fontId="2" type="noConversion"/>
  <hyperlinks>
    <hyperlink ref="H2" r:id="rId1" xr:uid="{41204C2B-E34C-45F8-84AB-C0C31D6BCF63}"/>
    <hyperlink ref="H3:J3" r:id="rId2" display="Annual reports of major competitors 2023" xr:uid="{72617B69-141D-446F-B66A-8B29DFBF2FB9}"/>
    <hyperlink ref="H2:J2" r:id="rId3" display="Frost and Sullivan industry research 2018" xr:uid="{07B95E43-F4FE-4744-868B-A3C641E55348}"/>
  </hyperlinks>
  <pageMargins left="0.25" right="0.25" top="0.75" bottom="0.75" header="0.3" footer="0.3"/>
  <pageSetup paperSize="3" orientation="landscape"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70FC-4A98-4FAA-9471-6D4D0B5D3B27}">
  <dimension ref="A1:H41"/>
  <sheetViews>
    <sheetView showGridLines="0" topLeftCell="A3" workbookViewId="0">
      <selection activeCell="C7" sqref="C7"/>
    </sheetView>
  </sheetViews>
  <sheetFormatPr defaultRowHeight="15"/>
  <cols>
    <col min="1" max="1" width="36.5703125" customWidth="1"/>
    <col min="2" max="2" width="30.7109375" customWidth="1"/>
    <col min="3" max="5" width="20.7109375" customWidth="1"/>
    <col min="6" max="6" width="40.7109375" customWidth="1"/>
  </cols>
  <sheetData>
    <row r="1" spans="1:8" ht="30" customHeight="1">
      <c r="A1" s="288" t="s">
        <v>150</v>
      </c>
      <c r="B1" s="288"/>
      <c r="C1" s="288"/>
      <c r="D1" s="288"/>
      <c r="E1" s="288"/>
      <c r="F1" s="288"/>
    </row>
    <row r="2" spans="1:8" ht="15" customHeight="1">
      <c r="A2" s="1"/>
      <c r="B2" s="1"/>
    </row>
    <row r="3" spans="1:8" s="49" customFormat="1" ht="33" customHeight="1">
      <c r="A3" s="181" t="s">
        <v>475</v>
      </c>
      <c r="B3" s="181" t="s">
        <v>12</v>
      </c>
      <c r="C3" s="181" t="s">
        <v>476</v>
      </c>
      <c r="D3" s="181" t="s">
        <v>477</v>
      </c>
      <c r="E3" s="181" t="s">
        <v>493</v>
      </c>
      <c r="F3" s="181" t="s">
        <v>485</v>
      </c>
    </row>
    <row r="4" spans="1:8" ht="99.95" customHeight="1">
      <c r="A4" s="216" t="s">
        <v>478</v>
      </c>
      <c r="B4" s="182" t="s">
        <v>479</v>
      </c>
      <c r="C4" s="182" t="s">
        <v>480</v>
      </c>
      <c r="D4" s="182" t="s">
        <v>481</v>
      </c>
      <c r="E4" s="182" t="s">
        <v>487</v>
      </c>
      <c r="F4" s="287" t="s">
        <v>499</v>
      </c>
    </row>
    <row r="5" spans="1:8" ht="90">
      <c r="A5" s="216" t="s">
        <v>482</v>
      </c>
      <c r="B5" s="182" t="s">
        <v>483</v>
      </c>
      <c r="C5" s="182" t="s">
        <v>484</v>
      </c>
      <c r="D5" s="182" t="s">
        <v>486</v>
      </c>
      <c r="E5" s="182" t="s">
        <v>488</v>
      </c>
      <c r="F5" s="287"/>
      <c r="G5" s="12"/>
      <c r="H5" s="159"/>
    </row>
    <row r="6" spans="1:8" ht="150" customHeight="1">
      <c r="A6" s="216" t="s">
        <v>495</v>
      </c>
      <c r="B6" s="182" t="s">
        <v>498</v>
      </c>
      <c r="C6" s="182" t="s">
        <v>496</v>
      </c>
      <c r="D6" s="182" t="s">
        <v>497</v>
      </c>
      <c r="E6" s="182" t="s">
        <v>61</v>
      </c>
      <c r="F6" s="182" t="s">
        <v>501</v>
      </c>
      <c r="G6" s="12"/>
      <c r="H6" s="159"/>
    </row>
    <row r="7" spans="1:8" ht="99.95" customHeight="1">
      <c r="A7" s="216" t="s">
        <v>489</v>
      </c>
      <c r="B7" s="182" t="s">
        <v>490</v>
      </c>
      <c r="C7" s="182" t="s">
        <v>491</v>
      </c>
      <c r="D7" s="182" t="s">
        <v>492</v>
      </c>
      <c r="E7" s="182" t="s">
        <v>500</v>
      </c>
      <c r="F7" s="182" t="s">
        <v>494</v>
      </c>
      <c r="G7" s="1"/>
      <c r="H7" s="73"/>
    </row>
    <row r="8" spans="1:8">
      <c r="A8" s="180"/>
      <c r="B8" s="180"/>
      <c r="C8" s="180"/>
      <c r="D8" s="180"/>
      <c r="E8" s="180"/>
      <c r="F8" s="180"/>
      <c r="H8" s="73"/>
    </row>
    <row r="9" spans="1:8">
      <c r="A9" s="180"/>
      <c r="B9" s="180"/>
      <c r="C9" s="180"/>
      <c r="D9" s="180"/>
      <c r="E9" s="180"/>
      <c r="F9" s="180"/>
      <c r="H9" s="73"/>
    </row>
    <row r="10" spans="1:8">
      <c r="A10" s="180"/>
      <c r="B10" s="180"/>
      <c r="C10" s="180"/>
      <c r="D10" s="180"/>
      <c r="E10" s="180"/>
      <c r="F10" s="180"/>
      <c r="H10" s="73"/>
    </row>
    <row r="11" spans="1:8">
      <c r="A11" s="180"/>
      <c r="B11" s="180"/>
      <c r="C11" s="180"/>
      <c r="D11" s="180"/>
      <c r="E11" s="180"/>
      <c r="F11" s="180"/>
      <c r="H11" s="73"/>
    </row>
    <row r="12" spans="1:8">
      <c r="A12" s="180"/>
      <c r="B12" s="180"/>
      <c r="C12" s="180"/>
      <c r="D12" s="180"/>
      <c r="E12" s="180"/>
      <c r="F12" s="180"/>
    </row>
    <row r="13" spans="1:8">
      <c r="A13" s="180"/>
      <c r="B13" s="180"/>
      <c r="C13" s="180"/>
      <c r="D13" s="180"/>
      <c r="E13" s="180"/>
      <c r="F13" s="180"/>
    </row>
    <row r="14" spans="1:8">
      <c r="A14" s="180"/>
      <c r="B14" s="180"/>
      <c r="C14" s="180"/>
      <c r="D14" s="180"/>
      <c r="E14" s="180"/>
      <c r="F14" s="180"/>
      <c r="H14" s="159"/>
    </row>
    <row r="15" spans="1:8">
      <c r="A15" s="18"/>
      <c r="H15" s="73"/>
    </row>
    <row r="16" spans="1:8">
      <c r="A16" s="18"/>
      <c r="H16" s="73"/>
    </row>
    <row r="17" spans="1:8">
      <c r="A17" s="18"/>
      <c r="H17" s="73"/>
    </row>
    <row r="18" spans="1:8">
      <c r="A18" s="18"/>
      <c r="H18" s="73"/>
    </row>
    <row r="19" spans="1:8">
      <c r="A19" s="18"/>
    </row>
    <row r="20" spans="1:8">
      <c r="A20" s="18"/>
    </row>
    <row r="21" spans="1:8">
      <c r="A21" s="18"/>
    </row>
    <row r="22" spans="1:8">
      <c r="A22" s="18"/>
    </row>
    <row r="23" spans="1:8">
      <c r="A23" s="18"/>
    </row>
    <row r="24" spans="1:8">
      <c r="A24" s="18"/>
    </row>
    <row r="25" spans="1:8">
      <c r="A25" s="18"/>
    </row>
    <row r="26" spans="1:8">
      <c r="A26" s="18"/>
    </row>
    <row r="27" spans="1:8">
      <c r="A27" s="18"/>
    </row>
    <row r="28" spans="1:8">
      <c r="A28" s="18"/>
    </row>
    <row r="29" spans="1:8">
      <c r="A29" s="18"/>
    </row>
    <row r="30" spans="1:8">
      <c r="A30" s="13"/>
    </row>
    <row r="31" spans="1:8">
      <c r="A31" s="13"/>
    </row>
    <row r="32" spans="1:8">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sheetData>
  <mergeCells count="2">
    <mergeCell ref="F4:F5"/>
    <mergeCell ref="A1:F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7427B-6219-4A15-9EB3-0EC795E4879A}">
  <dimension ref="A1:K180"/>
  <sheetViews>
    <sheetView zoomScaleNormal="100" workbookViewId="0">
      <selection activeCell="I13" sqref="I13"/>
    </sheetView>
  </sheetViews>
  <sheetFormatPr defaultRowHeight="15"/>
  <cols>
    <col min="1" max="1" width="64.85546875" customWidth="1"/>
    <col min="2" max="6" width="20.7109375" customWidth="1"/>
    <col min="7" max="7" width="20" bestFit="1" customWidth="1"/>
    <col min="8" max="10" width="20.7109375" customWidth="1"/>
    <col min="11" max="11" width="9.140625" bestFit="1" customWidth="1"/>
    <col min="12" max="12" width="5.7109375" bestFit="1" customWidth="1"/>
    <col min="13" max="13" width="5" bestFit="1" customWidth="1"/>
    <col min="14" max="14" width="6" bestFit="1" customWidth="1"/>
    <col min="15" max="17" width="7" bestFit="1" customWidth="1"/>
    <col min="18" max="18" width="8" bestFit="1" customWidth="1"/>
    <col min="19" max="19" width="7.28515625" bestFit="1" customWidth="1"/>
    <col min="20" max="20" width="11.28515625" bestFit="1" customWidth="1"/>
    <col min="21" max="21" width="7.85546875" bestFit="1" customWidth="1"/>
    <col min="22" max="22" width="10.85546875" bestFit="1" customWidth="1"/>
    <col min="23" max="23" width="8.85546875" bestFit="1" customWidth="1"/>
    <col min="24" max="24" width="11.85546875" bestFit="1" customWidth="1"/>
    <col min="25" max="25" width="8.85546875" bestFit="1" customWidth="1"/>
    <col min="26" max="26" width="11.85546875" bestFit="1" customWidth="1"/>
    <col min="27" max="27" width="8.85546875" bestFit="1" customWidth="1"/>
    <col min="28" max="28" width="11.85546875" bestFit="1" customWidth="1"/>
    <col min="29" max="29" width="9.85546875" bestFit="1" customWidth="1"/>
    <col min="30" max="30" width="12.85546875" bestFit="1" customWidth="1"/>
    <col min="32" max="32" width="12.140625" bestFit="1" customWidth="1"/>
    <col min="33" max="33" width="11.28515625" bestFit="1" customWidth="1"/>
  </cols>
  <sheetData>
    <row r="1" spans="1:10">
      <c r="A1" t="s">
        <v>151</v>
      </c>
      <c r="B1" s="37" t="s">
        <v>152</v>
      </c>
      <c r="C1" s="37" t="s">
        <v>153</v>
      </c>
      <c r="D1" s="37" t="s">
        <v>154</v>
      </c>
      <c r="E1" s="37" t="s">
        <v>155</v>
      </c>
      <c r="F1" s="37" t="s">
        <v>156</v>
      </c>
      <c r="G1" s="37" t="s">
        <v>157</v>
      </c>
      <c r="H1" t="s">
        <v>158</v>
      </c>
    </row>
    <row r="2" spans="1:10">
      <c r="A2" s="42" t="s">
        <v>159</v>
      </c>
      <c r="B2" s="52">
        <v>632659</v>
      </c>
      <c r="C2" s="52">
        <v>714671</v>
      </c>
      <c r="D2" s="52">
        <v>794282</v>
      </c>
      <c r="E2" s="52">
        <v>997787</v>
      </c>
      <c r="F2" s="52">
        <v>990044</v>
      </c>
      <c r="G2" s="52">
        <v>1369505</v>
      </c>
      <c r="H2" s="52">
        <v>1405454</v>
      </c>
    </row>
    <row r="3" spans="1:10">
      <c r="A3" t="s">
        <v>160</v>
      </c>
      <c r="B3" s="52">
        <v>-387707</v>
      </c>
      <c r="C3" s="52">
        <v>-436630</v>
      </c>
      <c r="D3" s="52">
        <v>-444762</v>
      </c>
      <c r="E3" s="52">
        <v>-549113</v>
      </c>
      <c r="F3" s="52">
        <v>-555347</v>
      </c>
      <c r="G3" s="52">
        <v>-748371</v>
      </c>
      <c r="H3" s="52">
        <v>-794152</v>
      </c>
    </row>
    <row r="4" spans="1:10">
      <c r="A4" t="s">
        <v>161</v>
      </c>
      <c r="B4" s="52">
        <v>244952</v>
      </c>
      <c r="C4" s="52">
        <v>278041</v>
      </c>
      <c r="D4" s="52">
        <v>349520</v>
      </c>
      <c r="E4" s="52">
        <v>448674</v>
      </c>
      <c r="F4" s="52">
        <v>434697</v>
      </c>
      <c r="G4" s="52">
        <v>621134</v>
      </c>
      <c r="H4" s="52">
        <v>611302</v>
      </c>
    </row>
    <row r="5" spans="1:10">
      <c r="A5" t="s">
        <v>162</v>
      </c>
      <c r="B5" s="52">
        <v>7970</v>
      </c>
      <c r="C5" s="52">
        <v>12894</v>
      </c>
      <c r="D5" s="52">
        <v>7351</v>
      </c>
      <c r="E5" s="52">
        <v>14900</v>
      </c>
      <c r="F5" s="52">
        <v>50249</v>
      </c>
      <c r="G5" s="52">
        <v>83278</v>
      </c>
      <c r="H5" s="52">
        <v>57260</v>
      </c>
    </row>
    <row r="6" spans="1:10">
      <c r="A6" t="s">
        <v>163</v>
      </c>
      <c r="B6" s="52">
        <v>-35863</v>
      </c>
      <c r="C6" s="52">
        <v>-34531</v>
      </c>
      <c r="D6" s="52">
        <v>-32892</v>
      </c>
      <c r="E6" s="52">
        <v>-47149</v>
      </c>
      <c r="F6" s="52">
        <v>-61283</v>
      </c>
      <c r="G6" s="52">
        <v>-104989</v>
      </c>
      <c r="H6" s="52">
        <v>-124574</v>
      </c>
    </row>
    <row r="7" spans="1:10">
      <c r="A7" t="s">
        <v>164</v>
      </c>
      <c r="B7" s="52">
        <v>-129341</v>
      </c>
      <c r="C7" s="52">
        <v>-118132</v>
      </c>
      <c r="D7" s="52">
        <v>-133527</v>
      </c>
      <c r="E7" s="52">
        <v>-177278</v>
      </c>
      <c r="F7" s="52">
        <v>-162040</v>
      </c>
      <c r="G7" s="52">
        <v>-222459</v>
      </c>
      <c r="H7" s="52">
        <v>-237485</v>
      </c>
    </row>
    <row r="8" spans="1:10">
      <c r="A8" t="s">
        <v>165</v>
      </c>
      <c r="B8" s="52">
        <v>-9922</v>
      </c>
      <c r="C8" s="52">
        <v>-4565</v>
      </c>
      <c r="D8" s="52">
        <v>-7919</v>
      </c>
      <c r="E8" s="52">
        <v>-4413</v>
      </c>
      <c r="F8" s="52">
        <v>-6631</v>
      </c>
      <c r="G8" s="52">
        <v>-59666</v>
      </c>
      <c r="H8" s="52">
        <v>-31098</v>
      </c>
      <c r="J8" s="83"/>
    </row>
    <row r="9" spans="1:10">
      <c r="A9" t="s">
        <v>166</v>
      </c>
      <c r="B9" s="52">
        <v>-5379</v>
      </c>
      <c r="C9" s="52">
        <v>-17279</v>
      </c>
      <c r="D9" s="52">
        <v>-12165</v>
      </c>
      <c r="E9" s="52">
        <v>-13608</v>
      </c>
      <c r="F9" s="52">
        <v>-3957</v>
      </c>
      <c r="G9" s="52">
        <v>-5835</v>
      </c>
      <c r="H9" s="52">
        <v>-2028</v>
      </c>
    </row>
    <row r="10" spans="1:10">
      <c r="A10" t="s">
        <v>167</v>
      </c>
      <c r="B10" s="52">
        <v>-24319</v>
      </c>
      <c r="C10" s="52">
        <v>-22868</v>
      </c>
      <c r="D10" s="52">
        <v>-12747</v>
      </c>
      <c r="E10" s="52">
        <v>-10544</v>
      </c>
      <c r="F10" s="52">
        <v>-11897</v>
      </c>
      <c r="G10" s="52">
        <v>-12221</v>
      </c>
      <c r="H10" s="52">
        <v>-10654</v>
      </c>
    </row>
    <row r="11" spans="1:10">
      <c r="A11" t="s">
        <v>168</v>
      </c>
      <c r="B11" s="52">
        <v>-696</v>
      </c>
      <c r="C11" s="52">
        <v>-1496</v>
      </c>
      <c r="D11" s="52">
        <v>0</v>
      </c>
      <c r="E11" s="52">
        <v>0</v>
      </c>
      <c r="F11" s="52">
        <v>0</v>
      </c>
      <c r="G11" s="52">
        <v>0</v>
      </c>
      <c r="H11" s="52">
        <v>0</v>
      </c>
      <c r="J11" s="83"/>
    </row>
    <row r="12" spans="1:10">
      <c r="A12" t="s">
        <v>169</v>
      </c>
      <c r="B12" s="52">
        <v>47402</v>
      </c>
      <c r="C12" s="52">
        <v>92064</v>
      </c>
      <c r="D12" s="52">
        <v>157621</v>
      </c>
      <c r="E12" s="52">
        <v>210582</v>
      </c>
      <c r="F12" s="52">
        <v>239138</v>
      </c>
      <c r="G12" s="52">
        <v>299242</v>
      </c>
      <c r="H12" s="52">
        <v>262723</v>
      </c>
    </row>
    <row r="13" spans="1:10">
      <c r="A13" t="s">
        <v>170</v>
      </c>
      <c r="B13" s="52">
        <v>-18196</v>
      </c>
      <c r="C13" s="52">
        <v>-21240</v>
      </c>
      <c r="D13" s="52">
        <v>-37090</v>
      </c>
      <c r="E13" s="52">
        <v>-52941</v>
      </c>
      <c r="F13" s="52">
        <v>-55942</v>
      </c>
      <c r="G13" s="52">
        <v>-78507</v>
      </c>
      <c r="H13" s="52">
        <v>-76513</v>
      </c>
    </row>
    <row r="14" spans="1:10">
      <c r="A14" t="s">
        <v>171</v>
      </c>
      <c r="B14" s="52">
        <v>29206</v>
      </c>
      <c r="C14" s="52">
        <v>70824</v>
      </c>
      <c r="D14" s="52">
        <v>120531</v>
      </c>
      <c r="E14" s="52">
        <v>157641</v>
      </c>
      <c r="F14" s="52">
        <v>183196</v>
      </c>
      <c r="G14" s="52">
        <v>220735</v>
      </c>
      <c r="H14" s="52">
        <v>186210</v>
      </c>
    </row>
    <row r="15" spans="1:10">
      <c r="B15" s="41"/>
      <c r="C15" s="41"/>
      <c r="D15" s="41"/>
      <c r="E15" s="41"/>
      <c r="F15" s="41"/>
      <c r="G15" s="41"/>
      <c r="H15" s="41"/>
    </row>
    <row r="16" spans="1:10">
      <c r="A16" t="s">
        <v>172</v>
      </c>
      <c r="B16" s="41"/>
      <c r="C16" s="41"/>
      <c r="D16" s="41"/>
      <c r="E16" s="41"/>
      <c r="F16" s="41"/>
      <c r="G16" s="41"/>
      <c r="H16" s="41"/>
    </row>
    <row r="17" spans="1:8">
      <c r="A17" t="s">
        <v>173</v>
      </c>
      <c r="B17" s="40"/>
      <c r="C17" s="40"/>
      <c r="D17" s="40">
        <v>0.23</v>
      </c>
      <c r="E17" s="40">
        <v>0.26</v>
      </c>
      <c r="F17" s="40">
        <v>0.27</v>
      </c>
      <c r="G17" s="40">
        <v>0.33</v>
      </c>
      <c r="H17" s="40">
        <v>0.28000000000000003</v>
      </c>
    </row>
    <row r="18" spans="1:8">
      <c r="A18" t="s">
        <v>174</v>
      </c>
      <c r="B18" s="40"/>
      <c r="C18" s="40"/>
      <c r="D18" s="40"/>
      <c r="E18" s="40"/>
      <c r="F18" s="40">
        <v>0.27</v>
      </c>
      <c r="G18" s="40">
        <v>0.33</v>
      </c>
      <c r="H18" s="40">
        <v>0.28000000000000003</v>
      </c>
    </row>
    <row r="20" spans="1:8" ht="15" customHeight="1">
      <c r="A20" s="11" t="s">
        <v>175</v>
      </c>
      <c r="B20" s="38" t="s">
        <v>176</v>
      </c>
      <c r="C20" s="38" t="s">
        <v>153</v>
      </c>
      <c r="D20" s="38" t="s">
        <v>154</v>
      </c>
      <c r="E20" s="38" t="s">
        <v>155</v>
      </c>
      <c r="F20" s="38" t="s">
        <v>156</v>
      </c>
      <c r="G20" s="38" t="s">
        <v>157</v>
      </c>
      <c r="H20" s="38" t="s">
        <v>158</v>
      </c>
    </row>
    <row r="21" spans="1:8">
      <c r="A21" s="42" t="s">
        <v>177</v>
      </c>
    </row>
    <row r="22" spans="1:8">
      <c r="A22" t="s">
        <v>178</v>
      </c>
      <c r="B22" s="52">
        <v>287796</v>
      </c>
      <c r="C22" s="52">
        <v>309106</v>
      </c>
      <c r="D22" s="52">
        <v>294770</v>
      </c>
      <c r="E22" s="52">
        <v>305151</v>
      </c>
      <c r="F22" s="52">
        <v>392309</v>
      </c>
      <c r="G22" s="52">
        <v>396995</v>
      </c>
      <c r="H22" s="52">
        <v>391917</v>
      </c>
    </row>
    <row r="23" spans="1:8">
      <c r="A23" t="s">
        <v>179</v>
      </c>
      <c r="B23" s="52">
        <v>0</v>
      </c>
      <c r="C23" s="52">
        <v>0</v>
      </c>
      <c r="D23" s="52">
        <v>0</v>
      </c>
      <c r="E23" s="52">
        <v>0</v>
      </c>
      <c r="F23" s="52">
        <v>0</v>
      </c>
      <c r="G23" s="52">
        <v>28774</v>
      </c>
      <c r="H23" s="52">
        <v>27415</v>
      </c>
    </row>
    <row r="24" spans="1:8">
      <c r="A24" t="s">
        <v>180</v>
      </c>
      <c r="B24" s="52">
        <v>208062</v>
      </c>
      <c r="C24" s="52">
        <v>187511</v>
      </c>
      <c r="D24" s="52">
        <v>151788</v>
      </c>
      <c r="E24" s="52">
        <v>180753</v>
      </c>
      <c r="F24" s="52">
        <v>200744</v>
      </c>
      <c r="G24" s="52">
        <v>195100</v>
      </c>
      <c r="H24" s="52">
        <v>241273</v>
      </c>
    </row>
    <row r="25" spans="1:8">
      <c r="A25" t="s">
        <v>181</v>
      </c>
      <c r="B25" s="52">
        <v>28228</v>
      </c>
      <c r="C25" s="52">
        <v>28228</v>
      </c>
      <c r="D25" s="52">
        <v>28228</v>
      </c>
      <c r="E25" s="52">
        <v>28228</v>
      </c>
      <c r="F25" s="52">
        <v>115214</v>
      </c>
      <c r="G25" s="52">
        <v>205986</v>
      </c>
      <c r="H25" s="52">
        <v>185599</v>
      </c>
    </row>
    <row r="26" spans="1:8">
      <c r="A26" t="s">
        <v>182</v>
      </c>
      <c r="B26" s="52">
        <v>62119</v>
      </c>
      <c r="C26" s="52">
        <v>59132</v>
      </c>
      <c r="D26" s="52">
        <v>56476</v>
      </c>
      <c r="E26" s="52">
        <v>53818</v>
      </c>
      <c r="F26" s="52">
        <v>91201</v>
      </c>
      <c r="G26" s="52">
        <v>166963</v>
      </c>
      <c r="H26" s="52">
        <v>165635</v>
      </c>
    </row>
    <row r="27" spans="1:8">
      <c r="A27" t="s">
        <v>183</v>
      </c>
      <c r="B27" s="52">
        <v>1496</v>
      </c>
      <c r="C27" s="52">
        <v>0</v>
      </c>
      <c r="D27" s="52">
        <v>0</v>
      </c>
      <c r="E27" s="52">
        <v>0</v>
      </c>
      <c r="F27" s="52">
        <v>0</v>
      </c>
      <c r="G27" s="52">
        <v>0</v>
      </c>
      <c r="H27" s="52">
        <v>0</v>
      </c>
    </row>
    <row r="28" spans="1:8">
      <c r="A28" t="s">
        <v>184</v>
      </c>
      <c r="B28" s="52">
        <v>0</v>
      </c>
      <c r="C28" s="52">
        <v>0</v>
      </c>
      <c r="D28" s="52">
        <v>0</v>
      </c>
      <c r="E28" s="52">
        <v>0</v>
      </c>
      <c r="F28" s="52">
        <v>0</v>
      </c>
      <c r="G28" s="52">
        <v>92000</v>
      </c>
      <c r="H28" s="52">
        <v>125337</v>
      </c>
    </row>
    <row r="29" spans="1:8">
      <c r="A29" t="s">
        <v>185</v>
      </c>
      <c r="B29" s="52">
        <v>4788</v>
      </c>
      <c r="C29" s="52">
        <v>4812</v>
      </c>
      <c r="D29" s="52">
        <v>4762</v>
      </c>
      <c r="E29" s="52">
        <v>5729</v>
      </c>
      <c r="F29" s="52">
        <v>6013</v>
      </c>
      <c r="G29" s="52">
        <v>5712</v>
      </c>
      <c r="H29" s="52">
        <v>7664</v>
      </c>
    </row>
    <row r="30" spans="1:8">
      <c r="A30" t="s">
        <v>186</v>
      </c>
      <c r="B30" s="52">
        <v>0</v>
      </c>
      <c r="C30" s="52">
        <v>0</v>
      </c>
      <c r="D30" s="52">
        <v>0</v>
      </c>
      <c r="E30" s="52">
        <v>0</v>
      </c>
      <c r="F30" s="52">
        <v>82002</v>
      </c>
      <c r="G30" s="52">
        <v>95007</v>
      </c>
      <c r="H30" s="52">
        <v>20339</v>
      </c>
    </row>
    <row r="31" spans="1:8">
      <c r="A31" t="s">
        <v>187</v>
      </c>
      <c r="B31" s="52">
        <v>0</v>
      </c>
      <c r="C31" s="52">
        <v>0</v>
      </c>
      <c r="D31" s="52">
        <v>0</v>
      </c>
      <c r="E31" s="52">
        <v>0</v>
      </c>
      <c r="F31" s="52">
        <v>1000</v>
      </c>
      <c r="G31" s="52">
        <v>0</v>
      </c>
      <c r="H31" s="52">
        <v>0</v>
      </c>
    </row>
    <row r="32" spans="1:8">
      <c r="A32" t="s">
        <v>188</v>
      </c>
      <c r="B32" s="52">
        <v>2154</v>
      </c>
      <c r="C32" s="52">
        <v>1544</v>
      </c>
      <c r="D32" s="52">
        <v>11493</v>
      </c>
      <c r="E32" s="52">
        <v>18404</v>
      </c>
      <c r="F32" s="52">
        <v>19540</v>
      </c>
      <c r="G32" s="52">
        <v>6604</v>
      </c>
      <c r="H32" s="52">
        <v>7753</v>
      </c>
    </row>
    <row r="33" spans="1:11">
      <c r="A33" t="s">
        <v>189</v>
      </c>
      <c r="B33" s="52">
        <v>594643</v>
      </c>
      <c r="C33" s="52">
        <v>590333</v>
      </c>
      <c r="D33" s="52">
        <v>547517</v>
      </c>
      <c r="E33" s="52">
        <v>592083</v>
      </c>
      <c r="F33" s="52">
        <v>908023</v>
      </c>
      <c r="G33" s="52">
        <v>1193141</v>
      </c>
      <c r="H33" s="52">
        <v>1172932</v>
      </c>
    </row>
    <row r="34" spans="1:11">
      <c r="B34" s="52"/>
      <c r="C34" s="52"/>
      <c r="D34" s="52"/>
      <c r="E34" s="52"/>
      <c r="F34" s="52"/>
      <c r="G34" s="52"/>
      <c r="H34" s="52"/>
    </row>
    <row r="35" spans="1:11">
      <c r="A35" s="42" t="s">
        <v>190</v>
      </c>
      <c r="B35" s="52"/>
      <c r="C35" s="52"/>
      <c r="D35" s="52"/>
      <c r="E35" s="52"/>
      <c r="F35" s="52"/>
      <c r="G35" s="52"/>
      <c r="H35" s="52"/>
    </row>
    <row r="36" spans="1:11">
      <c r="A36" t="s">
        <v>191</v>
      </c>
      <c r="B36" s="52">
        <v>46553</v>
      </c>
      <c r="C36" s="52">
        <v>36058</v>
      </c>
      <c r="D36" s="52">
        <v>37999</v>
      </c>
      <c r="E36" s="52">
        <v>34900</v>
      </c>
      <c r="F36" s="52">
        <v>52415</v>
      </c>
      <c r="G36" s="52">
        <v>51112</v>
      </c>
      <c r="H36" s="52">
        <v>40313</v>
      </c>
    </row>
    <row r="37" spans="1:11">
      <c r="A37" t="s">
        <v>192</v>
      </c>
      <c r="B37" s="52">
        <v>65776</v>
      </c>
      <c r="C37" s="52">
        <v>71789</v>
      </c>
      <c r="D37" s="52">
        <v>62037</v>
      </c>
      <c r="E37" s="52">
        <v>54167</v>
      </c>
      <c r="F37" s="52">
        <v>46645</v>
      </c>
      <c r="G37" s="52">
        <v>55742</v>
      </c>
      <c r="H37" s="52">
        <v>74426</v>
      </c>
    </row>
    <row r="38" spans="1:11">
      <c r="A38" t="s">
        <v>193</v>
      </c>
      <c r="B38" s="52">
        <v>23656</v>
      </c>
      <c r="C38" s="52">
        <v>32622</v>
      </c>
      <c r="D38" s="52">
        <v>27928</v>
      </c>
      <c r="E38" s="52">
        <v>29021</v>
      </c>
      <c r="F38" s="52">
        <v>34931</v>
      </c>
      <c r="G38" s="52">
        <v>70190</v>
      </c>
      <c r="H38" s="52">
        <v>52983</v>
      </c>
    </row>
    <row r="39" spans="1:11">
      <c r="A39" t="s">
        <v>194</v>
      </c>
      <c r="B39" s="52">
        <v>175914</v>
      </c>
      <c r="C39" s="52">
        <v>24883</v>
      </c>
      <c r="D39" s="52">
        <v>295</v>
      </c>
      <c r="E39" s="52">
        <v>19164</v>
      </c>
      <c r="F39" s="52">
        <v>0</v>
      </c>
      <c r="G39" s="52">
        <v>0</v>
      </c>
      <c r="H39" s="52">
        <v>0</v>
      </c>
    </row>
    <row r="40" spans="1:11">
      <c r="A40" t="s">
        <v>184</v>
      </c>
      <c r="B40" s="52">
        <v>0</v>
      </c>
      <c r="C40" s="52">
        <v>0</v>
      </c>
      <c r="D40" s="52">
        <v>0</v>
      </c>
      <c r="E40" s="52">
        <v>520043</v>
      </c>
      <c r="F40" s="52">
        <v>382793</v>
      </c>
      <c r="G40" s="52">
        <v>412453</v>
      </c>
      <c r="H40" s="52">
        <v>462068</v>
      </c>
    </row>
    <row r="41" spans="1:11">
      <c r="A41" t="s">
        <v>195</v>
      </c>
      <c r="B41" s="52">
        <v>0</v>
      </c>
      <c r="C41" s="52">
        <v>0</v>
      </c>
      <c r="D41" s="52">
        <v>0</v>
      </c>
      <c r="E41" s="52">
        <v>0</v>
      </c>
      <c r="F41" s="52">
        <v>0</v>
      </c>
      <c r="G41" s="52">
        <v>50222</v>
      </c>
      <c r="H41" s="52">
        <v>10092</v>
      </c>
    </row>
    <row r="42" spans="1:11">
      <c r="A42" t="s">
        <v>196</v>
      </c>
      <c r="B42" s="52">
        <v>9620</v>
      </c>
      <c r="C42" s="52">
        <v>7215</v>
      </c>
      <c r="D42" s="52">
        <v>0</v>
      </c>
      <c r="E42" s="52">
        <v>0</v>
      </c>
      <c r="F42" s="52">
        <v>0</v>
      </c>
      <c r="G42" s="52">
        <v>0</v>
      </c>
      <c r="H42" s="52">
        <v>0</v>
      </c>
    </row>
    <row r="43" spans="1:11">
      <c r="A43" t="s">
        <v>186</v>
      </c>
      <c r="B43" s="52">
        <v>0</v>
      </c>
      <c r="C43" s="52">
        <v>0</v>
      </c>
      <c r="D43" s="52">
        <v>0</v>
      </c>
      <c r="E43" s="52">
        <v>0</v>
      </c>
      <c r="F43" s="52">
        <v>353616</v>
      </c>
      <c r="G43" s="52">
        <v>626509</v>
      </c>
      <c r="H43" s="52">
        <v>287317</v>
      </c>
      <c r="J43" s="29"/>
    </row>
    <row r="44" spans="1:11">
      <c r="A44" t="s">
        <v>197</v>
      </c>
      <c r="B44" s="52">
        <v>157234</v>
      </c>
      <c r="C44" s="52">
        <v>239815</v>
      </c>
      <c r="D44" s="52">
        <v>413246</v>
      </c>
      <c r="E44" s="52">
        <v>1257136</v>
      </c>
      <c r="F44" s="52">
        <v>944727</v>
      </c>
      <c r="G44" s="52">
        <v>463437</v>
      </c>
      <c r="H44" s="52">
        <v>780785</v>
      </c>
      <c r="I44" s="43"/>
      <c r="J44" s="29"/>
    </row>
    <row r="45" spans="1:11">
      <c r="A45" t="s">
        <v>198</v>
      </c>
      <c r="B45" s="52">
        <v>478753</v>
      </c>
      <c r="C45" s="52">
        <v>412382</v>
      </c>
      <c r="D45" s="52">
        <v>541505</v>
      </c>
      <c r="E45" s="52">
        <v>1914431</v>
      </c>
      <c r="F45" s="52">
        <v>1815127</v>
      </c>
      <c r="G45" s="52">
        <v>1729665</v>
      </c>
      <c r="H45" s="52">
        <v>1707984</v>
      </c>
      <c r="I45" s="43"/>
      <c r="J45" s="29"/>
      <c r="K45" s="29"/>
    </row>
    <row r="46" spans="1:11">
      <c r="B46" s="52"/>
      <c r="C46" s="52"/>
      <c r="D46" s="52"/>
      <c r="E46" s="52"/>
      <c r="F46" s="52"/>
      <c r="G46" s="52"/>
      <c r="H46" s="52"/>
    </row>
    <row r="47" spans="1:11">
      <c r="A47" s="42" t="s">
        <v>199</v>
      </c>
      <c r="B47" s="52"/>
      <c r="C47" s="52"/>
      <c r="D47" s="52"/>
      <c r="E47" s="52"/>
      <c r="F47" s="52"/>
      <c r="G47" s="52"/>
      <c r="H47" s="52"/>
    </row>
    <row r="48" spans="1:11">
      <c r="A48" t="s">
        <v>200</v>
      </c>
      <c r="B48" s="52">
        <v>62655</v>
      </c>
      <c r="C48" s="52">
        <v>50538</v>
      </c>
      <c r="D48" s="52">
        <v>39291</v>
      </c>
      <c r="E48" s="52">
        <v>36802</v>
      </c>
      <c r="F48" s="52">
        <v>44027</v>
      </c>
      <c r="G48" s="52">
        <v>55356</v>
      </c>
      <c r="H48" s="52">
        <v>53614</v>
      </c>
    </row>
    <row r="49" spans="1:8">
      <c r="A49" t="s">
        <v>201</v>
      </c>
      <c r="B49" s="52">
        <v>96213</v>
      </c>
      <c r="C49" s="52">
        <v>95183</v>
      </c>
      <c r="D49" s="52">
        <v>105354</v>
      </c>
      <c r="E49" s="52">
        <v>120373</v>
      </c>
      <c r="F49" s="52">
        <v>138918</v>
      </c>
      <c r="G49" s="52">
        <v>221137</v>
      </c>
      <c r="H49" s="52">
        <v>229172</v>
      </c>
    </row>
    <row r="50" spans="1:8">
      <c r="A50" t="s">
        <v>202</v>
      </c>
      <c r="B50" s="52">
        <v>71777</v>
      </c>
      <c r="C50" s="52">
        <v>33584</v>
      </c>
      <c r="D50" s="52">
        <v>0</v>
      </c>
      <c r="E50" s="52">
        <v>0</v>
      </c>
      <c r="F50" s="52">
        <v>2415</v>
      </c>
      <c r="G50" s="52">
        <v>306</v>
      </c>
      <c r="H50" s="52">
        <v>22</v>
      </c>
    </row>
    <row r="51" spans="1:8">
      <c r="A51" t="s">
        <v>203</v>
      </c>
      <c r="B51" s="52">
        <v>0</v>
      </c>
      <c r="C51" s="52">
        <v>0</v>
      </c>
      <c r="D51" s="52">
        <v>6000</v>
      </c>
      <c r="E51" s="52">
        <v>5524</v>
      </c>
      <c r="F51" s="52">
        <v>0</v>
      </c>
      <c r="G51" s="52">
        <v>0</v>
      </c>
      <c r="H51" s="52">
        <v>0</v>
      </c>
    </row>
    <row r="52" spans="1:8">
      <c r="A52" t="s">
        <v>204</v>
      </c>
      <c r="B52" s="52">
        <v>126344</v>
      </c>
      <c r="C52" s="52">
        <v>45786</v>
      </c>
      <c r="D52" s="52">
        <v>0</v>
      </c>
      <c r="E52" s="52">
        <v>0</v>
      </c>
      <c r="F52" s="52">
        <v>0</v>
      </c>
      <c r="G52" s="52">
        <v>0</v>
      </c>
      <c r="H52" s="52">
        <v>0</v>
      </c>
    </row>
    <row r="53" spans="1:8">
      <c r="A53" t="s">
        <v>205</v>
      </c>
      <c r="B53" s="52">
        <v>0</v>
      </c>
      <c r="C53" s="52">
        <v>0</v>
      </c>
      <c r="D53" s="52">
        <v>0</v>
      </c>
      <c r="E53" s="52">
        <v>0</v>
      </c>
      <c r="F53" s="52">
        <v>12013</v>
      </c>
      <c r="G53" s="52">
        <v>7153</v>
      </c>
      <c r="H53" s="52">
        <v>7073</v>
      </c>
    </row>
    <row r="54" spans="1:8">
      <c r="A54" t="s">
        <v>206</v>
      </c>
      <c r="B54" s="52">
        <v>35720</v>
      </c>
      <c r="C54" s="52">
        <v>36496</v>
      </c>
      <c r="D54" s="52">
        <v>30544</v>
      </c>
      <c r="E54" s="52">
        <v>40707</v>
      </c>
      <c r="F54" s="52">
        <v>41358</v>
      </c>
      <c r="G54" s="52">
        <v>41822</v>
      </c>
      <c r="H54" s="52">
        <v>34251</v>
      </c>
    </row>
    <row r="55" spans="1:8">
      <c r="A55" t="s">
        <v>207</v>
      </c>
      <c r="B55" s="52">
        <v>15755</v>
      </c>
      <c r="C55" s="52">
        <v>8810</v>
      </c>
      <c r="D55" s="52">
        <v>17467</v>
      </c>
      <c r="E55" s="52">
        <v>18423</v>
      </c>
      <c r="F55" s="52">
        <v>6252</v>
      </c>
      <c r="G55" s="52">
        <v>16965</v>
      </c>
      <c r="H55" s="52">
        <v>15153</v>
      </c>
    </row>
    <row r="56" spans="1:8">
      <c r="A56" t="s">
        <v>208</v>
      </c>
      <c r="B56" s="52">
        <v>408464</v>
      </c>
      <c r="C56" s="52">
        <v>270397</v>
      </c>
      <c r="D56" s="52">
        <v>198656</v>
      </c>
      <c r="E56" s="52">
        <v>221829</v>
      </c>
      <c r="F56" s="52">
        <v>244983</v>
      </c>
      <c r="G56" s="52">
        <v>342739</v>
      </c>
      <c r="H56" s="52">
        <v>339285</v>
      </c>
    </row>
    <row r="57" spans="1:8">
      <c r="B57" s="52"/>
      <c r="C57" s="52"/>
      <c r="D57" s="52"/>
      <c r="E57" s="52"/>
      <c r="F57" s="52"/>
      <c r="G57" s="52"/>
      <c r="H57" s="52"/>
    </row>
    <row r="58" spans="1:8">
      <c r="A58" t="s">
        <v>209</v>
      </c>
      <c r="B58" s="52">
        <v>70289</v>
      </c>
      <c r="C58" s="52">
        <v>141985</v>
      </c>
      <c r="D58" s="52">
        <v>342849</v>
      </c>
      <c r="E58" s="52">
        <v>1692602</v>
      </c>
      <c r="F58" s="52">
        <v>1570144</v>
      </c>
      <c r="G58" s="52">
        <v>1386926</v>
      </c>
      <c r="H58" s="52">
        <v>1368699</v>
      </c>
    </row>
    <row r="59" spans="1:8">
      <c r="A59" t="s">
        <v>210</v>
      </c>
      <c r="B59" s="52">
        <v>664932</v>
      </c>
      <c r="C59" s="52">
        <v>732318</v>
      </c>
      <c r="D59" s="52">
        <v>890366</v>
      </c>
      <c r="E59" s="52">
        <v>2284685</v>
      </c>
      <c r="F59" s="52">
        <v>2478167</v>
      </c>
      <c r="G59" s="52">
        <v>2580067</v>
      </c>
      <c r="H59" s="52">
        <v>2541631</v>
      </c>
    </row>
    <row r="60" spans="1:8">
      <c r="B60" s="52"/>
      <c r="C60" s="52"/>
      <c r="D60" s="52"/>
      <c r="E60" s="52"/>
      <c r="F60" s="52"/>
      <c r="G60" s="52"/>
      <c r="H60" s="52"/>
    </row>
    <row r="61" spans="1:8">
      <c r="A61" s="42" t="s">
        <v>211</v>
      </c>
      <c r="B61" s="52"/>
      <c r="C61" s="52"/>
      <c r="D61" s="52"/>
      <c r="E61" s="52"/>
      <c r="F61" s="52"/>
      <c r="G61" s="52"/>
      <c r="H61" s="52"/>
    </row>
    <row r="62" spans="1:8">
      <c r="A62" t="s">
        <v>212</v>
      </c>
      <c r="B62" s="52">
        <v>0</v>
      </c>
      <c r="C62" s="52">
        <v>0</v>
      </c>
      <c r="D62" s="52">
        <v>0</v>
      </c>
      <c r="E62" s="52">
        <v>0</v>
      </c>
      <c r="F62" s="52">
        <v>0</v>
      </c>
      <c r="G62" s="52">
        <v>0</v>
      </c>
      <c r="H62" s="52">
        <v>33556</v>
      </c>
    </row>
    <row r="63" spans="1:8">
      <c r="A63" t="s">
        <v>203</v>
      </c>
      <c r="B63" s="52">
        <v>44962</v>
      </c>
      <c r="C63" s="52">
        <v>24272</v>
      </c>
      <c r="D63" s="52">
        <v>678</v>
      </c>
      <c r="E63" s="52">
        <v>717</v>
      </c>
      <c r="F63" s="52">
        <v>0</v>
      </c>
      <c r="G63" s="52">
        <v>0</v>
      </c>
      <c r="H63" s="52">
        <v>0</v>
      </c>
    </row>
    <row r="64" spans="1:8">
      <c r="A64" t="s">
        <v>206</v>
      </c>
      <c r="B64" s="52">
        <v>155263</v>
      </c>
      <c r="C64" s="52">
        <v>138766</v>
      </c>
      <c r="D64" s="52">
        <v>105139</v>
      </c>
      <c r="E64" s="52">
        <v>131699</v>
      </c>
      <c r="F64" s="52">
        <v>142785</v>
      </c>
      <c r="G64" s="52">
        <v>151822</v>
      </c>
      <c r="H64" s="52">
        <v>143126</v>
      </c>
    </row>
    <row r="65" spans="1:8">
      <c r="A65" t="s">
        <v>213</v>
      </c>
      <c r="B65" s="52">
        <v>15371</v>
      </c>
      <c r="C65" s="52">
        <v>14290</v>
      </c>
      <c r="D65" s="52">
        <v>20204</v>
      </c>
      <c r="E65" s="52">
        <v>22867</v>
      </c>
      <c r="F65" s="52">
        <v>28368</v>
      </c>
      <c r="G65" s="52">
        <v>41777</v>
      </c>
      <c r="H65" s="52">
        <v>36953</v>
      </c>
    </row>
    <row r="66" spans="1:8">
      <c r="A66" t="s">
        <v>214</v>
      </c>
      <c r="B66" s="52">
        <v>0</v>
      </c>
      <c r="C66" s="52">
        <v>703</v>
      </c>
      <c r="D66" s="52">
        <v>800</v>
      </c>
      <c r="E66" s="52">
        <v>996</v>
      </c>
      <c r="F66" s="52">
        <v>8541</v>
      </c>
      <c r="G66" s="52">
        <v>8043</v>
      </c>
      <c r="H66" s="52">
        <v>1845</v>
      </c>
    </row>
    <row r="67" spans="1:8">
      <c r="A67" t="s">
        <v>215</v>
      </c>
      <c r="B67" s="52">
        <v>215596</v>
      </c>
      <c r="C67" s="52">
        <v>178031</v>
      </c>
      <c r="D67" s="52">
        <v>126821</v>
      </c>
      <c r="E67" s="52">
        <v>156279</v>
      </c>
      <c r="F67" s="52">
        <v>179694</v>
      </c>
      <c r="G67" s="52">
        <v>201642</v>
      </c>
      <c r="H67" s="52">
        <v>215480</v>
      </c>
    </row>
    <row r="68" spans="1:8">
      <c r="A68" t="s">
        <v>216</v>
      </c>
      <c r="B68" s="52">
        <v>449336</v>
      </c>
      <c r="C68" s="52">
        <v>554287</v>
      </c>
      <c r="D68" s="52">
        <v>763545</v>
      </c>
      <c r="E68" s="52">
        <v>2128406</v>
      </c>
      <c r="F68" s="52">
        <v>2298473</v>
      </c>
      <c r="G68" s="52">
        <v>2378425</v>
      </c>
      <c r="H68" s="52">
        <v>2326151</v>
      </c>
    </row>
    <row r="69" spans="1:8">
      <c r="B69" s="52"/>
      <c r="C69" s="52"/>
      <c r="D69" s="52"/>
      <c r="E69" s="52"/>
      <c r="F69" s="52"/>
      <c r="G69" s="52"/>
      <c r="H69" s="52"/>
    </row>
    <row r="70" spans="1:8">
      <c r="A70" s="42" t="s">
        <v>217</v>
      </c>
      <c r="B70" s="52"/>
      <c r="C70" s="52"/>
      <c r="D70" s="52"/>
      <c r="E70" s="52"/>
      <c r="F70" s="52"/>
      <c r="G70" s="52"/>
      <c r="H70" s="52"/>
    </row>
    <row r="71" spans="1:8">
      <c r="A71" t="s">
        <v>218</v>
      </c>
      <c r="B71" s="52"/>
      <c r="C71" s="52"/>
      <c r="D71" s="52"/>
      <c r="E71" s="52"/>
      <c r="F71" s="52"/>
      <c r="G71" s="52"/>
      <c r="H71" s="52"/>
    </row>
    <row r="72" spans="1:8">
      <c r="A72" t="s">
        <v>219</v>
      </c>
      <c r="B72" s="52">
        <v>0</v>
      </c>
      <c r="C72" s="52">
        <v>0</v>
      </c>
      <c r="D72" s="52">
        <v>93</v>
      </c>
      <c r="E72" s="52">
        <v>152</v>
      </c>
      <c r="F72" s="52">
        <v>152</v>
      </c>
      <c r="G72" s="52">
        <v>152</v>
      </c>
      <c r="H72" s="52">
        <v>152</v>
      </c>
    </row>
    <row r="73" spans="1:8">
      <c r="A73" t="s">
        <v>220</v>
      </c>
      <c r="B73" s="52">
        <v>0</v>
      </c>
      <c r="C73" s="52">
        <v>0</v>
      </c>
      <c r="D73" s="52">
        <v>0</v>
      </c>
      <c r="E73" s="52">
        <v>0</v>
      </c>
      <c r="F73" s="52">
        <v>-18665</v>
      </c>
      <c r="G73" s="52">
        <v>-76901</v>
      </c>
      <c r="H73" s="52">
        <v>-63963</v>
      </c>
    </row>
    <row r="74" spans="1:8">
      <c r="A74" t="s">
        <v>221</v>
      </c>
      <c r="B74" s="52">
        <v>0</v>
      </c>
      <c r="C74" s="52">
        <v>0</v>
      </c>
      <c r="D74" s="52">
        <v>0</v>
      </c>
      <c r="E74" s="52">
        <v>0</v>
      </c>
      <c r="F74" s="52">
        <v>0</v>
      </c>
      <c r="G74" s="52">
        <v>0</v>
      </c>
      <c r="H74" s="52">
        <v>947</v>
      </c>
    </row>
    <row r="75" spans="1:8">
      <c r="A75" t="s">
        <v>222</v>
      </c>
      <c r="B75" s="52">
        <v>410786</v>
      </c>
      <c r="C75" s="52">
        <v>521626</v>
      </c>
      <c r="D75" s="52">
        <v>737155</v>
      </c>
      <c r="E75" s="52">
        <v>2106065</v>
      </c>
      <c r="F75" s="52">
        <v>2291231</v>
      </c>
      <c r="G75" s="52">
        <v>2436803</v>
      </c>
      <c r="H75" s="52">
        <v>2379054</v>
      </c>
    </row>
    <row r="76" spans="1:8">
      <c r="B76" s="52">
        <v>410786</v>
      </c>
      <c r="C76" s="52">
        <v>521626</v>
      </c>
      <c r="D76" s="52">
        <v>737248</v>
      </c>
      <c r="E76" s="52">
        <v>2106217</v>
      </c>
      <c r="F76" s="52">
        <v>2272718</v>
      </c>
      <c r="G76" s="52">
        <v>2360054</v>
      </c>
      <c r="H76" s="52">
        <v>2316190</v>
      </c>
    </row>
    <row r="77" spans="1:8">
      <c r="A77" t="s">
        <v>223</v>
      </c>
      <c r="B77" s="52">
        <v>38550</v>
      </c>
      <c r="C77" s="52">
        <v>32661</v>
      </c>
      <c r="D77" s="52">
        <v>26297</v>
      </c>
      <c r="E77" s="52">
        <v>22189</v>
      </c>
      <c r="F77" s="52">
        <v>25755</v>
      </c>
      <c r="G77" s="52">
        <v>18371</v>
      </c>
      <c r="H77" s="52">
        <v>9961</v>
      </c>
    </row>
    <row r="78" spans="1:8">
      <c r="A78" t="s">
        <v>224</v>
      </c>
      <c r="B78" s="52">
        <v>449336</v>
      </c>
      <c r="C78" s="52">
        <v>554287</v>
      </c>
      <c r="D78" s="52">
        <v>763545</v>
      </c>
      <c r="E78" s="52">
        <v>2128406</v>
      </c>
      <c r="F78" s="52">
        <v>2298473</v>
      </c>
      <c r="G78" s="52">
        <v>2378425</v>
      </c>
      <c r="H78" s="52">
        <v>2326151</v>
      </c>
    </row>
    <row r="82" spans="1:10">
      <c r="A82" t="s">
        <v>225</v>
      </c>
      <c r="B82" t="s">
        <v>152</v>
      </c>
      <c r="C82" t="s">
        <v>153</v>
      </c>
      <c r="D82" t="s">
        <v>154</v>
      </c>
      <c r="E82" t="s">
        <v>155</v>
      </c>
      <c r="F82" t="s">
        <v>156</v>
      </c>
      <c r="G82" t="s">
        <v>157</v>
      </c>
      <c r="H82" s="39" t="s">
        <v>158</v>
      </c>
    </row>
    <row r="83" spans="1:10">
      <c r="A83" s="42" t="s">
        <v>226</v>
      </c>
    </row>
    <row r="84" spans="1:10">
      <c r="A84" t="s">
        <v>227</v>
      </c>
      <c r="B84" s="52">
        <v>47402</v>
      </c>
      <c r="C84" s="52">
        <v>92064</v>
      </c>
      <c r="D84" s="52">
        <v>157621</v>
      </c>
      <c r="E84" s="52">
        <v>210582</v>
      </c>
      <c r="F84" s="52">
        <v>239138</v>
      </c>
      <c r="G84" s="52">
        <v>299242</v>
      </c>
      <c r="H84" s="52">
        <v>262723</v>
      </c>
    </row>
    <row r="85" spans="1:10">
      <c r="A85" t="s">
        <v>228</v>
      </c>
      <c r="B85" s="52"/>
      <c r="C85" s="52"/>
      <c r="D85" s="52"/>
      <c r="E85" s="52"/>
      <c r="F85" s="52"/>
      <c r="G85" s="52"/>
      <c r="H85" s="52"/>
    </row>
    <row r="86" spans="1:10">
      <c r="A86" t="s">
        <v>167</v>
      </c>
      <c r="B86" s="52">
        <v>24319</v>
      </c>
      <c r="C86" s="52">
        <v>22868</v>
      </c>
      <c r="D86" s="52">
        <v>12747</v>
      </c>
      <c r="E86" s="52">
        <v>10544</v>
      </c>
      <c r="F86" s="52">
        <v>11897</v>
      </c>
      <c r="G86" s="52">
        <v>12221</v>
      </c>
      <c r="H86" s="52">
        <v>10654</v>
      </c>
    </row>
    <row r="87" spans="1:10">
      <c r="A87" t="s">
        <v>229</v>
      </c>
      <c r="B87" s="52">
        <v>696</v>
      </c>
      <c r="C87" s="52">
        <v>1496</v>
      </c>
      <c r="D87" s="52">
        <v>0</v>
      </c>
      <c r="E87" s="52">
        <v>0</v>
      </c>
      <c r="F87" s="52">
        <v>0</v>
      </c>
      <c r="G87" s="52">
        <v>0</v>
      </c>
      <c r="H87" s="52">
        <v>0</v>
      </c>
      <c r="J87" s="36"/>
    </row>
    <row r="88" spans="1:10">
      <c r="A88" t="s">
        <v>230</v>
      </c>
      <c r="B88" s="52">
        <v>-6798</v>
      </c>
      <c r="C88" s="52">
        <v>-6706</v>
      </c>
      <c r="D88" s="52">
        <v>-4595</v>
      </c>
      <c r="E88" s="52">
        <v>-8326</v>
      </c>
      <c r="F88" s="52">
        <v>-22974</v>
      </c>
      <c r="G88" s="52">
        <v>-41306</v>
      </c>
      <c r="H88" s="52">
        <v>-39584</v>
      </c>
      <c r="J88" s="36"/>
    </row>
    <row r="89" spans="1:10">
      <c r="A89" t="s">
        <v>231</v>
      </c>
      <c r="B89" s="52">
        <v>282</v>
      </c>
      <c r="C89" s="52">
        <v>2135</v>
      </c>
      <c r="D89" s="52">
        <v>247</v>
      </c>
      <c r="E89" s="52">
        <v>-2195</v>
      </c>
      <c r="F89" s="52">
        <v>21</v>
      </c>
      <c r="G89" s="52">
        <v>8069</v>
      </c>
      <c r="H89" s="52">
        <v>5318</v>
      </c>
    </row>
    <row r="90" spans="1:10">
      <c r="A90" t="s">
        <v>232</v>
      </c>
      <c r="B90" s="52">
        <v>0</v>
      </c>
      <c r="C90" s="52">
        <v>-375</v>
      </c>
      <c r="D90" s="52">
        <v>0</v>
      </c>
      <c r="E90" s="52">
        <v>0</v>
      </c>
      <c r="F90" s="52">
        <v>0</v>
      </c>
      <c r="G90" s="52">
        <v>0</v>
      </c>
      <c r="H90" s="52">
        <v>0</v>
      </c>
    </row>
    <row r="91" spans="1:10">
      <c r="A91" t="s">
        <v>233</v>
      </c>
      <c r="B91" s="52">
        <v>0</v>
      </c>
      <c r="C91" s="52">
        <v>0</v>
      </c>
      <c r="D91" s="52">
        <v>0</v>
      </c>
      <c r="E91" s="52">
        <v>-43</v>
      </c>
      <c r="F91" s="52">
        <v>-20193</v>
      </c>
      <c r="G91" s="52">
        <v>-16223</v>
      </c>
      <c r="H91" s="52">
        <v>-3828</v>
      </c>
    </row>
    <row r="92" spans="1:10">
      <c r="A92" t="s">
        <v>234</v>
      </c>
      <c r="B92" s="52">
        <v>39397</v>
      </c>
      <c r="C92" s="52">
        <v>38797</v>
      </c>
      <c r="D92" s="52">
        <v>39805</v>
      </c>
      <c r="E92" s="52">
        <v>42412</v>
      </c>
      <c r="F92" s="52">
        <v>51275</v>
      </c>
      <c r="G92" s="52">
        <v>64448</v>
      </c>
      <c r="H92" s="52">
        <v>73304</v>
      </c>
    </row>
    <row r="93" spans="1:10">
      <c r="A93" t="s">
        <v>235</v>
      </c>
      <c r="B93" s="52">
        <v>0</v>
      </c>
      <c r="C93" s="52">
        <v>0</v>
      </c>
      <c r="D93" s="52">
        <v>0</v>
      </c>
      <c r="E93" s="52">
        <v>0</v>
      </c>
      <c r="F93" s="52">
        <v>0</v>
      </c>
      <c r="G93" s="52">
        <v>0</v>
      </c>
      <c r="H93" s="52">
        <v>1359</v>
      </c>
    </row>
    <row r="94" spans="1:10">
      <c r="A94" t="s">
        <v>236</v>
      </c>
      <c r="B94" s="52">
        <v>0</v>
      </c>
      <c r="C94" s="52">
        <v>0</v>
      </c>
      <c r="D94" s="52">
        <v>0</v>
      </c>
      <c r="E94" s="52">
        <v>0</v>
      </c>
      <c r="F94" s="52">
        <v>0</v>
      </c>
      <c r="G94" s="52">
        <v>19137</v>
      </c>
      <c r="H94" s="52">
        <v>0</v>
      </c>
    </row>
    <row r="95" spans="1:10">
      <c r="A95" t="s">
        <v>237</v>
      </c>
      <c r="B95" s="52">
        <v>28168</v>
      </c>
      <c r="C95" s="52">
        <v>32801</v>
      </c>
      <c r="D95" s="52">
        <v>32588</v>
      </c>
      <c r="E95" s="52">
        <v>35968</v>
      </c>
      <c r="F95" s="52">
        <v>42238</v>
      </c>
      <c r="G95" s="52">
        <v>49139</v>
      </c>
      <c r="H95" s="52">
        <v>55879</v>
      </c>
    </row>
    <row r="96" spans="1:10">
      <c r="A96" t="s">
        <v>238</v>
      </c>
      <c r="B96" s="52">
        <v>4256</v>
      </c>
      <c r="C96" s="52">
        <v>4642</v>
      </c>
      <c r="D96" s="52">
        <v>4858</v>
      </c>
      <c r="E96" s="52">
        <v>5142</v>
      </c>
      <c r="F96" s="52">
        <v>5853</v>
      </c>
      <c r="G96" s="52">
        <v>9774</v>
      </c>
      <c r="H96" s="52">
        <v>13619</v>
      </c>
    </row>
    <row r="97" spans="1:8">
      <c r="A97" t="s">
        <v>239</v>
      </c>
      <c r="B97" s="52">
        <v>0</v>
      </c>
      <c r="C97" s="52">
        <v>0</v>
      </c>
      <c r="D97" s="52">
        <v>0</v>
      </c>
      <c r="E97" s="52">
        <v>0</v>
      </c>
      <c r="F97" s="52">
        <v>0</v>
      </c>
      <c r="G97" s="52">
        <v>0</v>
      </c>
      <c r="H97" s="52">
        <v>424</v>
      </c>
    </row>
    <row r="98" spans="1:8">
      <c r="A98" t="s">
        <v>240</v>
      </c>
      <c r="B98" s="52">
        <v>1137</v>
      </c>
      <c r="C98" s="52">
        <v>6796</v>
      </c>
      <c r="D98" s="52">
        <v>1948</v>
      </c>
      <c r="E98" s="52">
        <v>6575</v>
      </c>
      <c r="F98" s="52">
        <v>-623</v>
      </c>
      <c r="G98" s="52">
        <v>4123</v>
      </c>
      <c r="H98" s="52">
        <v>2154</v>
      </c>
    </row>
    <row r="99" spans="1:8">
      <c r="A99" t="s">
        <v>241</v>
      </c>
      <c r="B99" s="52">
        <v>958</v>
      </c>
      <c r="C99" s="52">
        <v>778</v>
      </c>
      <c r="D99" s="52">
        <v>5379</v>
      </c>
      <c r="E99" s="52">
        <v>6738</v>
      </c>
      <c r="F99" s="52">
        <v>4580</v>
      </c>
      <c r="G99" s="52">
        <v>1712</v>
      </c>
      <c r="H99" s="52">
        <v>-126</v>
      </c>
    </row>
    <row r="100" spans="1:8">
      <c r="A100" t="s">
        <v>242</v>
      </c>
      <c r="B100" s="52">
        <v>0</v>
      </c>
      <c r="C100" s="52">
        <v>0</v>
      </c>
      <c r="D100" s="52">
        <v>0</v>
      </c>
      <c r="E100" s="52">
        <v>0</v>
      </c>
      <c r="F100" s="52">
        <v>0</v>
      </c>
      <c r="G100" s="52">
        <v>866</v>
      </c>
      <c r="H100" s="52">
        <v>0</v>
      </c>
    </row>
    <row r="101" spans="1:8">
      <c r="A101" t="s">
        <v>243</v>
      </c>
      <c r="B101" s="52">
        <v>0</v>
      </c>
      <c r="C101" s="52">
        <v>0</v>
      </c>
      <c r="D101" s="52">
        <v>0</v>
      </c>
      <c r="E101" s="52">
        <v>0</v>
      </c>
      <c r="F101" s="52">
        <v>0</v>
      </c>
      <c r="G101" s="52">
        <v>13831</v>
      </c>
      <c r="H101" s="52">
        <v>20387</v>
      </c>
    </row>
    <row r="102" spans="1:8">
      <c r="A102" t="s">
        <v>244</v>
      </c>
      <c r="B102" s="52">
        <v>3284</v>
      </c>
      <c r="C102" s="52">
        <v>9705</v>
      </c>
      <c r="D102" s="52">
        <v>4838</v>
      </c>
      <c r="E102" s="52">
        <v>295</v>
      </c>
      <c r="F102" s="52">
        <v>0</v>
      </c>
      <c r="G102" s="52">
        <v>0</v>
      </c>
      <c r="H102" s="52">
        <v>0</v>
      </c>
    </row>
    <row r="103" spans="1:8">
      <c r="A103" t="s">
        <v>245</v>
      </c>
      <c r="B103" s="52">
        <v>-160</v>
      </c>
      <c r="C103" s="52">
        <v>67</v>
      </c>
      <c r="D103" s="52">
        <v>212</v>
      </c>
      <c r="E103" s="52">
        <v>37</v>
      </c>
      <c r="F103" s="52">
        <v>-82</v>
      </c>
      <c r="G103" s="52">
        <v>860</v>
      </c>
      <c r="H103" s="52">
        <v>182</v>
      </c>
    </row>
    <row r="104" spans="1:8">
      <c r="A104" t="s">
        <v>246</v>
      </c>
      <c r="B104" s="52">
        <v>0</v>
      </c>
      <c r="C104" s="52">
        <v>0</v>
      </c>
      <c r="D104" s="52">
        <v>390</v>
      </c>
      <c r="E104" s="52">
        <v>0</v>
      </c>
      <c r="F104" s="52">
        <v>0</v>
      </c>
      <c r="G104" s="52">
        <v>0</v>
      </c>
      <c r="H104" s="52">
        <v>0</v>
      </c>
    </row>
    <row r="105" spans="1:8">
      <c r="A105" t="s">
        <v>247</v>
      </c>
      <c r="B105" s="52">
        <v>0</v>
      </c>
      <c r="C105" s="52">
        <v>0</v>
      </c>
      <c r="D105" s="52">
        <v>0</v>
      </c>
      <c r="E105" s="52">
        <v>0</v>
      </c>
      <c r="F105" s="52">
        <v>0</v>
      </c>
      <c r="G105" s="52">
        <v>7</v>
      </c>
      <c r="H105" s="52">
        <v>0</v>
      </c>
    </row>
    <row r="106" spans="1:8" ht="15" customHeight="1">
      <c r="A106" t="s">
        <v>248</v>
      </c>
      <c r="B106" s="52">
        <v>0</v>
      </c>
      <c r="C106" s="52">
        <v>0</v>
      </c>
      <c r="D106" s="52">
        <v>0</v>
      </c>
      <c r="E106" s="52">
        <v>0</v>
      </c>
      <c r="F106" s="52">
        <v>206</v>
      </c>
      <c r="G106" s="52">
        <v>0</v>
      </c>
      <c r="H106" s="52">
        <v>-302</v>
      </c>
    </row>
    <row r="107" spans="1:8">
      <c r="A107" t="s">
        <v>249</v>
      </c>
      <c r="B107" s="52">
        <v>0</v>
      </c>
      <c r="C107" s="52">
        <v>0</v>
      </c>
      <c r="D107" s="52">
        <v>0</v>
      </c>
      <c r="E107" s="52">
        <v>0</v>
      </c>
      <c r="F107" s="52">
        <v>0</v>
      </c>
      <c r="G107" s="52">
        <v>-12073</v>
      </c>
      <c r="H107" s="52">
        <v>0</v>
      </c>
    </row>
    <row r="108" spans="1:8">
      <c r="A108" t="s">
        <v>250</v>
      </c>
      <c r="B108" s="52">
        <v>0</v>
      </c>
      <c r="C108" s="52">
        <v>-2000</v>
      </c>
      <c r="D108" s="52">
        <v>0</v>
      </c>
      <c r="E108" s="52">
        <v>0</v>
      </c>
      <c r="F108" s="52">
        <v>0</v>
      </c>
      <c r="G108" s="52">
        <v>0</v>
      </c>
      <c r="H108" s="52">
        <v>0</v>
      </c>
    </row>
    <row r="109" spans="1:8" ht="15" customHeight="1">
      <c r="A109" t="s">
        <v>251</v>
      </c>
      <c r="B109" s="52">
        <v>0</v>
      </c>
      <c r="C109" s="52">
        <v>0</v>
      </c>
      <c r="D109" s="52">
        <v>0</v>
      </c>
      <c r="E109" s="52">
        <v>0</v>
      </c>
      <c r="F109" s="52">
        <v>-402</v>
      </c>
      <c r="G109" s="52">
        <v>0</v>
      </c>
      <c r="H109" s="52">
        <v>0</v>
      </c>
    </row>
    <row r="110" spans="1:8">
      <c r="A110" t="s">
        <v>252</v>
      </c>
      <c r="B110" s="52">
        <v>2756</v>
      </c>
      <c r="C110" s="52">
        <v>2847</v>
      </c>
      <c r="D110" s="52">
        <v>9435</v>
      </c>
      <c r="E110" s="52">
        <v>11360</v>
      </c>
      <c r="F110" s="52">
        <v>2978</v>
      </c>
      <c r="G110" s="52">
        <v>14443</v>
      </c>
      <c r="H110" s="52">
        <v>16519</v>
      </c>
    </row>
    <row r="111" spans="1:8">
      <c r="A111" t="s">
        <v>253</v>
      </c>
      <c r="B111" s="52">
        <v>0</v>
      </c>
      <c r="C111" s="52">
        <v>0</v>
      </c>
      <c r="D111" s="52">
        <v>-702</v>
      </c>
      <c r="E111" s="52">
        <v>0</v>
      </c>
      <c r="F111" s="52">
        <v>0</v>
      </c>
      <c r="G111" s="52">
        <v>0</v>
      </c>
      <c r="H111" s="52">
        <v>0</v>
      </c>
    </row>
    <row r="112" spans="1:8">
      <c r="A112" t="s">
        <v>254</v>
      </c>
      <c r="B112" s="52">
        <v>145697</v>
      </c>
      <c r="C112" s="52">
        <v>205915</v>
      </c>
      <c r="D112" s="52">
        <v>264771</v>
      </c>
      <c r="E112" s="52">
        <v>319089</v>
      </c>
      <c r="F112" s="52">
        <v>313912</v>
      </c>
      <c r="G112" s="52">
        <v>428270</v>
      </c>
      <c r="H112" s="52">
        <v>418682</v>
      </c>
    </row>
    <row r="113" spans="1:8">
      <c r="B113" s="52"/>
      <c r="C113" s="52"/>
      <c r="D113" s="52"/>
      <c r="E113" s="52"/>
      <c r="F113" s="52"/>
      <c r="G113" s="52"/>
      <c r="H113" s="52"/>
    </row>
    <row r="114" spans="1:8">
      <c r="A114" t="s">
        <v>255</v>
      </c>
      <c r="B114" s="52">
        <v>-3130</v>
      </c>
      <c r="C114" s="52">
        <v>10496</v>
      </c>
      <c r="D114" s="52">
        <v>-1958</v>
      </c>
      <c r="E114" s="52">
        <v>3099</v>
      </c>
      <c r="F114" s="52">
        <v>-13976</v>
      </c>
      <c r="G114" s="52">
        <v>6912</v>
      </c>
      <c r="H114" s="52">
        <v>10375</v>
      </c>
    </row>
    <row r="115" spans="1:8">
      <c r="A115" t="s">
        <v>256</v>
      </c>
      <c r="B115" s="52">
        <v>-40688</v>
      </c>
      <c r="C115" s="52">
        <v>-12584</v>
      </c>
      <c r="D115" s="52">
        <v>7804</v>
      </c>
      <c r="E115" s="52">
        <v>1295</v>
      </c>
      <c r="F115" s="52">
        <v>13476</v>
      </c>
      <c r="G115" s="52">
        <v>-10744</v>
      </c>
      <c r="H115" s="52">
        <v>-20838</v>
      </c>
    </row>
    <row r="116" spans="1:8">
      <c r="A116" t="s">
        <v>257</v>
      </c>
      <c r="B116" s="52">
        <v>28371</v>
      </c>
      <c r="C116" s="52">
        <v>2765</v>
      </c>
      <c r="D116" s="52">
        <v>2426</v>
      </c>
      <c r="E116" s="52">
        <v>-13596</v>
      </c>
      <c r="F116" s="52">
        <v>-7488</v>
      </c>
      <c r="G116" s="52">
        <v>-35772</v>
      </c>
      <c r="H116" s="52">
        <v>17333</v>
      </c>
    </row>
    <row r="117" spans="1:8">
      <c r="A117" t="s">
        <v>258</v>
      </c>
      <c r="B117" s="52">
        <v>0</v>
      </c>
      <c r="C117" s="52">
        <v>0</v>
      </c>
      <c r="D117" s="52">
        <v>0</v>
      </c>
      <c r="E117" s="52">
        <v>0</v>
      </c>
      <c r="F117" s="52">
        <v>19164</v>
      </c>
      <c r="G117" s="52">
        <v>0</v>
      </c>
      <c r="H117" s="52">
        <v>0</v>
      </c>
    </row>
    <row r="118" spans="1:8">
      <c r="A118" t="s">
        <v>259</v>
      </c>
      <c r="B118" s="52">
        <v>-20393</v>
      </c>
      <c r="C118" s="52">
        <v>-12279</v>
      </c>
      <c r="D118" s="52">
        <v>-11221</v>
      </c>
      <c r="E118" s="52">
        <v>-2489</v>
      </c>
      <c r="F118" s="52">
        <v>223</v>
      </c>
      <c r="G118" s="52">
        <v>9683</v>
      </c>
      <c r="H118" s="52">
        <v>-1742</v>
      </c>
    </row>
    <row r="119" spans="1:8">
      <c r="A119" t="s">
        <v>260</v>
      </c>
      <c r="B119" s="52">
        <v>-6950</v>
      </c>
      <c r="C119" s="52">
        <v>10531</v>
      </c>
      <c r="D119" s="52">
        <v>13898</v>
      </c>
      <c r="E119" s="52">
        <v>13202</v>
      </c>
      <c r="F119" s="52">
        <v>8163</v>
      </c>
      <c r="G119" s="52">
        <v>49703</v>
      </c>
      <c r="H119" s="52">
        <v>17067</v>
      </c>
    </row>
    <row r="120" spans="1:8">
      <c r="A120" t="s">
        <v>261</v>
      </c>
      <c r="B120" s="52">
        <v>9385</v>
      </c>
      <c r="C120" s="52">
        <v>2725</v>
      </c>
      <c r="D120" s="52">
        <v>216</v>
      </c>
      <c r="E120" s="52">
        <v>-19164</v>
      </c>
      <c r="F120" s="52">
        <v>0</v>
      </c>
      <c r="G120" s="52">
        <v>0</v>
      </c>
      <c r="H120" s="52">
        <v>0</v>
      </c>
    </row>
    <row r="121" spans="1:8">
      <c r="A121" t="s">
        <v>262</v>
      </c>
      <c r="B121" s="52">
        <v>3988</v>
      </c>
      <c r="C121" s="52">
        <v>-5623</v>
      </c>
      <c r="D121" s="52">
        <v>-5192</v>
      </c>
      <c r="E121" s="52">
        <v>0</v>
      </c>
      <c r="F121" s="52">
        <v>391</v>
      </c>
      <c r="G121" s="52">
        <v>-84</v>
      </c>
      <c r="H121" s="52">
        <v>-284</v>
      </c>
    </row>
    <row r="122" spans="1:8">
      <c r="A122" t="s">
        <v>263</v>
      </c>
      <c r="B122" s="52" t="s">
        <v>264</v>
      </c>
      <c r="C122" s="52">
        <v>-7215</v>
      </c>
      <c r="D122" s="52">
        <v>7215</v>
      </c>
      <c r="E122" s="52">
        <v>0</v>
      </c>
      <c r="F122" s="52">
        <v>0</v>
      </c>
      <c r="G122" s="52">
        <v>0</v>
      </c>
      <c r="H122" s="52">
        <v>0</v>
      </c>
    </row>
    <row r="123" spans="1:8">
      <c r="A123" t="s">
        <v>265</v>
      </c>
      <c r="B123" s="52">
        <v>116280</v>
      </c>
      <c r="C123" s="52">
        <v>194731</v>
      </c>
      <c r="D123" s="52">
        <v>277959</v>
      </c>
      <c r="E123" s="52">
        <v>301436</v>
      </c>
      <c r="F123" s="52">
        <v>333865</v>
      </c>
      <c r="G123" s="52">
        <v>447968</v>
      </c>
      <c r="H123" s="52">
        <v>440593</v>
      </c>
    </row>
    <row r="124" spans="1:8">
      <c r="B124" s="52"/>
      <c r="C124" s="52"/>
      <c r="D124" s="52"/>
      <c r="E124" s="52"/>
      <c r="F124" s="52"/>
      <c r="G124" s="52"/>
      <c r="H124" s="52"/>
    </row>
    <row r="125" spans="1:8">
      <c r="A125" t="s">
        <v>266</v>
      </c>
      <c r="B125" s="52">
        <v>769</v>
      </c>
      <c r="C125" s="52">
        <v>2871</v>
      </c>
      <c r="D125" s="52">
        <v>3842</v>
      </c>
      <c r="E125" s="52">
        <v>8326</v>
      </c>
      <c r="F125" s="52">
        <v>16641</v>
      </c>
      <c r="G125" s="52">
        <v>8636</v>
      </c>
      <c r="H125" s="52">
        <v>9524</v>
      </c>
    </row>
    <row r="126" spans="1:8">
      <c r="A126" t="s">
        <v>267</v>
      </c>
      <c r="B126" s="52">
        <v>-11778</v>
      </c>
      <c r="C126" s="52">
        <v>-12425</v>
      </c>
      <c r="D126" s="52">
        <v>-10587</v>
      </c>
      <c r="E126" s="52">
        <v>-10079</v>
      </c>
      <c r="F126" s="52">
        <v>-11471</v>
      </c>
      <c r="G126" s="52">
        <v>-11491</v>
      </c>
      <c r="H126" s="52">
        <v>-10345</v>
      </c>
    </row>
    <row r="127" spans="1:8">
      <c r="A127" t="s">
        <v>268</v>
      </c>
      <c r="B127" s="52">
        <v>-14838</v>
      </c>
      <c r="C127" s="52">
        <v>-29290</v>
      </c>
      <c r="D127" s="52">
        <v>-22469</v>
      </c>
      <c r="E127" s="52">
        <v>-50289</v>
      </c>
      <c r="F127" s="52">
        <v>-65625</v>
      </c>
      <c r="G127" s="52">
        <v>-72544</v>
      </c>
      <c r="H127" s="52">
        <v>-85417</v>
      </c>
    </row>
    <row r="128" spans="1:8">
      <c r="A128" t="s">
        <v>269</v>
      </c>
      <c r="B128" s="52">
        <v>90433</v>
      </c>
      <c r="C128" s="52">
        <v>155887</v>
      </c>
      <c r="D128" s="52">
        <v>248745</v>
      </c>
      <c r="E128" s="52">
        <v>249394</v>
      </c>
      <c r="F128" s="52">
        <v>273410</v>
      </c>
      <c r="G128" s="52">
        <v>372569</v>
      </c>
      <c r="H128" s="52">
        <v>354355</v>
      </c>
    </row>
    <row r="129" spans="1:8">
      <c r="B129" s="52"/>
      <c r="C129" s="52"/>
      <c r="D129" s="52"/>
      <c r="E129" s="52"/>
      <c r="F129" s="52"/>
      <c r="G129" s="52"/>
      <c r="H129" s="52"/>
    </row>
    <row r="130" spans="1:8">
      <c r="A130" s="45" t="s">
        <v>270</v>
      </c>
      <c r="B130" s="52"/>
      <c r="C130" s="52"/>
      <c r="D130" s="52"/>
      <c r="E130" s="52"/>
      <c r="F130" s="52"/>
      <c r="G130" s="52"/>
      <c r="H130" s="52"/>
    </row>
    <row r="131" spans="1:8">
      <c r="A131" t="s">
        <v>271</v>
      </c>
      <c r="B131" s="52">
        <v>0</v>
      </c>
      <c r="C131" s="52">
        <v>0</v>
      </c>
      <c r="D131" s="52">
        <v>0</v>
      </c>
      <c r="E131" s="52">
        <v>0</v>
      </c>
      <c r="F131" s="52">
        <v>-1820000</v>
      </c>
      <c r="G131" s="52">
        <v>-1572000</v>
      </c>
      <c r="H131" s="52">
        <v>-1000000</v>
      </c>
    </row>
    <row r="132" spans="1:8">
      <c r="A132" t="s">
        <v>272</v>
      </c>
      <c r="B132" s="52">
        <v>0</v>
      </c>
      <c r="C132" s="52">
        <v>0</v>
      </c>
      <c r="D132" s="52">
        <v>0</v>
      </c>
      <c r="E132" s="52">
        <v>0</v>
      </c>
      <c r="F132" s="52">
        <v>1977443</v>
      </c>
      <c r="G132" s="52">
        <v>1466563</v>
      </c>
      <c r="H132" s="52">
        <v>920876</v>
      </c>
    </row>
    <row r="133" spans="1:8">
      <c r="A133" t="s">
        <v>273</v>
      </c>
      <c r="B133" s="52">
        <v>0</v>
      </c>
      <c r="C133" s="52">
        <v>0</v>
      </c>
      <c r="D133" s="52">
        <v>0</v>
      </c>
      <c r="E133" s="52">
        <v>0</v>
      </c>
      <c r="F133" s="52">
        <v>-416282</v>
      </c>
      <c r="G133" s="52">
        <v>-1101887</v>
      </c>
      <c r="H133" s="52">
        <v>-432953</v>
      </c>
    </row>
    <row r="134" spans="1:8">
      <c r="A134" t="s">
        <v>274</v>
      </c>
      <c r="B134" s="52">
        <v>0</v>
      </c>
      <c r="C134" s="52">
        <v>0</v>
      </c>
      <c r="D134" s="52">
        <v>0</v>
      </c>
      <c r="E134" s="52">
        <v>0</v>
      </c>
      <c r="F134" s="52">
        <v>0</v>
      </c>
      <c r="G134" s="52">
        <v>848437</v>
      </c>
      <c r="H134" s="52">
        <v>874260</v>
      </c>
    </row>
    <row r="135" spans="1:8">
      <c r="A135" t="s">
        <v>275</v>
      </c>
      <c r="B135" s="52">
        <v>0</v>
      </c>
      <c r="C135" s="52">
        <v>0</v>
      </c>
      <c r="D135" s="52">
        <v>0</v>
      </c>
      <c r="E135" s="52">
        <v>0</v>
      </c>
      <c r="F135" s="52">
        <v>0</v>
      </c>
      <c r="G135" s="52">
        <v>-50000</v>
      </c>
      <c r="H135" s="52">
        <v>-10000</v>
      </c>
    </row>
    <row r="136" spans="1:8">
      <c r="A136" t="s">
        <v>276</v>
      </c>
      <c r="B136" s="52">
        <v>0</v>
      </c>
      <c r="C136" s="52">
        <v>0</v>
      </c>
      <c r="D136" s="52">
        <v>0</v>
      </c>
      <c r="E136" s="52">
        <v>0</v>
      </c>
      <c r="F136" s="52">
        <v>0</v>
      </c>
      <c r="G136" s="52">
        <v>0</v>
      </c>
      <c r="H136" s="52">
        <v>50604</v>
      </c>
    </row>
    <row r="137" spans="1:8">
      <c r="A137" t="s">
        <v>266</v>
      </c>
      <c r="B137" s="52">
        <v>0</v>
      </c>
      <c r="C137" s="52">
        <v>12011</v>
      </c>
      <c r="D137" s="52">
        <v>4660</v>
      </c>
      <c r="E137" s="52">
        <v>0</v>
      </c>
      <c r="F137" s="52">
        <v>0</v>
      </c>
      <c r="G137" s="52">
        <v>0</v>
      </c>
      <c r="H137" s="52">
        <v>0</v>
      </c>
    </row>
    <row r="138" spans="1:8">
      <c r="A138" t="s">
        <v>277</v>
      </c>
      <c r="B138" s="52">
        <v>0</v>
      </c>
      <c r="C138" s="52">
        <v>0</v>
      </c>
      <c r="D138" s="52">
        <v>0</v>
      </c>
      <c r="E138" s="52">
        <v>-520000</v>
      </c>
      <c r="F138" s="52">
        <v>0</v>
      </c>
      <c r="G138" s="52">
        <v>0</v>
      </c>
      <c r="H138" s="52">
        <v>0</v>
      </c>
    </row>
    <row r="139" spans="1:8">
      <c r="A139" t="s">
        <v>278</v>
      </c>
      <c r="B139" s="52">
        <v>-96801</v>
      </c>
      <c r="C139" s="52">
        <v>-36981</v>
      </c>
      <c r="D139" s="52">
        <v>-50382</v>
      </c>
      <c r="E139" s="52">
        <v>-57728</v>
      </c>
      <c r="F139" s="52">
        <v>-121081</v>
      </c>
      <c r="G139" s="52">
        <v>-80011</v>
      </c>
      <c r="H139" s="52">
        <v>-64466</v>
      </c>
    </row>
    <row r="140" spans="1:8">
      <c r="A140" t="s">
        <v>279</v>
      </c>
      <c r="B140" s="52">
        <v>-597</v>
      </c>
      <c r="C140" s="52">
        <v>-1655</v>
      </c>
      <c r="D140" s="52">
        <v>-2202</v>
      </c>
      <c r="E140" s="52">
        <v>-2484</v>
      </c>
      <c r="F140" s="52">
        <v>-4035</v>
      </c>
      <c r="G140" s="52">
        <v>-6539</v>
      </c>
      <c r="H140" s="52">
        <v>-12291</v>
      </c>
    </row>
    <row r="141" spans="1:8">
      <c r="A141" t="s">
        <v>280</v>
      </c>
      <c r="B141" s="52">
        <v>0</v>
      </c>
      <c r="C141" s="52">
        <v>0</v>
      </c>
      <c r="D141" s="52">
        <v>0</v>
      </c>
      <c r="E141" s="52">
        <v>0</v>
      </c>
      <c r="F141" s="52">
        <v>0</v>
      </c>
      <c r="G141" s="52">
        <v>0</v>
      </c>
      <c r="H141" s="52">
        <v>-42173</v>
      </c>
    </row>
    <row r="142" spans="1:8">
      <c r="A142" t="s">
        <v>281</v>
      </c>
      <c r="B142" s="52">
        <v>0</v>
      </c>
      <c r="C142" s="52">
        <v>2000</v>
      </c>
      <c r="D142" s="52">
        <v>0</v>
      </c>
      <c r="E142" s="52">
        <v>0</v>
      </c>
      <c r="F142" s="52">
        <v>0</v>
      </c>
      <c r="G142" s="52">
        <v>0</v>
      </c>
      <c r="H142" s="52">
        <v>0</v>
      </c>
    </row>
    <row r="143" spans="1:8">
      <c r="A143" t="s">
        <v>282</v>
      </c>
      <c r="B143" s="52">
        <v>349</v>
      </c>
      <c r="C143" s="52">
        <v>391</v>
      </c>
      <c r="D143" s="52">
        <v>589</v>
      </c>
      <c r="E143" s="52">
        <v>0</v>
      </c>
      <c r="F143" s="52">
        <v>145</v>
      </c>
      <c r="G143" s="52">
        <v>1507</v>
      </c>
      <c r="H143" s="52">
        <v>120</v>
      </c>
    </row>
    <row r="144" spans="1:8">
      <c r="A144" t="s">
        <v>283</v>
      </c>
      <c r="B144" s="52">
        <v>0</v>
      </c>
      <c r="C144" s="52">
        <v>0</v>
      </c>
      <c r="D144" s="52">
        <v>0</v>
      </c>
      <c r="E144" s="52">
        <v>0</v>
      </c>
      <c r="F144" s="52">
        <v>0</v>
      </c>
      <c r="G144" s="52">
        <v>0</v>
      </c>
      <c r="H144" s="52">
        <v>-17329</v>
      </c>
    </row>
    <row r="145" spans="1:8">
      <c r="A145" t="s">
        <v>284</v>
      </c>
      <c r="B145" s="52">
        <v>-71759</v>
      </c>
      <c r="C145" s="52">
        <v>324</v>
      </c>
      <c r="D145" s="52">
        <v>-4043</v>
      </c>
      <c r="E145" s="52" t="s">
        <v>264</v>
      </c>
      <c r="F145" s="52">
        <v>-81948</v>
      </c>
      <c r="G145" s="52">
        <v>-155621</v>
      </c>
      <c r="H145" s="52">
        <v>0</v>
      </c>
    </row>
    <row r="146" spans="1:8">
      <c r="A146" t="s">
        <v>285</v>
      </c>
      <c r="B146" s="52">
        <v>0</v>
      </c>
      <c r="C146" s="52">
        <v>0</v>
      </c>
      <c r="D146" s="52">
        <v>0</v>
      </c>
      <c r="E146" s="52">
        <v>0</v>
      </c>
      <c r="F146" s="52">
        <v>0</v>
      </c>
      <c r="G146" s="52">
        <v>-4544</v>
      </c>
      <c r="H146" s="52">
        <v>-21291</v>
      </c>
    </row>
    <row r="147" spans="1:8">
      <c r="A147" t="s">
        <v>286</v>
      </c>
      <c r="B147" s="52">
        <v>0</v>
      </c>
      <c r="C147" s="52">
        <v>0</v>
      </c>
      <c r="D147" s="52">
        <v>-25</v>
      </c>
      <c r="E147" s="52">
        <v>0</v>
      </c>
      <c r="F147" s="52">
        <v>990</v>
      </c>
      <c r="G147" s="52">
        <v>0</v>
      </c>
      <c r="H147" s="52">
        <v>0</v>
      </c>
    </row>
    <row r="148" spans="1:8">
      <c r="A148" t="s">
        <v>287</v>
      </c>
      <c r="B148" s="52">
        <v>-949</v>
      </c>
      <c r="C148" s="52">
        <v>0</v>
      </c>
      <c r="D148" s="52">
        <v>500</v>
      </c>
      <c r="E148" s="52">
        <v>1700</v>
      </c>
      <c r="F148" s="52">
        <v>0</v>
      </c>
      <c r="G148" s="52">
        <v>0</v>
      </c>
      <c r="H148" s="52">
        <v>0</v>
      </c>
    </row>
    <row r="149" spans="1:8">
      <c r="A149" t="s">
        <v>258</v>
      </c>
      <c r="B149" s="52">
        <v>22955</v>
      </c>
      <c r="C149" s="52">
        <v>118655</v>
      </c>
      <c r="D149" s="52">
        <v>15449</v>
      </c>
      <c r="E149" s="52">
        <v>0</v>
      </c>
      <c r="F149" s="52">
        <v>0</v>
      </c>
      <c r="G149" s="52">
        <v>0</v>
      </c>
      <c r="H149" s="52">
        <v>0</v>
      </c>
    </row>
    <row r="150" spans="1:8">
      <c r="A150" t="s">
        <v>288</v>
      </c>
      <c r="B150" s="52">
        <v>-146802</v>
      </c>
      <c r="C150" s="52">
        <v>94745</v>
      </c>
      <c r="D150" s="52">
        <v>-35454</v>
      </c>
      <c r="E150" s="52">
        <v>-578512</v>
      </c>
      <c r="F150" s="52">
        <v>-464768</v>
      </c>
      <c r="G150" s="52">
        <v>-654095</v>
      </c>
      <c r="H150" s="52">
        <v>245357</v>
      </c>
    </row>
    <row r="151" spans="1:8">
      <c r="B151" s="52"/>
      <c r="C151" s="52"/>
      <c r="D151" s="52"/>
      <c r="E151" s="52"/>
      <c r="F151" s="52"/>
      <c r="G151" s="52"/>
      <c r="H151" s="52"/>
    </row>
    <row r="152" spans="1:8">
      <c r="A152" s="42" t="s">
        <v>289</v>
      </c>
      <c r="B152" s="52"/>
      <c r="C152" s="52"/>
      <c r="D152" s="52"/>
      <c r="E152" s="52"/>
      <c r="F152" s="52"/>
      <c r="G152" s="52"/>
      <c r="H152" s="52"/>
    </row>
    <row r="153" spans="1:8">
      <c r="A153" t="s">
        <v>290</v>
      </c>
      <c r="B153" s="52">
        <v>0</v>
      </c>
      <c r="C153" s="52">
        <v>0</v>
      </c>
      <c r="D153" s="52">
        <v>0</v>
      </c>
      <c r="E153" s="52">
        <v>0</v>
      </c>
      <c r="F153" s="52">
        <v>0</v>
      </c>
      <c r="G153" s="52">
        <v>0</v>
      </c>
      <c r="H153" s="52">
        <v>34800</v>
      </c>
    </row>
    <row r="154" spans="1:8">
      <c r="A154" t="s">
        <v>291</v>
      </c>
      <c r="B154" s="52">
        <v>0</v>
      </c>
      <c r="C154" s="52">
        <v>0</v>
      </c>
      <c r="D154" s="52">
        <v>0</v>
      </c>
      <c r="E154" s="52">
        <v>0</v>
      </c>
      <c r="F154" s="52">
        <v>-18665</v>
      </c>
      <c r="G154" s="52">
        <v>-58236</v>
      </c>
      <c r="H154" s="52">
        <v>-2690</v>
      </c>
    </row>
    <row r="155" spans="1:8">
      <c r="A155" t="s">
        <v>292</v>
      </c>
      <c r="B155" s="52">
        <v>0</v>
      </c>
      <c r="C155" s="52">
        <v>0</v>
      </c>
      <c r="D155" s="52">
        <v>0</v>
      </c>
      <c r="E155" s="52">
        <v>0</v>
      </c>
      <c r="F155" s="52">
        <v>0</v>
      </c>
      <c r="G155" s="52">
        <v>10729</v>
      </c>
      <c r="H155" s="52">
        <v>4364</v>
      </c>
    </row>
    <row r="156" spans="1:8">
      <c r="A156" t="s">
        <v>293</v>
      </c>
      <c r="B156" s="52">
        <v>0</v>
      </c>
      <c r="C156" s="52">
        <v>0</v>
      </c>
      <c r="D156" s="52">
        <v>0</v>
      </c>
      <c r="E156" s="52">
        <v>0</v>
      </c>
      <c r="F156" s="52">
        <v>0</v>
      </c>
      <c r="G156" s="52">
        <v>0</v>
      </c>
      <c r="H156" s="52">
        <v>-214</v>
      </c>
    </row>
    <row r="157" spans="1:8">
      <c r="A157" t="s">
        <v>294</v>
      </c>
      <c r="B157" s="52">
        <v>0</v>
      </c>
      <c r="C157" s="52">
        <v>-34829</v>
      </c>
      <c r="D157" s="52">
        <v>-44</v>
      </c>
      <c r="E157" s="52">
        <v>0</v>
      </c>
      <c r="F157" s="52">
        <v>-720</v>
      </c>
      <c r="G157" s="52">
        <v>0</v>
      </c>
      <c r="H157" s="52">
        <v>0</v>
      </c>
    </row>
    <row r="158" spans="1:8">
      <c r="A158" t="s">
        <v>295</v>
      </c>
      <c r="B158" s="52">
        <v>0</v>
      </c>
      <c r="C158" s="52">
        <v>0</v>
      </c>
      <c r="D158" s="52">
        <v>0</v>
      </c>
      <c r="E158" s="52">
        <v>0</v>
      </c>
      <c r="F158" s="52">
        <v>-31690</v>
      </c>
      <c r="G158" s="52">
        <v>-11410</v>
      </c>
      <c r="H158" s="52">
        <v>-370</v>
      </c>
    </row>
    <row r="159" spans="1:8">
      <c r="A159" t="s">
        <v>296</v>
      </c>
      <c r="B159" s="52">
        <v>121250</v>
      </c>
      <c r="C159" s="52">
        <v>26933</v>
      </c>
      <c r="D159" s="52">
        <v>116051</v>
      </c>
      <c r="E159" s="52">
        <v>1392485</v>
      </c>
      <c r="F159" s="52">
        <v>0</v>
      </c>
      <c r="G159" s="52">
        <v>0</v>
      </c>
      <c r="H159" s="52">
        <v>0</v>
      </c>
    </row>
    <row r="160" spans="1:8">
      <c r="A160" t="s">
        <v>297</v>
      </c>
      <c r="B160" s="52">
        <v>0</v>
      </c>
      <c r="C160" s="52">
        <v>0</v>
      </c>
      <c r="D160" s="52">
        <v>-3028</v>
      </c>
      <c r="E160" s="52">
        <v>0</v>
      </c>
      <c r="F160" s="52">
        <v>0</v>
      </c>
      <c r="G160" s="52">
        <v>0</v>
      </c>
      <c r="H160" s="52">
        <v>0</v>
      </c>
    </row>
    <row r="161" spans="1:8">
      <c r="A161" t="s">
        <v>298</v>
      </c>
      <c r="B161" s="52">
        <v>3371</v>
      </c>
      <c r="C161" s="52">
        <v>1264</v>
      </c>
      <c r="D161" s="52">
        <v>200</v>
      </c>
      <c r="E161" s="52">
        <v>0</v>
      </c>
      <c r="F161" s="52">
        <v>0</v>
      </c>
      <c r="G161" s="52">
        <v>0</v>
      </c>
      <c r="H161" s="52">
        <v>0</v>
      </c>
    </row>
    <row r="162" spans="1:8">
      <c r="A162" t="s">
        <v>299</v>
      </c>
      <c r="B162" s="52">
        <v>158817</v>
      </c>
      <c r="C162" s="52">
        <v>91000</v>
      </c>
      <c r="D162" s="52">
        <v>21929</v>
      </c>
      <c r="E162" s="52">
        <v>0</v>
      </c>
      <c r="F162" s="52">
        <v>0</v>
      </c>
      <c r="G162" s="52">
        <v>0</v>
      </c>
      <c r="H162" s="52">
        <v>0</v>
      </c>
    </row>
    <row r="163" spans="1:8">
      <c r="A163" t="s">
        <v>300</v>
      </c>
      <c r="B163" s="52">
        <v>-9620</v>
      </c>
      <c r="C163" s="52">
        <v>9620</v>
      </c>
      <c r="D163" s="52">
        <v>0</v>
      </c>
      <c r="E163" s="52">
        <v>0</v>
      </c>
      <c r="F163" s="52">
        <v>0</v>
      </c>
      <c r="G163" s="52">
        <v>0</v>
      </c>
      <c r="H163" s="52">
        <v>0</v>
      </c>
    </row>
    <row r="164" spans="1:8">
      <c r="A164" t="s">
        <v>301</v>
      </c>
      <c r="B164" s="52">
        <v>-108434</v>
      </c>
      <c r="C164" s="52">
        <v>-201819</v>
      </c>
      <c r="D164" s="52">
        <v>-87469</v>
      </c>
      <c r="E164" s="52">
        <v>-902</v>
      </c>
      <c r="F164" s="52">
        <v>0</v>
      </c>
      <c r="G164" s="52">
        <v>0</v>
      </c>
      <c r="H164" s="52">
        <v>0</v>
      </c>
    </row>
    <row r="165" spans="1:8">
      <c r="A165" t="s">
        <v>302</v>
      </c>
      <c r="B165" s="52">
        <v>-1641</v>
      </c>
      <c r="C165" s="52">
        <v>-29611</v>
      </c>
      <c r="D165" s="52">
        <v>-14123</v>
      </c>
      <c r="E165" s="52">
        <v>0</v>
      </c>
      <c r="F165" s="52">
        <v>0</v>
      </c>
      <c r="G165" s="52">
        <v>0</v>
      </c>
      <c r="H165" s="52">
        <v>0</v>
      </c>
    </row>
    <row r="166" spans="1:8">
      <c r="A166" t="s">
        <v>303</v>
      </c>
      <c r="B166" s="52">
        <v>-32440</v>
      </c>
      <c r="C166" s="52">
        <v>-27971</v>
      </c>
      <c r="D166" s="52">
        <v>-35742</v>
      </c>
      <c r="E166" s="52">
        <v>-28210</v>
      </c>
      <c r="F166" s="52">
        <v>-51618</v>
      </c>
      <c r="G166" s="52">
        <v>-35348</v>
      </c>
      <c r="H166" s="52">
        <v>-58515</v>
      </c>
    </row>
    <row r="167" spans="1:8">
      <c r="A167" t="s">
        <v>304</v>
      </c>
      <c r="B167" s="52">
        <v>-175</v>
      </c>
      <c r="C167" s="52">
        <v>-503</v>
      </c>
      <c r="D167" s="52">
        <v>-3387</v>
      </c>
      <c r="E167" s="52">
        <v>-63405</v>
      </c>
      <c r="F167" s="52">
        <v>0</v>
      </c>
      <c r="G167" s="52">
        <v>0</v>
      </c>
      <c r="H167" s="52">
        <v>0</v>
      </c>
    </row>
    <row r="168" spans="1:8">
      <c r="A168" t="s">
        <v>305</v>
      </c>
      <c r="B168" s="52">
        <v>0</v>
      </c>
      <c r="C168" s="52">
        <v>0</v>
      </c>
      <c r="D168" s="52">
        <v>-34000</v>
      </c>
      <c r="E168" s="52">
        <v>-113000</v>
      </c>
      <c r="F168" s="52">
        <v>-62734</v>
      </c>
      <c r="G168" s="52">
        <v>-109750</v>
      </c>
      <c r="H168" s="52">
        <v>-269672</v>
      </c>
    </row>
    <row r="169" spans="1:8">
      <c r="A169" t="s">
        <v>306</v>
      </c>
      <c r="B169" s="52">
        <v>131128</v>
      </c>
      <c r="C169" s="52">
        <v>-165916</v>
      </c>
      <c r="D169" s="52">
        <v>-39613</v>
      </c>
      <c r="E169" s="52">
        <v>1186968</v>
      </c>
      <c r="F169" s="52">
        <v>-165427</v>
      </c>
      <c r="G169" s="52">
        <v>-204015</v>
      </c>
      <c r="H169" s="52">
        <v>-292297</v>
      </c>
    </row>
    <row r="170" spans="1:8">
      <c r="B170" s="52"/>
      <c r="C170" s="52"/>
      <c r="D170" s="52"/>
      <c r="E170" s="52"/>
      <c r="F170" s="52"/>
      <c r="G170" s="52"/>
      <c r="H170" s="52"/>
    </row>
    <row r="171" spans="1:8">
      <c r="A171" t="s">
        <v>307</v>
      </c>
      <c r="B171" s="52">
        <v>74759</v>
      </c>
      <c r="C171" s="52">
        <v>84716</v>
      </c>
      <c r="D171" s="52">
        <v>173678</v>
      </c>
      <c r="E171" s="52">
        <v>857850</v>
      </c>
      <c r="F171" s="52">
        <v>-356785</v>
      </c>
      <c r="G171" s="52">
        <v>-485541</v>
      </c>
      <c r="H171" s="52">
        <v>307415</v>
      </c>
    </row>
    <row r="172" spans="1:8">
      <c r="A172" t="s">
        <v>308</v>
      </c>
      <c r="B172" s="52">
        <v>82757</v>
      </c>
      <c r="C172" s="52">
        <v>157234</v>
      </c>
      <c r="D172" s="52">
        <v>239815</v>
      </c>
      <c r="E172" s="52">
        <v>413246</v>
      </c>
      <c r="F172" s="52">
        <v>1257136</v>
      </c>
      <c r="G172" s="52">
        <v>944727</v>
      </c>
      <c r="H172" s="52">
        <v>463437</v>
      </c>
    </row>
    <row r="173" spans="1:8">
      <c r="A173" t="s">
        <v>309</v>
      </c>
      <c r="B173" s="52">
        <v>-282</v>
      </c>
      <c r="C173" s="52">
        <v>-2135</v>
      </c>
      <c r="D173" s="52">
        <v>-247</v>
      </c>
      <c r="E173" s="52">
        <v>-13960</v>
      </c>
      <c r="F173" s="52">
        <v>44376</v>
      </c>
      <c r="G173" s="52">
        <v>4251</v>
      </c>
      <c r="H173" s="52">
        <v>9933</v>
      </c>
    </row>
    <row r="174" spans="1:8">
      <c r="A174" t="s">
        <v>310</v>
      </c>
      <c r="B174" s="52">
        <v>157234</v>
      </c>
      <c r="C174" s="52">
        <v>239815</v>
      </c>
      <c r="D174" s="52">
        <v>413246</v>
      </c>
      <c r="E174" s="52">
        <v>1257136</v>
      </c>
      <c r="F174" s="52">
        <v>944727</v>
      </c>
      <c r="G174" s="52">
        <v>463437</v>
      </c>
      <c r="H174" s="52">
        <v>780785</v>
      </c>
    </row>
    <row r="175" spans="1:8">
      <c r="B175" s="52"/>
      <c r="C175" s="52"/>
      <c r="D175" s="52"/>
      <c r="E175" s="52"/>
      <c r="F175" s="52"/>
      <c r="G175" s="52"/>
      <c r="H175" s="52"/>
    </row>
    <row r="176" spans="1:8">
      <c r="A176" s="42" t="s">
        <v>311</v>
      </c>
      <c r="B176" s="52"/>
      <c r="C176" s="52"/>
      <c r="D176" s="52"/>
      <c r="E176" s="52"/>
      <c r="F176" s="52"/>
      <c r="G176" s="52"/>
      <c r="H176" s="52"/>
    </row>
    <row r="177" spans="1:8">
      <c r="A177" t="s">
        <v>312</v>
      </c>
      <c r="B177" s="52">
        <v>166854</v>
      </c>
      <c r="C177" s="52">
        <v>247030</v>
      </c>
      <c r="D177" s="52">
        <v>413246</v>
      </c>
      <c r="E177" s="52">
        <v>1257136</v>
      </c>
      <c r="F177" s="52">
        <v>944727</v>
      </c>
      <c r="G177" s="52">
        <v>463437</v>
      </c>
      <c r="H177" s="52">
        <v>346948</v>
      </c>
    </row>
    <row r="178" spans="1:8">
      <c r="A178" t="s">
        <v>196</v>
      </c>
      <c r="B178" s="52">
        <v>-9620</v>
      </c>
      <c r="C178" s="52">
        <v>-7215</v>
      </c>
      <c r="D178" s="52">
        <v>0</v>
      </c>
      <c r="E178" s="52">
        <v>0</v>
      </c>
      <c r="F178" s="52">
        <v>0</v>
      </c>
      <c r="G178" s="52">
        <v>0</v>
      </c>
      <c r="H178" s="52">
        <v>0</v>
      </c>
    </row>
    <row r="179" spans="1:8">
      <c r="A179" t="s">
        <v>313</v>
      </c>
      <c r="B179" s="52">
        <v>0</v>
      </c>
      <c r="C179" s="52">
        <v>0</v>
      </c>
      <c r="D179" s="52">
        <v>0</v>
      </c>
      <c r="E179" s="52">
        <v>0</v>
      </c>
      <c r="F179" s="52">
        <v>0</v>
      </c>
      <c r="G179" s="52">
        <v>0</v>
      </c>
      <c r="H179" s="52">
        <v>433837</v>
      </c>
    </row>
    <row r="180" spans="1:8">
      <c r="A180" t="s">
        <v>314</v>
      </c>
      <c r="B180" s="52">
        <f>SUM(B177:B179)</f>
        <v>157234</v>
      </c>
      <c r="C180" s="52">
        <f>SUM(C177:C179)</f>
        <v>239815</v>
      </c>
      <c r="D180" s="52">
        <v>413246</v>
      </c>
      <c r="E180" s="52">
        <v>1257136</v>
      </c>
      <c r="F180" s="52">
        <v>944727</v>
      </c>
      <c r="G180" s="52">
        <v>463437</v>
      </c>
      <c r="H180" s="52">
        <v>780785</v>
      </c>
    </row>
  </sheetData>
  <phoneticPr fontId="2" type="noConversion"/>
  <pageMargins left="0.7" right="0.7" top="0.75" bottom="0.75" header="0.3" footer="0.3"/>
  <pageSetup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8E87C-41FF-4B3D-8F09-28F8F7772886}">
  <dimension ref="A1:R23"/>
  <sheetViews>
    <sheetView showGridLines="0" workbookViewId="0">
      <selection activeCell="W13" sqref="W13:X13"/>
    </sheetView>
  </sheetViews>
  <sheetFormatPr defaultRowHeight="15"/>
  <sheetData>
    <row r="1" spans="1:18">
      <c r="A1" s="291" t="s">
        <v>315</v>
      </c>
      <c r="B1" s="291"/>
      <c r="C1" s="291"/>
      <c r="D1" s="291"/>
    </row>
    <row r="2" spans="1:18">
      <c r="A2" s="291"/>
      <c r="B2" s="291"/>
      <c r="C2" s="291"/>
      <c r="D2" s="291"/>
    </row>
    <row r="4" spans="1:18">
      <c r="A4" s="178" t="s">
        <v>316</v>
      </c>
      <c r="B4" s="258" t="s">
        <v>12</v>
      </c>
      <c r="C4" s="258"/>
      <c r="D4" s="258"/>
      <c r="E4" s="258"/>
      <c r="F4" s="258"/>
      <c r="G4" s="258"/>
      <c r="H4" s="258"/>
      <c r="I4" s="258"/>
      <c r="J4" s="258"/>
      <c r="K4" s="258"/>
      <c r="L4" s="258"/>
      <c r="M4" s="258"/>
      <c r="N4" s="258"/>
      <c r="O4" s="258"/>
      <c r="P4" s="258"/>
      <c r="Q4" s="258"/>
      <c r="R4" s="259"/>
    </row>
    <row r="5" spans="1:18">
      <c r="A5" s="185">
        <v>1</v>
      </c>
      <c r="B5" s="289" t="s">
        <v>317</v>
      </c>
      <c r="C5" s="289"/>
      <c r="D5" s="289"/>
      <c r="E5" s="289"/>
      <c r="F5" s="289"/>
      <c r="G5" s="289"/>
      <c r="H5" s="289"/>
      <c r="I5" s="289"/>
      <c r="J5" s="289"/>
      <c r="K5" s="289"/>
      <c r="L5" s="289"/>
      <c r="M5" s="289"/>
      <c r="N5" s="289"/>
      <c r="O5" s="289"/>
      <c r="P5" s="289"/>
      <c r="Q5" s="289"/>
      <c r="R5" s="290"/>
    </row>
    <row r="6" spans="1:18">
      <c r="A6" s="185">
        <v>2</v>
      </c>
      <c r="B6" s="289" t="s">
        <v>318</v>
      </c>
      <c r="C6" s="289"/>
      <c r="D6" s="289"/>
      <c r="E6" s="289"/>
      <c r="F6" s="289"/>
      <c r="G6" s="289"/>
      <c r="H6" s="289"/>
      <c r="I6" s="289"/>
      <c r="J6" s="289"/>
      <c r="K6" s="289"/>
      <c r="L6" s="289"/>
      <c r="M6" s="289"/>
      <c r="N6" s="289"/>
      <c r="O6" s="289"/>
      <c r="P6" s="289"/>
      <c r="Q6" s="289"/>
      <c r="R6" s="290"/>
    </row>
    <row r="7" spans="1:18">
      <c r="A7" s="185">
        <v>3</v>
      </c>
      <c r="B7" s="289" t="s">
        <v>319</v>
      </c>
      <c r="C7" s="289"/>
      <c r="D7" s="289"/>
      <c r="E7" s="289"/>
      <c r="F7" s="289"/>
      <c r="G7" s="289"/>
      <c r="H7" s="289"/>
      <c r="I7" s="289"/>
      <c r="J7" s="289"/>
      <c r="K7" s="289"/>
      <c r="L7" s="289"/>
      <c r="M7" s="289"/>
      <c r="N7" s="289"/>
      <c r="O7" s="289"/>
      <c r="P7" s="289"/>
      <c r="Q7" s="289"/>
      <c r="R7" s="290"/>
    </row>
    <row r="8" spans="1:18">
      <c r="A8" s="185">
        <v>4</v>
      </c>
      <c r="B8" s="289" t="s">
        <v>320</v>
      </c>
      <c r="C8" s="289"/>
      <c r="D8" s="289"/>
      <c r="E8" s="289"/>
      <c r="F8" s="289"/>
      <c r="G8" s="289"/>
      <c r="H8" s="289"/>
      <c r="I8" s="289"/>
      <c r="J8" s="289"/>
      <c r="K8" s="289"/>
      <c r="L8" s="289"/>
      <c r="M8" s="289"/>
      <c r="N8" s="289"/>
      <c r="O8" s="289"/>
      <c r="P8" s="289"/>
      <c r="Q8" s="289"/>
      <c r="R8" s="290"/>
    </row>
    <row r="9" spans="1:18">
      <c r="A9" s="185">
        <v>5</v>
      </c>
      <c r="B9" s="289" t="s">
        <v>321</v>
      </c>
      <c r="C9" s="289"/>
      <c r="D9" s="289"/>
      <c r="E9" s="289"/>
      <c r="F9" s="289"/>
      <c r="G9" s="289"/>
      <c r="H9" s="289"/>
      <c r="I9" s="289"/>
      <c r="J9" s="289"/>
      <c r="K9" s="289"/>
      <c r="L9" s="289"/>
      <c r="M9" s="289"/>
      <c r="N9" s="289"/>
      <c r="O9" s="289"/>
      <c r="P9" s="289"/>
      <c r="Q9" s="289"/>
      <c r="R9" s="290"/>
    </row>
    <row r="10" spans="1:18">
      <c r="A10" s="185">
        <v>6</v>
      </c>
      <c r="B10" s="289" t="s">
        <v>322</v>
      </c>
      <c r="C10" s="289"/>
      <c r="D10" s="289"/>
      <c r="E10" s="289"/>
      <c r="F10" s="289"/>
      <c r="G10" s="289"/>
      <c r="H10" s="289"/>
      <c r="I10" s="289"/>
      <c r="J10" s="289"/>
      <c r="K10" s="289"/>
      <c r="L10" s="289"/>
      <c r="M10" s="289"/>
      <c r="N10" s="289"/>
      <c r="O10" s="289"/>
      <c r="P10" s="289"/>
      <c r="Q10" s="289"/>
      <c r="R10" s="290"/>
    </row>
    <row r="11" spans="1:18">
      <c r="A11" s="185">
        <v>7</v>
      </c>
      <c r="B11" s="289" t="s">
        <v>323</v>
      </c>
      <c r="C11" s="289"/>
      <c r="D11" s="289"/>
      <c r="E11" s="289"/>
      <c r="F11" s="289"/>
      <c r="G11" s="289"/>
      <c r="H11" s="289"/>
      <c r="I11" s="289"/>
      <c r="J11" s="289"/>
      <c r="K11" s="289"/>
      <c r="L11" s="289"/>
      <c r="M11" s="289"/>
      <c r="N11" s="289"/>
      <c r="O11" s="289"/>
      <c r="P11" s="289"/>
      <c r="Q11" s="289"/>
      <c r="R11" s="290"/>
    </row>
    <row r="12" spans="1:18">
      <c r="A12" s="185">
        <v>8</v>
      </c>
      <c r="B12" s="289" t="s">
        <v>324</v>
      </c>
      <c r="C12" s="289"/>
      <c r="D12" s="289"/>
      <c r="E12" s="289"/>
      <c r="F12" s="289"/>
      <c r="G12" s="289"/>
      <c r="H12" s="289"/>
      <c r="I12" s="289"/>
      <c r="J12" s="289"/>
      <c r="K12" s="289"/>
      <c r="L12" s="289"/>
      <c r="M12" s="289"/>
      <c r="N12" s="289"/>
      <c r="O12" s="289"/>
      <c r="P12" s="289"/>
      <c r="Q12" s="289"/>
      <c r="R12" s="290"/>
    </row>
    <row r="13" spans="1:18">
      <c r="A13" s="185">
        <v>9</v>
      </c>
      <c r="B13" s="289" t="s">
        <v>325</v>
      </c>
      <c r="C13" s="289"/>
      <c r="D13" s="289"/>
      <c r="E13" s="289"/>
      <c r="F13" s="289"/>
      <c r="G13" s="289"/>
      <c r="H13" s="289"/>
      <c r="I13" s="289"/>
      <c r="J13" s="289"/>
      <c r="K13" s="289"/>
      <c r="L13" s="289"/>
      <c r="M13" s="289"/>
      <c r="N13" s="289"/>
      <c r="O13" s="289"/>
      <c r="P13" s="289"/>
      <c r="Q13" s="289"/>
      <c r="R13" s="290"/>
    </row>
    <row r="14" spans="1:18">
      <c r="A14" s="185">
        <v>10</v>
      </c>
      <c r="B14" s="289" t="s">
        <v>502</v>
      </c>
      <c r="C14" s="289"/>
      <c r="D14" s="289"/>
      <c r="E14" s="289"/>
      <c r="F14" s="289"/>
      <c r="G14" s="289"/>
      <c r="H14" s="289"/>
      <c r="I14" s="289"/>
      <c r="J14" s="289"/>
      <c r="K14" s="289"/>
      <c r="L14" s="289"/>
      <c r="M14" s="289"/>
      <c r="N14" s="289"/>
      <c r="O14" s="289"/>
      <c r="P14" s="289"/>
      <c r="Q14" s="289"/>
      <c r="R14" s="290"/>
    </row>
    <row r="15" spans="1:18">
      <c r="A15" s="185">
        <v>11</v>
      </c>
      <c r="B15" s="289" t="s">
        <v>326</v>
      </c>
      <c r="C15" s="289"/>
      <c r="D15" s="289"/>
      <c r="E15" s="289"/>
      <c r="F15" s="289"/>
      <c r="G15" s="289"/>
      <c r="H15" s="289"/>
      <c r="I15" s="289"/>
      <c r="J15" s="289"/>
      <c r="K15" s="289"/>
      <c r="L15" s="289"/>
      <c r="M15" s="289"/>
      <c r="N15" s="289"/>
      <c r="O15" s="289"/>
      <c r="P15" s="289"/>
      <c r="Q15" s="289"/>
      <c r="R15" s="290"/>
    </row>
    <row r="16" spans="1:18">
      <c r="A16" s="185">
        <v>12</v>
      </c>
      <c r="B16" s="289" t="s">
        <v>327</v>
      </c>
      <c r="C16" s="289"/>
      <c r="D16" s="289"/>
      <c r="E16" s="289"/>
      <c r="F16" s="289"/>
      <c r="G16" s="289"/>
      <c r="H16" s="289"/>
      <c r="I16" s="289"/>
      <c r="J16" s="289"/>
      <c r="K16" s="289"/>
      <c r="L16" s="289"/>
      <c r="M16" s="289"/>
      <c r="N16" s="289"/>
      <c r="O16" s="289"/>
      <c r="P16" s="289"/>
      <c r="Q16" s="289"/>
      <c r="R16" s="290"/>
    </row>
    <row r="17" spans="1:18">
      <c r="A17" s="185">
        <v>13</v>
      </c>
      <c r="B17" s="289" t="s">
        <v>328</v>
      </c>
      <c r="C17" s="289"/>
      <c r="D17" s="289"/>
      <c r="E17" s="289"/>
      <c r="F17" s="289"/>
      <c r="G17" s="289"/>
      <c r="H17" s="289"/>
      <c r="I17" s="289"/>
      <c r="J17" s="289"/>
      <c r="K17" s="289"/>
      <c r="L17" s="289"/>
      <c r="M17" s="289"/>
      <c r="N17" s="289"/>
      <c r="O17" s="289"/>
      <c r="P17" s="289"/>
      <c r="Q17" s="289"/>
      <c r="R17" s="290"/>
    </row>
    <row r="18" spans="1:18">
      <c r="A18" s="185">
        <v>14</v>
      </c>
      <c r="B18" s="289"/>
      <c r="C18" s="289"/>
      <c r="D18" s="289"/>
      <c r="E18" s="289"/>
      <c r="F18" s="289"/>
      <c r="G18" s="289"/>
      <c r="H18" s="289"/>
      <c r="I18" s="289"/>
      <c r="J18" s="289"/>
      <c r="K18" s="289"/>
      <c r="L18" s="289"/>
      <c r="M18" s="289"/>
      <c r="N18" s="289"/>
      <c r="O18" s="289"/>
      <c r="P18" s="289"/>
      <c r="Q18" s="289"/>
      <c r="R18" s="290"/>
    </row>
    <row r="19" spans="1:18">
      <c r="A19" s="185">
        <v>15</v>
      </c>
      <c r="B19" s="289"/>
      <c r="C19" s="289"/>
      <c r="D19" s="289"/>
      <c r="E19" s="289"/>
      <c r="F19" s="289"/>
      <c r="G19" s="289"/>
      <c r="H19" s="289"/>
      <c r="I19" s="289"/>
      <c r="J19" s="289"/>
      <c r="K19" s="289"/>
      <c r="L19" s="289"/>
      <c r="M19" s="289"/>
      <c r="N19" s="289"/>
      <c r="O19" s="289"/>
      <c r="P19" s="289"/>
      <c r="Q19" s="289"/>
      <c r="R19" s="290"/>
    </row>
    <row r="20" spans="1:18">
      <c r="A20" s="185">
        <v>16</v>
      </c>
      <c r="B20" s="289"/>
      <c r="C20" s="289"/>
      <c r="D20" s="289"/>
      <c r="E20" s="289"/>
      <c r="F20" s="289"/>
      <c r="G20" s="289"/>
      <c r="H20" s="289"/>
      <c r="I20" s="289"/>
      <c r="J20" s="289"/>
      <c r="K20" s="289"/>
      <c r="L20" s="289"/>
      <c r="M20" s="289"/>
      <c r="N20" s="289"/>
      <c r="O20" s="289"/>
      <c r="P20" s="289"/>
      <c r="Q20" s="289"/>
      <c r="R20" s="290"/>
    </row>
    <row r="21" spans="1:18">
      <c r="A21" s="185">
        <v>17</v>
      </c>
      <c r="B21" s="289"/>
      <c r="C21" s="289"/>
      <c r="D21" s="289"/>
      <c r="E21" s="289"/>
      <c r="F21" s="289"/>
      <c r="G21" s="289"/>
      <c r="H21" s="289"/>
      <c r="I21" s="289"/>
      <c r="J21" s="289"/>
      <c r="K21" s="289"/>
      <c r="L21" s="289"/>
      <c r="M21" s="289"/>
      <c r="N21" s="289"/>
      <c r="O21" s="289"/>
      <c r="P21" s="289"/>
      <c r="Q21" s="289"/>
      <c r="R21" s="290"/>
    </row>
    <row r="22" spans="1:18">
      <c r="A22" s="185">
        <v>18</v>
      </c>
      <c r="B22" s="289"/>
      <c r="C22" s="289"/>
      <c r="D22" s="289"/>
      <c r="E22" s="289"/>
      <c r="F22" s="289"/>
      <c r="G22" s="289"/>
      <c r="H22" s="289"/>
      <c r="I22" s="289"/>
      <c r="J22" s="289"/>
      <c r="K22" s="289"/>
      <c r="L22" s="289"/>
      <c r="M22" s="289"/>
      <c r="N22" s="289"/>
      <c r="O22" s="289"/>
      <c r="P22" s="289"/>
      <c r="Q22" s="289"/>
      <c r="R22" s="290"/>
    </row>
    <row r="23" spans="1:18">
      <c r="A23" s="26"/>
      <c r="B23" s="183"/>
      <c r="C23" s="183"/>
      <c r="D23" s="183"/>
      <c r="E23" s="183"/>
      <c r="F23" s="183"/>
      <c r="G23" s="183"/>
      <c r="H23" s="183"/>
      <c r="I23" s="183"/>
      <c r="J23" s="183"/>
      <c r="K23" s="183"/>
      <c r="L23" s="183"/>
      <c r="M23" s="183"/>
      <c r="N23" s="183"/>
      <c r="O23" s="183"/>
      <c r="P23" s="183"/>
      <c r="Q23" s="183"/>
      <c r="R23" s="184"/>
    </row>
  </sheetData>
  <mergeCells count="20">
    <mergeCell ref="B13:R13"/>
    <mergeCell ref="B14:R14"/>
    <mergeCell ref="B15:R15"/>
    <mergeCell ref="B16:R16"/>
    <mergeCell ref="B11:R11"/>
    <mergeCell ref="B10:R10"/>
    <mergeCell ref="B12:R12"/>
    <mergeCell ref="B9:R9"/>
    <mergeCell ref="B8:R8"/>
    <mergeCell ref="A1:D2"/>
    <mergeCell ref="B4:R4"/>
    <mergeCell ref="B5:R5"/>
    <mergeCell ref="B6:R6"/>
    <mergeCell ref="B7:R7"/>
    <mergeCell ref="B22:R22"/>
    <mergeCell ref="B17:R17"/>
    <mergeCell ref="B18:R18"/>
    <mergeCell ref="B19:R19"/>
    <mergeCell ref="B20:R20"/>
    <mergeCell ref="B21:R2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0D16-DC6B-45C4-8E50-FC523488DF42}">
  <dimension ref="A1:I40"/>
  <sheetViews>
    <sheetView showGridLines="0" zoomScaleNormal="100" workbookViewId="0">
      <selection activeCell="J27" sqref="J27"/>
    </sheetView>
  </sheetViews>
  <sheetFormatPr defaultRowHeight="15"/>
  <cols>
    <col min="1" max="1" width="30.7109375" customWidth="1"/>
    <col min="2" max="7" width="13.7109375" customWidth="1"/>
  </cols>
  <sheetData>
    <row r="1" spans="1:9" ht="15" customHeight="1">
      <c r="A1" s="292" t="s">
        <v>329</v>
      </c>
      <c r="B1" s="293"/>
      <c r="C1" s="293"/>
      <c r="D1" s="293"/>
      <c r="E1" s="293"/>
      <c r="F1" s="293"/>
      <c r="G1" s="14"/>
    </row>
    <row r="2" spans="1:9" ht="1.5" customHeight="1">
      <c r="A2" s="46"/>
      <c r="B2" s="14"/>
      <c r="C2" s="14"/>
      <c r="D2" s="14"/>
      <c r="E2" s="14"/>
      <c r="F2" s="14"/>
      <c r="G2" s="14"/>
    </row>
    <row r="3" spans="1:9" ht="15" customHeight="1">
      <c r="A3" s="56" t="s">
        <v>330</v>
      </c>
      <c r="B3" s="57" t="s">
        <v>331</v>
      </c>
      <c r="C3" s="57" t="s">
        <v>332</v>
      </c>
      <c r="D3" s="58" t="s">
        <v>333</v>
      </c>
      <c r="E3" s="58" t="s">
        <v>334</v>
      </c>
      <c r="F3" s="58" t="s">
        <v>335</v>
      </c>
      <c r="G3" s="217" t="s">
        <v>336</v>
      </c>
      <c r="H3" s="58"/>
    </row>
    <row r="4" spans="1:9" ht="15" customHeight="1">
      <c r="A4" s="49" t="s">
        <v>337</v>
      </c>
      <c r="B4" s="61"/>
      <c r="C4" s="61">
        <f>(C5-B5)/B5</f>
        <v>0.12963065411224689</v>
      </c>
      <c r="D4" s="61">
        <f t="shared" ref="D4:G4" si="0">(D5-C5)/C5</f>
        <v>0.11139531336796932</v>
      </c>
      <c r="E4" s="61">
        <f t="shared" si="0"/>
        <v>0.25621252905139486</v>
      </c>
      <c r="F4" s="61">
        <f t="shared" si="0"/>
        <v>-7.7601732634319746E-3</v>
      </c>
      <c r="G4" s="61">
        <f t="shared" si="0"/>
        <v>0.38327690486483429</v>
      </c>
    </row>
    <row r="5" spans="1:9" ht="15" customHeight="1">
      <c r="A5" s="49" t="s">
        <v>135</v>
      </c>
      <c r="B5" s="63">
        <f>'Drivers and Inputs'!B24</f>
        <v>632659</v>
      </c>
      <c r="C5" s="63">
        <f>'Drivers and Inputs'!C24</f>
        <v>714671</v>
      </c>
      <c r="D5" s="63">
        <f>'Drivers and Inputs'!D24</f>
        <v>794282</v>
      </c>
      <c r="E5" s="63">
        <f>'Drivers and Inputs'!E24</f>
        <v>997787</v>
      </c>
      <c r="F5" s="63">
        <f>'Drivers and Inputs'!F24</f>
        <v>990044</v>
      </c>
      <c r="G5" s="63">
        <f>'Drivers and Inputs'!G24</f>
        <v>1369505</v>
      </c>
    </row>
    <row r="6" spans="1:9" ht="15" customHeight="1">
      <c r="A6" s="49" t="s">
        <v>338</v>
      </c>
      <c r="B6" s="63">
        <f>'Drivers and Inputs'!B54</f>
        <v>563529</v>
      </c>
      <c r="C6" s="63">
        <f>'Drivers and Inputs'!C54</f>
        <v>595354</v>
      </c>
      <c r="D6" s="63">
        <f>'Drivers and Inputs'!D54</f>
        <v>619100</v>
      </c>
      <c r="E6" s="63">
        <f>'Drivers and Inputs'!E54</f>
        <v>777953</v>
      </c>
      <c r="F6" s="63">
        <f>'Drivers and Inputs'!F54</f>
        <v>785301</v>
      </c>
      <c r="G6" s="63">
        <f>'Drivers and Inputs'!G54</f>
        <v>1135485</v>
      </c>
    </row>
    <row r="7" spans="1:9" ht="15" customHeight="1">
      <c r="A7" s="55" t="s">
        <v>122</v>
      </c>
      <c r="B7" s="64">
        <f>B8/B5</f>
        <v>0.109268974281564</v>
      </c>
      <c r="C7" s="64">
        <f t="shared" ref="C7:G7" si="1">C8/C5</f>
        <v>0.16695374514986616</v>
      </c>
      <c r="D7" s="64">
        <f t="shared" si="1"/>
        <v>0.22055390906504238</v>
      </c>
      <c r="E7" s="64">
        <f t="shared" si="1"/>
        <v>0.22032157163803498</v>
      </c>
      <c r="F7" s="64">
        <f t="shared" si="1"/>
        <v>0.20680191991467045</v>
      </c>
      <c r="G7" s="64">
        <f t="shared" si="1"/>
        <v>0.17087925929441661</v>
      </c>
    </row>
    <row r="8" spans="1:9" ht="15" customHeight="1">
      <c r="A8" s="49" t="s">
        <v>136</v>
      </c>
      <c r="B8" s="63">
        <f>B5-B6</f>
        <v>69130</v>
      </c>
      <c r="C8" s="63">
        <f t="shared" ref="C8:G8" si="2">C5-C6</f>
        <v>119317</v>
      </c>
      <c r="D8" s="63">
        <f t="shared" si="2"/>
        <v>175182</v>
      </c>
      <c r="E8" s="63">
        <f t="shared" si="2"/>
        <v>219834</v>
      </c>
      <c r="F8" s="63">
        <f t="shared" si="2"/>
        <v>204743</v>
      </c>
      <c r="G8" s="63">
        <f t="shared" si="2"/>
        <v>234020</v>
      </c>
    </row>
    <row r="9" spans="1:9" ht="15" customHeight="1">
      <c r="A9" s="49" t="s">
        <v>339</v>
      </c>
      <c r="B9" s="64">
        <f>B10/B8</f>
        <v>0.26321423405178651</v>
      </c>
      <c r="C9" s="64">
        <f t="shared" ref="C9:G9" si="3">C10/C8</f>
        <v>0.17801319174970875</v>
      </c>
      <c r="D9" s="64">
        <f t="shared" si="3"/>
        <v>0.21172266557066366</v>
      </c>
      <c r="E9" s="64">
        <f t="shared" si="3"/>
        <v>0.24082262070471355</v>
      </c>
      <c r="F9" s="64">
        <f t="shared" si="3"/>
        <v>0.2732303424292894</v>
      </c>
      <c r="G9" s="64">
        <f t="shared" si="3"/>
        <v>0.3354713272369883</v>
      </c>
    </row>
    <row r="10" spans="1:9" ht="15" customHeight="1">
      <c r="A10" s="49" t="s">
        <v>340</v>
      </c>
      <c r="B10" s="63">
        <f>'Drivers and Inputs'!B59</f>
        <v>18196</v>
      </c>
      <c r="C10" s="63">
        <f>'Drivers and Inputs'!C59</f>
        <v>21240</v>
      </c>
      <c r="D10" s="63">
        <f>'Drivers and Inputs'!D59</f>
        <v>37090</v>
      </c>
      <c r="E10" s="63">
        <f>'Drivers and Inputs'!E59</f>
        <v>52941</v>
      </c>
      <c r="F10" s="63">
        <f>'Drivers and Inputs'!F59</f>
        <v>55942</v>
      </c>
      <c r="G10" s="63">
        <f>'Drivers and Inputs'!G59</f>
        <v>78507</v>
      </c>
    </row>
    <row r="11" spans="1:9" ht="15" customHeight="1">
      <c r="A11" s="49" t="s">
        <v>341</v>
      </c>
      <c r="B11" s="72">
        <v>0</v>
      </c>
      <c r="C11" s="72">
        <v>0</v>
      </c>
      <c r="D11" s="72">
        <v>0</v>
      </c>
      <c r="E11" s="72">
        <v>0</v>
      </c>
      <c r="F11" s="72">
        <v>0</v>
      </c>
      <c r="G11" s="72">
        <v>0</v>
      </c>
    </row>
    <row r="12" spans="1:9" ht="15" customHeight="1">
      <c r="A12" s="67" t="s">
        <v>342</v>
      </c>
      <c r="B12" s="7"/>
      <c r="C12" s="61">
        <f>(C13-B13)/B13</f>
        <v>0.92557034593788035</v>
      </c>
      <c r="D12" s="61">
        <f t="shared" ref="D12:G12" si="4">(D13-C13)/C13</f>
        <v>0.40799575843469926</v>
      </c>
      <c r="E12" s="61">
        <f t="shared" si="4"/>
        <v>0.20856385598007127</v>
      </c>
      <c r="F12" s="61">
        <f t="shared" si="4"/>
        <v>-0.10840478630020432</v>
      </c>
      <c r="G12" s="61">
        <f t="shared" si="4"/>
        <v>4.5107223741775927E-2</v>
      </c>
    </row>
    <row r="13" spans="1:9" ht="15" customHeight="1">
      <c r="A13" s="49" t="s">
        <v>343</v>
      </c>
      <c r="B13" s="65">
        <f>B8*(1-B9)</f>
        <v>50934</v>
      </c>
      <c r="C13" s="65">
        <f t="shared" ref="C13:G13" si="5">C8*(1-C9)</f>
        <v>98077</v>
      </c>
      <c r="D13" s="65">
        <f t="shared" si="5"/>
        <v>138092</v>
      </c>
      <c r="E13" s="65">
        <f t="shared" si="5"/>
        <v>166893</v>
      </c>
      <c r="F13" s="65">
        <f t="shared" si="5"/>
        <v>148801</v>
      </c>
      <c r="G13" s="65">
        <f t="shared" si="5"/>
        <v>155513</v>
      </c>
    </row>
    <row r="14" spans="1:9" ht="15" customHeight="1">
      <c r="A14" s="48" t="s">
        <v>344</v>
      </c>
      <c r="B14" s="47"/>
      <c r="C14" s="47"/>
      <c r="D14" s="47"/>
      <c r="E14" s="47"/>
      <c r="F14" s="47"/>
      <c r="G14" s="47"/>
    </row>
    <row r="15" spans="1:9" ht="15" customHeight="1">
      <c r="A15" s="55" t="s">
        <v>345</v>
      </c>
      <c r="B15" s="72">
        <v>0</v>
      </c>
      <c r="C15" s="64">
        <f>(C16-B16)/B16</f>
        <v>-0.12507434913605181</v>
      </c>
      <c r="D15" s="64">
        <f t="shared" ref="D15:G15" si="6">(D16-C16)/C16</f>
        <v>-9.0268966072293941E-2</v>
      </c>
      <c r="E15" s="64">
        <f t="shared" si="6"/>
        <v>6.905820480290327E-2</v>
      </c>
      <c r="F15" s="64">
        <f t="shared" si="6"/>
        <v>0.40763799630249142</v>
      </c>
      <c r="G15" s="64">
        <f t="shared" si="6"/>
        <v>0.20710772663821442</v>
      </c>
      <c r="I15" s="3"/>
    </row>
    <row r="16" spans="1:9" ht="15" customHeight="1">
      <c r="A16" s="49" t="s">
        <v>138</v>
      </c>
      <c r="B16" s="72">
        <f>'Drivers and Inputs'!B69</f>
        <v>667459</v>
      </c>
      <c r="C16" s="62">
        <f>'Drivers and Inputs'!C69</f>
        <v>583977</v>
      </c>
      <c r="D16" s="62">
        <f>'Drivers and Inputs'!D69</f>
        <v>531262</v>
      </c>
      <c r="E16" s="62">
        <f>'Drivers and Inputs'!E69</f>
        <v>567950</v>
      </c>
      <c r="F16" s="62">
        <f>'Drivers and Inputs'!F69</f>
        <v>799468</v>
      </c>
      <c r="G16" s="62">
        <f>'Drivers and Inputs'!G69</f>
        <v>965044</v>
      </c>
    </row>
    <row r="17" spans="1:7" ht="15" customHeight="1">
      <c r="A17" s="55" t="s">
        <v>139</v>
      </c>
      <c r="B17" s="72">
        <v>0</v>
      </c>
      <c r="C17" s="61">
        <f>C5/B16</f>
        <v>1.0707339327209611</v>
      </c>
      <c r="D17" s="61">
        <f t="shared" ref="D17:G17" si="7">D5/C16</f>
        <v>1.3601254843940771</v>
      </c>
      <c r="E17" s="61">
        <f t="shared" si="7"/>
        <v>1.8781448701394039</v>
      </c>
      <c r="F17" s="61">
        <f t="shared" si="7"/>
        <v>1.7431886609736773</v>
      </c>
      <c r="G17" s="61">
        <f t="shared" si="7"/>
        <v>1.7130204085717002</v>
      </c>
    </row>
    <row r="18" spans="1:7" ht="15" customHeight="1">
      <c r="A18" s="49" t="s">
        <v>346</v>
      </c>
      <c r="B18" s="72">
        <v>0</v>
      </c>
      <c r="C18" s="61">
        <f>C13/C16</f>
        <v>0.16794668283168687</v>
      </c>
      <c r="D18" s="61">
        <f t="shared" ref="D18:G18" si="8">D13/D16</f>
        <v>0.25993201094751744</v>
      </c>
      <c r="E18" s="61">
        <f t="shared" si="8"/>
        <v>0.29385157144114799</v>
      </c>
      <c r="F18" s="61">
        <f t="shared" si="8"/>
        <v>0.18612502314038837</v>
      </c>
      <c r="G18" s="61">
        <f t="shared" si="8"/>
        <v>0.16114602028508546</v>
      </c>
    </row>
    <row r="19" spans="1:7" ht="15" customHeight="1">
      <c r="A19" s="49" t="s">
        <v>347</v>
      </c>
      <c r="B19" s="72">
        <v>0</v>
      </c>
      <c r="C19" s="61">
        <f>'Drivers and Inputs'!C68</f>
        <v>-0.85118835200913567</v>
      </c>
      <c r="D19" s="61">
        <f>'Drivers and Inputs'!D68</f>
        <v>-0.38173826144888917</v>
      </c>
      <c r="E19" s="61">
        <f>'Drivers and Inputs'!E68</f>
        <v>0.21982947157759763</v>
      </c>
      <c r="F19" s="61">
        <f>'Drivers and Inputs'!F68</f>
        <v>1.5558900813838616</v>
      </c>
      <c r="G19" s="61">
        <f>'Drivers and Inputs'!G68</f>
        <v>1.0647084166597005</v>
      </c>
    </row>
    <row r="20" spans="1:7" ht="15" customHeight="1">
      <c r="A20" s="49" t="s">
        <v>348</v>
      </c>
      <c r="B20" s="72">
        <f>'Drivers and Inputs'!B72</f>
        <v>50934</v>
      </c>
      <c r="C20" s="63">
        <f>'Drivers and Inputs'!C72</f>
        <v>98077</v>
      </c>
      <c r="D20" s="63">
        <f>'Drivers and Inputs'!D72</f>
        <v>138092</v>
      </c>
      <c r="E20" s="63">
        <f>'Drivers and Inputs'!E72</f>
        <v>130205</v>
      </c>
      <c r="F20" s="63">
        <f>'Drivers and Inputs'!F72</f>
        <v>-82717</v>
      </c>
      <c r="G20" s="63">
        <f>'Drivers and Inputs'!G72</f>
        <v>-10063</v>
      </c>
    </row>
    <row r="21" spans="1:7" ht="15" customHeight="1">
      <c r="A21" s="48" t="s">
        <v>349</v>
      </c>
      <c r="B21" s="47"/>
      <c r="C21" s="47"/>
      <c r="D21" s="47"/>
      <c r="E21" s="47"/>
      <c r="F21" s="47"/>
      <c r="G21" s="47"/>
    </row>
    <row r="22" spans="1:7" ht="15" customHeight="1">
      <c r="A22" s="49" t="s">
        <v>350</v>
      </c>
      <c r="B22" s="72">
        <f>'Drivers and Inputs'!B84</f>
        <v>142515</v>
      </c>
      <c r="C22" s="72">
        <f>'Drivers and Inputs'!C84</f>
        <v>101248</v>
      </c>
      <c r="D22" s="72">
        <f>'Drivers and Inputs'!D84</f>
        <v>63380</v>
      </c>
      <c r="E22" s="72">
        <f>'Drivers and Inputs'!E84</f>
        <v>437</v>
      </c>
      <c r="F22" s="72">
        <f>'Drivers and Inputs'!F84</f>
        <v>5772</v>
      </c>
      <c r="G22" s="72">
        <f>'Drivers and Inputs'!G84</f>
        <v>4860</v>
      </c>
    </row>
    <row r="23" spans="1:7" ht="15" customHeight="1">
      <c r="A23" s="49" t="s">
        <v>351</v>
      </c>
      <c r="B23" s="72">
        <f>'Drivers and Inputs'!B79</f>
        <v>12500</v>
      </c>
      <c r="C23" s="72">
        <f>'Drivers and Inputs'!C79</f>
        <v>10500</v>
      </c>
      <c r="D23" s="72">
        <f>'Drivers and Inputs'!D79</f>
        <v>2160</v>
      </c>
      <c r="E23" s="72">
        <f>'Drivers and Inputs'!E79</f>
        <v>465</v>
      </c>
      <c r="F23" s="72">
        <f>'Drivers and Inputs'!F79</f>
        <v>426</v>
      </c>
      <c r="G23" s="72">
        <f>'Drivers and Inputs'!G79</f>
        <v>730</v>
      </c>
    </row>
    <row r="24" spans="1:7" ht="15" customHeight="1">
      <c r="A24" s="49" t="s">
        <v>352</v>
      </c>
      <c r="B24" s="72">
        <f>'Drivers and Inputs'!B81</f>
        <v>11800</v>
      </c>
      <c r="C24" s="72">
        <f>'Drivers and Inputs'!C81</f>
        <v>12400</v>
      </c>
      <c r="D24" s="72">
        <f>'Drivers and Inputs'!D81</f>
        <v>10587</v>
      </c>
      <c r="E24" s="72">
        <f>'Drivers and Inputs'!E81</f>
        <v>10079</v>
      </c>
      <c r="F24" s="72">
        <f>'Drivers and Inputs'!F81</f>
        <v>11471</v>
      </c>
      <c r="G24" s="72">
        <f>'Drivers and Inputs'!G81</f>
        <v>11491</v>
      </c>
    </row>
    <row r="25" spans="1:7" ht="15" customHeight="1">
      <c r="A25" s="49" t="s">
        <v>353</v>
      </c>
      <c r="B25" s="72">
        <f>B20-B22-B23-B24</f>
        <v>-115881</v>
      </c>
      <c r="C25" s="72">
        <f t="shared" ref="C25:G25" si="9">C20-C22-C23-C24</f>
        <v>-26071</v>
      </c>
      <c r="D25" s="72">
        <f t="shared" si="9"/>
        <v>61965</v>
      </c>
      <c r="E25" s="72">
        <f t="shared" si="9"/>
        <v>119224</v>
      </c>
      <c r="F25" s="72">
        <f t="shared" si="9"/>
        <v>-100386</v>
      </c>
      <c r="G25" s="72">
        <f t="shared" si="9"/>
        <v>-27144</v>
      </c>
    </row>
    <row r="26" spans="1:7" ht="15" customHeight="1"/>
    <row r="27" spans="1:7" ht="15" customHeight="1">
      <c r="A27" s="49"/>
      <c r="B27" s="72"/>
      <c r="C27" s="72"/>
      <c r="D27" s="72"/>
      <c r="E27" s="72"/>
      <c r="F27" s="72"/>
      <c r="G27" s="72"/>
    </row>
    <row r="28" spans="1:7" ht="15" customHeight="1">
      <c r="A28" s="49"/>
      <c r="B28" s="43"/>
      <c r="C28" s="43"/>
      <c r="D28" s="43"/>
      <c r="E28" s="43"/>
      <c r="F28" s="43"/>
      <c r="G28" s="43"/>
    </row>
    <row r="29" spans="1:7" ht="15" customHeight="1">
      <c r="A29" s="49"/>
      <c r="B29" s="72"/>
      <c r="C29" s="72"/>
      <c r="D29" s="72"/>
      <c r="E29" s="72"/>
      <c r="F29" s="72"/>
      <c r="G29" s="72"/>
    </row>
    <row r="30" spans="1:7" ht="15" customHeight="1">
      <c r="A30" s="49"/>
      <c r="B30" s="50"/>
      <c r="C30" s="50"/>
      <c r="D30" s="50"/>
      <c r="E30" s="50"/>
      <c r="F30" s="50"/>
      <c r="G30" s="50"/>
    </row>
    <row r="31" spans="1:7">
      <c r="A31" s="49"/>
      <c r="G31" s="50"/>
    </row>
    <row r="32" spans="1:7">
      <c r="A32" s="49"/>
    </row>
    <row r="33" spans="1:1">
      <c r="A33" s="49"/>
    </row>
    <row r="34" spans="1:1">
      <c r="A34" s="49"/>
    </row>
    <row r="35" spans="1:1">
      <c r="A35" s="49"/>
    </row>
    <row r="36" spans="1:1">
      <c r="A36" s="49"/>
    </row>
    <row r="37" spans="1:1">
      <c r="A37" s="49"/>
    </row>
    <row r="38" spans="1:1">
      <c r="A38" s="49"/>
    </row>
    <row r="39" spans="1:1">
      <c r="A39" s="49"/>
    </row>
    <row r="40" spans="1:1">
      <c r="A40" s="49"/>
    </row>
  </sheetData>
  <mergeCells count="1">
    <mergeCell ref="A1:F1"/>
  </mergeCells>
  <pageMargins left="0.25" right="0.25"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4B23E-C966-4377-B0C7-C9B748DBB1C7}">
  <sheetPr>
    <pageSetUpPr fitToPage="1"/>
  </sheetPr>
  <dimension ref="A1:W204"/>
  <sheetViews>
    <sheetView showGridLines="0" zoomScaleNormal="100" workbookViewId="0">
      <selection activeCell="M17" sqref="M17"/>
    </sheetView>
  </sheetViews>
  <sheetFormatPr defaultRowHeight="15"/>
  <cols>
    <col min="1" max="1" width="45.7109375" customWidth="1"/>
    <col min="2" max="17" width="13.7109375" customWidth="1"/>
    <col min="18" max="20" width="11.5703125" bestFit="1" customWidth="1"/>
  </cols>
  <sheetData>
    <row r="1" spans="1:23">
      <c r="A1" s="106" t="s">
        <v>354</v>
      </c>
    </row>
    <row r="2" spans="1:23">
      <c r="A2" s="48" t="s">
        <v>355</v>
      </c>
      <c r="B2" s="113" t="s">
        <v>356</v>
      </c>
      <c r="C2" s="113" t="s">
        <v>357</v>
      </c>
      <c r="D2" s="113" t="s">
        <v>358</v>
      </c>
      <c r="E2" s="113" t="s">
        <v>359</v>
      </c>
      <c r="F2" s="113" t="s">
        <v>360</v>
      </c>
      <c r="G2" s="113" t="s">
        <v>361</v>
      </c>
      <c r="H2" s="113" t="s">
        <v>362</v>
      </c>
      <c r="I2" s="113" t="s">
        <v>363</v>
      </c>
      <c r="J2" s="113" t="s">
        <v>364</v>
      </c>
      <c r="K2" s="113" t="s">
        <v>365</v>
      </c>
      <c r="L2" s="70"/>
      <c r="M2" s="70"/>
      <c r="N2" s="70"/>
      <c r="O2" s="70"/>
      <c r="P2" s="70"/>
      <c r="Q2" s="70"/>
      <c r="R2" s="70"/>
      <c r="S2" s="70"/>
      <c r="T2" s="70"/>
      <c r="U2" s="70"/>
      <c r="V2" s="70"/>
    </row>
    <row r="3" spans="1:23" ht="1.5" customHeight="1">
      <c r="C3" s="71"/>
      <c r="D3" s="71"/>
      <c r="E3" s="71"/>
      <c r="F3" s="71"/>
      <c r="G3" s="71"/>
      <c r="H3" s="71"/>
      <c r="I3" s="71"/>
      <c r="J3" s="71"/>
      <c r="K3" s="71"/>
      <c r="L3" s="70"/>
      <c r="M3" s="70"/>
      <c r="N3" s="70"/>
      <c r="O3" s="70"/>
      <c r="P3" s="70"/>
      <c r="Q3" s="70"/>
      <c r="R3" s="70"/>
      <c r="S3" s="70"/>
      <c r="T3" s="70"/>
      <c r="U3" s="70"/>
      <c r="V3" s="70"/>
    </row>
    <row r="4" spans="1:23" ht="15" customHeight="1">
      <c r="A4" s="188" t="s">
        <v>366</v>
      </c>
      <c r="B4" s="71"/>
      <c r="C4" s="71"/>
      <c r="D4" s="71"/>
      <c r="E4" s="71"/>
      <c r="F4" s="71"/>
      <c r="G4" s="71"/>
      <c r="H4" s="71"/>
      <c r="I4" s="71"/>
      <c r="J4" s="71"/>
      <c r="K4" s="71"/>
      <c r="L4" s="70"/>
      <c r="M4" s="70"/>
      <c r="N4" s="70"/>
      <c r="O4" s="70"/>
      <c r="P4" s="70"/>
      <c r="Q4" s="70"/>
      <c r="R4" s="70"/>
      <c r="S4" s="70"/>
      <c r="T4" s="70"/>
      <c r="U4" s="70"/>
      <c r="V4" s="70"/>
    </row>
    <row r="5" spans="1:23">
      <c r="A5" s="189" t="s">
        <v>345</v>
      </c>
      <c r="B5" s="190">
        <f>H40</f>
        <v>0.17</v>
      </c>
      <c r="C5" s="190">
        <f t="shared" ref="C5:K5" si="0">I40</f>
        <v>0.16</v>
      </c>
      <c r="D5" s="190">
        <f t="shared" si="0"/>
        <v>0.15</v>
      </c>
      <c r="E5" s="190">
        <f t="shared" si="0"/>
        <v>0.14000000000000001</v>
      </c>
      <c r="F5" s="190">
        <f t="shared" si="0"/>
        <v>0.13</v>
      </c>
      <c r="G5" s="190">
        <f t="shared" si="0"/>
        <v>0.12</v>
      </c>
      <c r="H5" s="190">
        <f t="shared" si="0"/>
        <v>0.11</v>
      </c>
      <c r="I5" s="190">
        <f t="shared" si="0"/>
        <v>0.1</v>
      </c>
      <c r="J5" s="190">
        <f t="shared" si="0"/>
        <v>0.1</v>
      </c>
      <c r="K5" s="190">
        <f t="shared" si="0"/>
        <v>0.1</v>
      </c>
      <c r="L5" s="70"/>
      <c r="M5" s="70"/>
      <c r="N5" s="70"/>
      <c r="O5" s="70"/>
      <c r="P5" s="70"/>
      <c r="Q5" s="70"/>
      <c r="R5" s="70"/>
      <c r="S5" s="70"/>
      <c r="T5" s="70"/>
      <c r="U5" s="70"/>
      <c r="V5" s="70"/>
    </row>
    <row r="6" spans="1:23">
      <c r="A6" s="189" t="s">
        <v>367</v>
      </c>
      <c r="B6" s="190">
        <f>H32</f>
        <v>0.4</v>
      </c>
      <c r="C6" s="190">
        <f t="shared" ref="C6:K6" si="1">I32</f>
        <v>0.4</v>
      </c>
      <c r="D6" s="190">
        <f t="shared" si="1"/>
        <v>0.4</v>
      </c>
      <c r="E6" s="190">
        <f t="shared" si="1"/>
        <v>0.4</v>
      </c>
      <c r="F6" s="190">
        <f t="shared" si="1"/>
        <v>0.4</v>
      </c>
      <c r="G6" s="190">
        <f t="shared" si="1"/>
        <v>0.4</v>
      </c>
      <c r="H6" s="190">
        <f t="shared" si="1"/>
        <v>0.4</v>
      </c>
      <c r="I6" s="190">
        <f t="shared" si="1"/>
        <v>0.4</v>
      </c>
      <c r="J6" s="190">
        <f t="shared" si="1"/>
        <v>0.4</v>
      </c>
      <c r="K6" s="190">
        <f t="shared" si="1"/>
        <v>0.4</v>
      </c>
      <c r="L6" s="70"/>
      <c r="M6" s="70"/>
      <c r="N6" s="70"/>
      <c r="O6" s="70"/>
      <c r="P6" s="70"/>
      <c r="Q6" s="70"/>
      <c r="R6" s="70"/>
      <c r="S6" s="70"/>
      <c r="T6" s="70"/>
      <c r="U6" s="70"/>
      <c r="V6" s="70"/>
    </row>
    <row r="7" spans="1:23">
      <c r="A7" s="68" t="s">
        <v>368</v>
      </c>
      <c r="B7" s="191">
        <f>H35</f>
        <v>0.2</v>
      </c>
      <c r="C7" s="191">
        <f t="shared" ref="C7:K7" si="2">I35</f>
        <v>0.2</v>
      </c>
      <c r="D7" s="191">
        <f t="shared" si="2"/>
        <v>0.2</v>
      </c>
      <c r="E7" s="191">
        <f t="shared" si="2"/>
        <v>0.2</v>
      </c>
      <c r="F7" s="191">
        <f t="shared" si="2"/>
        <v>0.2</v>
      </c>
      <c r="G7" s="191">
        <f t="shared" si="2"/>
        <v>0.2</v>
      </c>
      <c r="H7" s="191">
        <f t="shared" si="2"/>
        <v>0.2</v>
      </c>
      <c r="I7" s="191">
        <f t="shared" si="2"/>
        <v>0.2</v>
      </c>
      <c r="J7" s="191">
        <f t="shared" si="2"/>
        <v>0.2</v>
      </c>
      <c r="K7" s="191">
        <f t="shared" si="2"/>
        <v>0.2</v>
      </c>
      <c r="L7" s="114"/>
      <c r="M7" s="70"/>
      <c r="N7" s="70"/>
      <c r="O7" s="70"/>
      <c r="P7" s="70"/>
      <c r="Q7" s="70"/>
      <c r="R7" s="70"/>
      <c r="S7" s="70"/>
      <c r="T7" s="70"/>
      <c r="U7" s="70"/>
      <c r="V7" s="70"/>
    </row>
    <row r="8" spans="1:23">
      <c r="A8" s="68" t="s">
        <v>369</v>
      </c>
      <c r="B8" s="191">
        <f>H38</f>
        <v>0.4</v>
      </c>
      <c r="C8" s="191">
        <f t="shared" ref="C8:K8" si="3">I38</f>
        <v>0.4</v>
      </c>
      <c r="D8" s="191">
        <f t="shared" si="3"/>
        <v>0.4</v>
      </c>
      <c r="E8" s="191">
        <f t="shared" si="3"/>
        <v>0.4</v>
      </c>
      <c r="F8" s="191">
        <f t="shared" si="3"/>
        <v>0.4</v>
      </c>
      <c r="G8" s="191">
        <f t="shared" si="3"/>
        <v>0.4</v>
      </c>
      <c r="H8" s="191">
        <f t="shared" si="3"/>
        <v>0.4</v>
      </c>
      <c r="I8" s="191">
        <f t="shared" si="3"/>
        <v>0.4</v>
      </c>
      <c r="J8" s="191">
        <f t="shared" si="3"/>
        <v>0.4</v>
      </c>
      <c r="K8" s="191">
        <f t="shared" si="3"/>
        <v>0.4</v>
      </c>
      <c r="L8" s="115"/>
      <c r="M8" s="70"/>
      <c r="N8" s="70"/>
      <c r="O8" s="70"/>
      <c r="P8" s="70"/>
      <c r="Q8" s="70"/>
      <c r="R8" s="70"/>
      <c r="S8" s="70"/>
      <c r="T8" s="70"/>
      <c r="U8" s="70"/>
      <c r="V8" s="70"/>
      <c r="W8" s="70"/>
    </row>
    <row r="9" spans="1:23">
      <c r="A9" s="42" t="s">
        <v>370</v>
      </c>
      <c r="B9" s="192"/>
      <c r="C9" s="190"/>
      <c r="D9" s="190"/>
      <c r="E9" s="190"/>
      <c r="F9" s="190"/>
      <c r="G9" s="190"/>
      <c r="H9" s="190"/>
      <c r="I9" s="190"/>
      <c r="J9" s="190"/>
      <c r="K9" s="190"/>
      <c r="L9" s="70"/>
      <c r="M9" s="70"/>
      <c r="N9" s="70"/>
      <c r="O9" s="70"/>
      <c r="P9" s="70"/>
      <c r="Q9" s="70"/>
      <c r="R9" s="70"/>
      <c r="S9" s="70"/>
      <c r="T9" s="70"/>
      <c r="U9" s="70"/>
      <c r="V9" s="70"/>
      <c r="W9" s="70"/>
    </row>
    <row r="10" spans="1:23">
      <c r="A10" s="68" t="s">
        <v>371</v>
      </c>
      <c r="B10" s="191">
        <f>H42</f>
        <v>1.7</v>
      </c>
      <c r="C10" s="191">
        <f t="shared" ref="C10:K10" si="4">I42</f>
        <v>1.7</v>
      </c>
      <c r="D10" s="191">
        <f t="shared" si="4"/>
        <v>1.67</v>
      </c>
      <c r="E10" s="191">
        <f t="shared" si="4"/>
        <v>1.65</v>
      </c>
      <c r="F10" s="191">
        <f t="shared" si="4"/>
        <v>1.63</v>
      </c>
      <c r="G10" s="191">
        <f t="shared" si="4"/>
        <v>1.6</v>
      </c>
      <c r="H10" s="191">
        <f t="shared" si="4"/>
        <v>1.57</v>
      </c>
      <c r="I10" s="191">
        <f t="shared" si="4"/>
        <v>1.55</v>
      </c>
      <c r="J10" s="191">
        <f t="shared" si="4"/>
        <v>1.53</v>
      </c>
      <c r="K10" s="191">
        <f t="shared" si="4"/>
        <v>1.5</v>
      </c>
      <c r="L10" s="70"/>
      <c r="M10" s="70"/>
      <c r="N10" s="70"/>
      <c r="O10" s="70"/>
      <c r="P10" s="70"/>
      <c r="Q10" s="70"/>
      <c r="R10" s="70"/>
      <c r="S10" s="70"/>
      <c r="T10" s="70"/>
      <c r="U10" s="70"/>
      <c r="V10" s="70"/>
      <c r="W10" s="70"/>
    </row>
    <row r="11" spans="1:23">
      <c r="A11" s="42" t="s">
        <v>372</v>
      </c>
      <c r="B11" s="193"/>
      <c r="C11" s="193"/>
      <c r="D11" s="193"/>
      <c r="E11" s="193"/>
      <c r="F11" s="193"/>
      <c r="G11" s="193"/>
      <c r="H11" s="193"/>
      <c r="I11" s="193"/>
      <c r="J11" s="193"/>
      <c r="K11" s="193"/>
      <c r="L11" s="70"/>
      <c r="M11" s="70"/>
      <c r="N11" s="70"/>
      <c r="O11" s="70"/>
      <c r="P11" s="70"/>
      <c r="Q11" s="70"/>
      <c r="R11" s="70"/>
      <c r="S11" s="70"/>
      <c r="T11" s="70"/>
      <c r="U11" s="70"/>
      <c r="V11" s="70"/>
      <c r="W11" s="70"/>
    </row>
    <row r="12" spans="1:23">
      <c r="A12" s="68" t="s">
        <v>94</v>
      </c>
      <c r="B12" s="194">
        <f>1-H56</f>
        <v>0.20999999999999996</v>
      </c>
      <c r="C12" s="194">
        <f t="shared" ref="C12:K12" si="5">1-I56</f>
        <v>0.20999999999999996</v>
      </c>
      <c r="D12" s="194">
        <f t="shared" si="5"/>
        <v>0.19999999999999996</v>
      </c>
      <c r="E12" s="194">
        <f t="shared" si="5"/>
        <v>0.19999999999999996</v>
      </c>
      <c r="F12" s="194">
        <f t="shared" si="5"/>
        <v>0.18999999999999995</v>
      </c>
      <c r="G12" s="194">
        <f t="shared" si="5"/>
        <v>0.18999999999999995</v>
      </c>
      <c r="H12" s="194">
        <f t="shared" si="5"/>
        <v>0.18000000000000005</v>
      </c>
      <c r="I12" s="194">
        <f t="shared" si="5"/>
        <v>0.18000000000000005</v>
      </c>
      <c r="J12" s="194">
        <f t="shared" si="5"/>
        <v>0.18000000000000005</v>
      </c>
      <c r="K12" s="194">
        <f t="shared" si="5"/>
        <v>0.18000000000000005</v>
      </c>
      <c r="L12" s="70"/>
      <c r="M12" s="70"/>
      <c r="N12" s="70"/>
      <c r="O12" s="70"/>
      <c r="P12" s="70"/>
      <c r="Q12" s="70"/>
      <c r="R12" s="70"/>
      <c r="S12" s="70"/>
      <c r="T12" s="70"/>
      <c r="U12" s="70"/>
      <c r="V12" s="70"/>
      <c r="W12" s="70"/>
    </row>
    <row r="13" spans="1:23">
      <c r="A13" s="68" t="s">
        <v>340</v>
      </c>
      <c r="B13" s="190">
        <f>H60</f>
        <v>0.24</v>
      </c>
      <c r="C13" s="190">
        <f t="shared" ref="C13:K13" si="6">I60</f>
        <v>0.24</v>
      </c>
      <c r="D13" s="190">
        <f t="shared" si="6"/>
        <v>0.24</v>
      </c>
      <c r="E13" s="190">
        <f t="shared" si="6"/>
        <v>0.24</v>
      </c>
      <c r="F13" s="190">
        <f t="shared" si="6"/>
        <v>0.24</v>
      </c>
      <c r="G13" s="190">
        <f t="shared" si="6"/>
        <v>0.24</v>
      </c>
      <c r="H13" s="190">
        <f t="shared" si="6"/>
        <v>0.24</v>
      </c>
      <c r="I13" s="190">
        <f t="shared" si="6"/>
        <v>0.24</v>
      </c>
      <c r="J13" s="190">
        <f t="shared" si="6"/>
        <v>0.24</v>
      </c>
      <c r="K13" s="190">
        <f t="shared" si="6"/>
        <v>0.24</v>
      </c>
      <c r="L13" s="70"/>
      <c r="M13" s="70"/>
      <c r="N13" s="70"/>
      <c r="O13" s="70"/>
      <c r="P13" s="70"/>
      <c r="Q13" s="70"/>
      <c r="R13" s="70"/>
      <c r="S13" s="70"/>
      <c r="T13" s="70"/>
      <c r="U13" s="70"/>
      <c r="V13" s="70"/>
      <c r="W13" s="70"/>
    </row>
    <row r="14" spans="1:23">
      <c r="A14" s="73" t="s">
        <v>373</v>
      </c>
      <c r="B14" s="195">
        <f>H80</f>
        <v>7.0000000000000007E-2</v>
      </c>
      <c r="C14" s="195">
        <f t="shared" ref="C14:K14" si="7">I80</f>
        <v>7.0000000000000007E-2</v>
      </c>
      <c r="D14" s="195">
        <f t="shared" si="7"/>
        <v>7.0000000000000007E-2</v>
      </c>
      <c r="E14" s="195">
        <f t="shared" si="7"/>
        <v>7.0000000000000007E-2</v>
      </c>
      <c r="F14" s="195">
        <f t="shared" si="7"/>
        <v>7.0000000000000007E-2</v>
      </c>
      <c r="G14" s="195">
        <f t="shared" si="7"/>
        <v>7.0000000000000007E-2</v>
      </c>
      <c r="H14" s="195">
        <f t="shared" si="7"/>
        <v>7.0000000000000007E-2</v>
      </c>
      <c r="I14" s="195">
        <f t="shared" si="7"/>
        <v>7.0000000000000007E-2</v>
      </c>
      <c r="J14" s="195">
        <f t="shared" si="7"/>
        <v>7.0000000000000007E-2</v>
      </c>
      <c r="K14" s="195">
        <f t="shared" si="7"/>
        <v>7.0000000000000007E-2</v>
      </c>
      <c r="L14" s="70"/>
      <c r="M14" s="70"/>
      <c r="N14" s="70"/>
      <c r="O14" s="70"/>
      <c r="P14" s="70"/>
      <c r="Q14" s="70"/>
      <c r="R14" s="70"/>
      <c r="S14" s="70"/>
      <c r="T14" s="70"/>
      <c r="U14" s="70"/>
      <c r="V14" s="70"/>
      <c r="W14" s="70"/>
    </row>
    <row r="15" spans="1:23">
      <c r="A15" s="73" t="s">
        <v>374</v>
      </c>
      <c r="B15" s="194">
        <f>H82</f>
        <v>6.5109992660536492E-2</v>
      </c>
      <c r="C15" s="194">
        <f t="shared" ref="C15:K15" si="8">I82</f>
        <v>6.5109992660536492E-2</v>
      </c>
      <c r="D15" s="194">
        <f t="shared" si="8"/>
        <v>6.5109992660536492E-2</v>
      </c>
      <c r="E15" s="194">
        <f t="shared" si="8"/>
        <v>6.5109992660536492E-2</v>
      </c>
      <c r="F15" s="194">
        <f t="shared" si="8"/>
        <v>6.5109992660536492E-2</v>
      </c>
      <c r="G15" s="194">
        <f t="shared" si="8"/>
        <v>6.5109992660536492E-2</v>
      </c>
      <c r="H15" s="194">
        <f t="shared" si="8"/>
        <v>6.5109992660536492E-2</v>
      </c>
      <c r="I15" s="194">
        <f t="shared" si="8"/>
        <v>6.5109992660536492E-2</v>
      </c>
      <c r="J15" s="194">
        <f t="shared" si="8"/>
        <v>6.5109992660536492E-2</v>
      </c>
      <c r="K15" s="194">
        <f t="shared" si="8"/>
        <v>6.5109992660536492E-2</v>
      </c>
      <c r="L15" s="70"/>
      <c r="M15" s="70"/>
      <c r="N15" s="70"/>
      <c r="O15" s="70"/>
      <c r="P15" s="70"/>
      <c r="Q15" s="70"/>
      <c r="R15" s="70"/>
      <c r="S15" s="70"/>
      <c r="T15" s="70"/>
      <c r="U15" s="70"/>
      <c r="V15" s="70"/>
      <c r="W15" s="70"/>
    </row>
    <row r="16" spans="1:23">
      <c r="A16" s="73"/>
      <c r="B16" s="69"/>
      <c r="C16" s="69"/>
      <c r="D16" s="69"/>
      <c r="E16" s="69"/>
      <c r="F16" s="69"/>
      <c r="G16" s="69"/>
      <c r="H16" s="69"/>
      <c r="I16" s="69"/>
      <c r="J16" s="69"/>
      <c r="K16" s="69"/>
      <c r="L16" s="70"/>
      <c r="M16" s="70"/>
      <c r="N16" s="70"/>
      <c r="O16" s="70"/>
      <c r="P16" s="70"/>
      <c r="Q16" s="70"/>
      <c r="R16" s="70"/>
      <c r="S16" s="70"/>
      <c r="T16" s="70"/>
      <c r="U16" s="70"/>
      <c r="V16" s="70"/>
      <c r="W16" s="70"/>
    </row>
    <row r="17" spans="1:23">
      <c r="A17" s="48" t="s">
        <v>375</v>
      </c>
      <c r="B17" s="48" t="s">
        <v>69</v>
      </c>
      <c r="C17" s="69"/>
      <c r="D17" s="69"/>
      <c r="E17" s="69"/>
      <c r="F17" s="69"/>
      <c r="G17" s="69"/>
      <c r="H17" s="69"/>
      <c r="I17" s="69"/>
      <c r="J17" s="69"/>
      <c r="K17" s="69"/>
      <c r="L17" s="70"/>
      <c r="M17" s="70"/>
      <c r="N17" s="70"/>
      <c r="O17" s="70"/>
      <c r="P17" s="70"/>
      <c r="Q17" s="70"/>
      <c r="R17" s="70"/>
      <c r="S17" s="70"/>
      <c r="T17" s="70"/>
      <c r="U17" s="70"/>
      <c r="V17" s="70"/>
      <c r="W17" s="70"/>
    </row>
    <row r="18" spans="1:23">
      <c r="A18" s="71" t="s">
        <v>376</v>
      </c>
      <c r="B18" s="187">
        <v>2.75</v>
      </c>
      <c r="C18" s="70"/>
      <c r="D18" s="70"/>
      <c r="E18" s="70"/>
      <c r="F18" s="70"/>
      <c r="G18" s="70"/>
      <c r="H18" s="70"/>
      <c r="I18" s="70"/>
      <c r="J18" s="70"/>
      <c r="K18" s="70"/>
      <c r="L18" s="70"/>
      <c r="M18" s="70"/>
      <c r="N18" s="70"/>
      <c r="O18" s="70"/>
      <c r="P18" s="70"/>
      <c r="Q18" s="70"/>
      <c r="R18" s="70"/>
      <c r="S18" s="70"/>
      <c r="T18" s="70"/>
      <c r="U18" s="70"/>
      <c r="V18" s="70"/>
      <c r="W18" s="70"/>
    </row>
    <row r="19" spans="1:23">
      <c r="A19" s="71" t="s">
        <v>172</v>
      </c>
      <c r="B19" s="51">
        <v>668894</v>
      </c>
      <c r="C19" s="70"/>
      <c r="D19" s="70"/>
      <c r="E19" s="70"/>
      <c r="F19" s="70"/>
      <c r="G19" s="70"/>
      <c r="H19" s="70"/>
      <c r="I19" s="70"/>
      <c r="J19" s="70"/>
      <c r="K19" s="70"/>
      <c r="L19" s="70"/>
      <c r="M19" s="70"/>
      <c r="N19" s="70"/>
      <c r="O19" s="70"/>
      <c r="P19" s="70"/>
      <c r="Q19" s="70"/>
      <c r="R19" s="70"/>
      <c r="S19" s="70"/>
      <c r="T19" s="70"/>
      <c r="U19" s="70"/>
      <c r="V19" s="70"/>
      <c r="W19" s="70"/>
    </row>
    <row r="20" spans="1:23">
      <c r="A20" s="71" t="s">
        <v>377</v>
      </c>
      <c r="B20" s="51">
        <f>B18*B19</f>
        <v>1839458.5</v>
      </c>
      <c r="C20" s="70"/>
      <c r="D20" s="70"/>
      <c r="E20" s="70"/>
      <c r="F20" s="70"/>
      <c r="G20" s="70"/>
      <c r="H20" s="70"/>
      <c r="I20" s="70"/>
      <c r="J20" s="70"/>
      <c r="K20" s="70"/>
      <c r="L20" s="70"/>
      <c r="M20" s="70"/>
      <c r="N20" s="70"/>
      <c r="O20" s="70"/>
      <c r="P20" s="70"/>
      <c r="Q20" s="70"/>
      <c r="R20" s="70"/>
      <c r="S20" s="70"/>
      <c r="T20" s="70"/>
      <c r="U20" s="70"/>
      <c r="V20" s="70"/>
      <c r="W20" s="70"/>
    </row>
    <row r="21" spans="1:23">
      <c r="A21" s="70"/>
      <c r="B21" s="70"/>
      <c r="C21" s="70"/>
      <c r="D21" s="70"/>
      <c r="E21" s="70"/>
      <c r="F21" s="70"/>
      <c r="G21" s="70"/>
      <c r="H21" s="70"/>
      <c r="I21" s="70"/>
      <c r="J21" s="70"/>
      <c r="K21" s="70"/>
      <c r="L21" s="70"/>
      <c r="M21" s="70"/>
      <c r="N21" s="70"/>
      <c r="O21" s="70"/>
      <c r="P21" s="70"/>
      <c r="Q21" s="70"/>
      <c r="R21" s="70"/>
      <c r="S21" s="70"/>
      <c r="T21" s="70"/>
      <c r="U21" s="70"/>
      <c r="V21" s="70"/>
      <c r="W21" s="70"/>
    </row>
    <row r="22" spans="1:23">
      <c r="A22" s="108" t="s">
        <v>378</v>
      </c>
      <c r="B22" s="107"/>
      <c r="C22" s="109"/>
      <c r="D22" s="109"/>
      <c r="E22" s="109"/>
      <c r="F22" s="109"/>
      <c r="G22" s="109"/>
      <c r="H22" s="110" t="s">
        <v>379</v>
      </c>
      <c r="I22" s="110"/>
      <c r="J22" s="110"/>
      <c r="K22" s="110"/>
      <c r="L22" s="111"/>
      <c r="M22" s="111"/>
      <c r="N22" s="111"/>
      <c r="O22" s="111"/>
      <c r="P22" s="111"/>
      <c r="Q22" s="111"/>
    </row>
    <row r="23" spans="1:23">
      <c r="A23" s="201" t="s">
        <v>380</v>
      </c>
      <c r="B23" s="196" t="s">
        <v>331</v>
      </c>
      <c r="C23" s="196" t="s">
        <v>332</v>
      </c>
      <c r="D23" s="196" t="s">
        <v>333</v>
      </c>
      <c r="E23" s="196" t="s">
        <v>334</v>
      </c>
      <c r="F23" s="196" t="s">
        <v>335</v>
      </c>
      <c r="G23" s="196" t="s">
        <v>336</v>
      </c>
      <c r="H23" s="196" t="s">
        <v>356</v>
      </c>
      <c r="I23" s="196" t="s">
        <v>357</v>
      </c>
      <c r="J23" s="196" t="s">
        <v>358</v>
      </c>
      <c r="K23" s="196" t="s">
        <v>359</v>
      </c>
      <c r="L23" s="196" t="s">
        <v>360</v>
      </c>
      <c r="M23" s="196" t="s">
        <v>361</v>
      </c>
      <c r="N23" s="196" t="s">
        <v>362</v>
      </c>
      <c r="O23" s="196" t="s">
        <v>363</v>
      </c>
      <c r="P23" s="196" t="s">
        <v>364</v>
      </c>
      <c r="Q23" s="196" t="s">
        <v>365</v>
      </c>
    </row>
    <row r="24" spans="1:23">
      <c r="A24" t="s">
        <v>135</v>
      </c>
      <c r="B24" s="50">
        <f>'Financial Statements'!B2</f>
        <v>632659</v>
      </c>
      <c r="C24" s="50">
        <f>'Financial Statements'!C2</f>
        <v>714671</v>
      </c>
      <c r="D24" s="50">
        <f>'Financial Statements'!D2</f>
        <v>794282</v>
      </c>
      <c r="E24" s="50">
        <f>'Financial Statements'!E2</f>
        <v>997787</v>
      </c>
      <c r="F24" s="50">
        <f>'Financial Statements'!F2</f>
        <v>990044</v>
      </c>
      <c r="G24" s="50">
        <f>'Financial Statements'!G2</f>
        <v>1369505</v>
      </c>
      <c r="H24" s="50">
        <f>G41*H42</f>
        <v>1640574.8</v>
      </c>
      <c r="I24" s="50">
        <f>H41*I42</f>
        <v>1919472.5159999998</v>
      </c>
      <c r="J24" s="50">
        <f t="shared" ref="J24:Q24" si="9">I41*J42</f>
        <v>2187295.3870559996</v>
      </c>
      <c r="K24" s="50">
        <f t="shared" si="9"/>
        <v>2485265.2676279992</v>
      </c>
      <c r="L24" s="50">
        <f t="shared" si="9"/>
        <v>2798860.5577614238</v>
      </c>
      <c r="M24" s="50">
        <f t="shared" si="9"/>
        <v>3104502.9990384378</v>
      </c>
      <c r="N24" s="50">
        <f t="shared" si="9"/>
        <v>3411848.7959432439</v>
      </c>
      <c r="O24" s="50">
        <f t="shared" si="9"/>
        <v>3738908.1868919437</v>
      </c>
      <c r="P24" s="50">
        <f t="shared" si="9"/>
        <v>4059730.631315575</v>
      </c>
      <c r="Q24" s="50">
        <f t="shared" si="9"/>
        <v>4378140.8769089533</v>
      </c>
    </row>
    <row r="25" spans="1:23">
      <c r="B25" s="50"/>
      <c r="C25" s="50"/>
      <c r="D25" s="50"/>
      <c r="E25" s="50"/>
      <c r="F25" s="50"/>
      <c r="G25" s="50"/>
      <c r="H25" s="50"/>
      <c r="I25" s="50"/>
      <c r="J25" s="71"/>
      <c r="K25" s="71"/>
    </row>
    <row r="26" spans="1:23">
      <c r="A26" t="s">
        <v>381</v>
      </c>
      <c r="B26" s="50">
        <f>'Financial Statements'!B45-SUM('Financial Statements'!B40:B44)</f>
        <v>311899</v>
      </c>
      <c r="C26" s="50">
        <f>'Financial Statements'!C45-SUM('Financial Statements'!C40:C44)</f>
        <v>165352</v>
      </c>
      <c r="D26" s="50">
        <f>'Financial Statements'!D45-SUM('Financial Statements'!D40:D44)</f>
        <v>128259</v>
      </c>
      <c r="E26" s="50">
        <f>'Financial Statements'!E45-SUM('Financial Statements'!E40:E44)</f>
        <v>137252</v>
      </c>
      <c r="F26" s="50">
        <f>'Financial Statements'!F45-SUM('Financial Statements'!F40:F44)</f>
        <v>133991</v>
      </c>
      <c r="G26" s="50">
        <f>'Financial Statements'!G45-SUM('Financial Statements'!G40:G44)</f>
        <v>177044</v>
      </c>
      <c r="H26" s="50">
        <v>323854.82999999996</v>
      </c>
      <c r="I26" s="50">
        <f>H26*(1+I40)</f>
        <v>375671.60279999994</v>
      </c>
      <c r="J26" s="50">
        <f t="shared" ref="J26:Q26" si="10">I26*(1+J40)</f>
        <v>432022.34321999986</v>
      </c>
      <c r="K26" s="50">
        <f t="shared" si="10"/>
        <v>492505.47127079993</v>
      </c>
      <c r="L26" s="50">
        <f t="shared" si="10"/>
        <v>556531.18253600388</v>
      </c>
      <c r="M26" s="50">
        <f t="shared" si="10"/>
        <v>623314.92444032442</v>
      </c>
      <c r="N26" s="50">
        <f t="shared" si="10"/>
        <v>691879.56612876023</v>
      </c>
      <c r="O26" s="50">
        <f t="shared" si="10"/>
        <v>761067.52274163626</v>
      </c>
      <c r="P26" s="50">
        <f t="shared" si="10"/>
        <v>837174.27501579991</v>
      </c>
      <c r="Q26" s="50">
        <f t="shared" si="10"/>
        <v>920891.70251738001</v>
      </c>
    </row>
    <row r="27" spans="1:23">
      <c r="A27" t="s">
        <v>382</v>
      </c>
      <c r="B27" s="50">
        <f>('Financial Statements'!B56-'Financial Statements'!B51-'Financial Statements'!B52-'Financial Statements'!B53-'Financial Statements'!B54-'Financial Statements'!B55)</f>
        <v>230645</v>
      </c>
      <c r="C27" s="50">
        <f>('Financial Statements'!C56-'Financial Statements'!C51-'Financial Statements'!C52-'Financial Statements'!C53-'Financial Statements'!C54-'Financial Statements'!C55)</f>
        <v>179305</v>
      </c>
      <c r="D27" s="50">
        <f>('Financial Statements'!D56-'Financial Statements'!D51-'Financial Statements'!D52-'Financial Statements'!D53-'Financial Statements'!D54-'Financial Statements'!D55)</f>
        <v>144645</v>
      </c>
      <c r="E27" s="50">
        <f>('Financial Statements'!E56-'Financial Statements'!E51-'Financial Statements'!E52-'Financial Statements'!E53-'Financial Statements'!E54-'Financial Statements'!E55)</f>
        <v>157175</v>
      </c>
      <c r="F27" s="50">
        <f>('Financial Statements'!F56-'Financial Statements'!F51-'Financial Statements'!F52-'Financial Statements'!F53-'Financial Statements'!F54-'Financial Statements'!F55)</f>
        <v>185360</v>
      </c>
      <c r="G27" s="50">
        <f>('Financial Statements'!G56-'Financial Statements'!G51-'Financial Statements'!G52-'Financial Statements'!G53-'Financial Statements'!G54-'Financial Statements'!G55)</f>
        <v>276799</v>
      </c>
      <c r="H27" s="50">
        <f>G27*(1+H40)</f>
        <v>323854.82999999996</v>
      </c>
      <c r="I27" s="50">
        <f t="shared" ref="I27:Q27" si="11">H27*(1+I40)</f>
        <v>375671.60279999994</v>
      </c>
      <c r="J27" s="50">
        <f t="shared" si="11"/>
        <v>432022.34321999986</v>
      </c>
      <c r="K27" s="50">
        <f t="shared" si="11"/>
        <v>492505.47127079993</v>
      </c>
      <c r="L27" s="50">
        <f t="shared" si="11"/>
        <v>556531.18253600388</v>
      </c>
      <c r="M27" s="50">
        <f t="shared" si="11"/>
        <v>623314.92444032442</v>
      </c>
      <c r="N27" s="50">
        <f t="shared" si="11"/>
        <v>691879.56612876023</v>
      </c>
      <c r="O27" s="50">
        <f t="shared" si="11"/>
        <v>761067.52274163626</v>
      </c>
      <c r="P27" s="50">
        <f t="shared" si="11"/>
        <v>837174.27501579991</v>
      </c>
      <c r="Q27" s="50">
        <f t="shared" si="11"/>
        <v>920891.70251738001</v>
      </c>
    </row>
    <row r="28" spans="1:23">
      <c r="A28" t="s">
        <v>383</v>
      </c>
      <c r="B28" s="50">
        <f t="shared" ref="B28:G28" si="12">B26-B27</f>
        <v>81254</v>
      </c>
      <c r="C28" s="50">
        <f t="shared" si="12"/>
        <v>-13953</v>
      </c>
      <c r="D28" s="50">
        <f t="shared" si="12"/>
        <v>-16386</v>
      </c>
      <c r="E28" s="50">
        <f t="shared" si="12"/>
        <v>-19923</v>
      </c>
      <c r="F28" s="50">
        <f t="shared" si="12"/>
        <v>-51369</v>
      </c>
      <c r="G28" s="50">
        <f t="shared" si="12"/>
        <v>-99755</v>
      </c>
      <c r="H28" s="50">
        <f>H26-H27</f>
        <v>0</v>
      </c>
      <c r="I28" s="50">
        <f>I26-I27</f>
        <v>0</v>
      </c>
      <c r="J28" s="50">
        <f t="shared" ref="J28:Q28" si="13">J26-J27</f>
        <v>0</v>
      </c>
      <c r="K28" s="50">
        <f t="shared" si="13"/>
        <v>0</v>
      </c>
      <c r="L28" s="50">
        <f t="shared" si="13"/>
        <v>0</v>
      </c>
      <c r="M28" s="50">
        <f t="shared" si="13"/>
        <v>0</v>
      </c>
      <c r="N28" s="50">
        <f t="shared" si="13"/>
        <v>0</v>
      </c>
      <c r="O28" s="50">
        <f t="shared" si="13"/>
        <v>0</v>
      </c>
      <c r="P28" s="50">
        <f t="shared" si="13"/>
        <v>0</v>
      </c>
      <c r="Q28" s="50">
        <f t="shared" si="13"/>
        <v>0</v>
      </c>
    </row>
    <row r="29" spans="1:23">
      <c r="A29" s="68" t="s">
        <v>384</v>
      </c>
      <c r="B29" s="105">
        <f>B28/B41</f>
        <v>0.1217363163879729</v>
      </c>
      <c r="C29" s="105">
        <f t="shared" ref="C29:G29" si="14">C28/C41</f>
        <v>-2.389306428164123E-2</v>
      </c>
      <c r="D29" s="105">
        <f t="shared" si="14"/>
        <v>-3.0843538593010606E-2</v>
      </c>
      <c r="E29" s="105">
        <f t="shared" si="14"/>
        <v>-3.5078792147196058E-2</v>
      </c>
      <c r="F29" s="105">
        <f t="shared" si="14"/>
        <v>-6.4253978895965819E-2</v>
      </c>
      <c r="G29" s="105">
        <f t="shared" si="14"/>
        <v>-0.10336834382680997</v>
      </c>
      <c r="H29" s="105">
        <v>0</v>
      </c>
      <c r="I29" s="105">
        <v>0</v>
      </c>
      <c r="J29" s="105">
        <v>0</v>
      </c>
      <c r="K29" s="105">
        <v>0</v>
      </c>
      <c r="L29" s="105">
        <v>0</v>
      </c>
      <c r="M29" s="105">
        <v>0</v>
      </c>
      <c r="N29" s="105">
        <v>0</v>
      </c>
      <c r="O29" s="105">
        <v>0</v>
      </c>
      <c r="P29" s="105">
        <v>0</v>
      </c>
      <c r="Q29" s="105">
        <v>0</v>
      </c>
    </row>
    <row r="30" spans="1:23">
      <c r="A30" s="68"/>
      <c r="B30" s="197"/>
      <c r="C30" s="197"/>
      <c r="D30" s="197"/>
      <c r="E30" s="197"/>
      <c r="F30" s="197"/>
      <c r="G30" s="197"/>
      <c r="H30" s="71"/>
      <c r="I30" s="71"/>
      <c r="J30" s="71"/>
      <c r="K30" s="71"/>
    </row>
    <row r="31" spans="1:23">
      <c r="A31" t="s">
        <v>385</v>
      </c>
      <c r="B31" s="50">
        <f>'Financial Statements'!B22</f>
        <v>287796</v>
      </c>
      <c r="C31" s="50">
        <f>'Financial Statements'!C22</f>
        <v>309106</v>
      </c>
      <c r="D31" s="50">
        <f>'Financial Statements'!D22</f>
        <v>294770</v>
      </c>
      <c r="E31" s="50">
        <f>'Financial Statements'!E22</f>
        <v>305151</v>
      </c>
      <c r="F31" s="50">
        <f>'Financial Statements'!F22</f>
        <v>392309</v>
      </c>
      <c r="G31" s="50">
        <f>'Financial Statements'!G22</f>
        <v>396995</v>
      </c>
      <c r="H31" s="50">
        <f>H41*H32</f>
        <v>451640.592</v>
      </c>
      <c r="I31" s="50">
        <f t="shared" ref="I31:Q31" si="15">I41*I32</f>
        <v>523903.08671999996</v>
      </c>
      <c r="J31" s="50">
        <f t="shared" si="15"/>
        <v>602488.54972799995</v>
      </c>
      <c r="K31" s="50">
        <f t="shared" si="15"/>
        <v>686836.94668992003</v>
      </c>
      <c r="L31" s="50">
        <f t="shared" si="15"/>
        <v>776125.74975960946</v>
      </c>
      <c r="M31" s="50">
        <f t="shared" si="15"/>
        <v>869260.83973076276</v>
      </c>
      <c r="N31" s="50">
        <f t="shared" si="15"/>
        <v>964879.53210114676</v>
      </c>
      <c r="O31" s="50">
        <f t="shared" si="15"/>
        <v>1061367.4853112614</v>
      </c>
      <c r="P31" s="50">
        <f t="shared" si="15"/>
        <v>1167504.2338423876</v>
      </c>
      <c r="Q31" s="50">
        <f t="shared" si="15"/>
        <v>1284254.6572266265</v>
      </c>
    </row>
    <row r="32" spans="1:23">
      <c r="A32" s="202" t="s">
        <v>384</v>
      </c>
      <c r="B32" s="105">
        <f>B31/B41</f>
        <v>0.43118154073883191</v>
      </c>
      <c r="C32" s="105">
        <f>C31/C41</f>
        <v>0.52931194207991072</v>
      </c>
      <c r="D32" s="105">
        <f t="shared" ref="D32:G32" si="16">D31/D41</f>
        <v>0.55484864341887807</v>
      </c>
      <c r="E32" s="105">
        <f t="shared" si="16"/>
        <v>0.53728497226868566</v>
      </c>
      <c r="F32" s="105">
        <f t="shared" si="16"/>
        <v>0.49071257386161798</v>
      </c>
      <c r="G32" s="105">
        <f t="shared" si="16"/>
        <v>0.41137502538744347</v>
      </c>
      <c r="H32" s="160">
        <v>0.4</v>
      </c>
      <c r="I32" s="160">
        <v>0.4</v>
      </c>
      <c r="J32" s="160">
        <v>0.4</v>
      </c>
      <c r="K32" s="160">
        <v>0.4</v>
      </c>
      <c r="L32" s="160">
        <v>0.4</v>
      </c>
      <c r="M32" s="160">
        <v>0.4</v>
      </c>
      <c r="N32" s="160">
        <v>0.4</v>
      </c>
      <c r="O32" s="160">
        <v>0.4</v>
      </c>
      <c r="P32" s="160">
        <v>0.4</v>
      </c>
      <c r="Q32" s="160">
        <v>0.4</v>
      </c>
    </row>
    <row r="33" spans="1:17">
      <c r="A33" s="68"/>
      <c r="B33" s="197"/>
      <c r="C33" s="197"/>
      <c r="D33" s="197"/>
      <c r="E33" s="197"/>
      <c r="F33" s="197"/>
      <c r="G33" s="197"/>
      <c r="H33" s="71"/>
      <c r="I33" s="71"/>
      <c r="J33" s="71"/>
      <c r="K33" s="71"/>
    </row>
    <row r="34" spans="1:17">
      <c r="A34" t="s">
        <v>386</v>
      </c>
      <c r="B34" s="50">
        <f>'Financial Statements'!B24</f>
        <v>208062</v>
      </c>
      <c r="C34" s="50">
        <f>'Financial Statements'!C24</f>
        <v>187511</v>
      </c>
      <c r="D34" s="50">
        <f>'Financial Statements'!D24</f>
        <v>151788</v>
      </c>
      <c r="E34" s="50">
        <f>'Financial Statements'!E24</f>
        <v>180753</v>
      </c>
      <c r="F34" s="50">
        <f>'Financial Statements'!F24</f>
        <v>200744</v>
      </c>
      <c r="G34" s="50">
        <f>'Financial Statements'!G24</f>
        <v>195100</v>
      </c>
      <c r="H34" s="50">
        <f>H41*H35</f>
        <v>225820.296</v>
      </c>
      <c r="I34" s="50">
        <f>I41*I35</f>
        <v>261951.54335999998</v>
      </c>
      <c r="J34" s="50">
        <f t="shared" ref="J34:Q34" si="17">J41*J35</f>
        <v>301244.27486399998</v>
      </c>
      <c r="K34" s="50">
        <f t="shared" si="17"/>
        <v>343418.47334496002</v>
      </c>
      <c r="L34" s="50">
        <f t="shared" si="17"/>
        <v>388062.87487980473</v>
      </c>
      <c r="M34" s="50">
        <f t="shared" si="17"/>
        <v>434630.41986538138</v>
      </c>
      <c r="N34" s="50">
        <f t="shared" si="17"/>
        <v>482439.76605057338</v>
      </c>
      <c r="O34" s="50">
        <f t="shared" si="17"/>
        <v>530683.74265563069</v>
      </c>
      <c r="P34" s="50">
        <f t="shared" si="17"/>
        <v>583752.11692119378</v>
      </c>
      <c r="Q34" s="50">
        <f t="shared" si="17"/>
        <v>642127.32861331326</v>
      </c>
    </row>
    <row r="35" spans="1:17">
      <c r="A35" s="202" t="s">
        <v>384</v>
      </c>
      <c r="B35" s="105">
        <f>B34/B41</f>
        <v>0.3117225177876094</v>
      </c>
      <c r="C35" s="105">
        <f t="shared" ref="C35:G35" si="18">C34/C41</f>
        <v>0.3210931252429462</v>
      </c>
      <c r="D35" s="105">
        <f t="shared" si="18"/>
        <v>0.28571213450237359</v>
      </c>
      <c r="E35" s="105">
        <f t="shared" si="18"/>
        <v>0.31825512809226164</v>
      </c>
      <c r="F35" s="105">
        <f t="shared" si="18"/>
        <v>0.25109697949136178</v>
      </c>
      <c r="G35" s="105">
        <f t="shared" si="18"/>
        <v>0.20216694782828554</v>
      </c>
      <c r="H35" s="160">
        <v>0.2</v>
      </c>
      <c r="I35" s="160">
        <v>0.2</v>
      </c>
      <c r="J35" s="160">
        <v>0.2</v>
      </c>
      <c r="K35" s="160">
        <v>0.2</v>
      </c>
      <c r="L35" s="160">
        <v>0.2</v>
      </c>
      <c r="M35" s="160">
        <v>0.2</v>
      </c>
      <c r="N35" s="160">
        <v>0.2</v>
      </c>
      <c r="O35" s="160">
        <v>0.2</v>
      </c>
      <c r="P35" s="160">
        <v>0.2</v>
      </c>
      <c r="Q35" s="160">
        <v>0.2</v>
      </c>
    </row>
    <row r="36" spans="1:17">
      <c r="A36" s="68"/>
      <c r="B36" s="197"/>
      <c r="C36" s="197"/>
      <c r="D36" s="197"/>
      <c r="E36" s="197"/>
      <c r="F36" s="197"/>
      <c r="G36" s="197"/>
    </row>
    <row r="37" spans="1:17">
      <c r="A37" t="s">
        <v>387</v>
      </c>
      <c r="B37" s="50">
        <f>'Financial Statements'!B25+'Financial Statements'!B26</f>
        <v>90347</v>
      </c>
      <c r="C37" s="50">
        <f>'Financial Statements'!C25+'Financial Statements'!C26</f>
        <v>87360</v>
      </c>
      <c r="D37" s="50">
        <f>'Financial Statements'!D25+'Financial Statements'!D26</f>
        <v>84704</v>
      </c>
      <c r="E37" s="50">
        <f>'Financial Statements'!E25+'Financial Statements'!E26</f>
        <v>82046</v>
      </c>
      <c r="F37" s="50">
        <f>'Financial Statements'!F25+'Financial Statements'!F26</f>
        <v>206415</v>
      </c>
      <c r="G37" s="50">
        <f>'Financial Statements'!G25+'Financial Statements'!G26</f>
        <v>372949</v>
      </c>
      <c r="H37" s="50">
        <f>H41*H38</f>
        <v>451640.592</v>
      </c>
      <c r="I37" s="50">
        <f t="shared" ref="I37:Q37" si="19">I41*I38</f>
        <v>523903.08671999996</v>
      </c>
      <c r="J37" s="50">
        <f t="shared" si="19"/>
        <v>602488.54972799995</v>
      </c>
      <c r="K37" s="50">
        <f t="shared" si="19"/>
        <v>686836.94668992003</v>
      </c>
      <c r="L37" s="50">
        <f t="shared" si="19"/>
        <v>776125.74975960946</v>
      </c>
      <c r="M37" s="50">
        <f t="shared" si="19"/>
        <v>869260.83973076276</v>
      </c>
      <c r="N37" s="50">
        <f t="shared" si="19"/>
        <v>964879.53210114676</v>
      </c>
      <c r="O37" s="50">
        <f t="shared" si="19"/>
        <v>1061367.4853112614</v>
      </c>
      <c r="P37" s="50">
        <f t="shared" si="19"/>
        <v>1167504.2338423876</v>
      </c>
      <c r="Q37" s="50">
        <f t="shared" si="19"/>
        <v>1284254.6572266265</v>
      </c>
    </row>
    <row r="38" spans="1:17">
      <c r="A38" s="202" t="s">
        <v>384</v>
      </c>
      <c r="B38" s="105">
        <f>B37/B41</f>
        <v>0.13535962508558577</v>
      </c>
      <c r="C38" s="105">
        <f t="shared" ref="C38:G38" si="20">C37/C41</f>
        <v>0.14959493267714311</v>
      </c>
      <c r="D38" s="105">
        <f t="shared" si="20"/>
        <v>0.15943922207874833</v>
      </c>
      <c r="E38" s="105">
        <f t="shared" si="20"/>
        <v>0.14445989963905273</v>
      </c>
      <c r="F38" s="105">
        <f t="shared" si="20"/>
        <v>0.25819044664702029</v>
      </c>
      <c r="G38" s="105">
        <f t="shared" si="20"/>
        <v>0.38645802678427099</v>
      </c>
      <c r="H38" s="160">
        <v>0.4</v>
      </c>
      <c r="I38" s="160">
        <v>0.4</v>
      </c>
      <c r="J38" s="160">
        <v>0.4</v>
      </c>
      <c r="K38" s="160">
        <v>0.4</v>
      </c>
      <c r="L38" s="160">
        <v>0.4</v>
      </c>
      <c r="M38" s="160">
        <v>0.4</v>
      </c>
      <c r="N38" s="160">
        <v>0.4</v>
      </c>
      <c r="O38" s="160">
        <v>0.4</v>
      </c>
      <c r="P38" s="160">
        <v>0.4</v>
      </c>
      <c r="Q38" s="160">
        <v>0.4</v>
      </c>
    </row>
    <row r="39" spans="1:17">
      <c r="A39" s="68"/>
      <c r="B39" s="197"/>
      <c r="C39" s="197"/>
      <c r="D39" s="197"/>
      <c r="E39" s="197"/>
      <c r="F39" s="197"/>
      <c r="G39" s="197"/>
    </row>
    <row r="40" spans="1:17">
      <c r="A40" s="203" t="s">
        <v>345</v>
      </c>
      <c r="B40" s="199"/>
      <c r="C40" s="199">
        <f>(C41-B41)/B41</f>
        <v>-0.12507434913605181</v>
      </c>
      <c r="D40" s="199">
        <f t="shared" ref="D40:G40" si="21">(D41-C41)/C41</f>
        <v>-9.0268966072293941E-2</v>
      </c>
      <c r="E40" s="199">
        <f t="shared" si="21"/>
        <v>6.905820480290327E-2</v>
      </c>
      <c r="F40" s="199">
        <f t="shared" si="21"/>
        <v>0.40763799630249142</v>
      </c>
      <c r="G40" s="199">
        <f t="shared" si="21"/>
        <v>0.20710772663821442</v>
      </c>
      <c r="H40" s="161">
        <v>0.17</v>
      </c>
      <c r="I40" s="161">
        <v>0.16</v>
      </c>
      <c r="J40" s="161">
        <v>0.15</v>
      </c>
      <c r="K40" s="161">
        <v>0.14000000000000001</v>
      </c>
      <c r="L40" s="161">
        <v>0.13</v>
      </c>
      <c r="M40" s="161">
        <v>0.12</v>
      </c>
      <c r="N40" s="161">
        <v>0.11</v>
      </c>
      <c r="O40" s="161">
        <v>0.1</v>
      </c>
      <c r="P40" s="161">
        <v>0.1</v>
      </c>
      <c r="Q40" s="161">
        <v>0.1</v>
      </c>
    </row>
    <row r="41" spans="1:17" ht="15.75" thickBot="1">
      <c r="A41" t="s">
        <v>388</v>
      </c>
      <c r="B41" s="127">
        <f>SUM(B28,B31,B34,B37)</f>
        <v>667459</v>
      </c>
      <c r="C41" s="127">
        <f>SUM(C31,C34,C37)</f>
        <v>583977</v>
      </c>
      <c r="D41" s="127">
        <f>SUM(D31,D34,D37)</f>
        <v>531262</v>
      </c>
      <c r="E41" s="127">
        <f t="shared" ref="E41:G41" si="22">SUM(E31,E34,E37)</f>
        <v>567950</v>
      </c>
      <c r="F41" s="127">
        <f t="shared" si="22"/>
        <v>799468</v>
      </c>
      <c r="G41" s="127">
        <f t="shared" si="22"/>
        <v>965044</v>
      </c>
      <c r="H41" s="127">
        <f>G41*(1+H40)</f>
        <v>1129101.48</v>
      </c>
      <c r="I41" s="127">
        <f t="shared" ref="I41:Q41" si="23">H41*(1+I40)</f>
        <v>1309757.7167999998</v>
      </c>
      <c r="J41" s="127">
        <f t="shared" si="23"/>
        <v>1506221.3743199997</v>
      </c>
      <c r="K41" s="127">
        <f t="shared" si="23"/>
        <v>1717092.3667247999</v>
      </c>
      <c r="L41" s="127">
        <f t="shared" si="23"/>
        <v>1940314.3743990236</v>
      </c>
      <c r="M41" s="127">
        <f t="shared" si="23"/>
        <v>2173152.0993269067</v>
      </c>
      <c r="N41" s="127">
        <f t="shared" si="23"/>
        <v>2412198.8302528667</v>
      </c>
      <c r="O41" s="127">
        <f t="shared" si="23"/>
        <v>2653418.7132781534</v>
      </c>
      <c r="P41" s="127">
        <f t="shared" si="23"/>
        <v>2918760.584605969</v>
      </c>
      <c r="Q41" s="127">
        <f t="shared" si="23"/>
        <v>3210636.643066566</v>
      </c>
    </row>
    <row r="42" spans="1:17" ht="15.75" thickTop="1">
      <c r="A42" s="42" t="s">
        <v>139</v>
      </c>
      <c r="B42" s="71"/>
      <c r="C42" s="71">
        <f>'Financial Statements'!C2/B41</f>
        <v>1.0707339327209611</v>
      </c>
      <c r="D42" s="71">
        <f>'Financial Statements'!D2/C41</f>
        <v>1.3601254843940771</v>
      </c>
      <c r="E42" s="71">
        <f>'Financial Statements'!E2/D41</f>
        <v>1.8781448701394039</v>
      </c>
      <c r="F42" s="71">
        <f>'Financial Statements'!F2/E41</f>
        <v>1.7431886609736773</v>
      </c>
      <c r="G42" s="71">
        <f>'Financial Statements'!G2/F41</f>
        <v>1.7130204085717002</v>
      </c>
      <c r="H42" s="204">
        <v>1.7</v>
      </c>
      <c r="I42" s="204">
        <v>1.7</v>
      </c>
      <c r="J42" s="204">
        <v>1.67</v>
      </c>
      <c r="K42" s="204">
        <v>1.65</v>
      </c>
      <c r="L42" s="204">
        <v>1.63</v>
      </c>
      <c r="M42" s="204">
        <v>1.6</v>
      </c>
      <c r="N42" s="204">
        <v>1.57</v>
      </c>
      <c r="O42" s="204">
        <v>1.55</v>
      </c>
      <c r="P42" s="204">
        <v>1.53</v>
      </c>
      <c r="Q42" s="204">
        <v>1.5</v>
      </c>
    </row>
    <row r="43" spans="1:17">
      <c r="B43" s="71"/>
      <c r="C43" s="71"/>
      <c r="D43" s="71"/>
      <c r="E43" s="71"/>
      <c r="F43" s="71"/>
      <c r="G43" s="71"/>
      <c r="H43" s="112"/>
      <c r="I43" s="112"/>
      <c r="J43" s="112"/>
      <c r="K43" s="112"/>
      <c r="L43" s="112"/>
      <c r="M43" s="112"/>
      <c r="N43" s="112"/>
      <c r="O43" s="112"/>
      <c r="P43" s="112"/>
      <c r="Q43" s="112"/>
    </row>
    <row r="44" spans="1:17">
      <c r="A44" s="108" t="s">
        <v>378</v>
      </c>
      <c r="B44" s="107"/>
      <c r="C44" s="109"/>
      <c r="D44" s="109"/>
      <c r="E44" s="109"/>
      <c r="F44" s="109"/>
      <c r="G44" s="109"/>
      <c r="H44" s="110" t="s">
        <v>379</v>
      </c>
      <c r="I44" s="110"/>
      <c r="J44" s="112"/>
      <c r="K44" s="112"/>
      <c r="L44" s="112"/>
      <c r="M44" s="112"/>
      <c r="N44" s="112"/>
      <c r="O44" s="112"/>
      <c r="P44" s="112"/>
      <c r="Q44" s="112"/>
    </row>
    <row r="45" spans="1:17">
      <c r="A45" s="172" t="s">
        <v>389</v>
      </c>
      <c r="B45" s="214" t="s">
        <v>331</v>
      </c>
      <c r="C45" s="214" t="s">
        <v>332</v>
      </c>
      <c r="D45" s="214" t="s">
        <v>333</v>
      </c>
      <c r="E45" s="214" t="s">
        <v>334</v>
      </c>
      <c r="F45" s="214" t="s">
        <v>335</v>
      </c>
      <c r="G45" s="214" t="s">
        <v>390</v>
      </c>
      <c r="H45" s="214" t="s">
        <v>356</v>
      </c>
      <c r="I45" s="214" t="s">
        <v>357</v>
      </c>
      <c r="J45" s="214" t="s">
        <v>358</v>
      </c>
      <c r="K45" s="214" t="s">
        <v>359</v>
      </c>
      <c r="L45" s="214" t="s">
        <v>360</v>
      </c>
      <c r="M45" s="214" t="s">
        <v>361</v>
      </c>
      <c r="N45" s="214" t="s">
        <v>362</v>
      </c>
      <c r="O45" s="214" t="s">
        <v>363</v>
      </c>
      <c r="P45" s="214" t="s">
        <v>364</v>
      </c>
      <c r="Q45" s="215" t="s">
        <v>365</v>
      </c>
    </row>
    <row r="46" spans="1:17">
      <c r="A46" s="173" t="s">
        <v>391</v>
      </c>
      <c r="B46" s="51">
        <f>ABS('Financial Statements'!B3)</f>
        <v>387707</v>
      </c>
      <c r="C46" s="51">
        <f>ABS('Financial Statements'!C3)</f>
        <v>436630</v>
      </c>
      <c r="D46" s="51">
        <f>ABS('Financial Statements'!D3)</f>
        <v>444762</v>
      </c>
      <c r="E46" s="51">
        <f>ABS('Financial Statements'!E3)</f>
        <v>549113</v>
      </c>
      <c r="F46" s="51">
        <f>ABS('Financial Statements'!F3)</f>
        <v>555347</v>
      </c>
      <c r="G46" s="51">
        <f>ABS('Financial Statements'!G3)</f>
        <v>748371</v>
      </c>
      <c r="H46" s="51">
        <f>H24*H47</f>
        <v>910519.01399999997</v>
      </c>
      <c r="I46" s="51">
        <f t="shared" ref="I46:Q46" si="24">I24*I47</f>
        <v>1065307.2463799997</v>
      </c>
      <c r="J46" s="51">
        <f t="shared" si="24"/>
        <v>1235821.8936866396</v>
      </c>
      <c r="K46" s="51">
        <f t="shared" si="24"/>
        <v>1404174.8762098195</v>
      </c>
      <c r="L46" s="51">
        <f t="shared" si="24"/>
        <v>1609344.8207128185</v>
      </c>
      <c r="M46" s="51">
        <f t="shared" si="24"/>
        <v>1785089.2244471016</v>
      </c>
      <c r="N46" s="51">
        <f t="shared" si="24"/>
        <v>1995931.5456267975</v>
      </c>
      <c r="O46" s="51">
        <f t="shared" si="24"/>
        <v>2187261.2893317868</v>
      </c>
      <c r="P46" s="51">
        <f t="shared" si="24"/>
        <v>2374942.419319611</v>
      </c>
      <c r="Q46" s="205">
        <f t="shared" si="24"/>
        <v>2561212.4129917375</v>
      </c>
    </row>
    <row r="47" spans="1:17">
      <c r="A47" s="206" t="s">
        <v>392</v>
      </c>
      <c r="B47" s="35">
        <f>B46/'Financial Statements'!B2</f>
        <v>0.61282144093421576</v>
      </c>
      <c r="C47" s="35">
        <f>C46/'Financial Statements'!C2</f>
        <v>0.6109524522472578</v>
      </c>
      <c r="D47" s="35">
        <f>D46/'Financial Statements'!D2</f>
        <v>0.55995477676694172</v>
      </c>
      <c r="E47" s="35">
        <f>E46/'Financial Statements'!E2</f>
        <v>0.55033088224240245</v>
      </c>
      <c r="F47" s="35">
        <f>F46/'Financial Statements'!F2</f>
        <v>0.56093163536166069</v>
      </c>
      <c r="G47" s="35">
        <f>G46/'Financial Statements'!G2</f>
        <v>0.54645364566029331</v>
      </c>
      <c r="H47" s="35">
        <f>H56-H49-H51</f>
        <v>0.55499999999999994</v>
      </c>
      <c r="I47" s="35">
        <f t="shared" ref="I47:Q47" si="25">I56-I49-I51</f>
        <v>0.55499999999999994</v>
      </c>
      <c r="J47" s="35">
        <f t="shared" si="25"/>
        <v>0.56499999999999995</v>
      </c>
      <c r="K47" s="35">
        <f t="shared" si="25"/>
        <v>0.56499999999999995</v>
      </c>
      <c r="L47" s="35">
        <f t="shared" si="25"/>
        <v>0.57499999999999996</v>
      </c>
      <c r="M47" s="35">
        <f t="shared" si="25"/>
        <v>0.57499999999999996</v>
      </c>
      <c r="N47" s="35">
        <f t="shared" si="25"/>
        <v>0.58499999999999996</v>
      </c>
      <c r="O47" s="35">
        <f t="shared" si="25"/>
        <v>0.58499999999999996</v>
      </c>
      <c r="P47" s="35">
        <f t="shared" si="25"/>
        <v>0.58499999999999996</v>
      </c>
      <c r="Q47" s="207">
        <f t="shared" si="25"/>
        <v>0.58499999999999996</v>
      </c>
    </row>
    <row r="48" spans="1:17">
      <c r="A48" s="173" t="s">
        <v>393</v>
      </c>
      <c r="B48" s="51">
        <f>ABS('Financial Statements'!B6)</f>
        <v>35863</v>
      </c>
      <c r="C48" s="51">
        <f>ABS('Financial Statements'!C6)</f>
        <v>34531</v>
      </c>
      <c r="D48" s="51">
        <f>ABS('Financial Statements'!D6)</f>
        <v>32892</v>
      </c>
      <c r="E48" s="51">
        <f>ABS('Financial Statements'!E6)</f>
        <v>47149</v>
      </c>
      <c r="F48" s="51">
        <f>ABS('Financial Statements'!F6)</f>
        <v>61283</v>
      </c>
      <c r="G48" s="51">
        <f>ABS('Financial Statements'!G6)</f>
        <v>104989</v>
      </c>
      <c r="H48" s="51">
        <f t="shared" ref="H48:Q48" si="26">H24*H49</f>
        <v>114840.23600000002</v>
      </c>
      <c r="I48" s="51">
        <f t="shared" si="26"/>
        <v>134363.07612000001</v>
      </c>
      <c r="J48" s="51">
        <f t="shared" si="26"/>
        <v>153110.67709391998</v>
      </c>
      <c r="K48" s="51">
        <f t="shared" si="26"/>
        <v>173968.56873395995</v>
      </c>
      <c r="L48" s="51">
        <f t="shared" si="26"/>
        <v>195920.23904329969</v>
      </c>
      <c r="M48" s="51">
        <f t="shared" si="26"/>
        <v>217315.20993269066</v>
      </c>
      <c r="N48" s="51">
        <f t="shared" si="26"/>
        <v>238829.41571602708</v>
      </c>
      <c r="O48" s="51">
        <f t="shared" si="26"/>
        <v>261723.57308243608</v>
      </c>
      <c r="P48" s="51">
        <f t="shared" si="26"/>
        <v>284181.14419209026</v>
      </c>
      <c r="Q48" s="205">
        <f t="shared" si="26"/>
        <v>306469.86138362676</v>
      </c>
    </row>
    <row r="49" spans="1:17">
      <c r="A49" s="206" t="s">
        <v>392</v>
      </c>
      <c r="B49" s="35">
        <f>B48/'Financial Statements'!B2</f>
        <v>5.6686145301023144E-2</v>
      </c>
      <c r="C49" s="35">
        <f>C48/'Financial Statements'!C2</f>
        <v>4.8317337628083414E-2</v>
      </c>
      <c r="D49" s="35">
        <f>D48/'Financial Statements'!D2</f>
        <v>4.1410985015397556E-2</v>
      </c>
      <c r="E49" s="35">
        <f>E48/'Financial Statements'!E2</f>
        <v>4.7253572155179412E-2</v>
      </c>
      <c r="F49" s="35">
        <f>F48/'Financial Statements'!F2</f>
        <v>6.1899269123392497E-2</v>
      </c>
      <c r="G49" s="35">
        <f>G48/'Financial Statements'!G2</f>
        <v>7.6662005615167519E-2</v>
      </c>
      <c r="H49" s="35">
        <v>7.0000000000000007E-2</v>
      </c>
      <c r="I49" s="35">
        <v>7.0000000000000007E-2</v>
      </c>
      <c r="J49" s="35">
        <v>7.0000000000000007E-2</v>
      </c>
      <c r="K49" s="35">
        <v>7.0000000000000007E-2</v>
      </c>
      <c r="L49" s="35">
        <v>7.0000000000000007E-2</v>
      </c>
      <c r="M49" s="35">
        <v>7.0000000000000007E-2</v>
      </c>
      <c r="N49" s="35">
        <v>7.0000000000000007E-2</v>
      </c>
      <c r="O49" s="35">
        <v>7.0000000000000007E-2</v>
      </c>
      <c r="P49" s="35">
        <v>7.0000000000000007E-2</v>
      </c>
      <c r="Q49" s="207">
        <v>7.0000000000000007E-2</v>
      </c>
    </row>
    <row r="50" spans="1:17">
      <c r="A50" s="173" t="s">
        <v>394</v>
      </c>
      <c r="B50" s="51">
        <f>ABS('Financial Statements'!B7)</f>
        <v>129341</v>
      </c>
      <c r="C50" s="51">
        <f>ABS('Financial Statements'!C7)</f>
        <v>118132</v>
      </c>
      <c r="D50" s="51">
        <f>ABS('Financial Statements'!D7)</f>
        <v>133527</v>
      </c>
      <c r="E50" s="51">
        <f>ABS('Financial Statements'!E7)</f>
        <v>177278</v>
      </c>
      <c r="F50" s="51">
        <f>ABS('Financial Statements'!F7)</f>
        <v>162040</v>
      </c>
      <c r="G50" s="51">
        <f>ABS('Financial Statements'!G7)</f>
        <v>222459</v>
      </c>
      <c r="H50" s="51">
        <f t="shared" ref="H50:Q50" si="27">H24*H51</f>
        <v>270694.842</v>
      </c>
      <c r="I50" s="51">
        <f t="shared" si="27"/>
        <v>316712.96513999999</v>
      </c>
      <c r="J50" s="51">
        <f t="shared" si="27"/>
        <v>360903.73886423995</v>
      </c>
      <c r="K50" s="51">
        <f t="shared" si="27"/>
        <v>410068.76915861986</v>
      </c>
      <c r="L50" s="51">
        <f t="shared" si="27"/>
        <v>461811.99203063495</v>
      </c>
      <c r="M50" s="51">
        <f t="shared" si="27"/>
        <v>512242.99484134227</v>
      </c>
      <c r="N50" s="51">
        <f t="shared" si="27"/>
        <v>562955.05133063532</v>
      </c>
      <c r="O50" s="51">
        <f t="shared" si="27"/>
        <v>616919.85083717073</v>
      </c>
      <c r="P50" s="51">
        <f t="shared" si="27"/>
        <v>669855.55416706996</v>
      </c>
      <c r="Q50" s="205">
        <f t="shared" si="27"/>
        <v>722393.24468997738</v>
      </c>
    </row>
    <row r="51" spans="1:17">
      <c r="A51" s="206" t="s">
        <v>392</v>
      </c>
      <c r="B51" s="35">
        <f>B50/'Financial Statements'!B2</f>
        <v>0.20444030670550803</v>
      </c>
      <c r="C51" s="35">
        <f>C50/'Financial Statements'!C2</f>
        <v>0.16529563953203641</v>
      </c>
      <c r="D51" s="35">
        <f>D50/'Financial Statements'!D2</f>
        <v>0.16811031850148939</v>
      </c>
      <c r="E51" s="35">
        <f>E50/'Financial Statements'!E2</f>
        <v>0.17767118633536017</v>
      </c>
      <c r="F51" s="35">
        <f>F50/'Financial Statements'!F2</f>
        <v>0.16366949347705759</v>
      </c>
      <c r="G51" s="35">
        <f>G50/'Financial Statements'!G2</f>
        <v>0.16243752304664824</v>
      </c>
      <c r="H51" s="35">
        <v>0.16500000000000001</v>
      </c>
      <c r="I51" s="35">
        <v>0.16500000000000001</v>
      </c>
      <c r="J51" s="35">
        <v>0.16500000000000001</v>
      </c>
      <c r="K51" s="35">
        <v>0.16500000000000001</v>
      </c>
      <c r="L51" s="35">
        <v>0.16500000000000001</v>
      </c>
      <c r="M51" s="35">
        <v>0.16500000000000001</v>
      </c>
      <c r="N51" s="35">
        <v>0.16500000000000001</v>
      </c>
      <c r="O51" s="35">
        <v>0.16500000000000001</v>
      </c>
      <c r="P51" s="35">
        <v>0.16500000000000001</v>
      </c>
      <c r="Q51" s="207">
        <v>0.16500000000000001</v>
      </c>
    </row>
    <row r="52" spans="1:17">
      <c r="A52" s="208" t="s">
        <v>395</v>
      </c>
      <c r="B52" s="51">
        <f>ABS(SUM('Financial Statements'!B8,'Financial Statements'!B11))</f>
        <v>10618</v>
      </c>
      <c r="C52" s="51">
        <f>ABS(SUM('Financial Statements'!C8,'Financial Statements'!C11))</f>
        <v>6061</v>
      </c>
      <c r="D52" s="51">
        <f>ABS(SUM('Financial Statements'!D8,'Financial Statements'!D11))</f>
        <v>7919</v>
      </c>
      <c r="E52" s="51">
        <f>ABS(SUM('Financial Statements'!E8,'Financial Statements'!E11))</f>
        <v>4413</v>
      </c>
      <c r="F52" s="51">
        <f>ABS(SUM('Financial Statements'!F8,'Financial Statements'!F11))</f>
        <v>6631</v>
      </c>
      <c r="G52" s="51">
        <f>ABS(SUM('Financial Statements'!G8,'Financial Statements'!G11))</f>
        <v>59666</v>
      </c>
      <c r="H52" s="51">
        <v>0</v>
      </c>
      <c r="I52" s="51">
        <v>0</v>
      </c>
      <c r="J52" s="51">
        <v>0</v>
      </c>
      <c r="K52" s="51">
        <v>0</v>
      </c>
      <c r="L52" s="51">
        <v>0</v>
      </c>
      <c r="M52" s="51">
        <v>0</v>
      </c>
      <c r="N52" s="51">
        <v>0</v>
      </c>
      <c r="O52" s="51">
        <v>0</v>
      </c>
      <c r="P52" s="51">
        <v>0</v>
      </c>
      <c r="Q52" s="205">
        <v>0</v>
      </c>
    </row>
    <row r="53" spans="1:17">
      <c r="A53" s="206" t="s">
        <v>392</v>
      </c>
      <c r="B53" s="35">
        <f>B52/B24</f>
        <v>1.6783132777689086E-2</v>
      </c>
      <c r="C53" s="35">
        <f t="shared" ref="C53:G53" si="28">C52/C24</f>
        <v>8.4808254427561781E-3</v>
      </c>
      <c r="D53" s="35">
        <f t="shared" si="28"/>
        <v>9.9700106511289438E-3</v>
      </c>
      <c r="E53" s="35">
        <f t="shared" si="28"/>
        <v>4.4227876290230282E-3</v>
      </c>
      <c r="F53" s="35">
        <f t="shared" si="28"/>
        <v>6.6976821232187659E-3</v>
      </c>
      <c r="G53" s="35">
        <f t="shared" si="28"/>
        <v>4.3567566383474324E-2</v>
      </c>
      <c r="H53" s="35">
        <f t="shared" ref="H53" si="29">H52/H24</f>
        <v>0</v>
      </c>
      <c r="I53" s="35">
        <f t="shared" ref="I53" si="30">I52/I24</f>
        <v>0</v>
      </c>
      <c r="J53" s="35">
        <f t="shared" ref="J53" si="31">J52/J24</f>
        <v>0</v>
      </c>
      <c r="K53" s="35">
        <f t="shared" ref="K53" si="32">K52/K24</f>
        <v>0</v>
      </c>
      <c r="L53" s="35">
        <f t="shared" ref="L53" si="33">L52/L24</f>
        <v>0</v>
      </c>
      <c r="M53" s="35">
        <f t="shared" ref="M53" si="34">M52/M24</f>
        <v>0</v>
      </c>
      <c r="N53" s="35">
        <f t="shared" ref="N53" si="35">N52/N24</f>
        <v>0</v>
      </c>
      <c r="O53" s="35">
        <f t="shared" ref="O53" si="36">O52/O24</f>
        <v>0</v>
      </c>
      <c r="P53" s="35">
        <f t="shared" ref="P53" si="37">P52/P24</f>
        <v>0</v>
      </c>
      <c r="Q53" s="207">
        <f t="shared" ref="Q53" si="38">Q52/Q24</f>
        <v>0</v>
      </c>
    </row>
    <row r="54" spans="1:17" ht="15.75" thickBot="1">
      <c r="A54" s="24" t="s">
        <v>396</v>
      </c>
      <c r="B54" s="163">
        <f>SUM(B46,B48,B50,B52)</f>
        <v>563529</v>
      </c>
      <c r="C54" s="163">
        <f t="shared" ref="C54:Q54" si="39">SUM(C46,C48,C50,C52)</f>
        <v>595354</v>
      </c>
      <c r="D54" s="163">
        <f t="shared" si="39"/>
        <v>619100</v>
      </c>
      <c r="E54" s="163">
        <f t="shared" si="39"/>
        <v>777953</v>
      </c>
      <c r="F54" s="163">
        <f t="shared" si="39"/>
        <v>785301</v>
      </c>
      <c r="G54" s="163">
        <f t="shared" si="39"/>
        <v>1135485</v>
      </c>
      <c r="H54" s="163">
        <f t="shared" si="39"/>
        <v>1296054.0919999999</v>
      </c>
      <c r="I54" s="163">
        <f t="shared" si="39"/>
        <v>1516383.2876399998</v>
      </c>
      <c r="J54" s="163">
        <f t="shared" si="39"/>
        <v>1749836.3096447997</v>
      </c>
      <c r="K54" s="163">
        <f t="shared" si="39"/>
        <v>1988212.2141023993</v>
      </c>
      <c r="L54" s="163">
        <f t="shared" si="39"/>
        <v>2267077.0517867533</v>
      </c>
      <c r="M54" s="163">
        <f t="shared" si="39"/>
        <v>2514647.4292211346</v>
      </c>
      <c r="N54" s="163">
        <f t="shared" si="39"/>
        <v>2797716.0126734599</v>
      </c>
      <c r="O54" s="163">
        <f t="shared" si="39"/>
        <v>3065904.7132513933</v>
      </c>
      <c r="P54" s="163">
        <f t="shared" si="39"/>
        <v>3328979.1176787713</v>
      </c>
      <c r="Q54" s="209">
        <f t="shared" si="39"/>
        <v>3590075.5190653414</v>
      </c>
    </row>
    <row r="55" spans="1:17" ht="15.75" thickTop="1">
      <c r="A55" s="210" t="s">
        <v>397</v>
      </c>
      <c r="B55" s="76" t="str">
        <f>IF(B54=ABS(SUM('Financial Statements'!B3,'Financial Statements'!B6,'Financial Statements'!B7,'Financial Statements'!B8,'Financial Statements'!B11)),"TRUE","FALSE")</f>
        <v>TRUE</v>
      </c>
      <c r="C55" s="76" t="str">
        <f>IF(C54=ABS(SUM('Financial Statements'!C3,'Financial Statements'!C6,'Financial Statements'!C7,'Financial Statements'!C8,'Financial Statements'!C11)),"TRUE","FALSE")</f>
        <v>TRUE</v>
      </c>
      <c r="D55" s="76" t="str">
        <f>IF(D54=ABS(SUM('Financial Statements'!D3,'Financial Statements'!D6,'Financial Statements'!D7,'Financial Statements'!D8,'Financial Statements'!D11)),"TRUE","FALSE")</f>
        <v>TRUE</v>
      </c>
      <c r="E55" s="76" t="str">
        <f>IF(E54=ABS(SUM('Financial Statements'!E3,'Financial Statements'!E6,'Financial Statements'!E7,'Financial Statements'!E8,'Financial Statements'!E11)),"TRUE","FALSE")</f>
        <v>TRUE</v>
      </c>
      <c r="F55" s="76" t="str">
        <f>IF(F54=ABS(SUM('Financial Statements'!F3,'Financial Statements'!F6,'Financial Statements'!F7,'Financial Statements'!F8,'Financial Statements'!F11)),"TRUE","FALSE")</f>
        <v>TRUE</v>
      </c>
      <c r="G55" s="76" t="str">
        <f>IF(G54=ABS(SUM('Financial Statements'!G3,'Financial Statements'!G6,'Financial Statements'!G7,'Financial Statements'!G8,'Financial Statements'!G11)),"TRUE","FALSE")</f>
        <v>TRUE</v>
      </c>
      <c r="H55" s="51"/>
      <c r="I55" s="51"/>
      <c r="J55" s="51"/>
      <c r="K55" s="51"/>
      <c r="L55" s="51"/>
      <c r="M55" s="51"/>
      <c r="N55" s="51"/>
      <c r="O55" s="51"/>
      <c r="P55" s="51"/>
      <c r="Q55" s="205"/>
    </row>
    <row r="56" spans="1:17">
      <c r="A56" s="198" t="s">
        <v>392</v>
      </c>
      <c r="B56" s="71">
        <f>B54/B24</f>
        <v>0.89073102571843599</v>
      </c>
      <c r="C56" s="71">
        <f t="shared" ref="C56:G56" si="40">C54/C24</f>
        <v>0.83304625485013384</v>
      </c>
      <c r="D56" s="71">
        <f t="shared" si="40"/>
        <v>0.77944609093495765</v>
      </c>
      <c r="E56" s="71">
        <f t="shared" si="40"/>
        <v>0.77967842836196499</v>
      </c>
      <c r="F56" s="71">
        <f t="shared" si="40"/>
        <v>0.79319808008532955</v>
      </c>
      <c r="G56" s="71">
        <f t="shared" si="40"/>
        <v>0.82912074070558339</v>
      </c>
      <c r="H56" s="161">
        <v>0.79</v>
      </c>
      <c r="I56" s="161">
        <v>0.79</v>
      </c>
      <c r="J56" s="161">
        <v>0.8</v>
      </c>
      <c r="K56" s="161">
        <v>0.8</v>
      </c>
      <c r="L56" s="161">
        <v>0.81</v>
      </c>
      <c r="M56" s="161">
        <v>0.81</v>
      </c>
      <c r="N56" s="161">
        <v>0.82</v>
      </c>
      <c r="O56" s="161">
        <v>0.82</v>
      </c>
      <c r="P56" s="161">
        <v>0.82</v>
      </c>
      <c r="Q56" s="200">
        <v>0.82</v>
      </c>
    </row>
    <row r="57" spans="1:17">
      <c r="A57" s="24" t="s">
        <v>136</v>
      </c>
      <c r="B57" s="50">
        <f>B24-B54</f>
        <v>69130</v>
      </c>
      <c r="C57" s="50">
        <f t="shared" ref="C57:Q57" si="41">C24-C54</f>
        <v>119317</v>
      </c>
      <c r="D57" s="50">
        <f t="shared" si="41"/>
        <v>175182</v>
      </c>
      <c r="E57" s="50">
        <f t="shared" si="41"/>
        <v>219834</v>
      </c>
      <c r="F57" s="50">
        <f t="shared" si="41"/>
        <v>204743</v>
      </c>
      <c r="G57" s="50">
        <f t="shared" si="41"/>
        <v>234020</v>
      </c>
      <c r="H57" s="50">
        <f t="shared" si="41"/>
        <v>344520.7080000001</v>
      </c>
      <c r="I57" s="50">
        <f t="shared" si="41"/>
        <v>403089.22836000007</v>
      </c>
      <c r="J57" s="50">
        <f t="shared" si="41"/>
        <v>437459.07741119992</v>
      </c>
      <c r="K57" s="50">
        <f t="shared" si="41"/>
        <v>497053.05352559988</v>
      </c>
      <c r="L57" s="50">
        <f t="shared" si="41"/>
        <v>531783.50597467041</v>
      </c>
      <c r="M57" s="50">
        <f t="shared" si="41"/>
        <v>589855.56981730321</v>
      </c>
      <c r="N57" s="50">
        <f t="shared" si="41"/>
        <v>614132.78326978395</v>
      </c>
      <c r="O57" s="50">
        <f t="shared" si="41"/>
        <v>673003.47364055039</v>
      </c>
      <c r="P57" s="50">
        <f t="shared" si="41"/>
        <v>730751.51363680372</v>
      </c>
      <c r="Q57" s="169">
        <f t="shared" si="41"/>
        <v>788065.35784361186</v>
      </c>
    </row>
    <row r="58" spans="1:17">
      <c r="A58" s="210" t="s">
        <v>397</v>
      </c>
      <c r="B58" s="76" t="str">
        <f>IF(B57='Financial Statements'!B2+'Financial Statements'!B3+'Financial Statements'!B6+'Financial Statements'!B7+'Financial Statements'!B8+'Financial Statements'!B11,"TRUE","FALSE")</f>
        <v>TRUE</v>
      </c>
      <c r="C58" s="76" t="str">
        <f>IF(C57='Financial Statements'!C2+'Financial Statements'!C3+'Financial Statements'!C6+'Financial Statements'!C7+'Financial Statements'!C8+'Financial Statements'!C11,"TRUE","FALSE")</f>
        <v>TRUE</v>
      </c>
      <c r="D58" s="76" t="str">
        <f>IF(D57='Financial Statements'!D2+'Financial Statements'!D3+'Financial Statements'!D6+'Financial Statements'!D7+'Financial Statements'!D8+'Financial Statements'!D11,"TRUE","FALSE")</f>
        <v>TRUE</v>
      </c>
      <c r="E58" s="76" t="str">
        <f>IF(E57='Financial Statements'!E2+'Financial Statements'!E3+'Financial Statements'!E6+'Financial Statements'!E7+'Financial Statements'!E8+'Financial Statements'!E11,"TRUE","FALSE")</f>
        <v>TRUE</v>
      </c>
      <c r="F58" s="76" t="str">
        <f>IF(F57='Financial Statements'!F2+'Financial Statements'!F3+'Financial Statements'!F6+'Financial Statements'!F7+'Financial Statements'!F8+'Financial Statements'!F11,"TRUE","FALSE")</f>
        <v>TRUE</v>
      </c>
      <c r="G58" s="76" t="str">
        <f>IF(G57='Financial Statements'!G2+'Financial Statements'!G3+'Financial Statements'!G6+'Financial Statements'!G7+'Financial Statements'!G8+'Financial Statements'!G11,"TRUE","FALSE")</f>
        <v>TRUE</v>
      </c>
      <c r="H58" s="50"/>
      <c r="I58" s="50"/>
      <c r="J58" s="50"/>
      <c r="K58" s="50"/>
      <c r="L58" s="50"/>
      <c r="M58" s="50"/>
      <c r="N58" s="50"/>
      <c r="O58" s="50"/>
      <c r="P58" s="50"/>
      <c r="Q58" s="169"/>
    </row>
    <row r="59" spans="1:17">
      <c r="A59" s="173" t="s">
        <v>340</v>
      </c>
      <c r="B59" s="51">
        <f>ABS('Financial Statements'!B13)</f>
        <v>18196</v>
      </c>
      <c r="C59" s="51">
        <f>ABS('Financial Statements'!C13)</f>
        <v>21240</v>
      </c>
      <c r="D59" s="51">
        <f>ABS('Financial Statements'!D13)</f>
        <v>37090</v>
      </c>
      <c r="E59" s="51">
        <f>ABS('Financial Statements'!E13)</f>
        <v>52941</v>
      </c>
      <c r="F59" s="51">
        <f>ABS('Financial Statements'!F13)</f>
        <v>55942</v>
      </c>
      <c r="G59" s="51">
        <f>ABS('Financial Statements'!G13)</f>
        <v>78507</v>
      </c>
      <c r="H59" s="51">
        <f>H57*H60</f>
        <v>82684.969920000018</v>
      </c>
      <c r="I59" s="51">
        <f t="shared" ref="I59:Q59" si="42">I57*I60</f>
        <v>96741.414806400018</v>
      </c>
      <c r="J59" s="51">
        <f t="shared" si="42"/>
        <v>104990.17857868798</v>
      </c>
      <c r="K59" s="51">
        <f t="shared" si="42"/>
        <v>119292.73284614396</v>
      </c>
      <c r="L59" s="51">
        <f t="shared" si="42"/>
        <v>127628.04143392089</v>
      </c>
      <c r="M59" s="51">
        <f t="shared" si="42"/>
        <v>141565.33675615277</v>
      </c>
      <c r="N59" s="51">
        <f t="shared" si="42"/>
        <v>147391.86798474815</v>
      </c>
      <c r="O59" s="51">
        <f t="shared" si="42"/>
        <v>161520.83367373209</v>
      </c>
      <c r="P59" s="51">
        <f t="shared" si="42"/>
        <v>175380.36327283288</v>
      </c>
      <c r="Q59" s="205">
        <f t="shared" si="42"/>
        <v>189135.68588246685</v>
      </c>
    </row>
    <row r="60" spans="1:17">
      <c r="A60" s="211" t="s">
        <v>398</v>
      </c>
      <c r="B60" s="35">
        <f>B59/B57</f>
        <v>0.26321423405178651</v>
      </c>
      <c r="C60" s="35">
        <f t="shared" ref="C60:G60" si="43">C59/C57</f>
        <v>0.17801319174970875</v>
      </c>
      <c r="D60" s="35">
        <f t="shared" si="43"/>
        <v>0.21172266557066366</v>
      </c>
      <c r="E60" s="35">
        <f t="shared" si="43"/>
        <v>0.24082262070471355</v>
      </c>
      <c r="F60" s="35">
        <f t="shared" si="43"/>
        <v>0.2732303424292894</v>
      </c>
      <c r="G60" s="35">
        <f t="shared" si="43"/>
        <v>0.3354713272369883</v>
      </c>
      <c r="H60" s="161">
        <v>0.24</v>
      </c>
      <c r="I60" s="161">
        <v>0.24</v>
      </c>
      <c r="J60" s="161">
        <v>0.24</v>
      </c>
      <c r="K60" s="161">
        <v>0.24</v>
      </c>
      <c r="L60" s="161">
        <v>0.24</v>
      </c>
      <c r="M60" s="161">
        <v>0.24</v>
      </c>
      <c r="N60" s="161">
        <v>0.24</v>
      </c>
      <c r="O60" s="161">
        <v>0.24</v>
      </c>
      <c r="P60" s="161">
        <v>0.24</v>
      </c>
      <c r="Q60" s="200">
        <v>0.24</v>
      </c>
    </row>
    <row r="61" spans="1:17">
      <c r="A61" s="24" t="s">
        <v>399</v>
      </c>
      <c r="B61" s="50">
        <f>B57-B59</f>
        <v>50934</v>
      </c>
      <c r="C61" s="50">
        <f t="shared" ref="C61:Q61" si="44">C57-C59</f>
        <v>98077</v>
      </c>
      <c r="D61" s="50">
        <f t="shared" si="44"/>
        <v>138092</v>
      </c>
      <c r="E61" s="50">
        <f t="shared" si="44"/>
        <v>166893</v>
      </c>
      <c r="F61" s="50">
        <f t="shared" si="44"/>
        <v>148801</v>
      </c>
      <c r="G61" s="50">
        <f>G57-G59</f>
        <v>155513</v>
      </c>
      <c r="H61" s="50">
        <f t="shared" si="44"/>
        <v>261835.7380800001</v>
      </c>
      <c r="I61" s="50">
        <f t="shared" si="44"/>
        <v>306347.81355360005</v>
      </c>
      <c r="J61" s="50">
        <f t="shared" si="44"/>
        <v>332468.89883251197</v>
      </c>
      <c r="K61" s="50">
        <f t="shared" si="44"/>
        <v>377760.32067945594</v>
      </c>
      <c r="L61" s="50">
        <f t="shared" si="44"/>
        <v>404155.4645407495</v>
      </c>
      <c r="M61" s="50">
        <f t="shared" si="44"/>
        <v>448290.23306115041</v>
      </c>
      <c r="N61" s="50">
        <f t="shared" si="44"/>
        <v>466740.91528503579</v>
      </c>
      <c r="O61" s="50">
        <f t="shared" si="44"/>
        <v>511482.63996681827</v>
      </c>
      <c r="P61" s="50">
        <f t="shared" si="44"/>
        <v>555371.15036397078</v>
      </c>
      <c r="Q61" s="169">
        <f t="shared" si="44"/>
        <v>598929.67196114501</v>
      </c>
    </row>
    <row r="62" spans="1:17">
      <c r="A62" s="24"/>
      <c r="B62" s="50"/>
      <c r="C62" s="50"/>
      <c r="D62" s="50"/>
      <c r="E62" s="50"/>
      <c r="F62" s="50"/>
      <c r="G62" s="50"/>
      <c r="H62" s="50"/>
      <c r="I62" s="50"/>
      <c r="J62" s="50"/>
      <c r="K62" s="50"/>
      <c r="L62" s="50"/>
      <c r="M62" s="50"/>
      <c r="N62" s="50"/>
      <c r="O62" s="50"/>
      <c r="P62" s="50"/>
      <c r="Q62" s="169"/>
    </row>
    <row r="63" spans="1:17">
      <c r="A63" s="26" t="s">
        <v>400</v>
      </c>
      <c r="B63" s="212"/>
      <c r="C63" s="27">
        <f>C61/B69</f>
        <v>0.1469408607869547</v>
      </c>
      <c r="D63" s="27">
        <f t="shared" ref="D63:Q63" si="45">D61/C69</f>
        <v>0.23646821707019283</v>
      </c>
      <c r="E63" s="27">
        <f t="shared" si="45"/>
        <v>0.31414443344338577</v>
      </c>
      <c r="F63" s="27">
        <f t="shared" si="45"/>
        <v>0.26199665463509114</v>
      </c>
      <c r="G63" s="27">
        <f t="shared" si="45"/>
        <v>0.19452060620312508</v>
      </c>
      <c r="H63" s="27">
        <f t="shared" si="45"/>
        <v>0.27132000000000012</v>
      </c>
      <c r="I63" s="27">
        <f t="shared" si="45"/>
        <v>0.27132000000000006</v>
      </c>
      <c r="J63" s="27">
        <f t="shared" si="45"/>
        <v>0.25384000000000001</v>
      </c>
      <c r="K63" s="27">
        <f t="shared" si="45"/>
        <v>0.25080000000000002</v>
      </c>
      <c r="L63" s="27">
        <f t="shared" si="45"/>
        <v>0.23537199999999994</v>
      </c>
      <c r="M63" s="27">
        <f t="shared" si="45"/>
        <v>0.23104</v>
      </c>
      <c r="N63" s="27">
        <f t="shared" si="45"/>
        <v>0.21477600000000002</v>
      </c>
      <c r="O63" s="27">
        <f t="shared" si="45"/>
        <v>0.21204000000000017</v>
      </c>
      <c r="P63" s="27">
        <f t="shared" si="45"/>
        <v>0.20930400000000005</v>
      </c>
      <c r="Q63" s="28">
        <f t="shared" si="45"/>
        <v>0.20520000000000005</v>
      </c>
    </row>
    <row r="64" spans="1:17">
      <c r="G64" s="5"/>
    </row>
    <row r="65" spans="1:17">
      <c r="A65" s="108" t="s">
        <v>378</v>
      </c>
      <c r="B65" s="107"/>
      <c r="C65" s="109"/>
      <c r="D65" s="109"/>
      <c r="E65" s="109"/>
      <c r="F65" s="109"/>
      <c r="G65" s="109"/>
      <c r="H65" s="110" t="s">
        <v>379</v>
      </c>
      <c r="I65" s="110"/>
      <c r="J65" s="112"/>
      <c r="K65" s="112"/>
      <c r="L65" s="112"/>
      <c r="M65" s="112"/>
      <c r="N65" s="112"/>
      <c r="O65" s="112"/>
      <c r="P65" s="112"/>
      <c r="Q65" s="112"/>
    </row>
    <row r="66" spans="1:17">
      <c r="A66" s="48" t="s">
        <v>401</v>
      </c>
      <c r="B66" s="113" t="s">
        <v>331</v>
      </c>
      <c r="C66" s="113" t="s">
        <v>332</v>
      </c>
      <c r="D66" s="113" t="s">
        <v>333</v>
      </c>
      <c r="E66" s="113" t="s">
        <v>334</v>
      </c>
      <c r="F66" s="113" t="s">
        <v>335</v>
      </c>
      <c r="G66" s="113" t="s">
        <v>390</v>
      </c>
      <c r="H66" s="113" t="s">
        <v>356</v>
      </c>
      <c r="I66" s="113" t="s">
        <v>357</v>
      </c>
      <c r="J66" s="113" t="s">
        <v>358</v>
      </c>
      <c r="K66" s="113" t="s">
        <v>359</v>
      </c>
      <c r="L66" s="113" t="s">
        <v>360</v>
      </c>
      <c r="M66" s="113" t="s">
        <v>361</v>
      </c>
      <c r="N66" s="113" t="s">
        <v>362</v>
      </c>
      <c r="O66" s="113" t="s">
        <v>363</v>
      </c>
      <c r="P66" s="113" t="s">
        <v>364</v>
      </c>
      <c r="Q66" s="113" t="s">
        <v>365</v>
      </c>
    </row>
    <row r="67" spans="1:17">
      <c r="A67" s="49" t="s">
        <v>343</v>
      </c>
      <c r="B67" s="51">
        <f>B61</f>
        <v>50934</v>
      </c>
      <c r="C67" s="51">
        <f t="shared" ref="C67:Q67" si="46">C61</f>
        <v>98077</v>
      </c>
      <c r="D67" s="51">
        <f t="shared" si="46"/>
        <v>138092</v>
      </c>
      <c r="E67" s="51">
        <f t="shared" si="46"/>
        <v>166893</v>
      </c>
      <c r="F67" s="51">
        <f t="shared" si="46"/>
        <v>148801</v>
      </c>
      <c r="G67" s="51">
        <f t="shared" si="46"/>
        <v>155513</v>
      </c>
      <c r="H67" s="51">
        <f t="shared" si="46"/>
        <v>261835.7380800001</v>
      </c>
      <c r="I67" s="51">
        <f t="shared" si="46"/>
        <v>306347.81355360005</v>
      </c>
      <c r="J67" s="51">
        <f t="shared" si="46"/>
        <v>332468.89883251197</v>
      </c>
      <c r="K67" s="51">
        <f t="shared" si="46"/>
        <v>377760.32067945594</v>
      </c>
      <c r="L67" s="51">
        <f t="shared" si="46"/>
        <v>404155.4645407495</v>
      </c>
      <c r="M67" s="51">
        <f t="shared" si="46"/>
        <v>448290.23306115041</v>
      </c>
      <c r="N67" s="51">
        <f t="shared" si="46"/>
        <v>466740.91528503579</v>
      </c>
      <c r="O67" s="51">
        <f t="shared" si="46"/>
        <v>511482.63996681827</v>
      </c>
      <c r="P67" s="51">
        <f t="shared" si="46"/>
        <v>555371.15036397078</v>
      </c>
      <c r="Q67" s="51">
        <f t="shared" si="46"/>
        <v>598929.67196114501</v>
      </c>
    </row>
    <row r="68" spans="1:17">
      <c r="A68" t="s">
        <v>347</v>
      </c>
      <c r="B68" s="35">
        <v>0</v>
      </c>
      <c r="C68" s="35">
        <f>(C69-B69)/C67</f>
        <v>-0.85118835200913567</v>
      </c>
      <c r="D68" s="35">
        <f>(D69-C69)/D67</f>
        <v>-0.38173826144888917</v>
      </c>
      <c r="E68" s="35">
        <f>(E69-D69)/E67</f>
        <v>0.21982947157759763</v>
      </c>
      <c r="F68" s="35">
        <f>(F69-E69)/F67</f>
        <v>1.5558900813838616</v>
      </c>
      <c r="G68" s="35">
        <f>(G69-F69)/G67</f>
        <v>1.0647084166597005</v>
      </c>
      <c r="H68" s="35">
        <f t="shared" ref="H68:Q68" si="47">(H69-G69)/H67</f>
        <v>0.62656641604009999</v>
      </c>
      <c r="I68" s="35">
        <f t="shared" si="47"/>
        <v>0.58970956803774077</v>
      </c>
      <c r="J68" s="35">
        <f t="shared" si="47"/>
        <v>0.59092341632524392</v>
      </c>
      <c r="K68" s="35">
        <f t="shared" si="47"/>
        <v>0.55821371610845338</v>
      </c>
      <c r="L68" s="35">
        <f t="shared" si="47"/>
        <v>0.55231718301242239</v>
      </c>
      <c r="M68" s="35">
        <f t="shared" si="47"/>
        <v>0.51939058171745223</v>
      </c>
      <c r="N68" s="35">
        <f t="shared" si="47"/>
        <v>0.51216150780347947</v>
      </c>
      <c r="O68" s="35">
        <f t="shared" si="47"/>
        <v>0.47160913035276336</v>
      </c>
      <c r="P68" s="35">
        <f t="shared" si="47"/>
        <v>0.47777395558613339</v>
      </c>
      <c r="Q68" s="35">
        <f t="shared" si="47"/>
        <v>0.48732943469785567</v>
      </c>
    </row>
    <row r="69" spans="1:17">
      <c r="A69" s="49" t="s">
        <v>138</v>
      </c>
      <c r="B69" s="51">
        <f t="shared" ref="B69:G69" si="48">B41</f>
        <v>667459</v>
      </c>
      <c r="C69" s="51">
        <f t="shared" si="48"/>
        <v>583977</v>
      </c>
      <c r="D69" s="51">
        <f>D41</f>
        <v>531262</v>
      </c>
      <c r="E69" s="51">
        <f t="shared" si="48"/>
        <v>567950</v>
      </c>
      <c r="F69" s="51">
        <f t="shared" si="48"/>
        <v>799468</v>
      </c>
      <c r="G69" s="51">
        <f t="shared" si="48"/>
        <v>965044</v>
      </c>
      <c r="H69" s="51">
        <f t="shared" ref="H69:Q69" si="49">H41</f>
        <v>1129101.48</v>
      </c>
      <c r="I69" s="51">
        <f t="shared" si="49"/>
        <v>1309757.7167999998</v>
      </c>
      <c r="J69" s="51">
        <f t="shared" si="49"/>
        <v>1506221.3743199997</v>
      </c>
      <c r="K69" s="51">
        <f t="shared" si="49"/>
        <v>1717092.3667247999</v>
      </c>
      <c r="L69" s="51">
        <f t="shared" si="49"/>
        <v>1940314.3743990236</v>
      </c>
      <c r="M69" s="51">
        <f t="shared" si="49"/>
        <v>2173152.0993269067</v>
      </c>
      <c r="N69" s="51">
        <f t="shared" si="49"/>
        <v>2412198.8302528667</v>
      </c>
      <c r="O69" s="51">
        <f t="shared" si="49"/>
        <v>2653418.7132781534</v>
      </c>
      <c r="P69" s="51">
        <f t="shared" si="49"/>
        <v>2918760.584605969</v>
      </c>
      <c r="Q69" s="51">
        <f t="shared" si="49"/>
        <v>3210636.643066566</v>
      </c>
    </row>
    <row r="70" spans="1:17">
      <c r="A70" s="73" t="s">
        <v>345</v>
      </c>
      <c r="B70" s="51">
        <v>0</v>
      </c>
      <c r="C70" s="50">
        <f>C69-B69</f>
        <v>-83482</v>
      </c>
      <c r="D70" s="50">
        <f t="shared" ref="D70:G70" si="50">D69-C69</f>
        <v>-52715</v>
      </c>
      <c r="E70" s="50">
        <f t="shared" si="50"/>
        <v>36688</v>
      </c>
      <c r="F70" s="50">
        <f t="shared" si="50"/>
        <v>231518</v>
      </c>
      <c r="G70" s="50">
        <f t="shared" si="50"/>
        <v>165576</v>
      </c>
      <c r="H70" s="50">
        <f>H69-G69</f>
        <v>164057.47999999998</v>
      </c>
      <c r="I70" s="50">
        <f t="shared" ref="I70:Q70" si="51">I69-H69</f>
        <v>180656.23679999984</v>
      </c>
      <c r="J70" s="50">
        <f t="shared" si="51"/>
        <v>196463.65751999989</v>
      </c>
      <c r="K70" s="50">
        <f t="shared" si="51"/>
        <v>210870.99240480014</v>
      </c>
      <c r="L70" s="50">
        <f t="shared" si="51"/>
        <v>223222.00767422374</v>
      </c>
      <c r="M70" s="50">
        <f t="shared" si="51"/>
        <v>232837.72492788313</v>
      </c>
      <c r="N70" s="50">
        <f t="shared" si="51"/>
        <v>239046.73092596</v>
      </c>
      <c r="O70" s="50">
        <f t="shared" si="51"/>
        <v>241219.88302528672</v>
      </c>
      <c r="P70" s="50">
        <f t="shared" si="51"/>
        <v>265341.87132781558</v>
      </c>
      <c r="Q70" s="50">
        <f t="shared" si="51"/>
        <v>291876.05846059695</v>
      </c>
    </row>
    <row r="71" spans="1:17">
      <c r="A71" s="213" t="s">
        <v>402</v>
      </c>
      <c r="B71" s="51">
        <v>0</v>
      </c>
      <c r="C71" s="35">
        <f t="shared" ref="C71:H71" si="52">C40</f>
        <v>-0.12507434913605181</v>
      </c>
      <c r="D71" s="35">
        <f t="shared" si="52"/>
        <v>-9.0268966072293941E-2</v>
      </c>
      <c r="E71" s="35">
        <f t="shared" si="52"/>
        <v>6.905820480290327E-2</v>
      </c>
      <c r="F71" s="35">
        <f t="shared" si="52"/>
        <v>0.40763799630249142</v>
      </c>
      <c r="G71" s="35">
        <f t="shared" si="52"/>
        <v>0.20710772663821442</v>
      </c>
      <c r="H71" s="161">
        <f t="shared" si="52"/>
        <v>0.17</v>
      </c>
      <c r="I71" s="161">
        <f t="shared" ref="I71:Q71" si="53">I40</f>
        <v>0.16</v>
      </c>
      <c r="J71" s="161">
        <f t="shared" si="53"/>
        <v>0.15</v>
      </c>
      <c r="K71" s="161">
        <f t="shared" si="53"/>
        <v>0.14000000000000001</v>
      </c>
      <c r="L71" s="161">
        <f t="shared" si="53"/>
        <v>0.13</v>
      </c>
      <c r="M71" s="161">
        <f t="shared" si="53"/>
        <v>0.12</v>
      </c>
      <c r="N71" s="161">
        <f t="shared" si="53"/>
        <v>0.11</v>
      </c>
      <c r="O71" s="161">
        <f t="shared" si="53"/>
        <v>0.1</v>
      </c>
      <c r="P71" s="161">
        <f t="shared" si="53"/>
        <v>0.1</v>
      </c>
      <c r="Q71" s="161">
        <f t="shared" si="53"/>
        <v>0.1</v>
      </c>
    </row>
    <row r="72" spans="1:17">
      <c r="A72" s="49" t="s">
        <v>348</v>
      </c>
      <c r="B72" s="51">
        <f>IF(B67-B70&lt;B67,B67-B70,B67)</f>
        <v>50934</v>
      </c>
      <c r="C72" s="51">
        <f t="shared" ref="C72:Q72" si="54">IF(C67-C70&lt;C67,C67-C70,C67)</f>
        <v>98077</v>
      </c>
      <c r="D72" s="51">
        <f t="shared" si="54"/>
        <v>138092</v>
      </c>
      <c r="E72" s="51">
        <f t="shared" si="54"/>
        <v>130205</v>
      </c>
      <c r="F72" s="51">
        <f t="shared" si="54"/>
        <v>-82717</v>
      </c>
      <c r="G72" s="51">
        <f>IF(G67-G70&lt;G67,G67-G70,G67)</f>
        <v>-10063</v>
      </c>
      <c r="H72" s="51">
        <f>IF(H67-H70&lt;H67,H67-H70,H67)</f>
        <v>97778.258080000116</v>
      </c>
      <c r="I72" s="51">
        <f t="shared" si="54"/>
        <v>125691.57675360021</v>
      </c>
      <c r="J72" s="51">
        <f t="shared" si="54"/>
        <v>136005.24131251208</v>
      </c>
      <c r="K72" s="51">
        <f t="shared" si="54"/>
        <v>166889.3282746558</v>
      </c>
      <c r="L72" s="51">
        <f t="shared" si="54"/>
        <v>180933.45686652575</v>
      </c>
      <c r="M72" s="51">
        <f t="shared" si="54"/>
        <v>215452.50813326729</v>
      </c>
      <c r="N72" s="51">
        <f t="shared" si="54"/>
        <v>227694.18435907579</v>
      </c>
      <c r="O72" s="51">
        <f t="shared" si="54"/>
        <v>270262.75694153155</v>
      </c>
      <c r="P72" s="51">
        <f t="shared" si="54"/>
        <v>290029.2790361552</v>
      </c>
      <c r="Q72" s="51">
        <f t="shared" si="54"/>
        <v>307053.61350054806</v>
      </c>
    </row>
    <row r="73" spans="1:17">
      <c r="A73" s="49"/>
      <c r="B73" s="49"/>
      <c r="C73" s="49"/>
      <c r="D73" s="49"/>
      <c r="E73" s="49"/>
      <c r="F73" s="49"/>
      <c r="G73" s="49"/>
      <c r="H73" s="51"/>
      <c r="I73" s="51"/>
      <c r="J73" s="51"/>
      <c r="K73" s="51"/>
      <c r="L73" s="51"/>
      <c r="M73" s="51"/>
      <c r="N73" s="51"/>
      <c r="O73" s="51"/>
      <c r="P73" s="51"/>
      <c r="Q73" s="51"/>
    </row>
    <row r="74" spans="1:17">
      <c r="A74" s="108" t="s">
        <v>378</v>
      </c>
      <c r="B74" s="107"/>
      <c r="C74" s="109"/>
      <c r="D74" s="109"/>
      <c r="E74" s="109"/>
      <c r="F74" s="109"/>
      <c r="G74" s="109"/>
      <c r="H74" s="110" t="s">
        <v>379</v>
      </c>
      <c r="I74" s="110"/>
      <c r="J74" s="112"/>
      <c r="K74" s="112"/>
      <c r="L74" s="112"/>
      <c r="M74" s="112"/>
      <c r="N74" s="112"/>
      <c r="O74" s="112"/>
      <c r="P74" s="112"/>
      <c r="Q74" s="112"/>
    </row>
    <row r="75" spans="1:17">
      <c r="A75" s="48" t="s">
        <v>403</v>
      </c>
      <c r="B75" s="113" t="s">
        <v>331</v>
      </c>
      <c r="C75" s="113" t="s">
        <v>332</v>
      </c>
      <c r="D75" s="113" t="s">
        <v>333</v>
      </c>
      <c r="E75" s="113" t="s">
        <v>334</v>
      </c>
      <c r="F75" s="113" t="s">
        <v>335</v>
      </c>
      <c r="G75" s="113" t="s">
        <v>390</v>
      </c>
      <c r="H75" s="113" t="s">
        <v>356</v>
      </c>
      <c r="I75" s="113" t="s">
        <v>357</v>
      </c>
      <c r="J75" s="113" t="s">
        <v>358</v>
      </c>
      <c r="K75" s="113" t="s">
        <v>359</v>
      </c>
      <c r="L75" s="113" t="s">
        <v>360</v>
      </c>
      <c r="M75" s="113" t="s">
        <v>361</v>
      </c>
      <c r="N75" s="113" t="s">
        <v>362</v>
      </c>
      <c r="O75" s="113" t="s">
        <v>363</v>
      </c>
      <c r="P75" s="113" t="s">
        <v>364</v>
      </c>
      <c r="Q75" s="113" t="s">
        <v>365</v>
      </c>
    </row>
    <row r="76" spans="1:17">
      <c r="A76" s="49" t="s">
        <v>348</v>
      </c>
      <c r="B76" s="51">
        <f>B72</f>
        <v>50934</v>
      </c>
      <c r="C76" s="51">
        <f t="shared" ref="C76:Q76" si="55">C72</f>
        <v>98077</v>
      </c>
      <c r="D76" s="51">
        <f t="shared" si="55"/>
        <v>138092</v>
      </c>
      <c r="E76" s="51">
        <f t="shared" si="55"/>
        <v>130205</v>
      </c>
      <c r="F76" s="51">
        <f t="shared" si="55"/>
        <v>-82717</v>
      </c>
      <c r="G76" s="51">
        <f t="shared" si="55"/>
        <v>-10063</v>
      </c>
      <c r="H76" s="51">
        <f>H72</f>
        <v>97778.258080000116</v>
      </c>
      <c r="I76" s="51">
        <f t="shared" si="55"/>
        <v>125691.57675360021</v>
      </c>
      <c r="J76" s="51">
        <f t="shared" si="55"/>
        <v>136005.24131251208</v>
      </c>
      <c r="K76" s="51">
        <f t="shared" si="55"/>
        <v>166889.3282746558</v>
      </c>
      <c r="L76" s="51">
        <f t="shared" si="55"/>
        <v>180933.45686652575</v>
      </c>
      <c r="M76" s="51">
        <f t="shared" si="55"/>
        <v>215452.50813326729</v>
      </c>
      <c r="N76" s="51">
        <f t="shared" si="55"/>
        <v>227694.18435907579</v>
      </c>
      <c r="O76" s="51">
        <f t="shared" si="55"/>
        <v>270262.75694153155</v>
      </c>
      <c r="P76" s="51">
        <f t="shared" si="55"/>
        <v>290029.2790361552</v>
      </c>
      <c r="Q76" s="51">
        <f t="shared" si="55"/>
        <v>307053.61350054806</v>
      </c>
    </row>
    <row r="77" spans="1:17">
      <c r="A77" s="49" t="s">
        <v>404</v>
      </c>
      <c r="B77" s="51">
        <f>'Financial Statements'!B51+'Financial Statements'!B52+'Financial Statements'!B53+'Financial Statements'!B62+'Financial Statements'!B63</f>
        <v>171306</v>
      </c>
      <c r="C77" s="51">
        <f>'Financial Statements'!C51+'Financial Statements'!C52+'Financial Statements'!C53+'Financial Statements'!C62+'Financial Statements'!C63</f>
        <v>70058</v>
      </c>
      <c r="D77" s="51">
        <f>'Financial Statements'!D51+'Financial Statements'!D52+'Financial Statements'!D53+'Financial Statements'!D62+'Financial Statements'!D63</f>
        <v>6678</v>
      </c>
      <c r="E77" s="51">
        <f>'Financial Statements'!E51+'Financial Statements'!E52+'Financial Statements'!E53+'Financial Statements'!E62+'Financial Statements'!E63</f>
        <v>6241</v>
      </c>
      <c r="F77" s="51">
        <f>'Financial Statements'!F51+'Financial Statements'!F52+'Financial Statements'!F53+'Financial Statements'!F62+'Financial Statements'!F63</f>
        <v>12013</v>
      </c>
      <c r="G77" s="51">
        <f>'Financial Statements'!G51+'Financial Statements'!G52+'Financial Statements'!G53+'Financial Statements'!G62+'Financial Statements'!G63</f>
        <v>7153</v>
      </c>
      <c r="H77" s="51">
        <v>0</v>
      </c>
      <c r="I77" s="51">
        <v>0</v>
      </c>
      <c r="J77" s="51">
        <v>0</v>
      </c>
      <c r="K77" s="51">
        <v>0</v>
      </c>
      <c r="L77" s="51">
        <v>0</v>
      </c>
      <c r="M77" s="51">
        <v>0</v>
      </c>
      <c r="N77" s="51">
        <v>0</v>
      </c>
      <c r="O77" s="51">
        <v>0</v>
      </c>
      <c r="P77" s="51">
        <v>0</v>
      </c>
      <c r="Q77" s="51">
        <v>0</v>
      </c>
    </row>
    <row r="78" spans="1:17">
      <c r="A78" s="35" t="s">
        <v>405</v>
      </c>
      <c r="B78" s="43">
        <f>'Financial Statements'!B54+'Financial Statements'!B64</f>
        <v>190983</v>
      </c>
      <c r="C78" s="43">
        <f>'Financial Statements'!C54+'Financial Statements'!C64</f>
        <v>175262</v>
      </c>
      <c r="D78" s="43">
        <f>'Financial Statements'!D54+'Financial Statements'!D64</f>
        <v>135683</v>
      </c>
      <c r="E78" s="43">
        <f>'Financial Statements'!E54+'Financial Statements'!E64</f>
        <v>172406</v>
      </c>
      <c r="F78" s="43">
        <f>'Financial Statements'!F54+'Financial Statements'!F64</f>
        <v>184143</v>
      </c>
      <c r="G78" s="43">
        <f>'Financial Statements'!G54+'Financial Statements'!G64</f>
        <v>193644</v>
      </c>
      <c r="H78" s="50">
        <f>H34</f>
        <v>225820.296</v>
      </c>
      <c r="I78" s="50">
        <f t="shared" ref="I78:Q78" si="56">I34</f>
        <v>261951.54335999998</v>
      </c>
      <c r="J78" s="50">
        <f t="shared" si="56"/>
        <v>301244.27486399998</v>
      </c>
      <c r="K78" s="50">
        <f t="shared" si="56"/>
        <v>343418.47334496002</v>
      </c>
      <c r="L78" s="50">
        <f t="shared" si="56"/>
        <v>388062.87487980473</v>
      </c>
      <c r="M78" s="50">
        <f t="shared" si="56"/>
        <v>434630.41986538138</v>
      </c>
      <c r="N78" s="50">
        <f t="shared" si="56"/>
        <v>482439.76605057338</v>
      </c>
      <c r="O78" s="50">
        <f t="shared" si="56"/>
        <v>530683.74265563069</v>
      </c>
      <c r="P78" s="50">
        <f t="shared" si="56"/>
        <v>583752.11692119378</v>
      </c>
      <c r="Q78" s="50">
        <f t="shared" si="56"/>
        <v>642127.32861331326</v>
      </c>
    </row>
    <row r="79" spans="1:17">
      <c r="A79" s="49" t="s">
        <v>351</v>
      </c>
      <c r="B79" s="43">
        <v>12500</v>
      </c>
      <c r="C79" s="43">
        <v>10500</v>
      </c>
      <c r="D79" s="43">
        <v>2160</v>
      </c>
      <c r="E79" s="43">
        <v>465</v>
      </c>
      <c r="F79" s="43">
        <v>426</v>
      </c>
      <c r="G79" s="43">
        <v>730</v>
      </c>
      <c r="H79" s="51">
        <f>H77*H80</f>
        <v>0</v>
      </c>
      <c r="I79" s="51">
        <f t="shared" ref="I79:Q79" si="57">I77*I80</f>
        <v>0</v>
      </c>
      <c r="J79" s="51">
        <f t="shared" si="57"/>
        <v>0</v>
      </c>
      <c r="K79" s="51">
        <f t="shared" si="57"/>
        <v>0</v>
      </c>
      <c r="L79" s="51">
        <f t="shared" si="57"/>
        <v>0</v>
      </c>
      <c r="M79" s="51">
        <f t="shared" si="57"/>
        <v>0</v>
      </c>
      <c r="N79" s="51">
        <f t="shared" si="57"/>
        <v>0</v>
      </c>
      <c r="O79" s="51">
        <f t="shared" si="57"/>
        <v>0</v>
      </c>
      <c r="P79" s="51">
        <f t="shared" si="57"/>
        <v>0</v>
      </c>
      <c r="Q79" s="51">
        <f t="shared" si="57"/>
        <v>0</v>
      </c>
    </row>
    <row r="80" spans="1:17">
      <c r="A80" s="55" t="s">
        <v>373</v>
      </c>
      <c r="B80" s="35">
        <f t="shared" ref="B80:G80" si="58">B79/B77</f>
        <v>7.2968839386828244E-2</v>
      </c>
      <c r="C80" s="35">
        <f>C79/C77</f>
        <v>0.1498758171800508</v>
      </c>
      <c r="D80" s="35">
        <f t="shared" si="58"/>
        <v>0.32345013477088946</v>
      </c>
      <c r="E80" s="35">
        <f t="shared" si="58"/>
        <v>7.4507290498317572E-2</v>
      </c>
      <c r="F80" s="35">
        <f t="shared" si="58"/>
        <v>3.5461583284774827E-2</v>
      </c>
      <c r="G80" s="35">
        <f t="shared" si="58"/>
        <v>0.10205508178386691</v>
      </c>
      <c r="H80" s="161">
        <v>7.0000000000000007E-2</v>
      </c>
      <c r="I80" s="161">
        <v>7.0000000000000007E-2</v>
      </c>
      <c r="J80" s="161">
        <v>7.0000000000000007E-2</v>
      </c>
      <c r="K80" s="161">
        <v>7.0000000000000007E-2</v>
      </c>
      <c r="L80" s="161">
        <v>7.0000000000000007E-2</v>
      </c>
      <c r="M80" s="161">
        <v>7.0000000000000007E-2</v>
      </c>
      <c r="N80" s="161">
        <v>7.0000000000000007E-2</v>
      </c>
      <c r="O80" s="161">
        <v>7.0000000000000007E-2</v>
      </c>
      <c r="P80" s="161">
        <v>7.0000000000000007E-2</v>
      </c>
      <c r="Q80" s="161">
        <v>7.0000000000000007E-2</v>
      </c>
    </row>
    <row r="81" spans="1:17">
      <c r="A81" s="49" t="s">
        <v>352</v>
      </c>
      <c r="B81" s="43">
        <v>11800</v>
      </c>
      <c r="C81" s="43">
        <v>12400</v>
      </c>
      <c r="D81" s="43">
        <v>10587</v>
      </c>
      <c r="E81" s="43">
        <v>10079</v>
      </c>
      <c r="F81" s="43">
        <v>11471</v>
      </c>
      <c r="G81" s="43">
        <v>11491</v>
      </c>
      <c r="H81" s="43">
        <f>H78*H82</f>
        <v>14703.157815160179</v>
      </c>
      <c r="I81" s="43">
        <f t="shared" ref="I81:Q81" si="59">I78*I82</f>
        <v>17055.663065585806</v>
      </c>
      <c r="J81" s="43">
        <f t="shared" si="59"/>
        <v>19614.012525423677</v>
      </c>
      <c r="K81" s="43">
        <f t="shared" si="59"/>
        <v>22359.974278982994</v>
      </c>
      <c r="L81" s="43">
        <f t="shared" si="59"/>
        <v>25266.770935250777</v>
      </c>
      <c r="M81" s="43">
        <f t="shared" si="59"/>
        <v>28298.783447480877</v>
      </c>
      <c r="N81" s="43">
        <f t="shared" si="59"/>
        <v>31411.649626703776</v>
      </c>
      <c r="O81" s="43">
        <f t="shared" si="59"/>
        <v>34552.814589374153</v>
      </c>
      <c r="P81" s="43">
        <f t="shared" si="59"/>
        <v>38008.09604831157</v>
      </c>
      <c r="Q81" s="43">
        <f t="shared" si="59"/>
        <v>41808.905653142734</v>
      </c>
    </row>
    <row r="82" spans="1:17">
      <c r="A82" s="55" t="s">
        <v>374</v>
      </c>
      <c r="B82" s="35">
        <f t="shared" ref="B82:G82" si="60">B81/B78</f>
        <v>6.1785603954278651E-2</v>
      </c>
      <c r="C82" s="35">
        <f t="shared" si="60"/>
        <v>7.0751218176216185E-2</v>
      </c>
      <c r="D82" s="35">
        <f t="shared" si="60"/>
        <v>7.8027461067340792E-2</v>
      </c>
      <c r="E82" s="35">
        <f t="shared" si="60"/>
        <v>5.846084243007784E-2</v>
      </c>
      <c r="F82" s="35">
        <f t="shared" si="60"/>
        <v>6.2293978049667922E-2</v>
      </c>
      <c r="G82" s="35">
        <f t="shared" si="60"/>
        <v>5.9340852285637562E-2</v>
      </c>
      <c r="H82" s="161">
        <f>AVERAGE(Table141718[[#This Row],[2018]:[2023]])</f>
        <v>6.5109992660536492E-2</v>
      </c>
      <c r="I82" s="161">
        <f>AVERAGE(Table141718[[#This Row],[2018]:[2023]])</f>
        <v>6.5109992660536492E-2</v>
      </c>
      <c r="J82" s="161">
        <f>AVERAGE(Table141718[[#This Row],[2018]:[2023]])</f>
        <v>6.5109992660536492E-2</v>
      </c>
      <c r="K82" s="161">
        <f>AVERAGE(Table141718[[#This Row],[2018]:[2023]])</f>
        <v>6.5109992660536492E-2</v>
      </c>
      <c r="L82" s="161">
        <f>AVERAGE(Table141718[[#This Row],[2018]:[2023]])</f>
        <v>6.5109992660536492E-2</v>
      </c>
      <c r="M82" s="161">
        <f>AVERAGE(Table141718[[#This Row],[2018]:[2023]])</f>
        <v>6.5109992660536492E-2</v>
      </c>
      <c r="N82" s="161">
        <f>AVERAGE(Table141718[[#This Row],[2018]:[2023]])</f>
        <v>6.5109992660536492E-2</v>
      </c>
      <c r="O82" s="161">
        <f>AVERAGE(Table141718[[#This Row],[2018]:[2023]])</f>
        <v>6.5109992660536492E-2</v>
      </c>
      <c r="P82" s="161">
        <f>AVERAGE(Table141718[[#This Row],[2018]:[2023]])</f>
        <v>6.5109992660536492E-2</v>
      </c>
      <c r="Q82" s="161">
        <f>AVERAGE(Table141718[[#This Row],[2018]:[2023]])</f>
        <v>6.5109992660536492E-2</v>
      </c>
    </row>
    <row r="83" spans="1:17">
      <c r="A83" s="49" t="s">
        <v>406</v>
      </c>
      <c r="B83" s="35">
        <f t="shared" ref="B83:G83" si="61">((B77*B80)+(B78*B82))/SUM(B77:B78)</f>
        <v>6.7073524175451094E-2</v>
      </c>
      <c r="C83" s="35">
        <f t="shared" si="61"/>
        <v>9.3347464536116087E-2</v>
      </c>
      <c r="D83" s="35">
        <f t="shared" si="61"/>
        <v>8.9539972323880834E-2</v>
      </c>
      <c r="E83" s="35">
        <f t="shared" si="61"/>
        <v>5.9021422134152825E-2</v>
      </c>
      <c r="F83" s="35">
        <f t="shared" si="61"/>
        <v>6.0650706580476763E-2</v>
      </c>
      <c r="G83" s="35">
        <f t="shared" si="61"/>
        <v>6.086246308460784E-2</v>
      </c>
      <c r="H83" s="35">
        <f>AVERAGE(H80,H82)</f>
        <v>6.7554996330268249E-2</v>
      </c>
      <c r="I83" s="35">
        <f t="shared" ref="I83:Q83" si="62">AVERAGE(I80,I82)</f>
        <v>6.7554996330268249E-2</v>
      </c>
      <c r="J83" s="35">
        <f t="shared" si="62"/>
        <v>6.7554996330268249E-2</v>
      </c>
      <c r="K83" s="35">
        <f t="shared" si="62"/>
        <v>6.7554996330268249E-2</v>
      </c>
      <c r="L83" s="35">
        <f t="shared" si="62"/>
        <v>6.7554996330268249E-2</v>
      </c>
      <c r="M83" s="35">
        <f t="shared" si="62"/>
        <v>6.7554996330268249E-2</v>
      </c>
      <c r="N83" s="35">
        <f t="shared" si="62"/>
        <v>6.7554996330268249E-2</v>
      </c>
      <c r="O83" s="35">
        <f t="shared" si="62"/>
        <v>6.7554996330268249E-2</v>
      </c>
      <c r="P83" s="35">
        <f t="shared" si="62"/>
        <v>6.7554996330268249E-2</v>
      </c>
      <c r="Q83" s="35">
        <f t="shared" si="62"/>
        <v>6.7554996330268249E-2</v>
      </c>
    </row>
    <row r="84" spans="1:17">
      <c r="A84" s="55" t="s">
        <v>407</v>
      </c>
      <c r="B84" s="51">
        <f>ABS('Financial Statements'!B158+'Financial Statements'!B164+'Financial Statements'!B165+'Financial Statements'!B166)</f>
        <v>142515</v>
      </c>
      <c r="C84" s="51">
        <f>ABS(C77-B77)</f>
        <v>101248</v>
      </c>
      <c r="D84" s="51">
        <f t="shared" ref="D84:Q84" si="63">ABS(D77-C77)</f>
        <v>63380</v>
      </c>
      <c r="E84" s="51">
        <f t="shared" si="63"/>
        <v>437</v>
      </c>
      <c r="F84" s="51">
        <f t="shared" si="63"/>
        <v>5772</v>
      </c>
      <c r="G84" s="51">
        <f t="shared" si="63"/>
        <v>4860</v>
      </c>
      <c r="H84" s="162">
        <f t="shared" si="63"/>
        <v>7153</v>
      </c>
      <c r="I84" s="51">
        <f t="shared" si="63"/>
        <v>0</v>
      </c>
      <c r="J84" s="51">
        <f t="shared" si="63"/>
        <v>0</v>
      </c>
      <c r="K84" s="51">
        <f t="shared" si="63"/>
        <v>0</v>
      </c>
      <c r="L84" s="51">
        <f t="shared" si="63"/>
        <v>0</v>
      </c>
      <c r="M84" s="51">
        <f t="shared" si="63"/>
        <v>0</v>
      </c>
      <c r="N84" s="51">
        <f t="shared" si="63"/>
        <v>0</v>
      </c>
      <c r="O84" s="51">
        <f t="shared" si="63"/>
        <v>0</v>
      </c>
      <c r="P84" s="51">
        <f t="shared" si="63"/>
        <v>0</v>
      </c>
      <c r="Q84" s="51">
        <f t="shared" si="63"/>
        <v>0</v>
      </c>
    </row>
    <row r="85" spans="1:17">
      <c r="A85" s="49" t="s">
        <v>408</v>
      </c>
      <c r="B85" s="51">
        <f>ABS('Financial Statements'!B10)</f>
        <v>24319</v>
      </c>
      <c r="C85" s="51">
        <f>ABS('Financial Statements'!C10)</f>
        <v>22868</v>
      </c>
      <c r="D85" s="51">
        <f>ABS('Financial Statements'!D10)</f>
        <v>12747</v>
      </c>
      <c r="E85" s="51">
        <f>ABS('Financial Statements'!E10)</f>
        <v>10544</v>
      </c>
      <c r="F85" s="51">
        <f>ABS('Financial Statements'!F10)</f>
        <v>11897</v>
      </c>
      <c r="G85" s="51">
        <f>ABS('Financial Statements'!G10)</f>
        <v>12221</v>
      </c>
      <c r="H85" s="50">
        <f>SUM(H79,H81)</f>
        <v>14703.157815160179</v>
      </c>
      <c r="I85" s="50">
        <f t="shared" ref="I85:Q85" si="64">SUM(I79,I81)</f>
        <v>17055.663065585806</v>
      </c>
      <c r="J85" s="50">
        <f t="shared" si="64"/>
        <v>19614.012525423677</v>
      </c>
      <c r="K85" s="50">
        <f t="shared" si="64"/>
        <v>22359.974278982994</v>
      </c>
      <c r="L85" s="50">
        <f t="shared" si="64"/>
        <v>25266.770935250777</v>
      </c>
      <c r="M85" s="50">
        <f t="shared" si="64"/>
        <v>28298.783447480877</v>
      </c>
      <c r="N85" s="50">
        <f t="shared" si="64"/>
        <v>31411.649626703776</v>
      </c>
      <c r="O85" s="50">
        <f t="shared" si="64"/>
        <v>34552.814589374153</v>
      </c>
      <c r="P85" s="50">
        <f t="shared" si="64"/>
        <v>38008.09604831157</v>
      </c>
      <c r="Q85" s="50">
        <f t="shared" si="64"/>
        <v>41808.905653142734</v>
      </c>
    </row>
    <row r="86" spans="1:17">
      <c r="A86" s="49" t="s">
        <v>353</v>
      </c>
      <c r="B86" s="51">
        <f>B76-B85-B84</f>
        <v>-115900</v>
      </c>
      <c r="C86" s="51">
        <f t="shared" ref="C86:Q86" si="65">C76-C85-C84</f>
        <v>-26039</v>
      </c>
      <c r="D86" s="51">
        <f t="shared" si="65"/>
        <v>61965</v>
      </c>
      <c r="E86" s="51">
        <f t="shared" si="65"/>
        <v>119224</v>
      </c>
      <c r="F86" s="51">
        <f t="shared" si="65"/>
        <v>-100386</v>
      </c>
      <c r="G86" s="51">
        <f t="shared" si="65"/>
        <v>-27144</v>
      </c>
      <c r="H86" s="51">
        <f>H76-H85-H84</f>
        <v>75922.100264839944</v>
      </c>
      <c r="I86" s="51">
        <f t="shared" si="65"/>
        <v>108635.91368801441</v>
      </c>
      <c r="J86" s="51">
        <f t="shared" si="65"/>
        <v>116391.2287870884</v>
      </c>
      <c r="K86" s="51">
        <f t="shared" si="65"/>
        <v>144529.35399567281</v>
      </c>
      <c r="L86" s="51">
        <f t="shared" si="65"/>
        <v>155666.68593127499</v>
      </c>
      <c r="M86" s="51">
        <f t="shared" si="65"/>
        <v>187153.72468578641</v>
      </c>
      <c r="N86" s="51">
        <f t="shared" si="65"/>
        <v>196282.53473237201</v>
      </c>
      <c r="O86" s="51">
        <f t="shared" si="65"/>
        <v>235709.94235215741</v>
      </c>
      <c r="P86" s="51">
        <f t="shared" si="65"/>
        <v>252021.18298784364</v>
      </c>
      <c r="Q86" s="51">
        <f t="shared" si="65"/>
        <v>265244.70784740534</v>
      </c>
    </row>
    <row r="101" spans="1:9">
      <c r="A101" s="53"/>
      <c r="B101" s="53"/>
      <c r="C101" s="53"/>
      <c r="D101" s="53"/>
      <c r="E101" s="53"/>
      <c r="F101" s="53"/>
      <c r="G101" s="53"/>
      <c r="H101" s="53"/>
      <c r="I101" s="53"/>
    </row>
    <row r="102" spans="1:9">
      <c r="A102" s="53"/>
      <c r="B102" s="53"/>
      <c r="C102" s="53"/>
      <c r="D102" s="53"/>
      <c r="E102" s="53"/>
      <c r="F102" s="53"/>
      <c r="G102" s="53"/>
      <c r="H102" s="53"/>
      <c r="I102" s="53"/>
    </row>
    <row r="103" spans="1:9">
      <c r="A103" s="53"/>
      <c r="B103" s="53"/>
      <c r="C103" s="53"/>
      <c r="D103" s="53"/>
      <c r="E103" s="53"/>
      <c r="F103" s="53"/>
      <c r="G103" s="53"/>
      <c r="H103" s="53"/>
      <c r="I103" s="53"/>
    </row>
    <row r="104" spans="1:9">
      <c r="A104" s="53"/>
      <c r="B104" s="53"/>
      <c r="C104" s="53"/>
      <c r="D104" s="53"/>
      <c r="E104" s="53"/>
      <c r="F104" s="53"/>
      <c r="G104" s="53"/>
      <c r="H104" s="53"/>
      <c r="I104" s="53"/>
    </row>
    <row r="105" spans="1:9">
      <c r="A105" s="53"/>
      <c r="B105" s="53"/>
      <c r="C105" s="53"/>
      <c r="D105" s="53"/>
      <c r="E105" s="53"/>
      <c r="F105" s="53"/>
      <c r="G105" s="53"/>
      <c r="H105" s="53"/>
      <c r="I105" s="53"/>
    </row>
    <row r="106" spans="1:9">
      <c r="A106" s="53"/>
      <c r="B106" s="53"/>
      <c r="C106" s="53"/>
      <c r="D106" s="53"/>
      <c r="E106" s="53"/>
      <c r="F106" s="53"/>
      <c r="G106" s="53"/>
      <c r="H106" s="53"/>
      <c r="I106" s="53"/>
    </row>
    <row r="107" spans="1:9">
      <c r="A107" s="53"/>
      <c r="B107" s="53"/>
      <c r="C107" s="53"/>
      <c r="D107" s="53"/>
      <c r="E107" s="53"/>
      <c r="F107" s="53"/>
      <c r="G107" s="53"/>
      <c r="H107" s="53"/>
      <c r="I107" s="53"/>
    </row>
    <row r="108" spans="1:9">
      <c r="A108" s="53"/>
      <c r="B108" s="53"/>
      <c r="C108" s="53"/>
      <c r="D108" s="53"/>
      <c r="E108" s="53"/>
      <c r="F108" s="53"/>
      <c r="G108" s="53"/>
      <c r="H108" s="53"/>
      <c r="I108" s="53"/>
    </row>
    <row r="109" spans="1:9">
      <c r="A109" s="53"/>
      <c r="B109" s="53"/>
      <c r="C109" s="53"/>
      <c r="D109" s="53"/>
      <c r="E109" s="53"/>
      <c r="F109" s="53"/>
      <c r="G109" s="53"/>
      <c r="H109" s="53"/>
      <c r="I109" s="53"/>
    </row>
    <row r="110" spans="1:9">
      <c r="A110" s="53"/>
      <c r="B110" s="53"/>
      <c r="C110" s="53"/>
      <c r="D110" s="53"/>
      <c r="E110" s="53"/>
      <c r="F110" s="53"/>
      <c r="G110" s="53"/>
      <c r="H110" s="53"/>
      <c r="I110" s="53"/>
    </row>
    <row r="111" spans="1:9">
      <c r="A111" s="53"/>
      <c r="B111" s="53"/>
      <c r="C111" s="53"/>
      <c r="D111" s="53"/>
      <c r="E111" s="53"/>
      <c r="F111" s="53"/>
      <c r="G111" s="53"/>
      <c r="H111" s="53"/>
      <c r="I111" s="53"/>
    </row>
    <row r="112" spans="1:9">
      <c r="A112" s="53"/>
      <c r="B112" s="53"/>
      <c r="C112" s="53"/>
      <c r="D112" s="53"/>
      <c r="E112" s="53"/>
      <c r="F112" s="53"/>
      <c r="G112" s="53"/>
      <c r="H112" s="53"/>
      <c r="I112" s="53"/>
    </row>
    <row r="113" spans="1:9">
      <c r="A113" s="53"/>
      <c r="B113" s="53"/>
      <c r="C113" s="53"/>
      <c r="D113" s="53"/>
      <c r="E113" s="53"/>
      <c r="F113" s="53"/>
      <c r="G113" s="53"/>
      <c r="H113" s="53"/>
      <c r="I113" s="53"/>
    </row>
    <row r="114" spans="1:9">
      <c r="A114" s="53"/>
      <c r="B114" s="53"/>
      <c r="C114" s="53"/>
      <c r="D114" s="53"/>
      <c r="E114" s="53"/>
      <c r="F114" s="53"/>
      <c r="G114" s="53"/>
      <c r="H114" s="53"/>
      <c r="I114" s="53"/>
    </row>
    <row r="115" spans="1:9">
      <c r="A115" s="53"/>
      <c r="B115" s="53"/>
      <c r="C115" s="53"/>
      <c r="D115" s="53"/>
      <c r="E115" s="53"/>
      <c r="F115" s="53"/>
      <c r="G115" s="53"/>
      <c r="H115" s="53"/>
      <c r="I115" s="53"/>
    </row>
    <row r="116" spans="1:9">
      <c r="A116" s="53"/>
      <c r="B116" s="53"/>
      <c r="C116" s="53"/>
      <c r="D116" s="53"/>
      <c r="E116" s="53"/>
      <c r="F116" s="53"/>
      <c r="G116" s="53"/>
      <c r="H116" s="53"/>
      <c r="I116" s="53"/>
    </row>
    <row r="117" spans="1:9">
      <c r="A117" s="53"/>
      <c r="B117" s="53"/>
      <c r="C117" s="53"/>
      <c r="D117" s="53"/>
      <c r="E117" s="53"/>
      <c r="F117" s="53"/>
      <c r="G117" s="53"/>
      <c r="H117" s="53"/>
      <c r="I117" s="53"/>
    </row>
    <row r="118" spans="1:9">
      <c r="A118" s="49"/>
      <c r="B118" s="54"/>
      <c r="C118" s="54"/>
      <c r="D118" s="54"/>
      <c r="E118" s="54"/>
      <c r="F118" s="54"/>
      <c r="G118" s="54"/>
      <c r="H118" s="53"/>
    </row>
    <row r="185" spans="1:7">
      <c r="A185" s="99"/>
      <c r="B185" s="50"/>
      <c r="C185" s="50"/>
      <c r="D185" s="50"/>
      <c r="E185" s="50"/>
      <c r="F185" s="50"/>
      <c r="G185" s="50"/>
    </row>
    <row r="186" spans="1:7">
      <c r="A186" s="103"/>
      <c r="B186" s="104"/>
      <c r="C186" s="104"/>
      <c r="D186" s="104"/>
      <c r="E186" s="104"/>
      <c r="F186" s="104"/>
      <c r="G186" s="104"/>
    </row>
    <row r="187" spans="1:7">
      <c r="A187" s="99"/>
      <c r="B187" s="50"/>
      <c r="C187" s="50"/>
      <c r="D187" s="50"/>
      <c r="E187" s="50"/>
      <c r="F187" s="50"/>
      <c r="G187" s="50"/>
    </row>
    <row r="188" spans="1:7">
      <c r="A188" s="100"/>
      <c r="B188" s="50"/>
      <c r="C188" s="50"/>
      <c r="D188" s="50"/>
      <c r="E188" s="50"/>
      <c r="F188" s="50"/>
      <c r="G188" s="50"/>
    </row>
    <row r="189" spans="1:7">
      <c r="A189" s="100"/>
      <c r="B189" s="50"/>
      <c r="C189" s="50"/>
      <c r="D189" s="50"/>
      <c r="E189" s="50"/>
      <c r="F189" s="50"/>
      <c r="G189" s="50"/>
    </row>
    <row r="190" spans="1:7" ht="8.1" customHeight="1">
      <c r="A190" s="68"/>
      <c r="B190" s="50"/>
      <c r="C190" s="50"/>
      <c r="D190" s="50"/>
      <c r="E190" s="50"/>
      <c r="F190" s="50"/>
      <c r="G190" s="50"/>
    </row>
    <row r="191" spans="1:7">
      <c r="A191" s="11"/>
      <c r="B191" s="50"/>
      <c r="C191" s="50"/>
      <c r="D191" s="50"/>
      <c r="E191" s="50"/>
      <c r="F191" s="50"/>
      <c r="G191" s="50"/>
    </row>
    <row r="192" spans="1:7">
      <c r="A192" s="100"/>
      <c r="B192" s="50"/>
      <c r="C192" s="50"/>
      <c r="D192" s="50"/>
      <c r="E192" s="50"/>
      <c r="F192" s="50"/>
      <c r="G192" s="50"/>
    </row>
    <row r="193" spans="1:8">
      <c r="A193" s="100"/>
      <c r="B193" s="50"/>
      <c r="C193" s="50"/>
      <c r="D193" s="102"/>
      <c r="E193" s="50"/>
      <c r="F193" s="50"/>
      <c r="G193" s="50"/>
    </row>
    <row r="194" spans="1:8">
      <c r="A194" s="68"/>
      <c r="B194" s="50"/>
      <c r="C194" s="50"/>
      <c r="D194" s="50"/>
      <c r="E194" s="50"/>
      <c r="F194" s="50"/>
      <c r="G194" s="50"/>
    </row>
    <row r="195" spans="1:8">
      <c r="A195" s="68"/>
      <c r="B195" s="50"/>
      <c r="C195" s="50"/>
      <c r="E195" s="50"/>
      <c r="F195" s="50"/>
      <c r="G195" s="50"/>
    </row>
    <row r="196" spans="1:8">
      <c r="A196" s="11"/>
      <c r="B196" s="50"/>
      <c r="C196" s="50"/>
      <c r="D196" s="50"/>
      <c r="E196" s="50"/>
      <c r="F196" s="50"/>
      <c r="G196" s="50"/>
    </row>
    <row r="197" spans="1:8">
      <c r="A197" s="68"/>
      <c r="B197" s="50"/>
      <c r="C197" s="50"/>
      <c r="D197" s="50"/>
      <c r="E197" s="50"/>
      <c r="F197" s="50"/>
      <c r="G197" s="50"/>
    </row>
    <row r="198" spans="1:8">
      <c r="A198" s="99"/>
      <c r="B198" s="50"/>
      <c r="C198" s="50"/>
      <c r="D198" s="50"/>
      <c r="E198" s="50"/>
      <c r="F198" s="50"/>
      <c r="G198" s="50"/>
    </row>
    <row r="199" spans="1:8">
      <c r="A199" s="99"/>
      <c r="B199" s="50"/>
      <c r="C199" s="50"/>
      <c r="D199" s="50"/>
      <c r="E199" s="50"/>
      <c r="F199" s="50"/>
      <c r="G199" s="50"/>
    </row>
    <row r="200" spans="1:8">
      <c r="A200" s="100"/>
      <c r="B200" s="50"/>
      <c r="C200" s="50"/>
      <c r="D200" s="50"/>
      <c r="E200" s="50"/>
      <c r="F200" s="50"/>
      <c r="G200" s="50"/>
    </row>
    <row r="201" spans="1:8">
      <c r="A201" s="100"/>
      <c r="B201" s="99"/>
      <c r="C201" s="50"/>
      <c r="D201" s="50"/>
      <c r="E201" s="50"/>
      <c r="F201" s="50"/>
      <c r="G201" s="50"/>
    </row>
    <row r="202" spans="1:8">
      <c r="B202" s="50"/>
      <c r="C202" s="50"/>
      <c r="D202" s="50"/>
      <c r="E202" s="50"/>
      <c r="F202" s="50"/>
      <c r="G202" s="50"/>
    </row>
    <row r="203" spans="1:8">
      <c r="A203" s="99"/>
      <c r="B203" s="50"/>
      <c r="C203" s="50"/>
      <c r="D203" s="50"/>
      <c r="E203" s="50"/>
      <c r="F203" s="50"/>
      <c r="G203" s="50"/>
    </row>
    <row r="204" spans="1:8">
      <c r="A204" s="99"/>
      <c r="B204" s="50"/>
      <c r="C204" s="50"/>
      <c r="D204" s="50"/>
      <c r="E204" s="50"/>
      <c r="F204" s="50"/>
      <c r="G204" s="50"/>
      <c r="H204" s="70"/>
    </row>
  </sheetData>
  <phoneticPr fontId="2" type="noConversion"/>
  <conditionalFormatting sqref="B55:G55">
    <cfRule type="uniqueValues" dxfId="11" priority="7"/>
    <cfRule type="duplicateValues" dxfId="10" priority="8"/>
  </conditionalFormatting>
  <conditionalFormatting sqref="B58:G58">
    <cfRule type="uniqueValues" dxfId="9" priority="5"/>
    <cfRule type="duplicateValues" dxfId="8" priority="6"/>
  </conditionalFormatting>
  <pageMargins left="0.7" right="0.7" top="0.75" bottom="0.75" header="0.3" footer="0.3"/>
  <pageSetup paperSize="9" scale="35" orientation="landscape" r:id="rId1"/>
  <ignoredErrors>
    <ignoredError sqref="B48:G51" formula="1"/>
  </ignoredErrors>
  <legacyDrawing r:id="rId2"/>
  <tableParts count="6">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2F56-AAE3-4A0D-935D-65A76A6563BE}">
  <dimension ref="A1:P102"/>
  <sheetViews>
    <sheetView showGridLines="0" tabSelected="1" zoomScaleNormal="100" workbookViewId="0">
      <selection activeCell="D28" sqref="D28"/>
    </sheetView>
  </sheetViews>
  <sheetFormatPr defaultRowHeight="15"/>
  <cols>
    <col min="1" max="1" width="30.7109375" customWidth="1"/>
    <col min="2" max="11" width="13.7109375" customWidth="1"/>
    <col min="13" max="13" width="25.7109375" customWidth="1"/>
    <col min="14" max="14" width="11" customWidth="1"/>
    <col min="15" max="15" width="11.28515625" bestFit="1" customWidth="1"/>
  </cols>
  <sheetData>
    <row r="1" spans="1:16">
      <c r="A1" s="59" t="s">
        <v>409</v>
      </c>
      <c r="B1" s="60"/>
      <c r="C1" s="60"/>
      <c r="D1" s="60"/>
      <c r="E1" s="60"/>
      <c r="F1" s="60"/>
    </row>
    <row r="2" spans="1:16" ht="2.1" customHeight="1"/>
    <row r="3" spans="1:16">
      <c r="A3" s="56" t="s">
        <v>330</v>
      </c>
      <c r="B3" s="57" t="s">
        <v>356</v>
      </c>
      <c r="C3" s="57" t="s">
        <v>357</v>
      </c>
      <c r="D3" s="57" t="s">
        <v>358</v>
      </c>
      <c r="E3" s="57" t="s">
        <v>359</v>
      </c>
      <c r="F3" s="57" t="s">
        <v>360</v>
      </c>
      <c r="G3" s="57" t="s">
        <v>361</v>
      </c>
      <c r="H3" s="57" t="s">
        <v>362</v>
      </c>
      <c r="I3" s="57" t="s">
        <v>363</v>
      </c>
      <c r="J3" s="57" t="s">
        <v>364</v>
      </c>
      <c r="K3" s="57" t="s">
        <v>365</v>
      </c>
      <c r="M3" s="81"/>
      <c r="N3" s="80"/>
    </row>
    <row r="4" spans="1:16" ht="15" customHeight="1">
      <c r="A4" s="49" t="s">
        <v>135</v>
      </c>
      <c r="B4" s="63">
        <f>'Drivers and Inputs'!H24</f>
        <v>1640574.8</v>
      </c>
      <c r="C4" s="63">
        <f>'Drivers and Inputs'!I24</f>
        <v>1919472.5159999998</v>
      </c>
      <c r="D4" s="63">
        <f>'Drivers and Inputs'!J24</f>
        <v>2187295.3870559996</v>
      </c>
      <c r="E4" s="63">
        <f>'Drivers and Inputs'!K24</f>
        <v>2485265.2676279992</v>
      </c>
      <c r="F4" s="63">
        <f>'Drivers and Inputs'!L24</f>
        <v>2798860.5577614238</v>
      </c>
      <c r="G4" s="63">
        <f>'Drivers and Inputs'!M24</f>
        <v>3104502.9990384378</v>
      </c>
      <c r="H4" s="63">
        <f>'Drivers and Inputs'!N24</f>
        <v>3411848.7959432439</v>
      </c>
      <c r="I4" s="63">
        <f>'Drivers and Inputs'!O24</f>
        <v>3738908.1868919437</v>
      </c>
      <c r="J4" s="63">
        <f>'Drivers and Inputs'!P24</f>
        <v>4059730.631315575</v>
      </c>
      <c r="K4" s="63">
        <f>'Drivers and Inputs'!Q24</f>
        <v>4378140.8769089533</v>
      </c>
      <c r="L4" s="50"/>
      <c r="M4" s="3"/>
      <c r="N4" s="3"/>
    </row>
    <row r="5" spans="1:16" ht="15" customHeight="1">
      <c r="A5" s="73" t="s">
        <v>48</v>
      </c>
      <c r="B5" s="97">
        <f>(B4/'Financial Statements'!G2)-1</f>
        <v>0.19793268370688688</v>
      </c>
      <c r="C5" s="97">
        <f t="shared" ref="C5:K5" si="0">(C4/B4)-1</f>
        <v>0.16999999999999993</v>
      </c>
      <c r="D5" s="97">
        <f t="shared" si="0"/>
        <v>0.13952941176470568</v>
      </c>
      <c r="E5" s="97">
        <f t="shared" si="0"/>
        <v>0.13622754491017952</v>
      </c>
      <c r="F5" s="97">
        <f t="shared" si="0"/>
        <v>0.12618181818181839</v>
      </c>
      <c r="G5" s="97">
        <f t="shared" si="0"/>
        <v>0.10920245398772987</v>
      </c>
      <c r="H5" s="97">
        <f t="shared" si="0"/>
        <v>9.9000000000000199E-2</v>
      </c>
      <c r="I5" s="97">
        <f t="shared" si="0"/>
        <v>9.5859872611465002E-2</v>
      </c>
      <c r="J5" s="97">
        <f t="shared" si="0"/>
        <v>8.5806451612903123E-2</v>
      </c>
      <c r="K5" s="97">
        <f t="shared" si="0"/>
        <v>7.8431372549019551E-2</v>
      </c>
      <c r="L5" s="3"/>
      <c r="N5" s="3"/>
      <c r="O5" s="3"/>
    </row>
    <row r="6" spans="1:16">
      <c r="A6" s="55" t="s">
        <v>122</v>
      </c>
      <c r="B6" s="64">
        <f>'Drivers and Inputs'!B12</f>
        <v>0.20999999999999996</v>
      </c>
      <c r="C6" s="64">
        <f>'Drivers and Inputs'!C12</f>
        <v>0.20999999999999996</v>
      </c>
      <c r="D6" s="64">
        <f>'Drivers and Inputs'!D12</f>
        <v>0.19999999999999996</v>
      </c>
      <c r="E6" s="64">
        <f>'Drivers and Inputs'!E12</f>
        <v>0.19999999999999996</v>
      </c>
      <c r="F6" s="64">
        <f>'Drivers and Inputs'!F12</f>
        <v>0.18999999999999995</v>
      </c>
      <c r="G6" s="64">
        <f>'Drivers and Inputs'!G12</f>
        <v>0.18999999999999995</v>
      </c>
      <c r="H6" s="64">
        <f>'Drivers and Inputs'!H12</f>
        <v>0.18000000000000005</v>
      </c>
      <c r="I6" s="64">
        <f>'Drivers and Inputs'!I12</f>
        <v>0.18000000000000005</v>
      </c>
      <c r="J6" s="64">
        <f>'Drivers and Inputs'!J12</f>
        <v>0.18000000000000005</v>
      </c>
      <c r="K6" s="64">
        <f>'Drivers and Inputs'!K12</f>
        <v>0.18000000000000005</v>
      </c>
      <c r="L6" s="50"/>
      <c r="N6" s="3"/>
      <c r="O6" s="2"/>
      <c r="P6" s="2"/>
    </row>
    <row r="7" spans="1:16">
      <c r="A7" s="49" t="s">
        <v>136</v>
      </c>
      <c r="B7" s="63">
        <f>B4*B6</f>
        <v>344520.70799999993</v>
      </c>
      <c r="C7" s="63">
        <f>C4*C6</f>
        <v>403089.22835999989</v>
      </c>
      <c r="D7" s="63">
        <f t="shared" ref="D7:K7" si="1">D4*D6</f>
        <v>437459.0774111998</v>
      </c>
      <c r="E7" s="63">
        <f t="shared" si="1"/>
        <v>497053.05352559971</v>
      </c>
      <c r="F7" s="63">
        <f t="shared" si="1"/>
        <v>531783.50597467041</v>
      </c>
      <c r="G7" s="63">
        <f t="shared" si="1"/>
        <v>589855.56981730298</v>
      </c>
      <c r="H7" s="63">
        <f t="shared" si="1"/>
        <v>614132.78326978406</v>
      </c>
      <c r="I7" s="63">
        <f t="shared" si="1"/>
        <v>673003.47364055004</v>
      </c>
      <c r="J7" s="63">
        <f t="shared" si="1"/>
        <v>730751.51363680372</v>
      </c>
      <c r="K7" s="63">
        <f t="shared" si="1"/>
        <v>788065.35784361186</v>
      </c>
      <c r="L7" s="50"/>
    </row>
    <row r="8" spans="1:16">
      <c r="A8" s="49" t="s">
        <v>339</v>
      </c>
      <c r="B8" s="61">
        <f>'Drivers and Inputs'!B13</f>
        <v>0.24</v>
      </c>
      <c r="C8" s="61">
        <f>'Drivers and Inputs'!C13</f>
        <v>0.24</v>
      </c>
      <c r="D8" s="61">
        <f>'Drivers and Inputs'!D13</f>
        <v>0.24</v>
      </c>
      <c r="E8" s="61">
        <f>'Drivers and Inputs'!E13</f>
        <v>0.24</v>
      </c>
      <c r="F8" s="61">
        <f>'Drivers and Inputs'!F13</f>
        <v>0.24</v>
      </c>
      <c r="G8" s="61">
        <f>'Drivers and Inputs'!G13</f>
        <v>0.24</v>
      </c>
      <c r="H8" s="61">
        <f>'Drivers and Inputs'!H13</f>
        <v>0.24</v>
      </c>
      <c r="I8" s="61">
        <f>'Drivers and Inputs'!I13</f>
        <v>0.24</v>
      </c>
      <c r="J8" s="61">
        <f>'Drivers and Inputs'!J13</f>
        <v>0.24</v>
      </c>
      <c r="K8" s="61">
        <f>'Drivers and Inputs'!K13</f>
        <v>0.24</v>
      </c>
      <c r="L8" s="50"/>
      <c r="N8" s="3"/>
    </row>
    <row r="9" spans="1:16">
      <c r="A9" s="49" t="s">
        <v>340</v>
      </c>
      <c r="B9" s="63">
        <f>B7*B8</f>
        <v>82684.969919999974</v>
      </c>
      <c r="C9" s="63">
        <f t="shared" ref="C9:K9" si="2">C7*C8</f>
        <v>96741.414806399975</v>
      </c>
      <c r="D9" s="63">
        <f t="shared" si="2"/>
        <v>104990.17857868795</v>
      </c>
      <c r="E9" s="63">
        <f t="shared" si="2"/>
        <v>119292.73284614393</v>
      </c>
      <c r="F9" s="63">
        <f t="shared" si="2"/>
        <v>127628.04143392089</v>
      </c>
      <c r="G9" s="63">
        <f t="shared" si="2"/>
        <v>141565.33675615271</v>
      </c>
      <c r="H9" s="63">
        <f t="shared" si="2"/>
        <v>147391.86798474818</v>
      </c>
      <c r="I9" s="63">
        <f t="shared" si="2"/>
        <v>161520.83367373201</v>
      </c>
      <c r="J9" s="63">
        <f t="shared" si="2"/>
        <v>175380.36327283288</v>
      </c>
      <c r="K9" s="63">
        <f t="shared" si="2"/>
        <v>189135.68588246685</v>
      </c>
      <c r="L9" s="50"/>
      <c r="N9" s="3"/>
    </row>
    <row r="10" spans="1:16">
      <c r="A10" s="49" t="s">
        <v>341</v>
      </c>
      <c r="B10" s="63">
        <v>0</v>
      </c>
      <c r="C10" s="63">
        <v>0</v>
      </c>
      <c r="D10" s="63">
        <v>0</v>
      </c>
      <c r="E10" s="63">
        <v>0</v>
      </c>
      <c r="F10" s="63">
        <v>0</v>
      </c>
      <c r="G10" s="63">
        <v>0</v>
      </c>
      <c r="H10" s="63">
        <v>0</v>
      </c>
      <c r="I10" s="63">
        <v>0</v>
      </c>
      <c r="J10" s="63">
        <v>0</v>
      </c>
      <c r="K10" s="63">
        <v>0</v>
      </c>
      <c r="L10" s="50"/>
      <c r="N10" s="3"/>
    </row>
    <row r="11" spans="1:16">
      <c r="A11" s="49" t="s">
        <v>343</v>
      </c>
      <c r="B11" s="65">
        <f>B7*(1-B8)</f>
        <v>261835.73807999995</v>
      </c>
      <c r="C11" s="65">
        <f t="shared" ref="C11:K11" si="3">C7*(1-C8)</f>
        <v>306347.81355359993</v>
      </c>
      <c r="D11" s="65">
        <f t="shared" si="3"/>
        <v>332468.89883251186</v>
      </c>
      <c r="E11" s="65">
        <f t="shared" si="3"/>
        <v>377760.32067945576</v>
      </c>
      <c r="F11" s="65">
        <f t="shared" si="3"/>
        <v>404155.4645407495</v>
      </c>
      <c r="G11" s="65">
        <f t="shared" si="3"/>
        <v>448290.2330611503</v>
      </c>
      <c r="H11" s="65">
        <f t="shared" si="3"/>
        <v>466740.91528503591</v>
      </c>
      <c r="I11" s="65">
        <f t="shared" si="3"/>
        <v>511482.63996681804</v>
      </c>
      <c r="J11" s="65">
        <f t="shared" si="3"/>
        <v>555371.15036397078</v>
      </c>
      <c r="K11" s="65">
        <f t="shared" si="3"/>
        <v>598929.67196114501</v>
      </c>
      <c r="L11" s="50"/>
      <c r="N11" s="3"/>
    </row>
    <row r="12" spans="1:16">
      <c r="A12" s="73" t="s">
        <v>48</v>
      </c>
      <c r="B12" s="218">
        <f>(B11/'Past FCF'!G13)-1</f>
        <v>0.68369035437551817</v>
      </c>
      <c r="C12" s="218">
        <f t="shared" ref="C12:K12" si="4">(C11/B11)-1</f>
        <v>0.16999999999999993</v>
      </c>
      <c r="D12" s="218">
        <f t="shared" si="4"/>
        <v>8.5266106442576817E-2</v>
      </c>
      <c r="E12" s="218">
        <f t="shared" si="4"/>
        <v>0.13622754491017952</v>
      </c>
      <c r="F12" s="218">
        <f t="shared" si="4"/>
        <v>6.9872727272727531E-2</v>
      </c>
      <c r="G12" s="218">
        <f t="shared" si="4"/>
        <v>0.10920245398772987</v>
      </c>
      <c r="H12" s="218">
        <f t="shared" si="4"/>
        <v>4.1157894736842948E-2</v>
      </c>
      <c r="I12" s="218">
        <f t="shared" si="4"/>
        <v>9.5859872611465002E-2</v>
      </c>
      <c r="J12" s="218">
        <f t="shared" si="4"/>
        <v>8.5806451612903123E-2</v>
      </c>
      <c r="K12" s="218">
        <f t="shared" si="4"/>
        <v>7.8431372549019773E-2</v>
      </c>
      <c r="L12" s="3"/>
      <c r="N12" s="3"/>
    </row>
    <row r="13" spans="1:16">
      <c r="A13" s="48" t="s">
        <v>410</v>
      </c>
      <c r="B13" s="47"/>
      <c r="C13" s="47"/>
      <c r="D13" s="47"/>
      <c r="E13" s="47"/>
      <c r="F13" s="47"/>
      <c r="G13" s="47"/>
      <c r="H13" s="47"/>
      <c r="I13" s="78"/>
      <c r="J13" s="78"/>
      <c r="K13" s="78"/>
      <c r="L13" s="50"/>
      <c r="N13" s="3"/>
    </row>
    <row r="14" spans="1:16">
      <c r="A14" s="55" t="s">
        <v>139</v>
      </c>
      <c r="B14" s="61">
        <f>'Drivers and Inputs'!B10</f>
        <v>1.7</v>
      </c>
      <c r="C14" s="61">
        <f>'Drivers and Inputs'!C10</f>
        <v>1.7</v>
      </c>
      <c r="D14" s="61">
        <f>'Drivers and Inputs'!D10</f>
        <v>1.67</v>
      </c>
      <c r="E14" s="61">
        <f>'Drivers and Inputs'!E10</f>
        <v>1.65</v>
      </c>
      <c r="F14" s="61">
        <f>'Drivers and Inputs'!F10</f>
        <v>1.63</v>
      </c>
      <c r="G14" s="61">
        <f>'Drivers and Inputs'!G10</f>
        <v>1.6</v>
      </c>
      <c r="H14" s="61">
        <f>'Drivers and Inputs'!H10</f>
        <v>1.57</v>
      </c>
      <c r="I14" s="61">
        <f>'Drivers and Inputs'!I10</f>
        <v>1.55</v>
      </c>
      <c r="J14" s="61">
        <f>'Drivers and Inputs'!J10</f>
        <v>1.53</v>
      </c>
      <c r="K14" s="61">
        <f>'Drivers and Inputs'!K10</f>
        <v>1.5</v>
      </c>
      <c r="L14" s="50"/>
    </row>
    <row r="15" spans="1:16">
      <c r="A15" s="49" t="s">
        <v>346</v>
      </c>
      <c r="B15" s="64">
        <f>B11/'Drivers and Inputs'!G41</f>
        <v>0.27131999999999995</v>
      </c>
      <c r="C15" s="64">
        <f t="shared" ref="C15:K15" si="5">C11/B18</f>
        <v>0.27131999999999995</v>
      </c>
      <c r="D15" s="64">
        <f t="shared" si="5"/>
        <v>0.2538399999999999</v>
      </c>
      <c r="E15" s="64">
        <f t="shared" si="5"/>
        <v>0.25079999999999991</v>
      </c>
      <c r="F15" s="64">
        <f t="shared" si="5"/>
        <v>0.23537199999999994</v>
      </c>
      <c r="G15" s="64">
        <f t="shared" si="5"/>
        <v>0.23103999999999994</v>
      </c>
      <c r="H15" s="64">
        <f t="shared" si="5"/>
        <v>0.21477600000000008</v>
      </c>
      <c r="I15" s="64">
        <f t="shared" si="5"/>
        <v>0.21204000000000006</v>
      </c>
      <c r="J15" s="64">
        <f t="shared" si="5"/>
        <v>0.20930400000000005</v>
      </c>
      <c r="K15" s="64">
        <f t="shared" si="5"/>
        <v>0.20520000000000005</v>
      </c>
      <c r="L15" s="50"/>
      <c r="M15" s="82"/>
      <c r="O15" s="50"/>
    </row>
    <row r="16" spans="1:16">
      <c r="A16" s="49" t="s">
        <v>347</v>
      </c>
      <c r="B16" s="64">
        <f>(B18-'Drivers and Inputs'!G41)/'Forecast FCF'!B11</f>
        <v>0.62656641604010033</v>
      </c>
      <c r="C16" s="64">
        <f t="shared" ref="C16:K16" si="6">(C18-B18)/C11</f>
        <v>0.58970956803774099</v>
      </c>
      <c r="D16" s="64">
        <f t="shared" si="6"/>
        <v>0.59092341632524414</v>
      </c>
      <c r="E16" s="64">
        <f t="shared" si="6"/>
        <v>0.55821371610845372</v>
      </c>
      <c r="F16" s="64">
        <f t="shared" si="6"/>
        <v>0.55231718301242239</v>
      </c>
      <c r="G16" s="64">
        <f t="shared" si="6"/>
        <v>0.51939058171745234</v>
      </c>
      <c r="H16" s="64">
        <f t="shared" si="6"/>
        <v>0.51216150780347935</v>
      </c>
      <c r="I16" s="64">
        <f t="shared" si="6"/>
        <v>0.47160913035276358</v>
      </c>
      <c r="J16" s="64">
        <f t="shared" si="6"/>
        <v>0.47777395558613339</v>
      </c>
      <c r="K16" s="64">
        <f t="shared" si="6"/>
        <v>0.48732943469785567</v>
      </c>
      <c r="L16" s="50"/>
    </row>
    <row r="17" spans="1:15">
      <c r="A17" s="55" t="s">
        <v>345</v>
      </c>
      <c r="B17" s="61">
        <f>'Drivers and Inputs'!B5</f>
        <v>0.17</v>
      </c>
      <c r="C17" s="61">
        <f>'Drivers and Inputs'!C5</f>
        <v>0.16</v>
      </c>
      <c r="D17" s="61">
        <f>'Drivers and Inputs'!D5</f>
        <v>0.15</v>
      </c>
      <c r="E17" s="61">
        <f>'Drivers and Inputs'!E5</f>
        <v>0.14000000000000001</v>
      </c>
      <c r="F17" s="61">
        <f>'Drivers and Inputs'!F5</f>
        <v>0.13</v>
      </c>
      <c r="G17" s="61">
        <f>'Drivers and Inputs'!G5</f>
        <v>0.12</v>
      </c>
      <c r="H17" s="61">
        <f>'Drivers and Inputs'!H5</f>
        <v>0.11</v>
      </c>
      <c r="I17" s="61">
        <f>'Drivers and Inputs'!I5</f>
        <v>0.1</v>
      </c>
      <c r="J17" s="61">
        <f>'Drivers and Inputs'!J5</f>
        <v>0.1</v>
      </c>
      <c r="K17" s="61">
        <f>'Drivers and Inputs'!K5</f>
        <v>0.1</v>
      </c>
      <c r="L17" s="50"/>
      <c r="O17" s="3"/>
    </row>
    <row r="18" spans="1:15">
      <c r="A18" s="49" t="s">
        <v>138</v>
      </c>
      <c r="B18" s="62">
        <f>'Past FCF'!G16*(1+'Forecast FCF'!B17)</f>
        <v>1129101.48</v>
      </c>
      <c r="C18" s="62">
        <f>B18*(1+C17)</f>
        <v>1309757.7167999998</v>
      </c>
      <c r="D18" s="62">
        <f t="shared" ref="D18:K18" si="7">C18*(1+D17)</f>
        <v>1506221.3743199997</v>
      </c>
      <c r="E18" s="62">
        <f t="shared" si="7"/>
        <v>1717092.3667247999</v>
      </c>
      <c r="F18" s="62">
        <f t="shared" si="7"/>
        <v>1940314.3743990236</v>
      </c>
      <c r="G18" s="62">
        <f t="shared" si="7"/>
        <v>2173152.0993269067</v>
      </c>
      <c r="H18" s="62">
        <f t="shared" si="7"/>
        <v>2412198.8302528667</v>
      </c>
      <c r="I18" s="62">
        <f t="shared" si="7"/>
        <v>2653418.7132781534</v>
      </c>
      <c r="J18" s="62">
        <f t="shared" si="7"/>
        <v>2918760.584605969</v>
      </c>
      <c r="K18" s="62">
        <f t="shared" si="7"/>
        <v>3210636.643066566</v>
      </c>
      <c r="L18" s="50"/>
    </row>
    <row r="19" spans="1:15">
      <c r="A19" s="49" t="s">
        <v>348</v>
      </c>
      <c r="B19" s="62">
        <f>(B11*(1-B16))</f>
        <v>97778.258079999956</v>
      </c>
      <c r="C19" s="62">
        <f t="shared" ref="C19:K19" si="8">(C11*(1-C16))</f>
        <v>125691.57675360009</v>
      </c>
      <c r="D19" s="62">
        <f t="shared" si="8"/>
        <v>136005.24131251196</v>
      </c>
      <c r="E19" s="62">
        <f t="shared" si="8"/>
        <v>166889.32827465559</v>
      </c>
      <c r="F19" s="62">
        <f t="shared" si="8"/>
        <v>180933.45686652578</v>
      </c>
      <c r="G19" s="62">
        <f t="shared" si="8"/>
        <v>215452.50813326717</v>
      </c>
      <c r="H19" s="62">
        <f t="shared" si="8"/>
        <v>227694.18435907588</v>
      </c>
      <c r="I19" s="62">
        <f t="shared" si="8"/>
        <v>270262.75694153126</v>
      </c>
      <c r="J19" s="62">
        <f t="shared" si="8"/>
        <v>290029.2790361552</v>
      </c>
      <c r="K19" s="62">
        <f t="shared" si="8"/>
        <v>307053.61350054812</v>
      </c>
      <c r="L19" s="50"/>
    </row>
    <row r="20" spans="1:15">
      <c r="A20" s="48" t="s">
        <v>349</v>
      </c>
      <c r="B20" s="47"/>
      <c r="C20" s="47"/>
      <c r="D20" s="47"/>
      <c r="E20" s="47"/>
      <c r="F20" s="47"/>
      <c r="G20" s="47"/>
      <c r="H20" s="47"/>
      <c r="I20" s="78"/>
      <c r="J20" s="78"/>
      <c r="K20" s="78"/>
      <c r="L20" s="50"/>
    </row>
    <row r="21" spans="1:15">
      <c r="A21" s="49" t="s">
        <v>411</v>
      </c>
      <c r="B21" s="116">
        <f>'Drivers and Inputs'!H84</f>
        <v>7153</v>
      </c>
      <c r="C21" s="116">
        <v>0</v>
      </c>
      <c r="D21" s="116">
        <v>0</v>
      </c>
      <c r="E21" s="116">
        <v>0</v>
      </c>
      <c r="F21" s="116">
        <v>0</v>
      </c>
      <c r="G21" s="116">
        <v>0</v>
      </c>
      <c r="H21" s="116">
        <v>0</v>
      </c>
      <c r="I21" s="116">
        <v>0</v>
      </c>
      <c r="J21" s="116">
        <v>0</v>
      </c>
      <c r="K21" s="116">
        <v>0</v>
      </c>
      <c r="L21" s="50"/>
    </row>
    <row r="22" spans="1:15">
      <c r="A22" s="49" t="s">
        <v>352</v>
      </c>
      <c r="B22" s="116">
        <f>'Drivers and Inputs'!H81</f>
        <v>14703.157815160179</v>
      </c>
      <c r="C22" s="116">
        <f>'Drivers and Inputs'!I81</f>
        <v>17055.663065585806</v>
      </c>
      <c r="D22" s="116">
        <f>'Drivers and Inputs'!J81</f>
        <v>19614.012525423677</v>
      </c>
      <c r="E22" s="116">
        <f>'Drivers and Inputs'!K81</f>
        <v>22359.974278982994</v>
      </c>
      <c r="F22" s="116">
        <f>'Drivers and Inputs'!L81</f>
        <v>25266.770935250777</v>
      </c>
      <c r="G22" s="116">
        <f>'Drivers and Inputs'!M81</f>
        <v>28298.783447480877</v>
      </c>
      <c r="H22" s="116">
        <f>'Drivers and Inputs'!N81</f>
        <v>31411.649626703776</v>
      </c>
      <c r="I22" s="116">
        <f>'Drivers and Inputs'!O81</f>
        <v>34552.814589374153</v>
      </c>
      <c r="J22" s="116">
        <f>'Drivers and Inputs'!P81</f>
        <v>38008.09604831157</v>
      </c>
      <c r="K22" s="116">
        <f>'Drivers and Inputs'!Q81</f>
        <v>41808.905653142734</v>
      </c>
      <c r="L22" s="50"/>
    </row>
    <row r="23" spans="1:15" ht="15.75" thickBot="1">
      <c r="A23" s="49" t="s">
        <v>353</v>
      </c>
      <c r="B23" s="127">
        <f>B19-B21-B22</f>
        <v>75922.10026483977</v>
      </c>
      <c r="C23" s="127">
        <f t="shared" ref="C23:K23" si="9">C19-C21-C22</f>
        <v>108635.91368801429</v>
      </c>
      <c r="D23" s="127">
        <f t="shared" si="9"/>
        <v>116391.22878708829</v>
      </c>
      <c r="E23" s="127">
        <f t="shared" si="9"/>
        <v>144529.3539956726</v>
      </c>
      <c r="F23" s="127">
        <f t="shared" si="9"/>
        <v>155666.68593127502</v>
      </c>
      <c r="G23" s="127">
        <f t="shared" si="9"/>
        <v>187153.72468578629</v>
      </c>
      <c r="H23" s="127">
        <f t="shared" si="9"/>
        <v>196282.53473237209</v>
      </c>
      <c r="I23" s="127">
        <f t="shared" si="9"/>
        <v>235709.94235215712</v>
      </c>
      <c r="J23" s="127">
        <f t="shared" si="9"/>
        <v>252021.18298784364</v>
      </c>
      <c r="K23" s="127">
        <f t="shared" si="9"/>
        <v>265244.7078474054</v>
      </c>
      <c r="L23" s="50"/>
    </row>
    <row r="24" spans="1:15" ht="15.75" thickTop="1">
      <c r="A24" s="73" t="s">
        <v>48</v>
      </c>
      <c r="B24" s="97">
        <f>(B23-'Drivers and Inputs'!G86)/'Drivers and Inputs'!G86</f>
        <v>-3.7970122408207989</v>
      </c>
      <c r="C24" s="97">
        <f>(C23-B23)/B23</f>
        <v>0.4308865706962613</v>
      </c>
      <c r="D24" s="97">
        <f t="shared" ref="D24:K24" si="10">(D23-C23)/C23</f>
        <v>7.1388133406288398E-2</v>
      </c>
      <c r="E24" s="97">
        <f t="shared" si="10"/>
        <v>0.24175468806207656</v>
      </c>
      <c r="F24" s="97">
        <f t="shared" si="10"/>
        <v>7.7059307522649556E-2</v>
      </c>
      <c r="G24" s="97">
        <f t="shared" si="10"/>
        <v>0.20227217253415691</v>
      </c>
      <c r="H24" s="97">
        <f t="shared" si="10"/>
        <v>4.8777068486946892E-2</v>
      </c>
      <c r="I24" s="97">
        <f t="shared" si="10"/>
        <v>0.20087068711204298</v>
      </c>
      <c r="J24" s="97">
        <f t="shared" si="10"/>
        <v>6.9200477811483585E-2</v>
      </c>
      <c r="K24" s="97">
        <f t="shared" si="10"/>
        <v>5.2469894406453929E-2</v>
      </c>
      <c r="L24" s="50"/>
    </row>
    <row r="25" spans="1:15">
      <c r="A25" s="61"/>
      <c r="B25" s="61"/>
      <c r="C25" s="61"/>
      <c r="D25" s="61"/>
      <c r="E25" s="61"/>
      <c r="F25" s="61"/>
      <c r="G25" s="61"/>
      <c r="H25" s="61"/>
      <c r="I25" s="61"/>
      <c r="J25" s="61"/>
      <c r="K25" s="61"/>
      <c r="L25" s="61"/>
    </row>
    <row r="26" spans="1:15">
      <c r="A26" s="61"/>
      <c r="B26" s="61"/>
      <c r="C26" s="61"/>
      <c r="D26" s="61"/>
      <c r="E26" s="61"/>
      <c r="F26" s="61"/>
      <c r="G26" s="61"/>
      <c r="H26" s="61"/>
      <c r="I26" s="61"/>
      <c r="J26" s="61"/>
      <c r="K26" s="61"/>
      <c r="L26" s="61"/>
    </row>
    <row r="27" spans="1:15">
      <c r="A27" s="61"/>
      <c r="B27" s="61"/>
      <c r="C27" s="61"/>
      <c r="D27" s="61"/>
      <c r="E27" s="61"/>
      <c r="F27" s="61"/>
      <c r="G27" s="61"/>
      <c r="H27" s="61"/>
      <c r="I27" s="61"/>
      <c r="J27" s="61"/>
      <c r="K27" s="61"/>
      <c r="L27" s="61"/>
    </row>
    <row r="28" spans="1:15">
      <c r="A28" s="61"/>
      <c r="B28" s="61"/>
      <c r="C28" s="61"/>
      <c r="D28" s="61"/>
      <c r="E28" s="61"/>
      <c r="F28" s="61"/>
      <c r="G28" s="61"/>
      <c r="H28" s="61"/>
      <c r="I28" s="61"/>
      <c r="J28" s="61"/>
      <c r="K28" s="61"/>
      <c r="L28" s="61"/>
    </row>
    <row r="29" spans="1:15">
      <c r="A29" s="61"/>
      <c r="B29" s="61"/>
      <c r="C29" s="61"/>
      <c r="D29" s="61"/>
      <c r="E29" s="61"/>
      <c r="F29" s="61"/>
      <c r="G29" s="61"/>
      <c r="H29" s="61"/>
      <c r="I29" s="61"/>
      <c r="J29" s="61"/>
      <c r="K29" s="61"/>
      <c r="L29" s="61"/>
    </row>
    <row r="30" spans="1:15">
      <c r="A30" s="61"/>
      <c r="B30" s="61"/>
      <c r="C30" s="61"/>
      <c r="D30" s="61"/>
      <c r="E30" s="61"/>
      <c r="F30" s="61"/>
      <c r="G30" s="61"/>
      <c r="H30" s="61"/>
      <c r="I30" s="61"/>
      <c r="J30" s="61"/>
      <c r="K30" s="61"/>
      <c r="L30" s="61"/>
      <c r="M30" s="3"/>
    </row>
    <row r="31" spans="1:15">
      <c r="A31" s="61"/>
      <c r="B31" s="61"/>
      <c r="C31" s="61"/>
      <c r="D31" s="61"/>
      <c r="E31" s="61"/>
      <c r="F31" s="61"/>
      <c r="G31" s="61"/>
      <c r="H31" s="61"/>
      <c r="I31" s="61"/>
      <c r="J31" s="61"/>
      <c r="K31" s="61"/>
      <c r="L31" s="61"/>
    </row>
    <row r="32" spans="1:15">
      <c r="A32" s="61"/>
      <c r="B32" s="61"/>
      <c r="C32" s="61"/>
      <c r="D32" s="61"/>
      <c r="E32" s="61"/>
      <c r="F32" s="61"/>
      <c r="G32" s="61"/>
      <c r="H32" s="61"/>
      <c r="I32" s="61"/>
      <c r="J32" s="61"/>
      <c r="K32" s="61"/>
      <c r="L32" s="61"/>
    </row>
    <row r="33" spans="1:13">
      <c r="A33" s="61"/>
      <c r="B33" s="61"/>
      <c r="C33" s="61"/>
      <c r="D33" s="61"/>
      <c r="E33" s="61"/>
      <c r="F33" s="61"/>
      <c r="G33" s="61"/>
      <c r="H33" s="61"/>
      <c r="I33" s="61"/>
      <c r="J33" s="61"/>
      <c r="K33" s="61"/>
      <c r="L33" s="61"/>
    </row>
    <row r="34" spans="1:13">
      <c r="A34" s="61"/>
      <c r="B34" s="61"/>
      <c r="C34" s="61"/>
      <c r="D34" s="61"/>
      <c r="E34" s="61"/>
      <c r="F34" s="61"/>
      <c r="G34" s="61"/>
      <c r="H34" s="61"/>
      <c r="I34" s="61"/>
      <c r="J34" s="61"/>
      <c r="K34" s="61"/>
      <c r="L34" s="61"/>
    </row>
    <row r="35" spans="1:13">
      <c r="A35" s="61"/>
      <c r="B35" s="61"/>
      <c r="C35" s="61"/>
      <c r="D35" s="61"/>
      <c r="E35" s="61"/>
      <c r="F35" s="61"/>
      <c r="G35" s="61"/>
      <c r="H35" s="61"/>
      <c r="I35" s="61"/>
      <c r="J35" s="61"/>
      <c r="K35" s="61"/>
      <c r="L35" s="61"/>
    </row>
    <row r="36" spans="1:13">
      <c r="A36" s="61"/>
      <c r="B36" s="61"/>
      <c r="C36" s="61"/>
      <c r="D36" s="61"/>
      <c r="E36" s="61"/>
      <c r="F36" s="61"/>
      <c r="G36" s="61"/>
      <c r="H36" s="61"/>
      <c r="I36" s="61"/>
      <c r="J36" s="61"/>
      <c r="K36" s="61"/>
      <c r="L36" s="61"/>
    </row>
    <row r="37" spans="1:13">
      <c r="A37" s="61"/>
      <c r="B37" s="61"/>
      <c r="C37" s="61"/>
      <c r="D37" s="61"/>
      <c r="E37" s="61"/>
      <c r="F37" s="61"/>
      <c r="G37" s="61"/>
      <c r="H37" s="61"/>
      <c r="I37" s="61"/>
      <c r="J37" s="61"/>
      <c r="K37" s="61"/>
      <c r="L37" s="61"/>
    </row>
    <row r="38" spans="1:13">
      <c r="A38" s="49"/>
      <c r="B38" s="76"/>
      <c r="C38" s="76"/>
      <c r="D38" s="76"/>
      <c r="E38" s="76"/>
      <c r="F38" s="76"/>
      <c r="G38" s="76"/>
      <c r="H38" s="76"/>
      <c r="I38" s="76"/>
      <c r="J38" s="76"/>
      <c r="K38" s="76"/>
    </row>
    <row r="39" spans="1:13">
      <c r="A39" s="67"/>
      <c r="B39" s="3"/>
      <c r="C39" s="3"/>
      <c r="D39" s="3"/>
      <c r="E39" s="3"/>
      <c r="F39" s="3"/>
      <c r="G39" s="3"/>
      <c r="H39" s="3"/>
      <c r="I39" s="3"/>
      <c r="J39" s="3"/>
      <c r="K39" s="3"/>
      <c r="M39" s="3"/>
    </row>
    <row r="40" spans="1:13">
      <c r="A40" s="49"/>
      <c r="B40" s="61"/>
      <c r="C40" s="61"/>
      <c r="D40" s="61"/>
      <c r="E40" s="61"/>
      <c r="F40" s="61"/>
      <c r="G40" s="61"/>
      <c r="H40" s="61"/>
      <c r="I40" s="61"/>
      <c r="J40" s="61"/>
      <c r="K40" s="61"/>
    </row>
    <row r="41" spans="1:13">
      <c r="A41" s="49"/>
      <c r="B41" s="66"/>
      <c r="C41" s="66"/>
      <c r="D41" s="66"/>
      <c r="E41" s="66"/>
      <c r="F41" s="66"/>
      <c r="G41" s="66"/>
      <c r="H41" s="66"/>
      <c r="I41" s="66"/>
      <c r="J41" s="66"/>
      <c r="K41" s="66"/>
    </row>
    <row r="42" spans="1:13">
      <c r="A42" s="49"/>
      <c r="B42" s="66"/>
      <c r="C42" s="66"/>
      <c r="D42" s="66"/>
      <c r="E42" s="66"/>
      <c r="F42" s="66"/>
      <c r="G42" s="66"/>
      <c r="H42" s="66"/>
      <c r="I42" s="66"/>
      <c r="J42" s="66"/>
      <c r="K42" s="66"/>
      <c r="M42" s="3"/>
    </row>
    <row r="43" spans="1:13">
      <c r="A43" s="49"/>
      <c r="B43" s="61"/>
      <c r="C43" s="61"/>
      <c r="D43" s="61"/>
      <c r="E43" s="61"/>
      <c r="F43" s="61"/>
      <c r="G43" s="61"/>
      <c r="H43" s="61"/>
      <c r="I43" s="61"/>
      <c r="J43" s="61"/>
      <c r="K43" s="61"/>
    </row>
    <row r="46" spans="1:13">
      <c r="M46" s="3"/>
    </row>
    <row r="50" spans="1:14">
      <c r="A50" s="49"/>
      <c r="B50" s="50"/>
      <c r="C50" s="50"/>
      <c r="D50" s="50"/>
      <c r="E50" s="50"/>
      <c r="F50" s="50"/>
      <c r="G50" s="50"/>
      <c r="H50" s="50"/>
      <c r="I50" s="50"/>
      <c r="J50" s="50"/>
      <c r="K50" s="50"/>
    </row>
    <row r="52" spans="1:14">
      <c r="A52" s="49"/>
      <c r="B52" s="50"/>
      <c r="C52" s="50"/>
      <c r="D52" s="50"/>
      <c r="E52" s="50"/>
      <c r="F52" s="50"/>
      <c r="G52" s="50"/>
      <c r="H52" s="50"/>
      <c r="I52" s="50"/>
      <c r="J52" s="50"/>
      <c r="K52" s="50"/>
    </row>
    <row r="53" spans="1:14">
      <c r="A53" s="49"/>
      <c r="B53" s="50"/>
      <c r="C53" s="50"/>
      <c r="D53" s="50"/>
      <c r="E53" s="50"/>
      <c r="F53" s="50"/>
      <c r="G53" s="50"/>
      <c r="H53" s="50"/>
      <c r="I53" s="50"/>
      <c r="J53" s="50"/>
      <c r="K53" s="50"/>
    </row>
    <row r="55" spans="1:14">
      <c r="A55" s="59" t="s">
        <v>409</v>
      </c>
      <c r="B55" s="60"/>
      <c r="C55" s="60"/>
      <c r="D55" s="60"/>
      <c r="E55" s="60"/>
      <c r="F55" s="60"/>
    </row>
    <row r="56" spans="1:14">
      <c r="A56" s="56" t="s">
        <v>330</v>
      </c>
      <c r="B56" s="57" t="s">
        <v>356</v>
      </c>
      <c r="C56" s="57" t="s">
        <v>357</v>
      </c>
      <c r="D56" s="57" t="s">
        <v>358</v>
      </c>
      <c r="E56" s="57" t="s">
        <v>359</v>
      </c>
      <c r="F56" s="57" t="s">
        <v>360</v>
      </c>
      <c r="G56" s="57" t="s">
        <v>361</v>
      </c>
      <c r="H56" s="57" t="s">
        <v>362</v>
      </c>
      <c r="I56" s="57" t="s">
        <v>363</v>
      </c>
      <c r="J56" s="57" t="s">
        <v>364</v>
      </c>
      <c r="K56" s="57" t="s">
        <v>365</v>
      </c>
      <c r="M56" s="81" t="s">
        <v>412</v>
      </c>
      <c r="N56" s="80" t="s">
        <v>69</v>
      </c>
    </row>
    <row r="57" spans="1:14">
      <c r="A57" s="49" t="s">
        <v>337</v>
      </c>
      <c r="B57" s="61" t="e">
        <f>(B58/'Financial Statements'!G51)-1</f>
        <v>#DIV/0!</v>
      </c>
      <c r="C57" s="61" t="e">
        <f>(C58/B58)-1</f>
        <v>#REF!</v>
      </c>
      <c r="D57" s="61" t="e">
        <f>(D58/C58)-1</f>
        <v>#REF!</v>
      </c>
      <c r="E57" s="61" t="e">
        <f t="shared" ref="E57" si="11">(E58/D58)-1</f>
        <v>#REF!</v>
      </c>
      <c r="F57" s="61" t="e">
        <f t="shared" ref="F57" si="12">(F58/E58)-1</f>
        <v>#REF!</v>
      </c>
      <c r="G57" s="61" t="e">
        <f t="shared" ref="G57" si="13">(G58/F58)-1</f>
        <v>#REF!</v>
      </c>
      <c r="H57" s="61" t="e">
        <f t="shared" ref="H57" si="14">(H58/G58)-1</f>
        <v>#REF!</v>
      </c>
      <c r="I57" s="61" t="e">
        <f t="shared" ref="I57" si="15">(I58/H58)-1</f>
        <v>#REF!</v>
      </c>
      <c r="J57" s="61" t="e">
        <f t="shared" ref="J57" si="16">(J58/I58)-1</f>
        <v>#REF!</v>
      </c>
      <c r="K57" s="61" t="e">
        <f t="shared" ref="K57" si="17">(K58/J58)-1</f>
        <v>#REF!</v>
      </c>
      <c r="M57" t="s">
        <v>413</v>
      </c>
      <c r="N57" s="3" t="e">
        <f>K98/'Drivers and Inputs'!B77</f>
        <v>#REF!</v>
      </c>
    </row>
    <row r="58" spans="1:14">
      <c r="A58" s="49" t="s">
        <v>135</v>
      </c>
      <c r="B58" s="63">
        <f>('Past FCF'!G65*'Forecast FCF'!B70)</f>
        <v>0</v>
      </c>
      <c r="C58" s="63" t="e">
        <f>B69*C70</f>
        <v>#REF!</v>
      </c>
      <c r="D58" s="63" t="e">
        <f>C69*D70</f>
        <v>#REF!</v>
      </c>
      <c r="E58" s="63" t="e">
        <f>D69*E70</f>
        <v>#REF!</v>
      </c>
      <c r="F58" s="63" t="e">
        <f t="shared" ref="F58" si="18">E69*F70</f>
        <v>#REF!</v>
      </c>
      <c r="G58" s="63" t="e">
        <f t="shared" ref="G58" si="19">F69*G70</f>
        <v>#REF!</v>
      </c>
      <c r="H58" s="63" t="e">
        <f>G69*H70</f>
        <v>#REF!</v>
      </c>
      <c r="I58" s="63" t="e">
        <f t="shared" ref="I58" si="20">H69*I70</f>
        <v>#REF!</v>
      </c>
      <c r="J58" s="63" t="e">
        <f t="shared" ref="J58" si="21">I69*J70</f>
        <v>#REF!</v>
      </c>
      <c r="K58" s="63" t="e">
        <f t="shared" ref="K58" si="22">J69*K70</f>
        <v>#REF!</v>
      </c>
      <c r="M58" t="s">
        <v>414</v>
      </c>
      <c r="N58" s="3" t="e">
        <f>(1+N57)^(1/10)-1</f>
        <v>#REF!</v>
      </c>
    </row>
    <row r="59" spans="1:14">
      <c r="A59" s="49" t="s">
        <v>338</v>
      </c>
      <c r="B59" s="63">
        <f>B58*'Drivers and Inputs'!$H$56</f>
        <v>0</v>
      </c>
      <c r="C59" s="63" t="e">
        <f>C58*'Drivers and Inputs'!$H$56</f>
        <v>#REF!</v>
      </c>
      <c r="D59" s="63" t="e">
        <f>D58*'Drivers and Inputs'!$H$56</f>
        <v>#REF!</v>
      </c>
      <c r="E59" s="63" t="e">
        <f>E58*'Drivers and Inputs'!$H$56</f>
        <v>#REF!</v>
      </c>
      <c r="F59" s="63" t="e">
        <f>F58*'Drivers and Inputs'!$H$56</f>
        <v>#REF!</v>
      </c>
      <c r="G59" s="63" t="e">
        <f>G58*'Drivers and Inputs'!$H$56</f>
        <v>#REF!</v>
      </c>
      <c r="H59" s="63" t="e">
        <f>H58*'Drivers and Inputs'!$H$56</f>
        <v>#REF!</v>
      </c>
      <c r="I59" s="63" t="e">
        <f>I58*'Drivers and Inputs'!$H$56</f>
        <v>#REF!</v>
      </c>
      <c r="J59" s="63" t="e">
        <f>J58*'Drivers and Inputs'!$H$56</f>
        <v>#REF!</v>
      </c>
      <c r="K59" s="63" t="e">
        <f>K58*'Drivers and Inputs'!$H$56</f>
        <v>#REF!</v>
      </c>
      <c r="M59" t="s">
        <v>415</v>
      </c>
      <c r="N59" s="3" t="e">
        <f>(K100/'Drivers and Inputs'!B77)^(1/10)-1</f>
        <v>#DIV/0!</v>
      </c>
    </row>
    <row r="60" spans="1:14">
      <c r="A60" s="55" t="s">
        <v>122</v>
      </c>
      <c r="B60" s="64">
        <f>'Drivers and Inputs'!B38</f>
        <v>0.13535962508558577</v>
      </c>
      <c r="C60" s="64">
        <f>'Drivers and Inputs'!C38</f>
        <v>0.14959493267714311</v>
      </c>
      <c r="D60" s="64">
        <f>'Drivers and Inputs'!D38</f>
        <v>0.15943922207874833</v>
      </c>
      <c r="E60" s="64">
        <f>'Drivers and Inputs'!E38</f>
        <v>0.14445989963905273</v>
      </c>
      <c r="F60" s="64">
        <f>'Drivers and Inputs'!F38</f>
        <v>0.25819044664702029</v>
      </c>
      <c r="G60" s="64">
        <f>'Drivers and Inputs'!G38</f>
        <v>0.38645802678427099</v>
      </c>
      <c r="H60" s="64">
        <f>'Drivers and Inputs'!H201</f>
        <v>0</v>
      </c>
      <c r="I60" s="64">
        <f>'Drivers and Inputs'!I165</f>
        <v>0</v>
      </c>
      <c r="J60" s="64">
        <f>'Drivers and Inputs'!J165</f>
        <v>0</v>
      </c>
      <c r="K60" s="64">
        <f>'Drivers and Inputs'!K165</f>
        <v>0</v>
      </c>
    </row>
    <row r="61" spans="1:14">
      <c r="A61" s="49" t="s">
        <v>136</v>
      </c>
      <c r="B61" s="63">
        <f>B58-B59</f>
        <v>0</v>
      </c>
      <c r="C61" s="63" t="e">
        <f t="shared" ref="C61:K61" si="23">C58-C59</f>
        <v>#REF!</v>
      </c>
      <c r="D61" s="63" t="e">
        <f t="shared" si="23"/>
        <v>#REF!</v>
      </c>
      <c r="E61" s="63" t="e">
        <f t="shared" si="23"/>
        <v>#REF!</v>
      </c>
      <c r="F61" s="63" t="e">
        <f t="shared" si="23"/>
        <v>#REF!</v>
      </c>
      <c r="G61" s="63" t="e">
        <f t="shared" si="23"/>
        <v>#REF!</v>
      </c>
      <c r="H61" s="63" t="e">
        <f t="shared" si="23"/>
        <v>#REF!</v>
      </c>
      <c r="I61" s="63" t="e">
        <f t="shared" si="23"/>
        <v>#REF!</v>
      </c>
      <c r="J61" s="63" t="e">
        <f t="shared" si="23"/>
        <v>#REF!</v>
      </c>
      <c r="K61" s="63" t="e">
        <f t="shared" si="23"/>
        <v>#REF!</v>
      </c>
      <c r="N61" s="3"/>
    </row>
    <row r="62" spans="1:14">
      <c r="A62" s="49" t="s">
        <v>339</v>
      </c>
      <c r="B62" s="61">
        <f>'Drivers and Inputs'!B41</f>
        <v>667459</v>
      </c>
      <c r="C62" s="61">
        <f>'Drivers and Inputs'!C41</f>
        <v>583977</v>
      </c>
      <c r="D62" s="61">
        <f>'Drivers and Inputs'!D41</f>
        <v>531262</v>
      </c>
      <c r="E62" s="61">
        <f>'Drivers and Inputs'!E41</f>
        <v>567950</v>
      </c>
      <c r="F62" s="61">
        <f>'Drivers and Inputs'!F41</f>
        <v>799468</v>
      </c>
      <c r="G62" s="61">
        <f>'Drivers and Inputs'!G41</f>
        <v>965044</v>
      </c>
      <c r="H62" s="61">
        <f>'Drivers and Inputs'!H203</f>
        <v>0</v>
      </c>
      <c r="I62" s="61">
        <f>'Drivers and Inputs'!I166</f>
        <v>0</v>
      </c>
      <c r="J62" s="61">
        <f>'Drivers and Inputs'!J166</f>
        <v>0</v>
      </c>
      <c r="K62" s="61">
        <f>'Drivers and Inputs'!K166</f>
        <v>0</v>
      </c>
      <c r="N62" s="3"/>
    </row>
    <row r="63" spans="1:14">
      <c r="A63" s="49" t="s">
        <v>340</v>
      </c>
      <c r="B63" s="63">
        <f>B61*B62</f>
        <v>0</v>
      </c>
      <c r="C63" s="63" t="e">
        <f t="shared" ref="C63:K63" si="24">C61*C62</f>
        <v>#REF!</v>
      </c>
      <c r="D63" s="63" t="e">
        <f t="shared" si="24"/>
        <v>#REF!</v>
      </c>
      <c r="E63" s="63" t="e">
        <f t="shared" si="24"/>
        <v>#REF!</v>
      </c>
      <c r="F63" s="63" t="e">
        <f t="shared" si="24"/>
        <v>#REF!</v>
      </c>
      <c r="G63" s="63" t="e">
        <f t="shared" si="24"/>
        <v>#REF!</v>
      </c>
      <c r="H63" s="63" t="e">
        <f t="shared" si="24"/>
        <v>#REF!</v>
      </c>
      <c r="I63" s="63" t="e">
        <f t="shared" si="24"/>
        <v>#REF!</v>
      </c>
      <c r="J63" s="63" t="e">
        <f t="shared" si="24"/>
        <v>#REF!</v>
      </c>
      <c r="K63" s="63" t="e">
        <f t="shared" si="24"/>
        <v>#REF!</v>
      </c>
      <c r="M63" t="s">
        <v>416</v>
      </c>
      <c r="N63" s="3" t="e">
        <f>SUM(N58:N59)</f>
        <v>#REF!</v>
      </c>
    </row>
    <row r="64" spans="1:14">
      <c r="A64" s="49" t="s">
        <v>341</v>
      </c>
      <c r="B64" s="63">
        <v>0</v>
      </c>
      <c r="C64" s="63">
        <v>0</v>
      </c>
      <c r="D64" s="63">
        <v>0</v>
      </c>
      <c r="E64" s="63">
        <v>0</v>
      </c>
      <c r="F64" s="63">
        <v>0</v>
      </c>
      <c r="G64" s="63">
        <v>0</v>
      </c>
      <c r="H64" s="63">
        <v>0</v>
      </c>
      <c r="I64" s="63">
        <v>0</v>
      </c>
      <c r="J64" s="63">
        <v>0</v>
      </c>
      <c r="K64" s="63">
        <v>0</v>
      </c>
      <c r="M64" t="s">
        <v>417</v>
      </c>
      <c r="N64" s="2">
        <v>0.15</v>
      </c>
    </row>
    <row r="65" spans="1:14">
      <c r="A65" s="67" t="s">
        <v>342</v>
      </c>
      <c r="B65" s="74" t="e">
        <f>(B66/'Past FCF'!G62)-1</f>
        <v>#DIV/0!</v>
      </c>
      <c r="C65" s="74" t="e">
        <f>(C66/B66)-1</f>
        <v>#REF!</v>
      </c>
      <c r="D65" s="74" t="e">
        <f t="shared" ref="D65" si="25">(D66/C66)-1</f>
        <v>#REF!</v>
      </c>
      <c r="E65" s="74" t="e">
        <f t="shared" ref="E65" si="26">(E66/D66)-1</f>
        <v>#REF!</v>
      </c>
      <c r="F65" s="74" t="e">
        <f t="shared" ref="F65" si="27">(F66/E66)-1</f>
        <v>#REF!</v>
      </c>
      <c r="G65" s="74" t="e">
        <f t="shared" ref="G65" si="28">(G66/F66)-1</f>
        <v>#REF!</v>
      </c>
      <c r="H65" s="74" t="e">
        <f t="shared" ref="H65" si="29">(H66/G66)-1</f>
        <v>#REF!</v>
      </c>
      <c r="I65" s="74" t="e">
        <f t="shared" ref="I65" si="30">(I66/H66)-1</f>
        <v>#REF!</v>
      </c>
      <c r="J65" s="74" t="e">
        <f t="shared" ref="J65" si="31">(J66/I66)-1</f>
        <v>#REF!</v>
      </c>
      <c r="K65" s="74" t="e">
        <f t="shared" ref="K65" si="32">(K66/J66)-1</f>
        <v>#REF!</v>
      </c>
      <c r="N65" s="3"/>
    </row>
    <row r="66" spans="1:14">
      <c r="A66" s="49" t="s">
        <v>343</v>
      </c>
      <c r="B66" s="65">
        <f t="shared" ref="B66:K66" si="33">(B61*(1-B62))</f>
        <v>0</v>
      </c>
      <c r="C66" s="65" t="e">
        <f t="shared" si="33"/>
        <v>#REF!</v>
      </c>
      <c r="D66" s="65" t="e">
        <f t="shared" si="33"/>
        <v>#REF!</v>
      </c>
      <c r="E66" s="65" t="e">
        <f t="shared" si="33"/>
        <v>#REF!</v>
      </c>
      <c r="F66" s="65" t="e">
        <f t="shared" si="33"/>
        <v>#REF!</v>
      </c>
      <c r="G66" s="65" t="e">
        <f t="shared" si="33"/>
        <v>#REF!</v>
      </c>
      <c r="H66" s="65" t="e">
        <f t="shared" si="33"/>
        <v>#REF!</v>
      </c>
      <c r="I66" s="65" t="e">
        <f t="shared" si="33"/>
        <v>#REF!</v>
      </c>
      <c r="J66" s="65" t="e">
        <f t="shared" si="33"/>
        <v>#REF!</v>
      </c>
      <c r="K66" s="65" t="e">
        <f t="shared" si="33"/>
        <v>#REF!</v>
      </c>
      <c r="N66" s="3"/>
    </row>
    <row r="67" spans="1:14">
      <c r="A67" s="48" t="s">
        <v>410</v>
      </c>
      <c r="B67" s="47"/>
      <c r="C67" s="47"/>
      <c r="D67" s="47"/>
      <c r="E67" s="47"/>
      <c r="F67" s="47"/>
      <c r="G67" s="47"/>
      <c r="H67" s="47"/>
      <c r="I67" s="78"/>
      <c r="J67" s="78"/>
      <c r="K67" s="78"/>
    </row>
    <row r="68" spans="1:14">
      <c r="A68" s="55" t="s">
        <v>345</v>
      </c>
      <c r="B68" s="61">
        <f>'Drivers and Inputs'!B35</f>
        <v>0.3117225177876094</v>
      </c>
      <c r="C68" s="61">
        <f>'Drivers and Inputs'!C35</f>
        <v>0.3210931252429462</v>
      </c>
      <c r="D68" s="61">
        <f>'Drivers and Inputs'!D35</f>
        <v>0.28571213450237359</v>
      </c>
      <c r="E68" s="61">
        <f>'Drivers and Inputs'!E35</f>
        <v>0.31825512809226164</v>
      </c>
      <c r="F68" s="61">
        <f>'Drivers and Inputs'!F35</f>
        <v>0.25109697949136178</v>
      </c>
      <c r="G68" s="61">
        <f>'Drivers and Inputs'!G35</f>
        <v>0.20216694782828554</v>
      </c>
      <c r="H68" s="61">
        <f>'Drivers and Inputs'!H198</f>
        <v>0</v>
      </c>
      <c r="I68" s="61">
        <f>'Drivers and Inputs'!I163</f>
        <v>0</v>
      </c>
      <c r="J68" s="61">
        <f>'Drivers and Inputs'!J163</f>
        <v>0</v>
      </c>
      <c r="K68" s="61">
        <f>'Drivers and Inputs'!K163</f>
        <v>0</v>
      </c>
      <c r="M68" s="82"/>
    </row>
    <row r="69" spans="1:14">
      <c r="A69" s="49" t="s">
        <v>138</v>
      </c>
      <c r="B69" s="62" t="e">
        <f>('Drivers and Inputs'!#REF!*(1+'Forecast FCF'!B68))</f>
        <v>#REF!</v>
      </c>
      <c r="C69" s="62" t="e">
        <f>(B69*C68)+B69</f>
        <v>#REF!</v>
      </c>
      <c r="D69" s="62" t="e">
        <f>(C69*D68)+C69</f>
        <v>#REF!</v>
      </c>
      <c r="E69" s="62" t="e">
        <f t="shared" ref="E69" si="34">(D69*E68)+D69</f>
        <v>#REF!</v>
      </c>
      <c r="F69" s="62" t="e">
        <f>(E69*F68)+E69</f>
        <v>#REF!</v>
      </c>
      <c r="G69" s="62" t="e">
        <f>(F69*G68)+F69</f>
        <v>#REF!</v>
      </c>
      <c r="H69" s="62" t="e">
        <f>(G69*H68)+G69</f>
        <v>#REF!</v>
      </c>
      <c r="I69" s="62" t="e">
        <f t="shared" ref="I69" si="35">(H69*I68)+H69</f>
        <v>#REF!</v>
      </c>
      <c r="J69" s="62" t="e">
        <f t="shared" ref="J69" si="36">(I69*J68)+I69</f>
        <v>#REF!</v>
      </c>
      <c r="K69" s="62" t="e">
        <f t="shared" ref="K69" si="37">(J69*K68)+J69</f>
        <v>#REF!</v>
      </c>
    </row>
    <row r="70" spans="1:14">
      <c r="A70" s="55" t="s">
        <v>139</v>
      </c>
      <c r="B70" s="61">
        <f>'Drivers and Inputs'!B37</f>
        <v>90347</v>
      </c>
      <c r="C70" s="61">
        <f>'Drivers and Inputs'!C37</f>
        <v>87360</v>
      </c>
      <c r="D70" s="61">
        <f>'Drivers and Inputs'!D37</f>
        <v>84704</v>
      </c>
      <c r="E70" s="61">
        <f>'Drivers and Inputs'!E37</f>
        <v>82046</v>
      </c>
      <c r="F70" s="61">
        <f>'Drivers and Inputs'!F37</f>
        <v>206415</v>
      </c>
      <c r="G70" s="61">
        <f>'Drivers and Inputs'!G37</f>
        <v>372949</v>
      </c>
      <c r="H70" s="61">
        <f>'Drivers and Inputs'!H200</f>
        <v>0</v>
      </c>
      <c r="I70" s="61">
        <f>'Drivers and Inputs'!I164</f>
        <v>0</v>
      </c>
      <c r="J70" s="61">
        <f>'Drivers and Inputs'!J164</f>
        <v>0</v>
      </c>
      <c r="K70" s="61">
        <f>'Drivers and Inputs'!K164</f>
        <v>0</v>
      </c>
    </row>
    <row r="71" spans="1:14">
      <c r="A71" s="49" t="s">
        <v>346</v>
      </c>
      <c r="B71" s="64" t="e">
        <f>B66/'Drivers and Inputs'!#REF!</f>
        <v>#REF!</v>
      </c>
      <c r="C71" s="64" t="e">
        <f>C66/B69</f>
        <v>#REF!</v>
      </c>
      <c r="D71" s="64" t="e">
        <f>D66/C69</f>
        <v>#REF!</v>
      </c>
      <c r="E71" s="64" t="e">
        <f>E66/D69</f>
        <v>#REF!</v>
      </c>
      <c r="F71" s="64" t="e">
        <f>F66/E69</f>
        <v>#REF!</v>
      </c>
      <c r="G71" s="64" t="e">
        <f>G66/F69</f>
        <v>#REF!</v>
      </c>
      <c r="H71" s="64" t="e">
        <f t="shared" ref="H71" si="38">H66/G69</f>
        <v>#REF!</v>
      </c>
      <c r="I71" s="64" t="e">
        <f t="shared" ref="I71" si="39">I66/H69</f>
        <v>#REF!</v>
      </c>
      <c r="J71" s="64" t="e">
        <f t="shared" ref="J71" si="40">J66/I69</f>
        <v>#REF!</v>
      </c>
      <c r="K71" s="64" t="e">
        <f t="shared" ref="K71" si="41">K66/J69</f>
        <v>#REF!</v>
      </c>
    </row>
    <row r="72" spans="1:14">
      <c r="A72" s="49" t="s">
        <v>347</v>
      </c>
      <c r="B72" s="64" t="e">
        <f>(B69-'Drivers and Inputs'!#REF!)/'Forecast FCF'!B66</f>
        <v>#REF!</v>
      </c>
      <c r="C72" s="64" t="e">
        <f>(C69-B69)/C66</f>
        <v>#REF!</v>
      </c>
      <c r="D72" s="64" t="e">
        <f>(D69-C69)/D66</f>
        <v>#REF!</v>
      </c>
      <c r="E72" s="64" t="e">
        <f>(E69-D69)/E66</f>
        <v>#REF!</v>
      </c>
      <c r="F72" s="64" t="e">
        <f>(F69-E69)/F66</f>
        <v>#REF!</v>
      </c>
      <c r="G72" s="64" t="e">
        <f>(G69-F69)/G66</f>
        <v>#REF!</v>
      </c>
      <c r="H72" s="64" t="e">
        <f t="shared" ref="H72" si="42">(H69-G69)/H66</f>
        <v>#REF!</v>
      </c>
      <c r="I72" s="64" t="e">
        <f t="shared" ref="I72" si="43">(I69-H69)/I66</f>
        <v>#REF!</v>
      </c>
      <c r="J72" s="64" t="e">
        <f t="shared" ref="J72" si="44">(J69-I69)/J66</f>
        <v>#REF!</v>
      </c>
      <c r="K72" s="64" t="e">
        <f t="shared" ref="K72" si="45">(K69-J69)/K66</f>
        <v>#REF!</v>
      </c>
    </row>
    <row r="73" spans="1:14">
      <c r="A73" s="49" t="s">
        <v>348</v>
      </c>
      <c r="B73" s="62" t="e">
        <f>(B66*(1-B72))</f>
        <v>#REF!</v>
      </c>
      <c r="C73" s="62" t="e">
        <f t="shared" ref="C73:K73" si="46">(C66*(1-C72))</f>
        <v>#REF!</v>
      </c>
      <c r="D73" s="62" t="e">
        <f t="shared" si="46"/>
        <v>#REF!</v>
      </c>
      <c r="E73" s="62" t="e">
        <f t="shared" si="46"/>
        <v>#REF!</v>
      </c>
      <c r="F73" s="62" t="e">
        <f t="shared" si="46"/>
        <v>#REF!</v>
      </c>
      <c r="G73" s="62" t="e">
        <f t="shared" si="46"/>
        <v>#REF!</v>
      </c>
      <c r="H73" s="62" t="e">
        <f t="shared" si="46"/>
        <v>#REF!</v>
      </c>
      <c r="I73" s="62" t="e">
        <f t="shared" si="46"/>
        <v>#REF!</v>
      </c>
      <c r="J73" s="62" t="e">
        <f t="shared" si="46"/>
        <v>#REF!</v>
      </c>
      <c r="K73" s="62" t="e">
        <f t="shared" si="46"/>
        <v>#REF!</v>
      </c>
    </row>
    <row r="74" spans="1:14">
      <c r="A74" s="48" t="s">
        <v>418</v>
      </c>
      <c r="B74" s="47"/>
      <c r="C74" s="47"/>
      <c r="D74" s="47"/>
      <c r="E74" s="47"/>
      <c r="F74" s="47"/>
      <c r="G74" s="47"/>
      <c r="H74" s="47"/>
      <c r="I74" s="78"/>
      <c r="J74" s="78"/>
      <c r="K74" s="78"/>
    </row>
    <row r="75" spans="1:14">
      <c r="A75" s="49" t="s">
        <v>386</v>
      </c>
      <c r="B75" s="61">
        <v>0.2</v>
      </c>
      <c r="C75" s="61">
        <v>0.2</v>
      </c>
      <c r="D75" s="61">
        <v>0.2</v>
      </c>
      <c r="E75" s="61">
        <v>0.2</v>
      </c>
      <c r="F75" s="61">
        <v>0.2</v>
      </c>
      <c r="G75" s="61">
        <v>0.2</v>
      </c>
      <c r="H75" s="61">
        <v>0.2</v>
      </c>
      <c r="I75" s="61">
        <v>0.2</v>
      </c>
      <c r="J75" s="61">
        <v>0.2</v>
      </c>
      <c r="K75" s="61">
        <v>0.2</v>
      </c>
    </row>
    <row r="76" spans="1:14">
      <c r="A76" s="49" t="s">
        <v>419</v>
      </c>
      <c r="B76" s="66">
        <v>0</v>
      </c>
      <c r="C76" s="66">
        <v>0</v>
      </c>
      <c r="D76" s="66">
        <v>0</v>
      </c>
      <c r="E76" s="66">
        <v>0</v>
      </c>
      <c r="F76" s="66">
        <v>0</v>
      </c>
      <c r="G76" s="66">
        <v>0</v>
      </c>
      <c r="H76" s="66">
        <v>0</v>
      </c>
      <c r="I76" s="66">
        <v>0</v>
      </c>
      <c r="J76" s="66">
        <v>0</v>
      </c>
      <c r="K76" s="66">
        <v>0</v>
      </c>
    </row>
    <row r="77" spans="1:14">
      <c r="A77" s="49" t="s">
        <v>420</v>
      </c>
      <c r="B77" s="66">
        <v>0.4</v>
      </c>
      <c r="C77" s="66">
        <v>0.4</v>
      </c>
      <c r="D77" s="66">
        <v>0.4</v>
      </c>
      <c r="E77" s="66">
        <v>0.4</v>
      </c>
      <c r="F77" s="66">
        <v>0.4</v>
      </c>
      <c r="G77" s="66">
        <v>0.4</v>
      </c>
      <c r="H77" s="66">
        <v>0.4</v>
      </c>
      <c r="I77" s="66">
        <v>0.4</v>
      </c>
      <c r="J77" s="66">
        <v>0.4</v>
      </c>
      <c r="K77" s="66">
        <v>0.4</v>
      </c>
    </row>
    <row r="78" spans="1:14">
      <c r="A78" s="49" t="s">
        <v>387</v>
      </c>
      <c r="B78" s="61">
        <v>0.4</v>
      </c>
      <c r="C78" s="61">
        <v>0.4</v>
      </c>
      <c r="D78" s="61">
        <v>0.4</v>
      </c>
      <c r="E78" s="61">
        <v>0.4</v>
      </c>
      <c r="F78" s="61">
        <v>0.4</v>
      </c>
      <c r="G78" s="61">
        <v>0.4</v>
      </c>
      <c r="H78" s="61">
        <v>0.4</v>
      </c>
      <c r="I78" s="61">
        <v>0.4</v>
      </c>
      <c r="J78" s="61">
        <v>0.4</v>
      </c>
      <c r="K78" s="61">
        <v>0.4</v>
      </c>
    </row>
    <row r="79" spans="1:14">
      <c r="A79" s="48" t="s">
        <v>349</v>
      </c>
      <c r="B79" s="47"/>
      <c r="C79" s="47"/>
      <c r="D79" s="47"/>
      <c r="E79" s="47"/>
      <c r="F79" s="47"/>
      <c r="G79" s="47"/>
      <c r="H79" s="47"/>
      <c r="I79" s="78"/>
      <c r="J79" s="78"/>
      <c r="K79" s="78"/>
    </row>
    <row r="80" spans="1:14">
      <c r="A80" s="67" t="s">
        <v>374</v>
      </c>
      <c r="B80" s="3">
        <f>'Drivers and Inputs'!$H$82</f>
        <v>6.5109992660536492E-2</v>
      </c>
      <c r="C80" s="3">
        <f>'Drivers and Inputs'!$H$82</f>
        <v>6.5109992660536492E-2</v>
      </c>
      <c r="D80" s="3">
        <f>'Drivers and Inputs'!$H$82</f>
        <v>6.5109992660536492E-2</v>
      </c>
      <c r="E80" s="3">
        <f>'Drivers and Inputs'!$H$82</f>
        <v>6.5109992660536492E-2</v>
      </c>
      <c r="F80" s="3">
        <f>'Drivers and Inputs'!$H$82</f>
        <v>6.5109992660536492E-2</v>
      </c>
      <c r="G80" s="3">
        <f>'Drivers and Inputs'!$H$82</f>
        <v>6.5109992660536492E-2</v>
      </c>
      <c r="H80" s="3">
        <f>'Drivers and Inputs'!$H$82</f>
        <v>6.5109992660536492E-2</v>
      </c>
      <c r="I80" s="3">
        <f>'Drivers and Inputs'!$H$82</f>
        <v>6.5109992660536492E-2</v>
      </c>
      <c r="J80" s="3">
        <f>'Drivers and Inputs'!$H$82</f>
        <v>6.5109992660536492E-2</v>
      </c>
      <c r="K80" s="3">
        <f>'Drivers and Inputs'!$H$82</f>
        <v>6.5109992660536492E-2</v>
      </c>
    </row>
    <row r="81" spans="1:13">
      <c r="A81" s="49" t="s">
        <v>352</v>
      </c>
      <c r="B81" s="75" t="e">
        <f>'Drivers and Inputs'!#REF!*'Drivers and Inputs'!#REF!*B80</f>
        <v>#REF!</v>
      </c>
      <c r="C81" s="75" t="e">
        <f t="shared" ref="C81:K81" si="47">B69*B75*C80</f>
        <v>#REF!</v>
      </c>
      <c r="D81" s="75" t="e">
        <f t="shared" si="47"/>
        <v>#REF!</v>
      </c>
      <c r="E81" s="75" t="e">
        <f t="shared" si="47"/>
        <v>#REF!</v>
      </c>
      <c r="F81" s="75" t="e">
        <f t="shared" si="47"/>
        <v>#REF!</v>
      </c>
      <c r="G81" s="75" t="e">
        <f t="shared" si="47"/>
        <v>#REF!</v>
      </c>
      <c r="H81" s="75" t="e">
        <f t="shared" si="47"/>
        <v>#REF!</v>
      </c>
      <c r="I81" s="75" t="e">
        <f t="shared" si="47"/>
        <v>#REF!</v>
      </c>
      <c r="J81" s="75" t="e">
        <f t="shared" si="47"/>
        <v>#REF!</v>
      </c>
      <c r="K81" s="75" t="e">
        <f t="shared" si="47"/>
        <v>#REF!</v>
      </c>
    </row>
    <row r="82" spans="1:13">
      <c r="A82" s="67" t="s">
        <v>373</v>
      </c>
      <c r="B82" s="64">
        <f>'Drivers and Inputs'!$H$80</f>
        <v>7.0000000000000007E-2</v>
      </c>
      <c r="C82" s="64">
        <f>'Drivers and Inputs'!$H$80</f>
        <v>7.0000000000000007E-2</v>
      </c>
      <c r="D82" s="64">
        <f>'Drivers and Inputs'!$H$80</f>
        <v>7.0000000000000007E-2</v>
      </c>
      <c r="E82" s="64">
        <f>'Drivers and Inputs'!$H$80</f>
        <v>7.0000000000000007E-2</v>
      </c>
      <c r="F82" s="64">
        <f>'Drivers and Inputs'!$H$80</f>
        <v>7.0000000000000007E-2</v>
      </c>
      <c r="G82" s="64">
        <f>'Drivers and Inputs'!$H$80</f>
        <v>7.0000000000000007E-2</v>
      </c>
      <c r="H82" s="64">
        <f>'Drivers and Inputs'!$H$80</f>
        <v>7.0000000000000007E-2</v>
      </c>
      <c r="I82" s="64">
        <f>'Drivers and Inputs'!$H$80</f>
        <v>7.0000000000000007E-2</v>
      </c>
      <c r="J82" s="64">
        <f>'Drivers and Inputs'!$H$80</f>
        <v>7.0000000000000007E-2</v>
      </c>
      <c r="K82" s="64">
        <f>'Drivers and Inputs'!$H$80</f>
        <v>7.0000000000000007E-2</v>
      </c>
    </row>
    <row r="83" spans="1:13">
      <c r="A83" s="49" t="s">
        <v>351</v>
      </c>
      <c r="B83" s="76">
        <f t="shared" ref="B83:K83" si="48">B91*B82</f>
        <v>0</v>
      </c>
      <c r="C83" s="76">
        <f t="shared" si="48"/>
        <v>0</v>
      </c>
      <c r="D83" s="76">
        <f t="shared" si="48"/>
        <v>0</v>
      </c>
      <c r="E83" s="76">
        <f t="shared" si="48"/>
        <v>0</v>
      </c>
      <c r="F83" s="76">
        <f t="shared" si="48"/>
        <v>0</v>
      </c>
      <c r="G83" s="76">
        <f t="shared" si="48"/>
        <v>0</v>
      </c>
      <c r="H83" s="76">
        <f t="shared" si="48"/>
        <v>0</v>
      </c>
      <c r="I83" s="76">
        <f t="shared" si="48"/>
        <v>0</v>
      </c>
      <c r="J83" s="76">
        <f t="shared" si="48"/>
        <v>0</v>
      </c>
      <c r="K83" s="76">
        <f t="shared" si="48"/>
        <v>0</v>
      </c>
    </row>
    <row r="84" spans="1:13">
      <c r="A84" s="49" t="s">
        <v>353</v>
      </c>
      <c r="B84" s="50" t="e">
        <f t="shared" ref="B84:K84" si="49">B73-B91-B92-B81-B83</f>
        <v>#REF!</v>
      </c>
      <c r="C84" s="50" t="e">
        <f t="shared" si="49"/>
        <v>#REF!</v>
      </c>
      <c r="D84" s="50" t="e">
        <f t="shared" si="49"/>
        <v>#REF!</v>
      </c>
      <c r="E84" s="50" t="e">
        <f t="shared" si="49"/>
        <v>#REF!</v>
      </c>
      <c r="F84" s="50" t="e">
        <f t="shared" si="49"/>
        <v>#REF!</v>
      </c>
      <c r="G84" s="50" t="e">
        <f t="shared" si="49"/>
        <v>#REF!</v>
      </c>
      <c r="H84" s="50" t="e">
        <f t="shared" si="49"/>
        <v>#REF!</v>
      </c>
      <c r="I84" s="50" t="e">
        <f t="shared" si="49"/>
        <v>#REF!</v>
      </c>
      <c r="J84" s="50" t="e">
        <f t="shared" si="49"/>
        <v>#REF!</v>
      </c>
      <c r="K84" s="50" t="e">
        <f t="shared" si="49"/>
        <v>#REF!</v>
      </c>
    </row>
    <row r="85" spans="1:13">
      <c r="A85" s="48" t="s">
        <v>421</v>
      </c>
      <c r="B85" s="48"/>
      <c r="C85" s="48"/>
      <c r="D85" s="48"/>
      <c r="E85" s="48"/>
      <c r="F85" s="48"/>
      <c r="G85" s="48"/>
      <c r="H85" s="48"/>
      <c r="I85" s="79"/>
      <c r="J85" s="79"/>
      <c r="K85" s="79"/>
    </row>
    <row r="86" spans="1:13">
      <c r="A86" s="49" t="s">
        <v>422</v>
      </c>
      <c r="B86" s="77" t="e">
        <f>B84/'Drivers and Inputs'!$B$19</f>
        <v>#REF!</v>
      </c>
      <c r="C86" s="77" t="e">
        <f>C84/'Drivers and Inputs'!$B$19</f>
        <v>#REF!</v>
      </c>
      <c r="D86" s="77" t="e">
        <f>D84/'Drivers and Inputs'!$B$19</f>
        <v>#REF!</v>
      </c>
      <c r="E86" s="77" t="e">
        <f>E84/'Drivers and Inputs'!$B$19</f>
        <v>#REF!</v>
      </c>
      <c r="F86" s="77" t="e">
        <f>F84/'Drivers and Inputs'!$B$19</f>
        <v>#REF!</v>
      </c>
      <c r="G86" s="77" t="e">
        <f>G84/'Drivers and Inputs'!$B$19</f>
        <v>#REF!</v>
      </c>
      <c r="H86" s="77" t="e">
        <f>H84/'Drivers and Inputs'!$B$19</f>
        <v>#REF!</v>
      </c>
      <c r="I86" s="77" t="e">
        <f>I84/'Drivers and Inputs'!$B$19</f>
        <v>#REF!</v>
      </c>
      <c r="J86" s="77" t="e">
        <f>J84/'Drivers and Inputs'!$B$19</f>
        <v>#REF!</v>
      </c>
      <c r="K86" s="77" t="e">
        <f>K84/'Drivers and Inputs'!$B$19</f>
        <v>#REF!</v>
      </c>
    </row>
    <row r="87" spans="1:13">
      <c r="A87" s="49" t="s">
        <v>92</v>
      </c>
      <c r="B87" s="3" t="e">
        <f>B84/'Drivers and Inputs'!$B$20</f>
        <v>#REF!</v>
      </c>
      <c r="C87" s="3" t="e">
        <f>C84/'Drivers and Inputs'!$B$20</f>
        <v>#REF!</v>
      </c>
      <c r="D87" s="3" t="e">
        <f>D84/'Drivers and Inputs'!$B$20</f>
        <v>#REF!</v>
      </c>
      <c r="E87" s="3" t="e">
        <f>E84/'Drivers and Inputs'!$B$20</f>
        <v>#REF!</v>
      </c>
      <c r="F87" s="3" t="e">
        <f>F84/'Drivers and Inputs'!$B$20</f>
        <v>#REF!</v>
      </c>
      <c r="G87" s="3" t="e">
        <f>G84/'Drivers and Inputs'!$B$20</f>
        <v>#REF!</v>
      </c>
      <c r="H87" s="3" t="e">
        <f>H84/'Drivers and Inputs'!$B$20</f>
        <v>#REF!</v>
      </c>
      <c r="I87" s="3" t="e">
        <f>I84/'Drivers and Inputs'!$B$20</f>
        <v>#REF!</v>
      </c>
      <c r="J87" s="3" t="e">
        <f>J84/'Drivers and Inputs'!$B$20</f>
        <v>#REF!</v>
      </c>
      <c r="K87" s="3" t="e">
        <f>K84/'Drivers and Inputs'!$B$20</f>
        <v>#REF!</v>
      </c>
    </row>
    <row r="88" spans="1:13">
      <c r="A88" s="49" t="s">
        <v>423</v>
      </c>
      <c r="B88" s="4" t="e">
        <f t="shared" ref="B88:K88" si="50">B65</f>
        <v>#DIV/0!</v>
      </c>
      <c r="C88" s="4" t="e">
        <f t="shared" si="50"/>
        <v>#REF!</v>
      </c>
      <c r="D88" s="4" t="e">
        <f t="shared" si="50"/>
        <v>#REF!</v>
      </c>
      <c r="E88" s="4" t="e">
        <f t="shared" si="50"/>
        <v>#REF!</v>
      </c>
      <c r="F88" s="4" t="e">
        <f t="shared" si="50"/>
        <v>#REF!</v>
      </c>
      <c r="G88" s="4" t="e">
        <f t="shared" si="50"/>
        <v>#REF!</v>
      </c>
      <c r="H88" s="4" t="e">
        <f t="shared" si="50"/>
        <v>#REF!</v>
      </c>
      <c r="I88" s="4" t="e">
        <f t="shared" si="50"/>
        <v>#REF!</v>
      </c>
      <c r="J88" s="4" t="e">
        <f t="shared" si="50"/>
        <v>#REF!</v>
      </c>
      <c r="K88" s="4" t="e">
        <f t="shared" si="50"/>
        <v>#REF!</v>
      </c>
    </row>
    <row r="89" spans="1:13">
      <c r="A89" s="49" t="s">
        <v>424</v>
      </c>
      <c r="B89" s="5" t="e">
        <f>SUM(B87:B88)</f>
        <v>#REF!</v>
      </c>
      <c r="C89" s="5" t="e">
        <f t="shared" ref="C89:K89" si="51">SUM(C87:C88)</f>
        <v>#REF!</v>
      </c>
      <c r="D89" s="5" t="e">
        <f t="shared" si="51"/>
        <v>#REF!</v>
      </c>
      <c r="E89" s="5" t="e">
        <f t="shared" si="51"/>
        <v>#REF!</v>
      </c>
      <c r="F89" s="5" t="e">
        <f t="shared" si="51"/>
        <v>#REF!</v>
      </c>
      <c r="G89" s="5" t="e">
        <f t="shared" si="51"/>
        <v>#REF!</v>
      </c>
      <c r="H89" s="5" t="e">
        <f t="shared" si="51"/>
        <v>#REF!</v>
      </c>
      <c r="I89" s="5" t="e">
        <f t="shared" si="51"/>
        <v>#REF!</v>
      </c>
      <c r="J89" s="5" t="e">
        <f t="shared" si="51"/>
        <v>#REF!</v>
      </c>
      <c r="K89" s="5" t="e">
        <f t="shared" si="51"/>
        <v>#REF!</v>
      </c>
    </row>
    <row r="90" spans="1:13">
      <c r="A90" s="49" t="s">
        <v>425</v>
      </c>
      <c r="B90" s="4">
        <f>'Drivers and Inputs'!B42</f>
        <v>0</v>
      </c>
      <c r="C90" s="4">
        <f>'Drivers and Inputs'!C42</f>
        <v>1.0707339327209611</v>
      </c>
      <c r="D90" s="4">
        <f>'Drivers and Inputs'!D42</f>
        <v>1.3601254843940771</v>
      </c>
      <c r="E90" s="4">
        <f>'Drivers and Inputs'!E42</f>
        <v>1.8781448701394039</v>
      </c>
      <c r="F90" s="4">
        <f>'Drivers and Inputs'!F42</f>
        <v>1.7431886609736773</v>
      </c>
      <c r="G90" s="4">
        <f>'Drivers and Inputs'!G42</f>
        <v>1.7130204085717002</v>
      </c>
      <c r="H90" s="4">
        <f>'Drivers and Inputs'!H204</f>
        <v>0</v>
      </c>
      <c r="I90" s="4">
        <f>'Drivers and Inputs'!I167</f>
        <v>0</v>
      </c>
      <c r="J90" s="4">
        <f>'Drivers and Inputs'!J167</f>
        <v>0</v>
      </c>
      <c r="K90" s="4">
        <f>'Drivers and Inputs'!K167</f>
        <v>0</v>
      </c>
    </row>
    <row r="91" spans="1:13">
      <c r="A91" s="49" t="s">
        <v>350</v>
      </c>
      <c r="B91" s="72">
        <v>0</v>
      </c>
      <c r="C91" s="72">
        <v>0</v>
      </c>
      <c r="D91" s="72">
        <v>0</v>
      </c>
      <c r="E91" s="72">
        <v>0</v>
      </c>
      <c r="F91" s="72">
        <v>0</v>
      </c>
      <c r="G91" s="72">
        <v>0</v>
      </c>
      <c r="H91" s="72">
        <v>0</v>
      </c>
      <c r="I91" s="72">
        <v>0</v>
      </c>
      <c r="J91" s="72">
        <v>0</v>
      </c>
      <c r="K91" s="72">
        <v>0</v>
      </c>
      <c r="M91" s="3"/>
    </row>
    <row r="92" spans="1:13">
      <c r="A92" s="49" t="s">
        <v>426</v>
      </c>
      <c r="B92" s="72">
        <v>0</v>
      </c>
      <c r="C92" s="72">
        <v>0</v>
      </c>
      <c r="D92" s="72">
        <v>0</v>
      </c>
      <c r="E92" s="72">
        <v>0</v>
      </c>
      <c r="F92" s="72">
        <v>0</v>
      </c>
      <c r="G92" s="72">
        <v>0</v>
      </c>
      <c r="H92" s="72">
        <v>0</v>
      </c>
      <c r="I92" s="72">
        <v>0</v>
      </c>
      <c r="J92" s="72">
        <v>0</v>
      </c>
      <c r="K92" s="72">
        <v>0</v>
      </c>
    </row>
    <row r="95" spans="1:13">
      <c r="M95" s="3"/>
    </row>
    <row r="98" spans="1:11">
      <c r="A98" s="49" t="s">
        <v>427</v>
      </c>
      <c r="B98" s="50" t="e">
        <f>SUM(B84)</f>
        <v>#REF!</v>
      </c>
      <c r="C98" s="50" t="e">
        <f>SUM(B84:C84)</f>
        <v>#REF!</v>
      </c>
      <c r="D98" s="50" t="e">
        <f>SUM(B84:D84)</f>
        <v>#REF!</v>
      </c>
      <c r="E98" s="50" t="e">
        <f>SUM(B84:E84)</f>
        <v>#REF!</v>
      </c>
      <c r="F98" s="50" t="e">
        <f>SUM(B84:F84)</f>
        <v>#REF!</v>
      </c>
      <c r="G98" s="50" t="e">
        <f>SUM(B84:G84)</f>
        <v>#REF!</v>
      </c>
      <c r="H98" s="50" t="e">
        <f>SUM(B84:H84)</f>
        <v>#REF!</v>
      </c>
      <c r="I98" s="50" t="e">
        <f>SUM(B84:I84)</f>
        <v>#REF!</v>
      </c>
      <c r="J98" s="50" t="e">
        <f>SUM(B84:J84)</f>
        <v>#REF!</v>
      </c>
      <c r="K98" s="50" t="e">
        <f>SUM(B84:K84)</f>
        <v>#REF!</v>
      </c>
    </row>
    <row r="99" spans="1:11">
      <c r="A99" s="49" t="s">
        <v>428</v>
      </c>
      <c r="B99" s="50" t="e">
        <f>(B84)+'Drivers and Inputs'!B77</f>
        <v>#REF!</v>
      </c>
      <c r="C99" s="50" t="e">
        <f>SUM(B84:C84)+'Drivers and Inputs'!B77</f>
        <v>#REF!</v>
      </c>
      <c r="D99" s="50" t="e">
        <f>SUM(B84:D84)+'Drivers and Inputs'!B77</f>
        <v>#REF!</v>
      </c>
      <c r="E99" s="50" t="e">
        <f>SUM(B84:E84)+'Drivers and Inputs'!B77</f>
        <v>#REF!</v>
      </c>
      <c r="F99" s="50" t="e">
        <f>SUM(B84:F84)+'Drivers and Inputs'!B77</f>
        <v>#REF!</v>
      </c>
      <c r="G99" s="50" t="e">
        <f>SUM(B84:G84)+'Drivers and Inputs'!B77</f>
        <v>#REF!</v>
      </c>
      <c r="H99" s="50" t="e">
        <f>SUM(B84:H84)+'Drivers and Inputs'!B77</f>
        <v>#REF!</v>
      </c>
      <c r="I99" s="50" t="e">
        <f>SUM(B84:I84)+'Drivers and Inputs'!B77</f>
        <v>#REF!</v>
      </c>
      <c r="J99" s="50" t="e">
        <f>SUM(B84:J84)+'Drivers and Inputs'!B77</f>
        <v>#REF!</v>
      </c>
      <c r="K99" s="50" t="e">
        <f>SUM(B84:K84)+'Drivers and Inputs'!B77</f>
        <v>#REF!</v>
      </c>
    </row>
    <row r="100" spans="1:11">
      <c r="A100" s="49" t="s">
        <v>429</v>
      </c>
      <c r="B100" s="50" t="e">
        <f>'Drivers and Inputs'!B77+('Drivers and Inputs'!B77*B88)</f>
        <v>#DIV/0!</v>
      </c>
      <c r="C100" s="50" t="e">
        <f t="shared" ref="C100:K100" si="52">B100+(B100*C88)</f>
        <v>#DIV/0!</v>
      </c>
      <c r="D100" s="50" t="e">
        <f t="shared" si="52"/>
        <v>#DIV/0!</v>
      </c>
      <c r="E100" s="50" t="e">
        <f t="shared" si="52"/>
        <v>#DIV/0!</v>
      </c>
      <c r="F100" s="50" t="e">
        <f t="shared" si="52"/>
        <v>#DIV/0!</v>
      </c>
      <c r="G100" s="50" t="e">
        <f t="shared" si="52"/>
        <v>#DIV/0!</v>
      </c>
      <c r="H100" s="50" t="e">
        <f t="shared" si="52"/>
        <v>#DIV/0!</v>
      </c>
      <c r="I100" s="50" t="e">
        <f t="shared" si="52"/>
        <v>#DIV/0!</v>
      </c>
      <c r="J100" s="50" t="e">
        <f t="shared" si="52"/>
        <v>#DIV/0!</v>
      </c>
      <c r="K100" s="50" t="e">
        <f t="shared" si="52"/>
        <v>#DIV/0!</v>
      </c>
    </row>
    <row r="101" spans="1:11">
      <c r="A101" s="49" t="s">
        <v>430</v>
      </c>
      <c r="B101" s="50" t="e">
        <f>SUM(B99:B100)</f>
        <v>#REF!</v>
      </c>
      <c r="C101" s="50" t="e">
        <f>SUM(C99:C100)</f>
        <v>#REF!</v>
      </c>
      <c r="D101" s="50" t="e">
        <f t="shared" ref="D101:F101" si="53">SUM(D99:D100)</f>
        <v>#REF!</v>
      </c>
      <c r="E101" s="50" t="e">
        <f t="shared" si="53"/>
        <v>#REF!</v>
      </c>
      <c r="F101" s="50" t="e">
        <f t="shared" si="53"/>
        <v>#REF!</v>
      </c>
      <c r="G101" s="50" t="e">
        <f>SUM(G99:G100)</f>
        <v>#REF!</v>
      </c>
      <c r="H101" s="50" t="e">
        <f t="shared" ref="H101:J101" si="54">SUM(H99:H100)</f>
        <v>#REF!</v>
      </c>
      <c r="I101" s="50" t="e">
        <f t="shared" si="54"/>
        <v>#REF!</v>
      </c>
      <c r="J101" s="50" t="e">
        <f t="shared" si="54"/>
        <v>#REF!</v>
      </c>
      <c r="K101" s="50" t="e">
        <f>SUM(K99:K100)</f>
        <v>#REF!</v>
      </c>
    </row>
    <row r="102" spans="1:11">
      <c r="A102" s="49" t="s">
        <v>431</v>
      </c>
      <c r="B102" s="50">
        <f>'Drivers and Inputs'!B77+('Drivers and Inputs'!B77*'Forecast FCF'!B90)</f>
        <v>171306</v>
      </c>
      <c r="C102" s="50">
        <f t="shared" ref="C102:K102" si="55">(B102*C90)+B102</f>
        <v>354729.14707869699</v>
      </c>
      <c r="D102" s="50">
        <f t="shared" si="55"/>
        <v>837205.30007780762</v>
      </c>
      <c r="E102" s="50">
        <f t="shared" si="55"/>
        <v>2409598.1396724624</v>
      </c>
      <c r="F102" s="50">
        <f t="shared" si="55"/>
        <v>6609982.2942527663</v>
      </c>
      <c r="G102" s="50">
        <f t="shared" si="55"/>
        <v>17933016.864605345</v>
      </c>
      <c r="H102" s="50">
        <f t="shared" si="55"/>
        <v>17933016.864605345</v>
      </c>
      <c r="I102" s="50">
        <f t="shared" si="55"/>
        <v>17933016.864605345</v>
      </c>
      <c r="J102" s="50">
        <f t="shared" si="55"/>
        <v>17933016.864605345</v>
      </c>
      <c r="K102" s="50">
        <f t="shared" si="55"/>
        <v>17933016.864605345</v>
      </c>
    </row>
  </sheetData>
  <phoneticPr fontId="2" type="noConversion"/>
  <pageMargins left="0.25" right="0.25" top="0.75" bottom="0.75" header="0.3" footer="0.3"/>
  <pageSetup paperSize="3" orientation="landscape"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EB3E4-A6BB-41F8-9AF4-624C4C597272}">
  <dimension ref="A1:X64"/>
  <sheetViews>
    <sheetView showGridLines="0" topLeftCell="A7" zoomScaleNormal="100" workbookViewId="0">
      <selection activeCell="B26" sqref="B26"/>
    </sheetView>
  </sheetViews>
  <sheetFormatPr defaultRowHeight="15"/>
  <cols>
    <col min="1" max="1" width="35.7109375" customWidth="1"/>
    <col min="2" max="29" width="13.7109375" customWidth="1"/>
  </cols>
  <sheetData>
    <row r="1" spans="1:24">
      <c r="A1" s="292" t="s">
        <v>432</v>
      </c>
      <c r="B1" s="292"/>
      <c r="C1" s="292"/>
      <c r="D1" s="292"/>
    </row>
    <row r="2" spans="1:24" ht="2.1" customHeight="1"/>
    <row r="3" spans="1:24">
      <c r="A3" s="295" t="s">
        <v>433</v>
      </c>
      <c r="B3" s="296"/>
    </row>
    <row r="4" spans="1:24">
      <c r="A4" s="167" t="s">
        <v>434</v>
      </c>
      <c r="B4" s="168" t="s">
        <v>69</v>
      </c>
    </row>
    <row r="5" spans="1:24">
      <c r="A5" s="24" t="s">
        <v>435</v>
      </c>
      <c r="B5" s="23">
        <v>0.04</v>
      </c>
      <c r="O5" s="101"/>
      <c r="P5" s="101"/>
      <c r="Q5" s="101"/>
      <c r="R5" s="101"/>
      <c r="S5" s="101"/>
      <c r="T5" s="101"/>
      <c r="U5" s="101"/>
      <c r="V5" s="101"/>
      <c r="W5" s="101"/>
      <c r="X5" s="101"/>
    </row>
    <row r="6" spans="1:24">
      <c r="A6" s="24" t="s">
        <v>436</v>
      </c>
      <c r="B6" s="23">
        <v>0.1</v>
      </c>
    </row>
    <row r="7" spans="1:24">
      <c r="A7" s="24" t="s">
        <v>437</v>
      </c>
      <c r="B7" s="21">
        <v>1</v>
      </c>
    </row>
    <row r="8" spans="1:24">
      <c r="A8" s="24" t="s">
        <v>438</v>
      </c>
      <c r="B8" s="23">
        <v>7.4999999999999997E-2</v>
      </c>
    </row>
    <row r="9" spans="1:24">
      <c r="A9" s="26" t="s">
        <v>439</v>
      </c>
      <c r="B9" s="28">
        <v>0.03</v>
      </c>
    </row>
    <row r="11" spans="1:24">
      <c r="A11" s="48" t="s">
        <v>440</v>
      </c>
      <c r="B11" s="113" t="s">
        <v>356</v>
      </c>
      <c r="C11" s="113" t="s">
        <v>357</v>
      </c>
      <c r="D11" s="113" t="s">
        <v>358</v>
      </c>
      <c r="E11" s="113" t="s">
        <v>359</v>
      </c>
      <c r="F11" s="113" t="s">
        <v>360</v>
      </c>
      <c r="G11" s="113" t="s">
        <v>361</v>
      </c>
      <c r="H11" s="113" t="s">
        <v>362</v>
      </c>
      <c r="I11" s="113" t="s">
        <v>363</v>
      </c>
      <c r="J11" s="113" t="s">
        <v>364</v>
      </c>
      <c r="K11" s="113" t="s">
        <v>365</v>
      </c>
      <c r="L11" s="113" t="s">
        <v>441</v>
      </c>
    </row>
    <row r="12" spans="1:24">
      <c r="A12" t="s">
        <v>353</v>
      </c>
      <c r="B12" s="175">
        <f>'Forecast FCF'!B23</f>
        <v>75922.10026483977</v>
      </c>
      <c r="C12" s="175">
        <f>'Forecast FCF'!C23</f>
        <v>108635.91368801429</v>
      </c>
      <c r="D12" s="175">
        <f>'Forecast FCF'!D23</f>
        <v>116391.22878708829</v>
      </c>
      <c r="E12" s="175">
        <f>'Forecast FCF'!E23</f>
        <v>144529.3539956726</v>
      </c>
      <c r="F12" s="175">
        <f>'Forecast FCF'!F23</f>
        <v>155666.68593127502</v>
      </c>
      <c r="G12" s="175">
        <f>'Forecast FCF'!G23</f>
        <v>187153.72468578629</v>
      </c>
      <c r="H12" s="175">
        <f>'Forecast FCF'!H23</f>
        <v>196282.53473237209</v>
      </c>
      <c r="I12" s="175">
        <f>'Forecast FCF'!I23</f>
        <v>235709.94235215712</v>
      </c>
      <c r="J12" s="175">
        <f>'Forecast FCF'!J23</f>
        <v>252021.18298784364</v>
      </c>
      <c r="K12" s="175">
        <f>'Forecast FCF'!K23</f>
        <v>265244.7078474054</v>
      </c>
      <c r="L12" s="175">
        <f>K12+(K12*0.1)</f>
        <v>291769.17863214592</v>
      </c>
    </row>
    <row r="13" spans="1:24">
      <c r="A13" t="s">
        <v>442</v>
      </c>
      <c r="B13" s="175"/>
      <c r="C13" s="175"/>
      <c r="D13" s="175"/>
      <c r="E13" s="175"/>
      <c r="F13" s="175"/>
      <c r="G13" s="175"/>
      <c r="H13" s="175"/>
      <c r="I13" s="175"/>
      <c r="J13" s="175"/>
      <c r="K13" s="175"/>
      <c r="L13" s="175">
        <f>L12/(L14-B9)</f>
        <v>6483759.5251587983</v>
      </c>
    </row>
    <row r="14" spans="1:24">
      <c r="A14" t="s">
        <v>438</v>
      </c>
      <c r="B14" s="4">
        <f>$B$8</f>
        <v>7.4999999999999997E-2</v>
      </c>
      <c r="C14" s="4">
        <f t="shared" ref="C14:L14" si="0">$B$8</f>
        <v>7.4999999999999997E-2</v>
      </c>
      <c r="D14" s="4">
        <f t="shared" si="0"/>
        <v>7.4999999999999997E-2</v>
      </c>
      <c r="E14" s="4">
        <f t="shared" si="0"/>
        <v>7.4999999999999997E-2</v>
      </c>
      <c r="F14" s="4">
        <f t="shared" si="0"/>
        <v>7.4999999999999997E-2</v>
      </c>
      <c r="G14" s="4">
        <f t="shared" si="0"/>
        <v>7.4999999999999997E-2</v>
      </c>
      <c r="H14" s="4">
        <f t="shared" si="0"/>
        <v>7.4999999999999997E-2</v>
      </c>
      <c r="I14" s="4">
        <f t="shared" si="0"/>
        <v>7.4999999999999997E-2</v>
      </c>
      <c r="J14" s="4">
        <f t="shared" si="0"/>
        <v>7.4999999999999997E-2</v>
      </c>
      <c r="K14" s="4">
        <f t="shared" si="0"/>
        <v>7.4999999999999997E-2</v>
      </c>
      <c r="L14" s="4">
        <f t="shared" si="0"/>
        <v>7.4999999999999997E-2</v>
      </c>
    </row>
    <row r="15" spans="1:24">
      <c r="A15" t="s">
        <v>443</v>
      </c>
      <c r="B15" s="176">
        <f>1/(1+B14)</f>
        <v>0.93023255813953487</v>
      </c>
      <c r="C15" s="176">
        <f>B15/(1+C14)</f>
        <v>0.86533261222282321</v>
      </c>
      <c r="D15" s="176">
        <f t="shared" ref="D15:K15" si="1">C15/(1+D14)</f>
        <v>0.80496056950960304</v>
      </c>
      <c r="E15" s="176">
        <f t="shared" si="1"/>
        <v>0.7488005297763749</v>
      </c>
      <c r="F15" s="176">
        <f t="shared" si="1"/>
        <v>0.69655863235011617</v>
      </c>
      <c r="G15" s="176">
        <f t="shared" si="1"/>
        <v>0.64796151846522432</v>
      </c>
      <c r="H15" s="176">
        <f t="shared" si="1"/>
        <v>0.60275490089788308</v>
      </c>
      <c r="I15" s="176">
        <f t="shared" si="1"/>
        <v>0.56070223339337966</v>
      </c>
      <c r="J15" s="176">
        <f t="shared" si="1"/>
        <v>0.52158347292407414</v>
      </c>
      <c r="K15" s="176">
        <f t="shared" si="1"/>
        <v>0.48519392830146435</v>
      </c>
      <c r="L15" s="176">
        <f>K15</f>
        <v>0.48519392830146435</v>
      </c>
    </row>
    <row r="16" spans="1:24">
      <c r="A16" t="s">
        <v>444</v>
      </c>
      <c r="B16" s="175">
        <f>B12*B15</f>
        <v>70625.209548688159</v>
      </c>
      <c r="C16" s="175">
        <f t="shared" ref="C16:K16" si="2">C12*C15</f>
        <v>94006.198972862563</v>
      </c>
      <c r="D16" s="175">
        <f t="shared" si="2"/>
        <v>93690.349810377098</v>
      </c>
      <c r="E16" s="175">
        <f t="shared" si="2"/>
        <v>108223.65684019687</v>
      </c>
      <c r="F16" s="175">
        <f t="shared" si="2"/>
        <v>108430.973854764</v>
      </c>
      <c r="G16" s="175">
        <f t="shared" si="2"/>
        <v>121268.41163382462</v>
      </c>
      <c r="H16" s="175">
        <f t="shared" si="2"/>
        <v>118310.25977059624</v>
      </c>
      <c r="I16" s="175">
        <f t="shared" si="2"/>
        <v>132163.09110987926</v>
      </c>
      <c r="J16" s="175">
        <f t="shared" si="2"/>
        <v>131450.08387323309</v>
      </c>
      <c r="K16" s="175">
        <f t="shared" si="2"/>
        <v>128695.12176165688</v>
      </c>
      <c r="L16" s="175">
        <f>L13*L15</f>
        <v>3145880.7541738343</v>
      </c>
    </row>
    <row r="18" spans="1:12">
      <c r="A18" s="48" t="s">
        <v>445</v>
      </c>
      <c r="B18" s="113" t="s">
        <v>69</v>
      </c>
      <c r="D18" s="301" t="s">
        <v>446</v>
      </c>
      <c r="E18" s="301"/>
      <c r="F18" s="301"/>
      <c r="G18" s="301"/>
      <c r="H18" s="301"/>
      <c r="I18" s="301"/>
    </row>
    <row r="19" spans="1:12">
      <c r="A19" t="s">
        <v>447</v>
      </c>
      <c r="B19" s="102">
        <f>SUM(B16:L16)</f>
        <v>4252744.1113499133</v>
      </c>
      <c r="D19" s="298" t="s">
        <v>448</v>
      </c>
      <c r="E19" s="126"/>
      <c r="F19" s="297" t="s">
        <v>449</v>
      </c>
      <c r="G19" s="297"/>
      <c r="H19" s="297"/>
      <c r="I19" s="244"/>
    </row>
    <row r="20" spans="1:12">
      <c r="A20" s="68" t="s">
        <v>450</v>
      </c>
      <c r="B20">
        <v>0</v>
      </c>
      <c r="D20" s="299"/>
      <c r="E20" s="117">
        <f>L16</f>
        <v>3145880.7541738343</v>
      </c>
      <c r="F20" s="118">
        <v>0.02</v>
      </c>
      <c r="G20" s="118">
        <v>0.03</v>
      </c>
      <c r="H20" s="118">
        <v>0.04</v>
      </c>
      <c r="I20" s="119">
        <v>0.05</v>
      </c>
    </row>
    <row r="21" spans="1:12" ht="15" customHeight="1">
      <c r="A21" s="68" t="s">
        <v>451</v>
      </c>
      <c r="B21">
        <v>0</v>
      </c>
      <c r="D21" s="299"/>
      <c r="E21" s="120">
        <v>0.08</v>
      </c>
      <c r="F21" s="121">
        <f t="dataTable" ref="F21:I24" dt2D="1" dtr="1" r1="B9" r2="B8"/>
        <v>2252426.3927704492</v>
      </c>
      <c r="G21" s="121">
        <v>2702911.6713245385</v>
      </c>
      <c r="H21" s="121">
        <v>3378639.5891556735</v>
      </c>
      <c r="I21" s="122">
        <v>4504852.7855408983</v>
      </c>
    </row>
    <row r="22" spans="1:12">
      <c r="A22" s="68" t="s">
        <v>452</v>
      </c>
      <c r="B22" s="102">
        <v>1500000</v>
      </c>
      <c r="D22" s="299"/>
      <c r="E22" s="120">
        <v>0.1</v>
      </c>
      <c r="F22" s="121">
        <v>1406120.6110498761</v>
      </c>
      <c r="G22" s="121">
        <v>1606994.9840570011</v>
      </c>
      <c r="H22" s="121">
        <v>1874827.4813998346</v>
      </c>
      <c r="I22" s="122">
        <v>2249792.9776798016</v>
      </c>
    </row>
    <row r="23" spans="1:12">
      <c r="A23" s="68" t="s">
        <v>453</v>
      </c>
      <c r="B23">
        <v>0</v>
      </c>
      <c r="D23" s="299"/>
      <c r="E23" s="120">
        <v>0.12</v>
      </c>
      <c r="F23" s="121">
        <v>939418.66781600961</v>
      </c>
      <c r="G23" s="121">
        <v>1043798.5197955662</v>
      </c>
      <c r="H23" s="121">
        <v>1174273.3347700122</v>
      </c>
      <c r="I23" s="122">
        <v>1342026.6683085854</v>
      </c>
    </row>
    <row r="24" spans="1:12">
      <c r="A24" t="s">
        <v>454</v>
      </c>
      <c r="B24" s="50">
        <f>SUM(B19:B23)</f>
        <v>5752744.1113499133</v>
      </c>
      <c r="D24" s="300"/>
      <c r="E24" s="123">
        <v>0.15</v>
      </c>
      <c r="F24" s="124">
        <v>554775.98981234722</v>
      </c>
      <c r="G24" s="124">
        <v>601007.32229670964</v>
      </c>
      <c r="H24" s="124">
        <v>655644.3515964105</v>
      </c>
      <c r="I24" s="125">
        <v>721208.78675605147</v>
      </c>
    </row>
    <row r="25" spans="1:12">
      <c r="A25" s="11" t="s">
        <v>172</v>
      </c>
      <c r="B25" s="50">
        <f>'Drivers and Inputs'!B19</f>
        <v>668894</v>
      </c>
    </row>
    <row r="26" spans="1:12">
      <c r="A26" s="11" t="s">
        <v>455</v>
      </c>
      <c r="B26" s="77">
        <f>B24/B25</f>
        <v>8.6003822897946662</v>
      </c>
    </row>
    <row r="27" spans="1:12">
      <c r="A27" s="11" t="s">
        <v>456</v>
      </c>
      <c r="B27" s="77">
        <v>2.75</v>
      </c>
    </row>
    <row r="28" spans="1:12">
      <c r="A28" s="11" t="s">
        <v>457</v>
      </c>
      <c r="B28" s="155">
        <f>(B26-B27)/B27</f>
        <v>2.127411741743515</v>
      </c>
    </row>
    <row r="31" spans="1:12">
      <c r="A31" s="294" t="s">
        <v>432</v>
      </c>
      <c r="B31" s="294"/>
      <c r="C31" s="294"/>
      <c r="D31" s="294"/>
      <c r="E31" s="126"/>
      <c r="F31" s="126"/>
      <c r="G31" s="126"/>
      <c r="H31" s="126"/>
      <c r="I31" s="126"/>
      <c r="J31" s="126"/>
      <c r="K31" s="126"/>
      <c r="L31" s="126"/>
    </row>
    <row r="32" spans="1:12" ht="2.1" customHeight="1"/>
    <row r="33" spans="1:13">
      <c r="A33" s="295" t="s">
        <v>458</v>
      </c>
      <c r="B33" s="296"/>
    </row>
    <row r="34" spans="1:13">
      <c r="A34" s="167" t="s">
        <v>315</v>
      </c>
      <c r="B34" s="168" t="s">
        <v>69</v>
      </c>
    </row>
    <row r="35" spans="1:13">
      <c r="A35" s="24" t="s">
        <v>459</v>
      </c>
      <c r="B35" s="169">
        <f>'Drivers and Inputs'!B20</f>
        <v>1839458.5</v>
      </c>
      <c r="M35" s="82"/>
    </row>
    <row r="36" spans="1:13">
      <c r="A36" s="24" t="s">
        <v>460</v>
      </c>
      <c r="B36" s="23">
        <v>0.05</v>
      </c>
    </row>
    <row r="37" spans="1:13">
      <c r="A37" s="170" t="s">
        <v>417</v>
      </c>
      <c r="B37" s="171">
        <v>0.1</v>
      </c>
    </row>
    <row r="38" spans="1:13">
      <c r="B38" s="3"/>
    </row>
    <row r="39" spans="1:13">
      <c r="A39" s="48" t="s">
        <v>461</v>
      </c>
      <c r="B39" s="113" t="s">
        <v>356</v>
      </c>
      <c r="C39" s="113" t="s">
        <v>357</v>
      </c>
      <c r="D39" s="113" t="s">
        <v>358</v>
      </c>
      <c r="E39" s="113" t="s">
        <v>359</v>
      </c>
      <c r="F39" s="113" t="s">
        <v>360</v>
      </c>
      <c r="G39" s="113" t="s">
        <v>361</v>
      </c>
      <c r="H39" s="113" t="s">
        <v>362</v>
      </c>
      <c r="I39" s="113" t="s">
        <v>363</v>
      </c>
      <c r="J39" s="113" t="s">
        <v>364</v>
      </c>
      <c r="K39" s="113" t="s">
        <v>365</v>
      </c>
    </row>
    <row r="40" spans="1:13">
      <c r="A40" s="49" t="s">
        <v>462</v>
      </c>
      <c r="B40" s="50">
        <f>'Forecast FCF'!B23</f>
        <v>75922.10026483977</v>
      </c>
      <c r="C40" s="50">
        <f>'Forecast FCF'!C23</f>
        <v>108635.91368801429</v>
      </c>
      <c r="D40" s="50">
        <f>'Forecast FCF'!D23</f>
        <v>116391.22878708829</v>
      </c>
      <c r="E40" s="50">
        <f>'Forecast FCF'!E23</f>
        <v>144529.3539956726</v>
      </c>
      <c r="F40" s="50">
        <f>'Forecast FCF'!F23</f>
        <v>155666.68593127502</v>
      </c>
      <c r="G40" s="50">
        <f>'Forecast FCF'!G23</f>
        <v>187153.72468578629</v>
      </c>
      <c r="H40" s="50">
        <f>'Forecast FCF'!H23</f>
        <v>196282.53473237209</v>
      </c>
      <c r="I40" s="50">
        <f>'Forecast FCF'!I23</f>
        <v>235709.94235215712</v>
      </c>
      <c r="J40" s="50">
        <f>'Forecast FCF'!J23</f>
        <v>252021.18298784364</v>
      </c>
      <c r="K40" s="50">
        <f>'Forecast FCF'!K23</f>
        <v>265244.7078474054</v>
      </c>
    </row>
    <row r="41" spans="1:13">
      <c r="A41" s="49" t="s">
        <v>463</v>
      </c>
      <c r="B41" s="155">
        <f>(B40-'Past FCF'!G25)/'Past FCF'!G25</f>
        <v>-3.7970122408207989</v>
      </c>
      <c r="C41" s="155">
        <f>(C40-B40)/B40</f>
        <v>0.4308865706962613</v>
      </c>
      <c r="D41" s="155">
        <f>(D40-C40)/C40</f>
        <v>7.1388133406288398E-2</v>
      </c>
      <c r="E41" s="155">
        <f t="shared" ref="E41:J41" si="3">(E40-D40)/D40</f>
        <v>0.24175468806207656</v>
      </c>
      <c r="F41" s="155">
        <f t="shared" si="3"/>
        <v>7.7059307522649556E-2</v>
      </c>
      <c r="G41" s="155">
        <f>(G40-F40)/F40</f>
        <v>0.20227217253415691</v>
      </c>
      <c r="H41" s="155">
        <f t="shared" si="3"/>
        <v>4.8777068486946892E-2</v>
      </c>
      <c r="I41" s="155">
        <f t="shared" si="3"/>
        <v>0.20087068711204298</v>
      </c>
      <c r="J41" s="155">
        <f t="shared" si="3"/>
        <v>6.9200477811483585E-2</v>
      </c>
      <c r="K41" s="155">
        <f>(K40-J40)/J40</f>
        <v>5.2469894406453929E-2</v>
      </c>
    </row>
    <row r="42" spans="1:13">
      <c r="A42" s="49" t="s">
        <v>464</v>
      </c>
      <c r="B42" s="25">
        <f>B40/B35</f>
        <v>4.1274157728940213E-2</v>
      </c>
      <c r="C42" s="25">
        <f>C40/B43</f>
        <v>5.905863801113985E-2</v>
      </c>
      <c r="D42" s="25">
        <f>D40/C43</f>
        <v>5.3569406670314422E-2</v>
      </c>
      <c r="E42" s="25">
        <f t="shared" ref="E42:K42" si="4">E40/D43</f>
        <v>6.2087734403103834E-2</v>
      </c>
      <c r="F42" s="25">
        <f>F40/E43</f>
        <v>5.3852965376132482E-2</v>
      </c>
      <c r="G42" s="25">
        <f t="shared" si="4"/>
        <v>6.0113608626707844E-2</v>
      </c>
      <c r="H42" s="25">
        <f>H40/G43</f>
        <v>5.2438853424347343E-2</v>
      </c>
      <c r="I42" s="25">
        <f t="shared" si="4"/>
        <v>6.0043534355602154E-2</v>
      </c>
      <c r="J42" s="25">
        <f t="shared" si="4"/>
        <v>5.3460023890574186E-2</v>
      </c>
      <c r="K42" s="25">
        <f t="shared" si="4"/>
        <v>5.2623494720322697E-2</v>
      </c>
    </row>
    <row r="43" spans="1:13">
      <c r="A43" s="49" t="s">
        <v>465</v>
      </c>
      <c r="B43" s="50">
        <f>IF((B40/B36)&lt;B35,B35,B40/B36)</f>
        <v>1839458.5</v>
      </c>
      <c r="C43" s="50">
        <f>IF((C40/$B$36)&lt;B43,B43,C40/$B$36)</f>
        <v>2172718.2737602857</v>
      </c>
      <c r="D43" s="50">
        <f t="shared" ref="D43:K43" si="5">IF((D40/$B$36)&lt;C43,C43,D40/$B$36)</f>
        <v>2327824.5757417656</v>
      </c>
      <c r="E43" s="50">
        <f t="shared" si="5"/>
        <v>2890587.0799134518</v>
      </c>
      <c r="F43" s="50">
        <f t="shared" si="5"/>
        <v>3113333.7186255003</v>
      </c>
      <c r="G43" s="50">
        <f t="shared" si="5"/>
        <v>3743074.4937157258</v>
      </c>
      <c r="H43" s="50">
        <f t="shared" si="5"/>
        <v>3925650.6946474416</v>
      </c>
      <c r="I43" s="50">
        <f t="shared" si="5"/>
        <v>4714198.8470431417</v>
      </c>
      <c r="J43" s="50">
        <f t="shared" si="5"/>
        <v>5040423.6597568728</v>
      </c>
      <c r="K43" s="50">
        <f t="shared" si="5"/>
        <v>5304894.1569481073</v>
      </c>
    </row>
    <row r="44" spans="1:13">
      <c r="A44" s="49" t="s">
        <v>466</v>
      </c>
      <c r="B44" s="155">
        <f>(B43-B35)/B35</f>
        <v>0</v>
      </c>
      <c r="C44" s="155">
        <f>(C43-B43)/B43</f>
        <v>0.18117276022279694</v>
      </c>
      <c r="D44" s="155">
        <f>(D43-C43)/C43</f>
        <v>7.138813340628837E-2</v>
      </c>
      <c r="E44" s="155">
        <f t="shared" ref="E44:J44" si="6">(E43-D43)/D43</f>
        <v>0.24175468806207656</v>
      </c>
      <c r="F44" s="155">
        <f t="shared" si="6"/>
        <v>7.7059307522649639E-2</v>
      </c>
      <c r="G44" s="155">
        <f t="shared" si="6"/>
        <v>0.20227217253415691</v>
      </c>
      <c r="H44" s="155">
        <f t="shared" si="6"/>
        <v>4.877706848694683E-2</v>
      </c>
      <c r="I44" s="155">
        <f t="shared" si="6"/>
        <v>0.20087068711204289</v>
      </c>
      <c r="J44" s="155">
        <f t="shared" si="6"/>
        <v>6.9200477811483724E-2</v>
      </c>
      <c r="K44" s="155">
        <f>(K43-J43)/J43</f>
        <v>5.246989440645379E-2</v>
      </c>
    </row>
    <row r="45" spans="1:13">
      <c r="A45" s="173"/>
      <c r="B45" s="177"/>
      <c r="C45" s="177"/>
      <c r="D45" s="177"/>
      <c r="E45" s="177"/>
      <c r="F45" s="177"/>
      <c r="G45" s="177"/>
      <c r="H45" s="177"/>
      <c r="I45" s="177"/>
      <c r="J45" s="177"/>
      <c r="K45" s="177"/>
    </row>
    <row r="46" spans="1:13">
      <c r="A46" s="48" t="s">
        <v>412</v>
      </c>
      <c r="B46" s="113" t="s">
        <v>69</v>
      </c>
      <c r="C46" s="96"/>
      <c r="D46" s="301" t="s">
        <v>467</v>
      </c>
      <c r="E46" s="301"/>
      <c r="F46" s="301"/>
      <c r="G46" s="301"/>
      <c r="H46" s="301"/>
      <c r="I46" s="301"/>
      <c r="J46" s="301"/>
      <c r="K46" s="96"/>
    </row>
    <row r="47" spans="1:13">
      <c r="A47" s="49" t="s">
        <v>468</v>
      </c>
      <c r="B47" s="116">
        <f>K43</f>
        <v>5304894.1569481073</v>
      </c>
      <c r="D47" s="305" t="s">
        <v>469</v>
      </c>
      <c r="E47" s="126"/>
      <c r="F47" s="308" t="s">
        <v>377</v>
      </c>
      <c r="G47" s="308"/>
      <c r="H47" s="308"/>
      <c r="I47" s="308"/>
      <c r="J47" s="309"/>
    </row>
    <row r="48" spans="1:13">
      <c r="A48" s="49" t="s">
        <v>470</v>
      </c>
      <c r="B48" s="116">
        <f>SUM(B40:K40)</f>
        <v>1737557.3752724545</v>
      </c>
      <c r="D48" s="306"/>
      <c r="E48" s="129" t="str">
        <f>B51</f>
        <v>Investable</v>
      </c>
      <c r="F48" s="130">
        <v>1250000</v>
      </c>
      <c r="G48" s="130">
        <v>1500000</v>
      </c>
      <c r="H48" s="130">
        <v>1839459</v>
      </c>
      <c r="I48" s="130">
        <v>2000000</v>
      </c>
      <c r="J48" s="131">
        <v>2250000</v>
      </c>
    </row>
    <row r="49" spans="1:11">
      <c r="A49" s="49" t="s">
        <v>471</v>
      </c>
      <c r="B49" s="116">
        <f>SUM(B47:B48)</f>
        <v>7042451.532220562</v>
      </c>
      <c r="D49" s="306"/>
      <c r="E49" s="132">
        <v>0.04</v>
      </c>
      <c r="F49" s="133" t="str">
        <f t="dataTable" ref="F49:J53" dt2D="1" dtr="1" r1="B35" r2="B36"/>
        <v>Investable</v>
      </c>
      <c r="G49" s="134" t="str">
        <v>Investable</v>
      </c>
      <c r="H49" s="134" t="str">
        <v>Investable</v>
      </c>
      <c r="I49" s="134" t="str">
        <v>Investable</v>
      </c>
      <c r="J49" s="135" t="str">
        <v>Investable</v>
      </c>
    </row>
    <row r="50" spans="1:11">
      <c r="A50" s="49" t="s">
        <v>472</v>
      </c>
      <c r="B50" s="25">
        <f>POWER(B49/B35, 1/10)-1</f>
        <v>0.14367699993027938</v>
      </c>
      <c r="D50" s="306"/>
      <c r="E50" s="132">
        <v>0.05</v>
      </c>
      <c r="F50" s="134" t="str">
        <v>Investable</v>
      </c>
      <c r="G50" s="134" t="str">
        <v>Investable</v>
      </c>
      <c r="H50" s="134" t="str">
        <v>Investable</v>
      </c>
      <c r="I50" s="134" t="str">
        <v>Investable</v>
      </c>
      <c r="J50" s="135" t="str">
        <v>Investable</v>
      </c>
    </row>
    <row r="51" spans="1:11">
      <c r="A51" s="49" t="s">
        <v>473</v>
      </c>
      <c r="B51" s="174" t="str">
        <f>IF(B50&gt;B37,"Investable", "Not Worth It")</f>
        <v>Investable</v>
      </c>
      <c r="D51" s="306"/>
      <c r="E51" s="132">
        <v>0.06</v>
      </c>
      <c r="F51" s="134" t="str">
        <v>Investable</v>
      </c>
      <c r="G51" s="134" t="str">
        <v>Investable</v>
      </c>
      <c r="H51" s="134" t="str">
        <v>Investable</v>
      </c>
      <c r="I51" s="134" t="str">
        <v>Investable</v>
      </c>
      <c r="J51" s="135" t="str">
        <v>Investable</v>
      </c>
    </row>
    <row r="52" spans="1:11">
      <c r="D52" s="306"/>
      <c r="E52" s="132">
        <v>7.0000000000000007E-2</v>
      </c>
      <c r="F52" s="134" t="str">
        <v>Investable</v>
      </c>
      <c r="G52" s="134" t="str">
        <v>Investable</v>
      </c>
      <c r="H52" s="134" t="str">
        <v>Investable</v>
      </c>
      <c r="I52" s="134" t="str">
        <v>Investable</v>
      </c>
      <c r="J52" s="135" t="str">
        <v>Not Worth It</v>
      </c>
    </row>
    <row r="53" spans="1:11">
      <c r="D53" s="307"/>
      <c r="E53" s="136">
        <v>0.08</v>
      </c>
      <c r="F53" s="137" t="str">
        <v>Investable</v>
      </c>
      <c r="G53" s="137" t="str">
        <v>Investable</v>
      </c>
      <c r="H53" s="137" t="str">
        <v>Investable</v>
      </c>
      <c r="I53" s="137" t="str">
        <v>Not Worth It</v>
      </c>
      <c r="J53" s="138" t="str">
        <v>Not Worth It</v>
      </c>
    </row>
    <row r="54" spans="1:11">
      <c r="A54" s="49"/>
      <c r="B54" s="128"/>
    </row>
    <row r="55" spans="1:11">
      <c r="A55" s="49"/>
      <c r="B55" s="3"/>
      <c r="D55" s="302" t="s">
        <v>474</v>
      </c>
      <c r="E55" s="303"/>
      <c r="F55" s="303"/>
      <c r="G55" s="303"/>
      <c r="H55" s="303"/>
      <c r="I55" s="303"/>
      <c r="J55" s="304"/>
    </row>
    <row r="56" spans="1:11">
      <c r="A56" s="49"/>
      <c r="B56" s="3"/>
      <c r="D56" s="305" t="s">
        <v>469</v>
      </c>
      <c r="E56" s="126"/>
      <c r="F56" s="308" t="s">
        <v>377</v>
      </c>
      <c r="G56" s="308"/>
      <c r="H56" s="308"/>
      <c r="I56" s="308"/>
      <c r="J56" s="309"/>
    </row>
    <row r="57" spans="1:11">
      <c r="A57" s="49"/>
      <c r="B57" s="116"/>
      <c r="D57" s="306"/>
      <c r="E57" s="129">
        <f>B50</f>
        <v>0.14367699993027938</v>
      </c>
      <c r="F57" s="130">
        <v>1250000</v>
      </c>
      <c r="G57" s="130">
        <v>1500000</v>
      </c>
      <c r="H57" s="130">
        <v>1839459</v>
      </c>
      <c r="I57" s="130">
        <v>2000000</v>
      </c>
      <c r="J57" s="131">
        <v>2250000</v>
      </c>
    </row>
    <row r="58" spans="1:11">
      <c r="A58" s="49"/>
      <c r="B58" s="116"/>
      <c r="D58" s="306"/>
      <c r="E58" s="132">
        <v>0.04</v>
      </c>
      <c r="F58" s="143">
        <f t="dataTable" ref="F58:J62" dt2D="1" dtr="1" r1="B35" r2="B36" ca="1"/>
        <v>0.20941310236710953</v>
      </c>
      <c r="G58" s="144">
        <v>0.18756268974040413</v>
      </c>
      <c r="H58" s="144">
        <v>0.16358110259199332</v>
      </c>
      <c r="I58" s="144">
        <v>0.15388538067569701</v>
      </c>
      <c r="J58" s="186">
        <v>0.14037429342303276</v>
      </c>
    </row>
    <row r="59" spans="1:11">
      <c r="A59" s="49"/>
      <c r="B59" s="128"/>
      <c r="D59" s="306"/>
      <c r="E59" s="132">
        <v>0.05</v>
      </c>
      <c r="F59" s="145">
        <v>0.1887249697618878</v>
      </c>
      <c r="G59" s="139">
        <v>0.16724832870505812</v>
      </c>
      <c r="H59" s="139">
        <v>0.14367696884295578</v>
      </c>
      <c r="I59" s="139">
        <v>0.13414710124088436</v>
      </c>
      <c r="J59" s="140">
        <v>0.12086713366451352</v>
      </c>
      <c r="K59" s="50"/>
    </row>
    <row r="60" spans="1:11">
      <c r="D60" s="306"/>
      <c r="E60" s="132">
        <v>0.06</v>
      </c>
      <c r="F60" s="145">
        <v>0.17288410445139202</v>
      </c>
      <c r="G60" s="139">
        <v>0.15169365960222758</v>
      </c>
      <c r="H60" s="139">
        <v>0.12843641002320938</v>
      </c>
      <c r="I60" s="139">
        <v>0.11903353676629869</v>
      </c>
      <c r="J60" s="140">
        <v>0.10593053710349576</v>
      </c>
    </row>
    <row r="61" spans="1:11">
      <c r="C61" s="3"/>
      <c r="D61" s="306"/>
      <c r="E61" s="132">
        <v>7.0000000000000007E-2</v>
      </c>
      <c r="F61" s="145">
        <v>0.16026213172519843</v>
      </c>
      <c r="G61" s="139">
        <v>0.13929972749481911</v>
      </c>
      <c r="H61" s="139">
        <v>0.11629276041921122</v>
      </c>
      <c r="I61" s="139">
        <v>0.10699107602601376</v>
      </c>
      <c r="J61" s="140">
        <v>9.4029084075522462E-2</v>
      </c>
      <c r="K61" s="75"/>
    </row>
    <row r="62" spans="1:11">
      <c r="C62" s="5"/>
      <c r="D62" s="307"/>
      <c r="E62" s="136">
        <v>0.08</v>
      </c>
      <c r="F62" s="158">
        <v>0.14991285076431637</v>
      </c>
      <c r="G62" s="141">
        <v>0.12913742653187343</v>
      </c>
      <c r="H62" s="141">
        <v>0.10633567650145981</v>
      </c>
      <c r="I62" s="141">
        <v>9.7116961070673913E-2</v>
      </c>
      <c r="J62" s="142">
        <v>8.4270587214439363E-2</v>
      </c>
      <c r="K62" s="50"/>
    </row>
    <row r="63" spans="1:11">
      <c r="C63" s="4"/>
      <c r="K63" s="50"/>
    </row>
    <row r="64" spans="1:11">
      <c r="C64" s="72"/>
      <c r="K64" s="72"/>
    </row>
  </sheetData>
  <mergeCells count="13">
    <mergeCell ref="D55:J55"/>
    <mergeCell ref="D56:D62"/>
    <mergeCell ref="F56:J56"/>
    <mergeCell ref="A33:B33"/>
    <mergeCell ref="D46:J46"/>
    <mergeCell ref="F47:J47"/>
    <mergeCell ref="D47:D53"/>
    <mergeCell ref="A31:D31"/>
    <mergeCell ref="A1:D1"/>
    <mergeCell ref="A3:B3"/>
    <mergeCell ref="F19:I19"/>
    <mergeCell ref="D19:D24"/>
    <mergeCell ref="D18:I18"/>
  </mergeCells>
  <phoneticPr fontId="2" type="noConversion"/>
  <conditionalFormatting sqref="B51">
    <cfRule type="cellIs" dxfId="7" priority="9" operator="greaterThan">
      <formula>$B$37</formula>
    </cfRule>
  </conditionalFormatting>
  <conditionalFormatting sqref="F21:I24">
    <cfRule type="colorScale" priority="10">
      <colorScale>
        <cfvo type="min"/>
        <cfvo type="percentile" val="50"/>
        <cfvo type="max"/>
        <color rgb="FF63BE7B"/>
        <color rgb="FFFFEB84"/>
        <color rgb="FFF8696B"/>
      </colorScale>
    </cfRule>
  </conditionalFormatting>
  <conditionalFormatting sqref="F49:J53">
    <cfRule type="containsText" dxfId="6" priority="6" operator="containsText" text="Not Worth It">
      <formula>NOT(ISERROR(SEARCH("Not Worth It",F49)))</formula>
    </cfRule>
    <cfRule type="containsText" dxfId="5" priority="7" operator="containsText" text="Investable">
      <formula>NOT(ISERROR(SEARCH("Investable",F49)))</formula>
    </cfRule>
  </conditionalFormatting>
  <conditionalFormatting sqref="F58:J62">
    <cfRule type="cellIs" dxfId="4" priority="1" operator="greaterThan">
      <formula>0.1</formula>
    </cfRule>
    <cfRule type="cellIs" dxfId="3" priority="2" operator="lessThan">
      <formula>0.15</formula>
    </cfRule>
    <cfRule type="cellIs" dxfId="2" priority="3" operator="greaterThan">
      <formula>0.15</formula>
    </cfRule>
    <cfRule type="containsText" dxfId="1" priority="4" operator="containsText" text="Not Worth It">
      <formula>NOT(ISERROR(SEARCH("Not Worth It",F58)))</formula>
    </cfRule>
    <cfRule type="containsText" dxfId="0" priority="5" operator="containsText" text="Investable">
      <formula>NOT(ISERROR(SEARCH("Investable",F58)))</formula>
    </cfRule>
  </conditionalFormatting>
  <pageMargins left="0.25" right="0.25" top="0.75" bottom="0.75" header="0.3" footer="0.3"/>
  <pageSetup paperSize="3" orientation="landscape" r:id="rId1"/>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AE615DF20CAC4C9C3E8430ECA0C76D" ma:contentTypeVersion="10" ma:contentTypeDescription="Create a new document." ma:contentTypeScope="" ma:versionID="882d302da937b77aa9f1428bf5c0c3b7">
  <xsd:schema xmlns:xsd="http://www.w3.org/2001/XMLSchema" xmlns:xs="http://www.w3.org/2001/XMLSchema" xmlns:p="http://schemas.microsoft.com/office/2006/metadata/properties" xmlns:ns3="bd8ce62a-54b8-466f-a594-b0872f19bf9a" targetNamespace="http://schemas.microsoft.com/office/2006/metadata/properties" ma:root="true" ma:fieldsID="182307a654c6e4b54e667e2fb020179a" ns3:_="">
    <xsd:import namespace="bd8ce62a-54b8-466f-a594-b0872f19bf9a"/>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8ce62a-54b8-466f-a594-b0872f19bf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bd8ce62a-54b8-466f-a594-b0872f19bf9a" xsi:nil="true"/>
  </documentManagement>
</p:properties>
</file>

<file path=customXml/itemProps1.xml><?xml version="1.0" encoding="utf-8"?>
<ds:datastoreItem xmlns:ds="http://schemas.openxmlformats.org/officeDocument/2006/customXml" ds:itemID="{7A4133E6-1F6B-4BD4-BF52-FB6E7DB3485E}">
  <ds:schemaRefs>
    <ds:schemaRef ds:uri="http://schemas.microsoft.com/sharepoint/v3/contenttype/forms"/>
  </ds:schemaRefs>
</ds:datastoreItem>
</file>

<file path=customXml/itemProps2.xml><?xml version="1.0" encoding="utf-8"?>
<ds:datastoreItem xmlns:ds="http://schemas.openxmlformats.org/officeDocument/2006/customXml" ds:itemID="{486A1D42-CCB2-44ED-87ED-C83F107B60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8ce62a-54b8-466f-a594-b0872f19bf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DB097F-8E01-49AE-A009-03C789BB2EF6}">
  <ds:schemaRefs>
    <ds:schemaRef ds:uri="http://schemas.microsoft.com/DataMashup"/>
  </ds:schemaRefs>
</ds:datastoreItem>
</file>

<file path=customXml/itemProps4.xml><?xml version="1.0" encoding="utf-8"?>
<ds:datastoreItem xmlns:ds="http://schemas.openxmlformats.org/officeDocument/2006/customXml" ds:itemID="{977B4DC4-B7BA-47C5-921C-6C91EB550BBA}">
  <ds:schemaRefs>
    <ds:schemaRef ds:uri="http://schemas.microsoft.com/office/2006/metadata/properties"/>
    <ds:schemaRef ds:uri="bd8ce62a-54b8-466f-a594-b0872f19bf9a"/>
    <ds:schemaRef ds:uri="http://purl.org/dc/elements/1.1/"/>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The Story</vt:lpstr>
      <vt:lpstr>The Investing Standard</vt:lpstr>
      <vt:lpstr>Industry Overview</vt:lpstr>
      <vt:lpstr>Risk Evaluation</vt:lpstr>
      <vt:lpstr>Financial Statements</vt:lpstr>
      <vt:lpstr>Assumptions</vt:lpstr>
      <vt:lpstr>Past FCF</vt:lpstr>
      <vt:lpstr>Drivers and Inputs</vt:lpstr>
      <vt:lpstr>Forecast FCF</vt:lpstr>
      <vt:lpstr>Valuations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AHMAD ZARRUQ BIN MOHD. AZLAN</dc:creator>
  <cp:keywords/>
  <dc:description/>
  <cp:lastModifiedBy>AHMAD ZARRUQ BIN MOHD. AZLAN</cp:lastModifiedBy>
  <cp:revision/>
  <cp:lastPrinted>2025-09-16T06:51:10Z</cp:lastPrinted>
  <dcterms:created xsi:type="dcterms:W3CDTF">2024-09-28T16:11:51Z</dcterms:created>
  <dcterms:modified xsi:type="dcterms:W3CDTF">2025-10-09T09:56:25Z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0x01010086AE615DF20CAC4C9C3E8430ECA0C76D</vt:lpwstr>
  </property>
</Properties>
</file>