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ober" sheetId="1" r:id="rId4"/>
    <sheet state="visible" name="November" sheetId="2" r:id="rId5"/>
    <sheet state="visible" name="December" sheetId="3" r:id="rId6"/>
    <sheet state="visible" name="January" sheetId="4" r:id="rId7"/>
    <sheet state="visible" name="February" sheetId="5" r:id="rId8"/>
    <sheet state="visible" name="March" sheetId="6" r:id="rId9"/>
    <sheet state="visible" name="April" sheetId="7" r:id="rId10"/>
  </sheets>
  <definedNames/>
  <calcPr/>
  <extLst>
    <ext uri="GoogleSheetsCustomDataVersion1">
      <go:sheetsCustomData xmlns:go="http://customooxmlschemas.google.com/" r:id="rId11" roundtripDataSignature="AMtx7mhoqSbxIg0LPzLxZSMEuBxRLj1FCA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\,\ mmm\ d\,\ yyyy"/>
    <numFmt numFmtId="165" formatCode="ddd, mmm d, yyyy"/>
  </numFmts>
  <fonts count="4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Inconsolata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  <xf borderId="0" fillId="0" fontId="2" numFmtId="0" xfId="0" applyFont="1"/>
    <xf borderId="0" fillId="0" fontId="3" numFmtId="0" xfId="0" applyFont="1"/>
    <xf borderId="0" fillId="0" fontId="1" numFmtId="165" xfId="0" applyFont="1" applyNumberForma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4.43"/>
    <col customWidth="1" min="3" max="3" width="21.57"/>
    <col customWidth="1" min="4" max="4" width="14.43"/>
    <col customWidth="1" min="5" max="5" width="21.57"/>
    <col customWidth="1" min="6" max="6" width="14.43"/>
  </cols>
  <sheetData>
    <row r="1" ht="15.75" customHeight="1">
      <c r="A1" s="1" t="str">
        <f>IFERROR(__xludf.DUMMYFUNCTION("IMPORTHTML(""https://www.basketball-reference.com/leagues/NBA_2019_games.html#schedule::none"",""table"",1)"),"Date")</f>
        <v>Date</v>
      </c>
      <c r="B1" s="1" t="str">
        <f>IFERROR(__xludf.DUMMYFUNCTION("""COMPUTED_VALUE"""),"Start (ET)")</f>
        <v>Start (ET)</v>
      </c>
      <c r="C1" s="1" t="str">
        <f>IFERROR(__xludf.DUMMYFUNCTION("""COMPUTED_VALUE"""),"Visitor/Neutral")</f>
        <v>Visitor/Neutral</v>
      </c>
      <c r="D1" s="1" t="str">
        <f>IFERROR(__xludf.DUMMYFUNCTION("""COMPUTED_VALUE"""),"PTS")</f>
        <v>PTS</v>
      </c>
      <c r="E1" s="1" t="str">
        <f>IFERROR(__xludf.DUMMYFUNCTION("""COMPUTED_VALUE"""),"Home/Neutral")</f>
        <v>Home/Neutral</v>
      </c>
      <c r="F1" s="1" t="str">
        <f>IFERROR(__xludf.DUMMYFUNCTION("""COMPUTED_VALUE"""),"PTS")</f>
        <v>PTS</v>
      </c>
      <c r="G1" s="1"/>
      <c r="H1" s="1"/>
      <c r="I1" s="1" t="str">
        <f>IFERROR(__xludf.DUMMYFUNCTION("""COMPUTED_VALUE"""),"Attend.")</f>
        <v>Attend.</v>
      </c>
      <c r="J1" s="1" t="str">
        <f>IFERROR(__xludf.DUMMYFUNCTION("""COMPUTED_VALUE"""),"Notes")</f>
        <v>Notes</v>
      </c>
    </row>
    <row r="2" ht="15.75" customHeight="1">
      <c r="A2" s="2">
        <f>IFERROR(__xludf.DUMMYFUNCTION("""COMPUTED_VALUE"""),43389.0)</f>
        <v>43389</v>
      </c>
      <c r="B2" s="1" t="str">
        <f>IFERROR(__xludf.DUMMYFUNCTION("""COMPUTED_VALUE"""),"8:00p")</f>
        <v>8:00p</v>
      </c>
      <c r="C2" s="1" t="str">
        <f>IFERROR(__xludf.DUMMYFUNCTION("""COMPUTED_VALUE"""),"Philadelphia 76ers")</f>
        <v>Philadelphia 76ers</v>
      </c>
      <c r="D2" s="1">
        <f>IFERROR(__xludf.DUMMYFUNCTION("""COMPUTED_VALUE"""),87.0)</f>
        <v>87</v>
      </c>
      <c r="E2" s="1" t="str">
        <f>IFERROR(__xludf.DUMMYFUNCTION("""COMPUTED_VALUE"""),"Boston Celtics")</f>
        <v>Boston Celtics</v>
      </c>
      <c r="F2" s="1">
        <f>IFERROR(__xludf.DUMMYFUNCTION("""COMPUTED_VALUE"""),105.0)</f>
        <v>105</v>
      </c>
      <c r="G2" s="1" t="str">
        <f>IFERROR(__xludf.DUMMYFUNCTION("""COMPUTED_VALUE"""),"Box Score")</f>
        <v>Box Score</v>
      </c>
      <c r="H2" s="1"/>
      <c r="I2" s="3">
        <f>IFERROR(__xludf.DUMMYFUNCTION("""COMPUTED_VALUE"""),18624.0)</f>
        <v>18624</v>
      </c>
      <c r="J2" s="1"/>
    </row>
    <row r="3" ht="15.75" customHeight="1">
      <c r="A3" s="2">
        <f>IFERROR(__xludf.DUMMYFUNCTION("""COMPUTED_VALUE"""),43389.0)</f>
        <v>43389</v>
      </c>
      <c r="B3" s="1" t="str">
        <f>IFERROR(__xludf.DUMMYFUNCTION("""COMPUTED_VALUE"""),"10:30p")</f>
        <v>10:30p</v>
      </c>
      <c r="C3" s="1" t="str">
        <f>IFERROR(__xludf.DUMMYFUNCTION("""COMPUTED_VALUE"""),"Oklahoma City Thunder")</f>
        <v>Oklahoma City Thunder</v>
      </c>
      <c r="D3" s="1">
        <f>IFERROR(__xludf.DUMMYFUNCTION("""COMPUTED_VALUE"""),100.0)</f>
        <v>100</v>
      </c>
      <c r="E3" s="1" t="str">
        <f>IFERROR(__xludf.DUMMYFUNCTION("""COMPUTED_VALUE"""),"Golden State Warriors")</f>
        <v>Golden State Warriors</v>
      </c>
      <c r="F3" s="1">
        <f>IFERROR(__xludf.DUMMYFUNCTION("""COMPUTED_VALUE"""),108.0)</f>
        <v>108</v>
      </c>
      <c r="G3" s="1" t="str">
        <f>IFERROR(__xludf.DUMMYFUNCTION("""COMPUTED_VALUE"""),"Box Score")</f>
        <v>Box Score</v>
      </c>
      <c r="H3" s="1"/>
      <c r="I3" s="3">
        <f>IFERROR(__xludf.DUMMYFUNCTION("""COMPUTED_VALUE"""),19596.0)</f>
        <v>19596</v>
      </c>
      <c r="J3" s="1"/>
    </row>
    <row r="4" ht="15.75" customHeight="1">
      <c r="A4" s="2">
        <f>IFERROR(__xludf.DUMMYFUNCTION("""COMPUTED_VALUE"""),43390.0)</f>
        <v>43390</v>
      </c>
      <c r="B4" s="1" t="str">
        <f>IFERROR(__xludf.DUMMYFUNCTION("""COMPUTED_VALUE"""),"7:00p")</f>
        <v>7:00p</v>
      </c>
      <c r="C4" s="1" t="str">
        <f>IFERROR(__xludf.DUMMYFUNCTION("""COMPUTED_VALUE"""),"Milwaukee Bucks")</f>
        <v>Milwaukee Bucks</v>
      </c>
      <c r="D4" s="1">
        <f>IFERROR(__xludf.DUMMYFUNCTION("""COMPUTED_VALUE"""),113.0)</f>
        <v>113</v>
      </c>
      <c r="E4" s="1" t="str">
        <f>IFERROR(__xludf.DUMMYFUNCTION("""COMPUTED_VALUE"""),"Charlotte Hornets")</f>
        <v>Charlotte Hornets</v>
      </c>
      <c r="F4" s="1">
        <f>IFERROR(__xludf.DUMMYFUNCTION("""COMPUTED_VALUE"""),112.0)</f>
        <v>112</v>
      </c>
      <c r="G4" s="1" t="str">
        <f>IFERROR(__xludf.DUMMYFUNCTION("""COMPUTED_VALUE"""),"Box Score")</f>
        <v>Box Score</v>
      </c>
      <c r="H4" s="1"/>
      <c r="I4" s="3">
        <f>IFERROR(__xludf.DUMMYFUNCTION("""COMPUTED_VALUE"""),17889.0)</f>
        <v>17889</v>
      </c>
      <c r="J4" s="1"/>
    </row>
    <row r="5" ht="15.75" customHeight="1">
      <c r="A5" s="2">
        <f>IFERROR(__xludf.DUMMYFUNCTION("""COMPUTED_VALUE"""),43390.0)</f>
        <v>43390</v>
      </c>
      <c r="B5" s="1" t="str">
        <f>IFERROR(__xludf.DUMMYFUNCTION("""COMPUTED_VALUE"""),"7:00p")</f>
        <v>7:00p</v>
      </c>
      <c r="C5" s="1" t="str">
        <f>IFERROR(__xludf.DUMMYFUNCTION("""COMPUTED_VALUE"""),"Brooklyn Nets")</f>
        <v>Brooklyn Nets</v>
      </c>
      <c r="D5" s="1">
        <f>IFERROR(__xludf.DUMMYFUNCTION("""COMPUTED_VALUE"""),100.0)</f>
        <v>100</v>
      </c>
      <c r="E5" s="1" t="str">
        <f>IFERROR(__xludf.DUMMYFUNCTION("""COMPUTED_VALUE"""),"Detroit Pistons")</f>
        <v>Detroit Pistons</v>
      </c>
      <c r="F5" s="1">
        <f>IFERROR(__xludf.DUMMYFUNCTION("""COMPUTED_VALUE"""),103.0)</f>
        <v>103</v>
      </c>
      <c r="G5" s="1" t="str">
        <f>IFERROR(__xludf.DUMMYFUNCTION("""COMPUTED_VALUE"""),"Box Score")</f>
        <v>Box Score</v>
      </c>
      <c r="H5" s="1"/>
      <c r="I5" s="3">
        <f>IFERROR(__xludf.DUMMYFUNCTION("""COMPUTED_VALUE"""),20332.0)</f>
        <v>20332</v>
      </c>
      <c r="J5" s="1"/>
    </row>
    <row r="6" ht="15.75" customHeight="1">
      <c r="A6" s="2">
        <f>IFERROR(__xludf.DUMMYFUNCTION("""COMPUTED_VALUE"""),43390.0)</f>
        <v>43390</v>
      </c>
      <c r="B6" s="1" t="str">
        <f>IFERROR(__xludf.DUMMYFUNCTION("""COMPUTED_VALUE"""),"7:00p")</f>
        <v>7:00p</v>
      </c>
      <c r="C6" s="1" t="str">
        <f>IFERROR(__xludf.DUMMYFUNCTION("""COMPUTED_VALUE"""),"Memphis Grizzlies")</f>
        <v>Memphis Grizzlies</v>
      </c>
      <c r="D6" s="1">
        <f>IFERROR(__xludf.DUMMYFUNCTION("""COMPUTED_VALUE"""),83.0)</f>
        <v>83</v>
      </c>
      <c r="E6" s="1" t="str">
        <f>IFERROR(__xludf.DUMMYFUNCTION("""COMPUTED_VALUE"""),"Indiana Pacers")</f>
        <v>Indiana Pacers</v>
      </c>
      <c r="F6" s="1">
        <f>IFERROR(__xludf.DUMMYFUNCTION("""COMPUTED_VALUE"""),111.0)</f>
        <v>111</v>
      </c>
      <c r="G6" s="1" t="str">
        <f>IFERROR(__xludf.DUMMYFUNCTION("""COMPUTED_VALUE"""),"Box Score")</f>
        <v>Box Score</v>
      </c>
      <c r="H6" s="1"/>
      <c r="I6" s="3">
        <f>IFERROR(__xludf.DUMMYFUNCTION("""COMPUTED_VALUE"""),17923.0)</f>
        <v>17923</v>
      </c>
      <c r="J6" s="1"/>
    </row>
    <row r="7" ht="15.75" customHeight="1">
      <c r="A7" s="2">
        <f>IFERROR(__xludf.DUMMYFUNCTION("""COMPUTED_VALUE"""),43390.0)</f>
        <v>43390</v>
      </c>
      <c r="B7" s="1" t="str">
        <f>IFERROR(__xludf.DUMMYFUNCTION("""COMPUTED_VALUE"""),"7:00p")</f>
        <v>7:00p</v>
      </c>
      <c r="C7" s="1" t="str">
        <f>IFERROR(__xludf.DUMMYFUNCTION("""COMPUTED_VALUE"""),"Miami Heat")</f>
        <v>Miami Heat</v>
      </c>
      <c r="D7" s="1">
        <f>IFERROR(__xludf.DUMMYFUNCTION("""COMPUTED_VALUE"""),101.0)</f>
        <v>101</v>
      </c>
      <c r="E7" s="1" t="str">
        <f>IFERROR(__xludf.DUMMYFUNCTION("""COMPUTED_VALUE"""),"Orlando Magic")</f>
        <v>Orlando Magic</v>
      </c>
      <c r="F7" s="1">
        <f>IFERROR(__xludf.DUMMYFUNCTION("""COMPUTED_VALUE"""),104.0)</f>
        <v>104</v>
      </c>
      <c r="G7" s="1" t="str">
        <f>IFERROR(__xludf.DUMMYFUNCTION("""COMPUTED_VALUE"""),"Box Score")</f>
        <v>Box Score</v>
      </c>
      <c r="H7" s="1"/>
      <c r="I7" s="3">
        <f>IFERROR(__xludf.DUMMYFUNCTION("""COMPUTED_VALUE"""),19191.0)</f>
        <v>19191</v>
      </c>
      <c r="J7" s="1"/>
    </row>
    <row r="8" ht="15.75" customHeight="1">
      <c r="A8" s="2">
        <f>IFERROR(__xludf.DUMMYFUNCTION("""COMPUTED_VALUE"""),43390.0)</f>
        <v>43390</v>
      </c>
      <c r="B8" s="1" t="str">
        <f>IFERROR(__xludf.DUMMYFUNCTION("""COMPUTED_VALUE"""),"7:30p")</f>
        <v>7:30p</v>
      </c>
      <c r="C8" s="1" t="str">
        <f>IFERROR(__xludf.DUMMYFUNCTION("""COMPUTED_VALUE"""),"Atlanta Hawks")</f>
        <v>Atlanta Hawks</v>
      </c>
      <c r="D8" s="1">
        <f>IFERROR(__xludf.DUMMYFUNCTION("""COMPUTED_VALUE"""),107.0)</f>
        <v>107</v>
      </c>
      <c r="E8" s="1" t="str">
        <f>IFERROR(__xludf.DUMMYFUNCTION("""COMPUTED_VALUE"""),"New York Knicks")</f>
        <v>New York Knicks</v>
      </c>
      <c r="F8" s="1">
        <f>IFERROR(__xludf.DUMMYFUNCTION("""COMPUTED_VALUE"""),126.0)</f>
        <v>126</v>
      </c>
      <c r="G8" s="1" t="str">
        <f>IFERROR(__xludf.DUMMYFUNCTION("""COMPUTED_VALUE"""),"Box Score")</f>
        <v>Box Score</v>
      </c>
      <c r="H8" s="1"/>
      <c r="I8" s="3">
        <f>IFERROR(__xludf.DUMMYFUNCTION("""COMPUTED_VALUE"""),18249.0)</f>
        <v>18249</v>
      </c>
      <c r="J8" s="1"/>
    </row>
    <row r="9" ht="15.75" customHeight="1">
      <c r="A9" s="2">
        <f>IFERROR(__xludf.DUMMYFUNCTION("""COMPUTED_VALUE"""),43390.0)</f>
        <v>43390</v>
      </c>
      <c r="B9" s="1" t="str">
        <f>IFERROR(__xludf.DUMMYFUNCTION("""COMPUTED_VALUE"""),"7:30p")</f>
        <v>7:30p</v>
      </c>
      <c r="C9" s="1" t="str">
        <f>IFERROR(__xludf.DUMMYFUNCTION("""COMPUTED_VALUE"""),"Cleveland Cavaliers")</f>
        <v>Cleveland Cavaliers</v>
      </c>
      <c r="D9" s="1">
        <f>IFERROR(__xludf.DUMMYFUNCTION("""COMPUTED_VALUE"""),104.0)</f>
        <v>104</v>
      </c>
      <c r="E9" s="1" t="str">
        <f>IFERROR(__xludf.DUMMYFUNCTION("""COMPUTED_VALUE"""),"Toronto Raptors")</f>
        <v>Toronto Raptors</v>
      </c>
      <c r="F9" s="1">
        <f>IFERROR(__xludf.DUMMYFUNCTION("""COMPUTED_VALUE"""),116.0)</f>
        <v>116</v>
      </c>
      <c r="G9" s="1" t="str">
        <f>IFERROR(__xludf.DUMMYFUNCTION("""COMPUTED_VALUE"""),"Box Score")</f>
        <v>Box Score</v>
      </c>
      <c r="H9" s="1"/>
      <c r="I9" s="3">
        <f>IFERROR(__xludf.DUMMYFUNCTION("""COMPUTED_VALUE"""),19915.0)</f>
        <v>19915</v>
      </c>
      <c r="J9" s="1"/>
    </row>
    <row r="10" ht="15.75" customHeight="1">
      <c r="A10" s="2">
        <f>IFERROR(__xludf.DUMMYFUNCTION("""COMPUTED_VALUE"""),43390.0)</f>
        <v>43390</v>
      </c>
      <c r="B10" s="1" t="str">
        <f>IFERROR(__xludf.DUMMYFUNCTION("""COMPUTED_VALUE"""),"8:00p")</f>
        <v>8:00p</v>
      </c>
      <c r="C10" s="1" t="str">
        <f>IFERROR(__xludf.DUMMYFUNCTION("""COMPUTED_VALUE"""),"New Orleans Pelicans")</f>
        <v>New Orleans Pelicans</v>
      </c>
      <c r="D10" s="1">
        <f>IFERROR(__xludf.DUMMYFUNCTION("""COMPUTED_VALUE"""),131.0)</f>
        <v>131</v>
      </c>
      <c r="E10" s="1" t="str">
        <f>IFERROR(__xludf.DUMMYFUNCTION("""COMPUTED_VALUE"""),"Houston Rockets")</f>
        <v>Houston Rockets</v>
      </c>
      <c r="F10" s="1">
        <f>IFERROR(__xludf.DUMMYFUNCTION("""COMPUTED_VALUE"""),112.0)</f>
        <v>112</v>
      </c>
      <c r="G10" s="1" t="str">
        <f>IFERROR(__xludf.DUMMYFUNCTION("""COMPUTED_VALUE"""),"Box Score")</f>
        <v>Box Score</v>
      </c>
      <c r="H10" s="1"/>
      <c r="I10" s="3">
        <f>IFERROR(__xludf.DUMMYFUNCTION("""COMPUTED_VALUE"""),18055.0)</f>
        <v>18055</v>
      </c>
      <c r="J10" s="1"/>
    </row>
    <row r="11" ht="15.75" customHeight="1">
      <c r="A11" s="2">
        <f>IFERROR(__xludf.DUMMYFUNCTION("""COMPUTED_VALUE"""),43390.0)</f>
        <v>43390</v>
      </c>
      <c r="B11" s="1" t="str">
        <f>IFERROR(__xludf.DUMMYFUNCTION("""COMPUTED_VALUE"""),"8:30p")</f>
        <v>8:30p</v>
      </c>
      <c r="C11" s="1" t="str">
        <f>IFERROR(__xludf.DUMMYFUNCTION("""COMPUTED_VALUE"""),"Minnesota Timberwolves")</f>
        <v>Minnesota Timberwolves</v>
      </c>
      <c r="D11" s="1">
        <f>IFERROR(__xludf.DUMMYFUNCTION("""COMPUTED_VALUE"""),108.0)</f>
        <v>108</v>
      </c>
      <c r="E11" s="1" t="str">
        <f>IFERROR(__xludf.DUMMYFUNCTION("""COMPUTED_VALUE"""),"San Antonio Spurs")</f>
        <v>San Antonio Spurs</v>
      </c>
      <c r="F11" s="1">
        <f>IFERROR(__xludf.DUMMYFUNCTION("""COMPUTED_VALUE"""),112.0)</f>
        <v>112</v>
      </c>
      <c r="G11" s="1" t="str">
        <f>IFERROR(__xludf.DUMMYFUNCTION("""COMPUTED_VALUE"""),"Box Score")</f>
        <v>Box Score</v>
      </c>
      <c r="H11" s="1"/>
      <c r="I11" s="3">
        <f>IFERROR(__xludf.DUMMYFUNCTION("""COMPUTED_VALUE"""),18354.0)</f>
        <v>18354</v>
      </c>
      <c r="J11" s="1"/>
    </row>
    <row r="12" ht="15.75" customHeight="1">
      <c r="A12" s="2">
        <f>IFERROR(__xludf.DUMMYFUNCTION("""COMPUTED_VALUE"""),43390.0)</f>
        <v>43390</v>
      </c>
      <c r="B12" s="1" t="str">
        <f>IFERROR(__xludf.DUMMYFUNCTION("""COMPUTED_VALUE"""),"10:00p")</f>
        <v>10:00p</v>
      </c>
      <c r="C12" s="1" t="str">
        <f>IFERROR(__xludf.DUMMYFUNCTION("""COMPUTED_VALUE"""),"Utah Jazz")</f>
        <v>Utah Jazz</v>
      </c>
      <c r="D12" s="1">
        <f>IFERROR(__xludf.DUMMYFUNCTION("""COMPUTED_VALUE"""),123.0)</f>
        <v>123</v>
      </c>
      <c r="E12" s="1" t="str">
        <f>IFERROR(__xludf.DUMMYFUNCTION("""COMPUTED_VALUE"""),"Sacramento Kings")</f>
        <v>Sacramento Kings</v>
      </c>
      <c r="F12" s="1">
        <f>IFERROR(__xludf.DUMMYFUNCTION("""COMPUTED_VALUE"""),117.0)</f>
        <v>117</v>
      </c>
      <c r="G12" s="1" t="str">
        <f>IFERROR(__xludf.DUMMYFUNCTION("""COMPUTED_VALUE"""),"Box Score")</f>
        <v>Box Score</v>
      </c>
      <c r="H12" s="1"/>
      <c r="I12" s="3">
        <f>IFERROR(__xludf.DUMMYFUNCTION("""COMPUTED_VALUE"""),17583.0)</f>
        <v>17583</v>
      </c>
      <c r="J12" s="1"/>
    </row>
    <row r="13" ht="15.75" customHeight="1">
      <c r="A13" s="2">
        <f>IFERROR(__xludf.DUMMYFUNCTION("""COMPUTED_VALUE"""),43390.0)</f>
        <v>43390</v>
      </c>
      <c r="B13" s="1" t="str">
        <f>IFERROR(__xludf.DUMMYFUNCTION("""COMPUTED_VALUE"""),"10:30p")</f>
        <v>10:30p</v>
      </c>
      <c r="C13" s="1" t="str">
        <f>IFERROR(__xludf.DUMMYFUNCTION("""COMPUTED_VALUE"""),"Denver Nuggets")</f>
        <v>Denver Nuggets</v>
      </c>
      <c r="D13" s="1">
        <f>IFERROR(__xludf.DUMMYFUNCTION("""COMPUTED_VALUE"""),107.0)</f>
        <v>107</v>
      </c>
      <c r="E13" s="1" t="str">
        <f>IFERROR(__xludf.DUMMYFUNCTION("""COMPUTED_VALUE"""),"Los Angeles Clippers")</f>
        <v>Los Angeles Clippers</v>
      </c>
      <c r="F13" s="1">
        <f>IFERROR(__xludf.DUMMYFUNCTION("""COMPUTED_VALUE"""),98.0)</f>
        <v>98</v>
      </c>
      <c r="G13" s="1" t="str">
        <f>IFERROR(__xludf.DUMMYFUNCTION("""COMPUTED_VALUE"""),"Box Score")</f>
        <v>Box Score</v>
      </c>
      <c r="H13" s="1"/>
      <c r="I13" s="3">
        <f>IFERROR(__xludf.DUMMYFUNCTION("""COMPUTED_VALUE"""),19068.0)</f>
        <v>19068</v>
      </c>
      <c r="J13" s="1"/>
    </row>
    <row r="14" ht="15.75" customHeight="1">
      <c r="A14" s="2">
        <f>IFERROR(__xludf.DUMMYFUNCTION("""COMPUTED_VALUE"""),43390.0)</f>
        <v>43390</v>
      </c>
      <c r="B14" s="1" t="str">
        <f>IFERROR(__xludf.DUMMYFUNCTION("""COMPUTED_VALUE"""),"10:30p")</f>
        <v>10:30p</v>
      </c>
      <c r="C14" s="1" t="str">
        <f>IFERROR(__xludf.DUMMYFUNCTION("""COMPUTED_VALUE"""),"Dallas Mavericks")</f>
        <v>Dallas Mavericks</v>
      </c>
      <c r="D14" s="1">
        <f>IFERROR(__xludf.DUMMYFUNCTION("""COMPUTED_VALUE"""),100.0)</f>
        <v>100</v>
      </c>
      <c r="E14" s="1" t="str">
        <f>IFERROR(__xludf.DUMMYFUNCTION("""COMPUTED_VALUE"""),"Phoenix Suns")</f>
        <v>Phoenix Suns</v>
      </c>
      <c r="F14" s="1">
        <f>IFERROR(__xludf.DUMMYFUNCTION("""COMPUTED_VALUE"""),121.0)</f>
        <v>121</v>
      </c>
      <c r="G14" s="1" t="str">
        <f>IFERROR(__xludf.DUMMYFUNCTION("""COMPUTED_VALUE"""),"Box Score")</f>
        <v>Box Score</v>
      </c>
      <c r="H14" s="1"/>
      <c r="I14" s="3">
        <f>IFERROR(__xludf.DUMMYFUNCTION("""COMPUTED_VALUE"""),18055.0)</f>
        <v>18055</v>
      </c>
      <c r="J14" s="1"/>
    </row>
    <row r="15" ht="15.75" customHeight="1">
      <c r="A15" s="2">
        <f>IFERROR(__xludf.DUMMYFUNCTION("""COMPUTED_VALUE"""),43391.0)</f>
        <v>43391</v>
      </c>
      <c r="B15" s="1" t="str">
        <f>IFERROR(__xludf.DUMMYFUNCTION("""COMPUTED_VALUE"""),"8:00p")</f>
        <v>8:00p</v>
      </c>
      <c r="C15" s="1" t="str">
        <f>IFERROR(__xludf.DUMMYFUNCTION("""COMPUTED_VALUE"""),"Chicago Bulls")</f>
        <v>Chicago Bulls</v>
      </c>
      <c r="D15" s="1">
        <f>IFERROR(__xludf.DUMMYFUNCTION("""COMPUTED_VALUE"""),108.0)</f>
        <v>108</v>
      </c>
      <c r="E15" s="1" t="str">
        <f>IFERROR(__xludf.DUMMYFUNCTION("""COMPUTED_VALUE"""),"Philadelphia 76ers")</f>
        <v>Philadelphia 76ers</v>
      </c>
      <c r="F15" s="1">
        <f>IFERROR(__xludf.DUMMYFUNCTION("""COMPUTED_VALUE"""),127.0)</f>
        <v>127</v>
      </c>
      <c r="G15" s="1" t="str">
        <f>IFERROR(__xludf.DUMMYFUNCTION("""COMPUTED_VALUE"""),"Box Score")</f>
        <v>Box Score</v>
      </c>
      <c r="H15" s="1"/>
      <c r="I15" s="3">
        <f>IFERROR(__xludf.DUMMYFUNCTION("""COMPUTED_VALUE"""),20302.0)</f>
        <v>20302</v>
      </c>
      <c r="J15" s="1"/>
    </row>
    <row r="16" ht="15.75" customHeight="1">
      <c r="A16" s="2">
        <f>IFERROR(__xludf.DUMMYFUNCTION("""COMPUTED_VALUE"""),43391.0)</f>
        <v>43391</v>
      </c>
      <c r="B16" s="1" t="str">
        <f>IFERROR(__xludf.DUMMYFUNCTION("""COMPUTED_VALUE"""),"8:00p")</f>
        <v>8:00p</v>
      </c>
      <c r="C16" s="1" t="str">
        <f>IFERROR(__xludf.DUMMYFUNCTION("""COMPUTED_VALUE"""),"Miami Heat")</f>
        <v>Miami Heat</v>
      </c>
      <c r="D16" s="1">
        <f>IFERROR(__xludf.DUMMYFUNCTION("""COMPUTED_VALUE"""),113.0)</f>
        <v>113</v>
      </c>
      <c r="E16" s="1" t="str">
        <f>IFERROR(__xludf.DUMMYFUNCTION("""COMPUTED_VALUE"""),"Washington Wizards")</f>
        <v>Washington Wizards</v>
      </c>
      <c r="F16" s="1">
        <f>IFERROR(__xludf.DUMMYFUNCTION("""COMPUTED_VALUE"""),112.0)</f>
        <v>112</v>
      </c>
      <c r="G16" s="1" t="str">
        <f>IFERROR(__xludf.DUMMYFUNCTION("""COMPUTED_VALUE"""),"Box Score")</f>
        <v>Box Score</v>
      </c>
      <c r="H16" s="1"/>
      <c r="I16" s="3">
        <f>IFERROR(__xludf.DUMMYFUNCTION("""COMPUTED_VALUE"""),20409.0)</f>
        <v>20409</v>
      </c>
      <c r="J16" s="1"/>
    </row>
    <row r="17" ht="15.75" customHeight="1">
      <c r="A17" s="2">
        <f>IFERROR(__xludf.DUMMYFUNCTION("""COMPUTED_VALUE"""),43391.0)</f>
        <v>43391</v>
      </c>
      <c r="B17" s="1" t="str">
        <f>IFERROR(__xludf.DUMMYFUNCTION("""COMPUTED_VALUE"""),"10:30p")</f>
        <v>10:30p</v>
      </c>
      <c r="C17" s="1" t="str">
        <f>IFERROR(__xludf.DUMMYFUNCTION("""COMPUTED_VALUE"""),"Los Angeles Lakers")</f>
        <v>Los Angeles Lakers</v>
      </c>
      <c r="D17" s="1">
        <f>IFERROR(__xludf.DUMMYFUNCTION("""COMPUTED_VALUE"""),119.0)</f>
        <v>119</v>
      </c>
      <c r="E17" s="1" t="str">
        <f>IFERROR(__xludf.DUMMYFUNCTION("""COMPUTED_VALUE"""),"Portland Trail Blazers")</f>
        <v>Portland Trail Blazers</v>
      </c>
      <c r="F17" s="1">
        <f>IFERROR(__xludf.DUMMYFUNCTION("""COMPUTED_VALUE"""),128.0)</f>
        <v>128</v>
      </c>
      <c r="G17" s="1" t="str">
        <f>IFERROR(__xludf.DUMMYFUNCTION("""COMPUTED_VALUE"""),"Box Score")</f>
        <v>Box Score</v>
      </c>
      <c r="H17" s="1"/>
      <c r="I17" s="3">
        <f>IFERROR(__xludf.DUMMYFUNCTION("""COMPUTED_VALUE"""),19996.0)</f>
        <v>19996</v>
      </c>
      <c r="J17" s="1"/>
    </row>
    <row r="18" ht="15.75" customHeight="1">
      <c r="A18" s="2">
        <f>IFERROR(__xludf.DUMMYFUNCTION("""COMPUTED_VALUE"""),43392.0)</f>
        <v>43392</v>
      </c>
      <c r="B18" s="1" t="str">
        <f>IFERROR(__xludf.DUMMYFUNCTION("""COMPUTED_VALUE"""),"7:00p")</f>
        <v>7:00p</v>
      </c>
      <c r="C18" s="1" t="str">
        <f>IFERROR(__xludf.DUMMYFUNCTION("""COMPUTED_VALUE"""),"Charlotte Hornets")</f>
        <v>Charlotte Hornets</v>
      </c>
      <c r="D18" s="1">
        <f>IFERROR(__xludf.DUMMYFUNCTION("""COMPUTED_VALUE"""),120.0)</f>
        <v>120</v>
      </c>
      <c r="E18" s="1" t="str">
        <f>IFERROR(__xludf.DUMMYFUNCTION("""COMPUTED_VALUE"""),"Orlando Magic")</f>
        <v>Orlando Magic</v>
      </c>
      <c r="F18" s="1">
        <f>IFERROR(__xludf.DUMMYFUNCTION("""COMPUTED_VALUE"""),88.0)</f>
        <v>88</v>
      </c>
      <c r="G18" s="1" t="str">
        <f>IFERROR(__xludf.DUMMYFUNCTION("""COMPUTED_VALUE"""),"Box Score")</f>
        <v>Box Score</v>
      </c>
      <c r="H18" s="1"/>
      <c r="I18" s="3">
        <f>IFERROR(__xludf.DUMMYFUNCTION("""COMPUTED_VALUE"""),17668.0)</f>
        <v>17668</v>
      </c>
      <c r="J18" s="1"/>
    </row>
    <row r="19" ht="15.75" customHeight="1">
      <c r="A19" s="2">
        <f>IFERROR(__xludf.DUMMYFUNCTION("""COMPUTED_VALUE"""),43392.0)</f>
        <v>43392</v>
      </c>
      <c r="B19" s="1" t="str">
        <f>IFERROR(__xludf.DUMMYFUNCTION("""COMPUTED_VALUE"""),"7:30p")</f>
        <v>7:30p</v>
      </c>
      <c r="C19" s="1" t="str">
        <f>IFERROR(__xludf.DUMMYFUNCTION("""COMPUTED_VALUE"""),"New York Knicks")</f>
        <v>New York Knicks</v>
      </c>
      <c r="D19" s="1">
        <f>IFERROR(__xludf.DUMMYFUNCTION("""COMPUTED_VALUE"""),105.0)</f>
        <v>105</v>
      </c>
      <c r="E19" s="1" t="str">
        <f>IFERROR(__xludf.DUMMYFUNCTION("""COMPUTED_VALUE"""),"Brooklyn Nets")</f>
        <v>Brooklyn Nets</v>
      </c>
      <c r="F19" s="1">
        <f>IFERROR(__xludf.DUMMYFUNCTION("""COMPUTED_VALUE"""),107.0)</f>
        <v>107</v>
      </c>
      <c r="G19" s="1" t="str">
        <f>IFERROR(__xludf.DUMMYFUNCTION("""COMPUTED_VALUE"""),"Box Score")</f>
        <v>Box Score</v>
      </c>
      <c r="H19" s="1"/>
      <c r="I19" s="3">
        <f>IFERROR(__xludf.DUMMYFUNCTION("""COMPUTED_VALUE"""),17732.0)</f>
        <v>17732</v>
      </c>
      <c r="J19" s="1"/>
    </row>
    <row r="20" ht="15.75" customHeight="1">
      <c r="A20" s="2">
        <f>IFERROR(__xludf.DUMMYFUNCTION("""COMPUTED_VALUE"""),43392.0)</f>
        <v>43392</v>
      </c>
      <c r="B20" s="1" t="str">
        <f>IFERROR(__xludf.DUMMYFUNCTION("""COMPUTED_VALUE"""),"8:00p")</f>
        <v>8:00p</v>
      </c>
      <c r="C20" s="1" t="str">
        <f>IFERROR(__xludf.DUMMYFUNCTION("""COMPUTED_VALUE"""),"Atlanta Hawks")</f>
        <v>Atlanta Hawks</v>
      </c>
      <c r="D20" s="1">
        <f>IFERROR(__xludf.DUMMYFUNCTION("""COMPUTED_VALUE"""),117.0)</f>
        <v>117</v>
      </c>
      <c r="E20" s="1" t="str">
        <f>IFERROR(__xludf.DUMMYFUNCTION("""COMPUTED_VALUE"""),"Memphis Grizzlies")</f>
        <v>Memphis Grizzlies</v>
      </c>
      <c r="F20" s="1">
        <f>IFERROR(__xludf.DUMMYFUNCTION("""COMPUTED_VALUE"""),131.0)</f>
        <v>131</v>
      </c>
      <c r="G20" s="1" t="str">
        <f>IFERROR(__xludf.DUMMYFUNCTION("""COMPUTED_VALUE"""),"Box Score")</f>
        <v>Box Score</v>
      </c>
      <c r="H20" s="1"/>
      <c r="I20" s="3">
        <f>IFERROR(__xludf.DUMMYFUNCTION("""COMPUTED_VALUE"""),17019.0)</f>
        <v>17019</v>
      </c>
      <c r="J20" s="1"/>
    </row>
    <row r="21" ht="15.75" customHeight="1">
      <c r="A21" s="2">
        <f>IFERROR(__xludf.DUMMYFUNCTION("""COMPUTED_VALUE"""),43392.0)</f>
        <v>43392</v>
      </c>
      <c r="B21" s="1" t="str">
        <f>IFERROR(__xludf.DUMMYFUNCTION("""COMPUTED_VALUE"""),"8:00p")</f>
        <v>8:00p</v>
      </c>
      <c r="C21" s="1" t="str">
        <f>IFERROR(__xludf.DUMMYFUNCTION("""COMPUTED_VALUE"""),"Cleveland Cavaliers")</f>
        <v>Cleveland Cavaliers</v>
      </c>
      <c r="D21" s="1">
        <f>IFERROR(__xludf.DUMMYFUNCTION("""COMPUTED_VALUE"""),123.0)</f>
        <v>123</v>
      </c>
      <c r="E21" s="1" t="str">
        <f>IFERROR(__xludf.DUMMYFUNCTION("""COMPUTED_VALUE"""),"Minnesota Timberwolves")</f>
        <v>Minnesota Timberwolves</v>
      </c>
      <c r="F21" s="1">
        <f>IFERROR(__xludf.DUMMYFUNCTION("""COMPUTED_VALUE"""),131.0)</f>
        <v>131</v>
      </c>
      <c r="G21" s="1" t="str">
        <f>IFERROR(__xludf.DUMMYFUNCTION("""COMPUTED_VALUE"""),"Box Score")</f>
        <v>Box Score</v>
      </c>
      <c r="H21" s="1"/>
      <c r="I21" s="3">
        <f>IFERROR(__xludf.DUMMYFUNCTION("""COMPUTED_VALUE"""),18978.0)</f>
        <v>18978</v>
      </c>
      <c r="J21" s="1"/>
    </row>
    <row r="22" ht="15.75" customHeight="1">
      <c r="A22" s="2">
        <f>IFERROR(__xludf.DUMMYFUNCTION("""COMPUTED_VALUE"""),43392.0)</f>
        <v>43392</v>
      </c>
      <c r="B22" s="1" t="str">
        <f>IFERROR(__xludf.DUMMYFUNCTION("""COMPUTED_VALUE"""),"8:00p")</f>
        <v>8:00p</v>
      </c>
      <c r="C22" s="1" t="str">
        <f>IFERROR(__xludf.DUMMYFUNCTION("""COMPUTED_VALUE"""),"Sacramento Kings")</f>
        <v>Sacramento Kings</v>
      </c>
      <c r="D22" s="1">
        <f>IFERROR(__xludf.DUMMYFUNCTION("""COMPUTED_VALUE"""),129.0)</f>
        <v>129</v>
      </c>
      <c r="E22" s="1" t="str">
        <f>IFERROR(__xludf.DUMMYFUNCTION("""COMPUTED_VALUE"""),"New Orleans Pelicans")</f>
        <v>New Orleans Pelicans</v>
      </c>
      <c r="F22" s="1">
        <f>IFERROR(__xludf.DUMMYFUNCTION("""COMPUTED_VALUE"""),149.0)</f>
        <v>149</v>
      </c>
      <c r="G22" s="1" t="str">
        <f>IFERROR(__xludf.DUMMYFUNCTION("""COMPUTED_VALUE"""),"Box Score")</f>
        <v>Box Score</v>
      </c>
      <c r="H22" s="1"/>
      <c r="I22" s="3">
        <f>IFERROR(__xludf.DUMMYFUNCTION("""COMPUTED_VALUE"""),18337.0)</f>
        <v>18337</v>
      </c>
      <c r="J22" s="1"/>
    </row>
    <row r="23" ht="15.75" customHeight="1">
      <c r="A23" s="2">
        <f>IFERROR(__xludf.DUMMYFUNCTION("""COMPUTED_VALUE"""),43392.0)</f>
        <v>43392</v>
      </c>
      <c r="B23" s="1" t="str">
        <f>IFERROR(__xludf.DUMMYFUNCTION("""COMPUTED_VALUE"""),"8:00p")</f>
        <v>8:00p</v>
      </c>
      <c r="C23" s="1" t="str">
        <f>IFERROR(__xludf.DUMMYFUNCTION("""COMPUTED_VALUE"""),"Boston Celtics")</f>
        <v>Boston Celtics</v>
      </c>
      <c r="D23" s="1">
        <f>IFERROR(__xludf.DUMMYFUNCTION("""COMPUTED_VALUE"""),101.0)</f>
        <v>101</v>
      </c>
      <c r="E23" s="1" t="str">
        <f>IFERROR(__xludf.DUMMYFUNCTION("""COMPUTED_VALUE"""),"Toronto Raptors")</f>
        <v>Toronto Raptors</v>
      </c>
      <c r="F23" s="1">
        <f>IFERROR(__xludf.DUMMYFUNCTION("""COMPUTED_VALUE"""),113.0)</f>
        <v>113</v>
      </c>
      <c r="G23" s="1" t="str">
        <f>IFERROR(__xludf.DUMMYFUNCTION("""COMPUTED_VALUE"""),"Box Score")</f>
        <v>Box Score</v>
      </c>
      <c r="H23" s="1"/>
      <c r="I23" s="3">
        <f>IFERROR(__xludf.DUMMYFUNCTION("""COMPUTED_VALUE"""),19800.0)</f>
        <v>19800</v>
      </c>
      <c r="J23" s="1"/>
    </row>
    <row r="24" ht="15.75" customHeight="1">
      <c r="A24" s="2">
        <f>IFERROR(__xludf.DUMMYFUNCTION("""COMPUTED_VALUE"""),43392.0)</f>
        <v>43392</v>
      </c>
      <c r="B24" s="1" t="str">
        <f>IFERROR(__xludf.DUMMYFUNCTION("""COMPUTED_VALUE"""),"8:30p")</f>
        <v>8:30p</v>
      </c>
      <c r="C24" s="1" t="str">
        <f>IFERROR(__xludf.DUMMYFUNCTION("""COMPUTED_VALUE"""),"Indiana Pacers")</f>
        <v>Indiana Pacers</v>
      </c>
      <c r="D24" s="1">
        <f>IFERROR(__xludf.DUMMYFUNCTION("""COMPUTED_VALUE"""),101.0)</f>
        <v>101</v>
      </c>
      <c r="E24" s="1" t="str">
        <f>IFERROR(__xludf.DUMMYFUNCTION("""COMPUTED_VALUE"""),"Milwaukee Bucks")</f>
        <v>Milwaukee Bucks</v>
      </c>
      <c r="F24" s="1">
        <f>IFERROR(__xludf.DUMMYFUNCTION("""COMPUTED_VALUE"""),118.0)</f>
        <v>118</v>
      </c>
      <c r="G24" s="1" t="str">
        <f>IFERROR(__xludf.DUMMYFUNCTION("""COMPUTED_VALUE"""),"Box Score")</f>
        <v>Box Score</v>
      </c>
      <c r="H24" s="1"/>
      <c r="I24" s="3">
        <f>IFERROR(__xludf.DUMMYFUNCTION("""COMPUTED_VALUE"""),17341.0)</f>
        <v>17341</v>
      </c>
      <c r="J24" s="1"/>
    </row>
    <row r="25" ht="15.75" customHeight="1">
      <c r="A25" s="2">
        <f>IFERROR(__xludf.DUMMYFUNCTION("""COMPUTED_VALUE"""),43392.0)</f>
        <v>43392</v>
      </c>
      <c r="B25" s="1" t="str">
        <f>IFERROR(__xludf.DUMMYFUNCTION("""COMPUTED_VALUE"""),"10:30p")</f>
        <v>10:30p</v>
      </c>
      <c r="C25" s="1" t="str">
        <f>IFERROR(__xludf.DUMMYFUNCTION("""COMPUTED_VALUE"""),"Oklahoma City Thunder")</f>
        <v>Oklahoma City Thunder</v>
      </c>
      <c r="D25" s="1">
        <f>IFERROR(__xludf.DUMMYFUNCTION("""COMPUTED_VALUE"""),92.0)</f>
        <v>92</v>
      </c>
      <c r="E25" s="1" t="str">
        <f>IFERROR(__xludf.DUMMYFUNCTION("""COMPUTED_VALUE"""),"Los Angeles Clippers")</f>
        <v>Los Angeles Clippers</v>
      </c>
      <c r="F25" s="1">
        <f>IFERROR(__xludf.DUMMYFUNCTION("""COMPUTED_VALUE"""),108.0)</f>
        <v>108</v>
      </c>
      <c r="G25" s="1" t="str">
        <f>IFERROR(__xludf.DUMMYFUNCTION("""COMPUTED_VALUE"""),"Box Score")</f>
        <v>Box Score</v>
      </c>
      <c r="H25" s="1"/>
      <c r="I25" s="3">
        <f>IFERROR(__xludf.DUMMYFUNCTION("""COMPUTED_VALUE"""),14816.0)</f>
        <v>14816</v>
      </c>
      <c r="J25" s="1"/>
    </row>
    <row r="26" ht="15.75" customHeight="1">
      <c r="A26" s="2">
        <f>IFERROR(__xludf.DUMMYFUNCTION("""COMPUTED_VALUE"""),43392.0)</f>
        <v>43392</v>
      </c>
      <c r="B26" s="1" t="str">
        <f>IFERROR(__xludf.DUMMYFUNCTION("""COMPUTED_VALUE"""),"10:30p")</f>
        <v>10:30p</v>
      </c>
      <c r="C26" s="1" t="str">
        <f>IFERROR(__xludf.DUMMYFUNCTION("""COMPUTED_VALUE"""),"Golden State Warriors")</f>
        <v>Golden State Warriors</v>
      </c>
      <c r="D26" s="1">
        <f>IFERROR(__xludf.DUMMYFUNCTION("""COMPUTED_VALUE"""),124.0)</f>
        <v>124</v>
      </c>
      <c r="E26" s="1" t="str">
        <f>IFERROR(__xludf.DUMMYFUNCTION("""COMPUTED_VALUE"""),"Utah Jazz")</f>
        <v>Utah Jazz</v>
      </c>
      <c r="F26" s="1">
        <f>IFERROR(__xludf.DUMMYFUNCTION("""COMPUTED_VALUE"""),123.0)</f>
        <v>123</v>
      </c>
      <c r="G26" s="1" t="str">
        <f>IFERROR(__xludf.DUMMYFUNCTION("""COMPUTED_VALUE"""),"Box Score")</f>
        <v>Box Score</v>
      </c>
      <c r="H26" s="1"/>
      <c r="I26" s="3">
        <f>IFERROR(__xludf.DUMMYFUNCTION("""COMPUTED_VALUE"""),18306.0)</f>
        <v>18306</v>
      </c>
      <c r="J26" s="1"/>
    </row>
    <row r="27" ht="15.75" customHeight="1">
      <c r="A27" s="2">
        <f>IFERROR(__xludf.DUMMYFUNCTION("""COMPUTED_VALUE"""),43393.0)</f>
        <v>43393</v>
      </c>
      <c r="B27" s="1" t="str">
        <f>IFERROR(__xludf.DUMMYFUNCTION("""COMPUTED_VALUE"""),"7:00p")</f>
        <v>7:00p</v>
      </c>
      <c r="C27" s="1" t="str">
        <f>IFERROR(__xludf.DUMMYFUNCTION("""COMPUTED_VALUE"""),"Brooklyn Nets")</f>
        <v>Brooklyn Nets</v>
      </c>
      <c r="D27" s="1">
        <f>IFERROR(__xludf.DUMMYFUNCTION("""COMPUTED_VALUE"""),112.0)</f>
        <v>112</v>
      </c>
      <c r="E27" s="1" t="str">
        <f>IFERROR(__xludf.DUMMYFUNCTION("""COMPUTED_VALUE"""),"Indiana Pacers")</f>
        <v>Indiana Pacers</v>
      </c>
      <c r="F27" s="1">
        <f>IFERROR(__xludf.DUMMYFUNCTION("""COMPUTED_VALUE"""),132.0)</f>
        <v>132</v>
      </c>
      <c r="G27" s="1" t="str">
        <f>IFERROR(__xludf.DUMMYFUNCTION("""COMPUTED_VALUE"""),"Box Score")</f>
        <v>Box Score</v>
      </c>
      <c r="H27" s="1"/>
      <c r="I27" s="3">
        <f>IFERROR(__xludf.DUMMYFUNCTION("""COMPUTED_VALUE"""),17007.0)</f>
        <v>17007</v>
      </c>
      <c r="J27" s="1"/>
    </row>
    <row r="28" ht="15.75" customHeight="1">
      <c r="A28" s="2">
        <f>IFERROR(__xludf.DUMMYFUNCTION("""COMPUTED_VALUE"""),43393.0)</f>
        <v>43393</v>
      </c>
      <c r="B28" s="1" t="str">
        <f>IFERROR(__xludf.DUMMYFUNCTION("""COMPUTED_VALUE"""),"7:00p")</f>
        <v>7:00p</v>
      </c>
      <c r="C28" s="1" t="str">
        <f>IFERROR(__xludf.DUMMYFUNCTION("""COMPUTED_VALUE"""),"Toronto Raptors")</f>
        <v>Toronto Raptors</v>
      </c>
      <c r="D28" s="1">
        <f>IFERROR(__xludf.DUMMYFUNCTION("""COMPUTED_VALUE"""),117.0)</f>
        <v>117</v>
      </c>
      <c r="E28" s="1" t="str">
        <f>IFERROR(__xludf.DUMMYFUNCTION("""COMPUTED_VALUE"""),"Washington Wizards")</f>
        <v>Washington Wizards</v>
      </c>
      <c r="F28" s="1">
        <f>IFERROR(__xludf.DUMMYFUNCTION("""COMPUTED_VALUE"""),113.0)</f>
        <v>113</v>
      </c>
      <c r="G28" s="1" t="str">
        <f>IFERROR(__xludf.DUMMYFUNCTION("""COMPUTED_VALUE"""),"Box Score")</f>
        <v>Box Score</v>
      </c>
      <c r="H28" s="1"/>
      <c r="I28" s="3">
        <f>IFERROR(__xludf.DUMMYFUNCTION("""COMPUTED_VALUE"""),16185.0)</f>
        <v>16185</v>
      </c>
      <c r="J28" s="1"/>
    </row>
    <row r="29" ht="15.75" customHeight="1">
      <c r="A29" s="2">
        <f>IFERROR(__xludf.DUMMYFUNCTION("""COMPUTED_VALUE"""),43393.0)</f>
        <v>43393</v>
      </c>
      <c r="B29" s="1" t="str">
        <f>IFERROR(__xludf.DUMMYFUNCTION("""COMPUTED_VALUE"""),"7:30p")</f>
        <v>7:30p</v>
      </c>
      <c r="C29" s="1" t="str">
        <f>IFERROR(__xludf.DUMMYFUNCTION("""COMPUTED_VALUE"""),"Boston Celtics")</f>
        <v>Boston Celtics</v>
      </c>
      <c r="D29" s="1">
        <f>IFERROR(__xludf.DUMMYFUNCTION("""COMPUTED_VALUE"""),103.0)</f>
        <v>103</v>
      </c>
      <c r="E29" s="1" t="str">
        <f>IFERROR(__xludf.DUMMYFUNCTION("""COMPUTED_VALUE"""),"New York Knicks")</f>
        <v>New York Knicks</v>
      </c>
      <c r="F29" s="1">
        <f>IFERROR(__xludf.DUMMYFUNCTION("""COMPUTED_VALUE"""),101.0)</f>
        <v>101</v>
      </c>
      <c r="G29" s="1" t="str">
        <f>IFERROR(__xludf.DUMMYFUNCTION("""COMPUTED_VALUE"""),"Box Score")</f>
        <v>Box Score</v>
      </c>
      <c r="H29" s="1"/>
      <c r="I29" s="3">
        <f>IFERROR(__xludf.DUMMYFUNCTION("""COMPUTED_VALUE"""),19427.0)</f>
        <v>19427</v>
      </c>
      <c r="J29" s="1"/>
    </row>
    <row r="30" ht="15.75" customHeight="1">
      <c r="A30" s="2">
        <f>IFERROR(__xludf.DUMMYFUNCTION("""COMPUTED_VALUE"""),43393.0)</f>
        <v>43393</v>
      </c>
      <c r="B30" s="1" t="str">
        <f>IFERROR(__xludf.DUMMYFUNCTION("""COMPUTED_VALUE"""),"7:30p")</f>
        <v>7:30p</v>
      </c>
      <c r="C30" s="1" t="str">
        <f>IFERROR(__xludf.DUMMYFUNCTION("""COMPUTED_VALUE"""),"Orlando Magic")</f>
        <v>Orlando Magic</v>
      </c>
      <c r="D30" s="1">
        <f>IFERROR(__xludf.DUMMYFUNCTION("""COMPUTED_VALUE"""),115.0)</f>
        <v>115</v>
      </c>
      <c r="E30" s="1" t="str">
        <f>IFERROR(__xludf.DUMMYFUNCTION("""COMPUTED_VALUE"""),"Philadelphia 76ers")</f>
        <v>Philadelphia 76ers</v>
      </c>
      <c r="F30" s="1">
        <f>IFERROR(__xludf.DUMMYFUNCTION("""COMPUTED_VALUE"""),116.0)</f>
        <v>116</v>
      </c>
      <c r="G30" s="1" t="str">
        <f>IFERROR(__xludf.DUMMYFUNCTION("""COMPUTED_VALUE"""),"Box Score")</f>
        <v>Box Score</v>
      </c>
      <c r="H30" s="1"/>
      <c r="I30" s="3">
        <f>IFERROR(__xludf.DUMMYFUNCTION("""COMPUTED_VALUE"""),20300.0)</f>
        <v>20300</v>
      </c>
      <c r="J30" s="1"/>
    </row>
    <row r="31" ht="15.75" customHeight="1">
      <c r="A31" s="2">
        <f>IFERROR(__xludf.DUMMYFUNCTION("""COMPUTED_VALUE"""),43393.0)</f>
        <v>43393</v>
      </c>
      <c r="B31" s="1" t="str">
        <f>IFERROR(__xludf.DUMMYFUNCTION("""COMPUTED_VALUE"""),"8:00p")</f>
        <v>8:00p</v>
      </c>
      <c r="C31" s="1" t="str">
        <f>IFERROR(__xludf.DUMMYFUNCTION("""COMPUTED_VALUE"""),"Detroit Pistons")</f>
        <v>Detroit Pistons</v>
      </c>
      <c r="D31" s="1">
        <f>IFERROR(__xludf.DUMMYFUNCTION("""COMPUTED_VALUE"""),118.0)</f>
        <v>118</v>
      </c>
      <c r="E31" s="1" t="str">
        <f>IFERROR(__xludf.DUMMYFUNCTION("""COMPUTED_VALUE"""),"Chicago Bulls")</f>
        <v>Chicago Bulls</v>
      </c>
      <c r="F31" s="1">
        <f>IFERROR(__xludf.DUMMYFUNCTION("""COMPUTED_VALUE"""),116.0)</f>
        <v>116</v>
      </c>
      <c r="G31" s="1" t="str">
        <f>IFERROR(__xludf.DUMMYFUNCTION("""COMPUTED_VALUE"""),"Box Score")</f>
        <v>Box Score</v>
      </c>
      <c r="H31" s="1"/>
      <c r="I31" s="3">
        <f>IFERROR(__xludf.DUMMYFUNCTION("""COMPUTED_VALUE"""),21289.0)</f>
        <v>21289</v>
      </c>
      <c r="J31" s="1"/>
    </row>
    <row r="32" ht="15.75" customHeight="1">
      <c r="A32" s="2">
        <f>IFERROR(__xludf.DUMMYFUNCTION("""COMPUTED_VALUE"""),43393.0)</f>
        <v>43393</v>
      </c>
      <c r="B32" s="1" t="str">
        <f>IFERROR(__xludf.DUMMYFUNCTION("""COMPUTED_VALUE"""),"8:00p")</f>
        <v>8:00p</v>
      </c>
      <c r="C32" s="1" t="str">
        <f>IFERROR(__xludf.DUMMYFUNCTION("""COMPUTED_VALUE"""),"Charlotte Hornets")</f>
        <v>Charlotte Hornets</v>
      </c>
      <c r="D32" s="1">
        <f>IFERROR(__xludf.DUMMYFUNCTION("""COMPUTED_VALUE"""),113.0)</f>
        <v>113</v>
      </c>
      <c r="E32" s="1" t="str">
        <f>IFERROR(__xludf.DUMMYFUNCTION("""COMPUTED_VALUE"""),"Miami Heat")</f>
        <v>Miami Heat</v>
      </c>
      <c r="F32" s="1">
        <f>IFERROR(__xludf.DUMMYFUNCTION("""COMPUTED_VALUE"""),112.0)</f>
        <v>112</v>
      </c>
      <c r="G32" s="1" t="str">
        <f>IFERROR(__xludf.DUMMYFUNCTION("""COMPUTED_VALUE"""),"Box Score")</f>
        <v>Box Score</v>
      </c>
      <c r="H32" s="1"/>
      <c r="I32" s="3">
        <f>IFERROR(__xludf.DUMMYFUNCTION("""COMPUTED_VALUE"""),19600.0)</f>
        <v>19600</v>
      </c>
      <c r="J32" s="1"/>
    </row>
    <row r="33" ht="15.75" customHeight="1">
      <c r="A33" s="2">
        <f>IFERROR(__xludf.DUMMYFUNCTION("""COMPUTED_VALUE"""),43393.0)</f>
        <v>43393</v>
      </c>
      <c r="B33" s="1" t="str">
        <f>IFERROR(__xludf.DUMMYFUNCTION("""COMPUTED_VALUE"""),"8:30p")</f>
        <v>8:30p</v>
      </c>
      <c r="C33" s="1" t="str">
        <f>IFERROR(__xludf.DUMMYFUNCTION("""COMPUTED_VALUE"""),"Minnesota Timberwolves")</f>
        <v>Minnesota Timberwolves</v>
      </c>
      <c r="D33" s="1">
        <f>IFERROR(__xludf.DUMMYFUNCTION("""COMPUTED_VALUE"""),136.0)</f>
        <v>136</v>
      </c>
      <c r="E33" s="1" t="str">
        <f>IFERROR(__xludf.DUMMYFUNCTION("""COMPUTED_VALUE"""),"Dallas Mavericks")</f>
        <v>Dallas Mavericks</v>
      </c>
      <c r="F33" s="1">
        <f>IFERROR(__xludf.DUMMYFUNCTION("""COMPUTED_VALUE"""),140.0)</f>
        <v>140</v>
      </c>
      <c r="G33" s="1" t="str">
        <f>IFERROR(__xludf.DUMMYFUNCTION("""COMPUTED_VALUE"""),"Box Score")</f>
        <v>Box Score</v>
      </c>
      <c r="H33" s="1"/>
      <c r="I33" s="3">
        <f>IFERROR(__xludf.DUMMYFUNCTION("""COMPUTED_VALUE"""),20205.0)</f>
        <v>20205</v>
      </c>
      <c r="J33" s="1"/>
    </row>
    <row r="34" ht="15.75" customHeight="1">
      <c r="A34" s="2">
        <f>IFERROR(__xludf.DUMMYFUNCTION("""COMPUTED_VALUE"""),43393.0)</f>
        <v>43393</v>
      </c>
      <c r="B34" s="1" t="str">
        <f>IFERROR(__xludf.DUMMYFUNCTION("""COMPUTED_VALUE"""),"9:00p")</f>
        <v>9:00p</v>
      </c>
      <c r="C34" s="1" t="str">
        <f>IFERROR(__xludf.DUMMYFUNCTION("""COMPUTED_VALUE"""),"Phoenix Suns")</f>
        <v>Phoenix Suns</v>
      </c>
      <c r="D34" s="1">
        <f>IFERROR(__xludf.DUMMYFUNCTION("""COMPUTED_VALUE"""),91.0)</f>
        <v>91</v>
      </c>
      <c r="E34" s="1" t="str">
        <f>IFERROR(__xludf.DUMMYFUNCTION("""COMPUTED_VALUE"""),"Denver Nuggets")</f>
        <v>Denver Nuggets</v>
      </c>
      <c r="F34" s="1">
        <f>IFERROR(__xludf.DUMMYFUNCTION("""COMPUTED_VALUE"""),119.0)</f>
        <v>119</v>
      </c>
      <c r="G34" s="1" t="str">
        <f>IFERROR(__xludf.DUMMYFUNCTION("""COMPUTED_VALUE"""),"Box Score")</f>
        <v>Box Score</v>
      </c>
      <c r="H34" s="1"/>
      <c r="I34" s="3">
        <f>IFERROR(__xludf.DUMMYFUNCTION("""COMPUTED_VALUE"""),19592.0)</f>
        <v>19592</v>
      </c>
      <c r="J34" s="1"/>
    </row>
    <row r="35" ht="15.75" customHeight="1">
      <c r="A35" s="2">
        <f>IFERROR(__xludf.DUMMYFUNCTION("""COMPUTED_VALUE"""),43393.0)</f>
        <v>43393</v>
      </c>
      <c r="B35" s="1" t="str">
        <f>IFERROR(__xludf.DUMMYFUNCTION("""COMPUTED_VALUE"""),"10:00p")</f>
        <v>10:00p</v>
      </c>
      <c r="C35" s="1" t="str">
        <f>IFERROR(__xludf.DUMMYFUNCTION("""COMPUTED_VALUE"""),"San Antonio Spurs")</f>
        <v>San Antonio Spurs</v>
      </c>
      <c r="D35" s="1">
        <f>IFERROR(__xludf.DUMMYFUNCTION("""COMPUTED_VALUE"""),108.0)</f>
        <v>108</v>
      </c>
      <c r="E35" s="1" t="str">
        <f>IFERROR(__xludf.DUMMYFUNCTION("""COMPUTED_VALUE"""),"Portland Trail Blazers")</f>
        <v>Portland Trail Blazers</v>
      </c>
      <c r="F35" s="1">
        <f>IFERROR(__xludf.DUMMYFUNCTION("""COMPUTED_VALUE"""),121.0)</f>
        <v>121</v>
      </c>
      <c r="G35" s="1" t="str">
        <f>IFERROR(__xludf.DUMMYFUNCTION("""COMPUTED_VALUE"""),"Box Score")</f>
        <v>Box Score</v>
      </c>
      <c r="H35" s="1"/>
      <c r="I35" s="3">
        <f>IFERROR(__xludf.DUMMYFUNCTION("""COMPUTED_VALUE"""),19461.0)</f>
        <v>19461</v>
      </c>
      <c r="J35" s="1"/>
    </row>
    <row r="36" ht="15.75" customHeight="1">
      <c r="A36" s="2">
        <f>IFERROR(__xludf.DUMMYFUNCTION("""COMPUTED_VALUE"""),43393.0)</f>
        <v>43393</v>
      </c>
      <c r="B36" s="1" t="str">
        <f>IFERROR(__xludf.DUMMYFUNCTION("""COMPUTED_VALUE"""),"10:30p")</f>
        <v>10:30p</v>
      </c>
      <c r="C36" s="1" t="str">
        <f>IFERROR(__xludf.DUMMYFUNCTION("""COMPUTED_VALUE"""),"Houston Rockets")</f>
        <v>Houston Rockets</v>
      </c>
      <c r="D36" s="1">
        <f>IFERROR(__xludf.DUMMYFUNCTION("""COMPUTED_VALUE"""),124.0)</f>
        <v>124</v>
      </c>
      <c r="E36" s="1" t="str">
        <f>IFERROR(__xludf.DUMMYFUNCTION("""COMPUTED_VALUE"""),"Los Angeles Lakers")</f>
        <v>Los Angeles Lakers</v>
      </c>
      <c r="F36" s="1">
        <f>IFERROR(__xludf.DUMMYFUNCTION("""COMPUTED_VALUE"""),115.0)</f>
        <v>115</v>
      </c>
      <c r="G36" s="1" t="str">
        <f>IFERROR(__xludf.DUMMYFUNCTION("""COMPUTED_VALUE"""),"Box Score")</f>
        <v>Box Score</v>
      </c>
      <c r="H36" s="1"/>
      <c r="I36" s="3">
        <f>IFERROR(__xludf.DUMMYFUNCTION("""COMPUTED_VALUE"""),18997.0)</f>
        <v>18997</v>
      </c>
      <c r="J36" s="1"/>
    </row>
    <row r="37" ht="15.75" customHeight="1">
      <c r="A37" s="2">
        <f>IFERROR(__xludf.DUMMYFUNCTION("""COMPUTED_VALUE"""),43394.0)</f>
        <v>43394</v>
      </c>
      <c r="B37" s="1" t="str">
        <f>IFERROR(__xludf.DUMMYFUNCTION("""COMPUTED_VALUE"""),"6:00p")</f>
        <v>6:00p</v>
      </c>
      <c r="C37" s="1" t="str">
        <f>IFERROR(__xludf.DUMMYFUNCTION("""COMPUTED_VALUE"""),"Atlanta Hawks")</f>
        <v>Atlanta Hawks</v>
      </c>
      <c r="D37" s="1">
        <f>IFERROR(__xludf.DUMMYFUNCTION("""COMPUTED_VALUE"""),133.0)</f>
        <v>133</v>
      </c>
      <c r="E37" s="1" t="str">
        <f>IFERROR(__xludf.DUMMYFUNCTION("""COMPUTED_VALUE"""),"Cleveland Cavaliers")</f>
        <v>Cleveland Cavaliers</v>
      </c>
      <c r="F37" s="1">
        <f>IFERROR(__xludf.DUMMYFUNCTION("""COMPUTED_VALUE"""),111.0)</f>
        <v>111</v>
      </c>
      <c r="G37" s="1" t="str">
        <f>IFERROR(__xludf.DUMMYFUNCTION("""COMPUTED_VALUE"""),"Box Score")</f>
        <v>Box Score</v>
      </c>
      <c r="H37" s="1"/>
      <c r="I37" s="3">
        <f>IFERROR(__xludf.DUMMYFUNCTION("""COMPUTED_VALUE"""),19432.0)</f>
        <v>19432</v>
      </c>
      <c r="J37" s="1"/>
    </row>
    <row r="38" ht="15.75" customHeight="1">
      <c r="A38" s="2">
        <f>IFERROR(__xludf.DUMMYFUNCTION("""COMPUTED_VALUE"""),43394.0)</f>
        <v>43394</v>
      </c>
      <c r="B38" s="1" t="str">
        <f>IFERROR(__xludf.DUMMYFUNCTION("""COMPUTED_VALUE"""),"7:00p")</f>
        <v>7:00p</v>
      </c>
      <c r="C38" s="1" t="str">
        <f>IFERROR(__xludf.DUMMYFUNCTION("""COMPUTED_VALUE"""),"Sacramento Kings")</f>
        <v>Sacramento Kings</v>
      </c>
      <c r="D38" s="1">
        <f>IFERROR(__xludf.DUMMYFUNCTION("""COMPUTED_VALUE"""),131.0)</f>
        <v>131</v>
      </c>
      <c r="E38" s="1" t="str">
        <f>IFERROR(__xludf.DUMMYFUNCTION("""COMPUTED_VALUE"""),"Oklahoma City Thunder")</f>
        <v>Oklahoma City Thunder</v>
      </c>
      <c r="F38" s="1">
        <f>IFERROR(__xludf.DUMMYFUNCTION("""COMPUTED_VALUE"""),120.0)</f>
        <v>120</v>
      </c>
      <c r="G38" s="1" t="str">
        <f>IFERROR(__xludf.DUMMYFUNCTION("""COMPUTED_VALUE"""),"Box Score")</f>
        <v>Box Score</v>
      </c>
      <c r="H38" s="1"/>
      <c r="I38" s="3">
        <f>IFERROR(__xludf.DUMMYFUNCTION("""COMPUTED_VALUE"""),18203.0)</f>
        <v>18203</v>
      </c>
      <c r="J38" s="1"/>
    </row>
    <row r="39" ht="15.75" customHeight="1">
      <c r="A39" s="2">
        <f>IFERROR(__xludf.DUMMYFUNCTION("""COMPUTED_VALUE"""),43394.0)</f>
        <v>43394</v>
      </c>
      <c r="B39" s="1" t="str">
        <f>IFERROR(__xludf.DUMMYFUNCTION("""COMPUTED_VALUE"""),"8:00p")</f>
        <v>8:00p</v>
      </c>
      <c r="C39" s="1" t="str">
        <f>IFERROR(__xludf.DUMMYFUNCTION("""COMPUTED_VALUE"""),"Golden State Warriors")</f>
        <v>Golden State Warriors</v>
      </c>
      <c r="D39" s="1">
        <f>IFERROR(__xludf.DUMMYFUNCTION("""COMPUTED_VALUE"""),98.0)</f>
        <v>98</v>
      </c>
      <c r="E39" s="1" t="str">
        <f>IFERROR(__xludf.DUMMYFUNCTION("""COMPUTED_VALUE"""),"Denver Nuggets")</f>
        <v>Denver Nuggets</v>
      </c>
      <c r="F39" s="1">
        <f>IFERROR(__xludf.DUMMYFUNCTION("""COMPUTED_VALUE"""),100.0)</f>
        <v>100</v>
      </c>
      <c r="G39" s="1" t="str">
        <f>IFERROR(__xludf.DUMMYFUNCTION("""COMPUTED_VALUE"""),"Box Score")</f>
        <v>Box Score</v>
      </c>
      <c r="H39" s="1"/>
      <c r="I39" s="3">
        <f>IFERROR(__xludf.DUMMYFUNCTION("""COMPUTED_VALUE"""),19520.0)</f>
        <v>19520</v>
      </c>
      <c r="J39" s="1"/>
    </row>
    <row r="40" ht="15.75" customHeight="1">
      <c r="A40" s="2">
        <f>IFERROR(__xludf.DUMMYFUNCTION("""COMPUTED_VALUE"""),43394.0)</f>
        <v>43394</v>
      </c>
      <c r="B40" s="1" t="str">
        <f>IFERROR(__xludf.DUMMYFUNCTION("""COMPUTED_VALUE"""),"9:00p")</f>
        <v>9:00p</v>
      </c>
      <c r="C40" s="1" t="str">
        <f>IFERROR(__xludf.DUMMYFUNCTION("""COMPUTED_VALUE"""),"Houston Rockets")</f>
        <v>Houston Rockets</v>
      </c>
      <c r="D40" s="1">
        <f>IFERROR(__xludf.DUMMYFUNCTION("""COMPUTED_VALUE"""),112.0)</f>
        <v>112</v>
      </c>
      <c r="E40" s="1" t="str">
        <f>IFERROR(__xludf.DUMMYFUNCTION("""COMPUTED_VALUE"""),"Los Angeles Clippers")</f>
        <v>Los Angeles Clippers</v>
      </c>
      <c r="F40" s="1">
        <f>IFERROR(__xludf.DUMMYFUNCTION("""COMPUTED_VALUE"""),115.0)</f>
        <v>115</v>
      </c>
      <c r="G40" s="1" t="str">
        <f>IFERROR(__xludf.DUMMYFUNCTION("""COMPUTED_VALUE"""),"Box Score")</f>
        <v>Box Score</v>
      </c>
      <c r="H40" s="1"/>
      <c r="I40" s="3">
        <f>IFERROR(__xludf.DUMMYFUNCTION("""COMPUTED_VALUE"""),16149.0)</f>
        <v>16149</v>
      </c>
      <c r="J40" s="1"/>
    </row>
    <row r="41" ht="15.75" customHeight="1">
      <c r="A41" s="2">
        <f>IFERROR(__xludf.DUMMYFUNCTION("""COMPUTED_VALUE"""),43395.0)</f>
        <v>43395</v>
      </c>
      <c r="B41" s="1" t="str">
        <f>IFERROR(__xludf.DUMMYFUNCTION("""COMPUTED_VALUE"""),"7:30p")</f>
        <v>7:30p</v>
      </c>
      <c r="C41" s="1" t="str">
        <f>IFERROR(__xludf.DUMMYFUNCTION("""COMPUTED_VALUE"""),"Orlando Magic")</f>
        <v>Orlando Magic</v>
      </c>
      <c r="D41" s="1">
        <f>IFERROR(__xludf.DUMMYFUNCTION("""COMPUTED_VALUE"""),93.0)</f>
        <v>93</v>
      </c>
      <c r="E41" s="1" t="str">
        <f>IFERROR(__xludf.DUMMYFUNCTION("""COMPUTED_VALUE"""),"Boston Celtics")</f>
        <v>Boston Celtics</v>
      </c>
      <c r="F41" s="1">
        <f>IFERROR(__xludf.DUMMYFUNCTION("""COMPUTED_VALUE"""),90.0)</f>
        <v>90</v>
      </c>
      <c r="G41" s="1" t="str">
        <f>IFERROR(__xludf.DUMMYFUNCTION("""COMPUTED_VALUE"""),"Box Score")</f>
        <v>Box Score</v>
      </c>
      <c r="H41" s="1"/>
      <c r="I41" s="3">
        <f>IFERROR(__xludf.DUMMYFUNCTION("""COMPUTED_VALUE"""),18624.0)</f>
        <v>18624</v>
      </c>
      <c r="J41" s="1"/>
    </row>
    <row r="42" ht="15.75" customHeight="1">
      <c r="A42" s="2">
        <f>IFERROR(__xludf.DUMMYFUNCTION("""COMPUTED_VALUE"""),43395.0)</f>
        <v>43395</v>
      </c>
      <c r="B42" s="1" t="str">
        <f>IFERROR(__xludf.DUMMYFUNCTION("""COMPUTED_VALUE"""),"7:30p")</f>
        <v>7:30p</v>
      </c>
      <c r="C42" s="1" t="str">
        <f>IFERROR(__xludf.DUMMYFUNCTION("""COMPUTED_VALUE"""),"Charlotte Hornets")</f>
        <v>Charlotte Hornets</v>
      </c>
      <c r="D42" s="1">
        <f>IFERROR(__xludf.DUMMYFUNCTION("""COMPUTED_VALUE"""),106.0)</f>
        <v>106</v>
      </c>
      <c r="E42" s="1" t="str">
        <f>IFERROR(__xludf.DUMMYFUNCTION("""COMPUTED_VALUE"""),"Toronto Raptors")</f>
        <v>Toronto Raptors</v>
      </c>
      <c r="F42" s="1">
        <f>IFERROR(__xludf.DUMMYFUNCTION("""COMPUTED_VALUE"""),127.0)</f>
        <v>127</v>
      </c>
      <c r="G42" s="1" t="str">
        <f>IFERROR(__xludf.DUMMYFUNCTION("""COMPUTED_VALUE"""),"Box Score")</f>
        <v>Box Score</v>
      </c>
      <c r="H42" s="1"/>
      <c r="I42" s="3">
        <f>IFERROR(__xludf.DUMMYFUNCTION("""COMPUTED_VALUE"""),19800.0)</f>
        <v>19800</v>
      </c>
      <c r="J42" s="1"/>
    </row>
    <row r="43" ht="15.75" customHeight="1">
      <c r="A43" s="2">
        <f>IFERROR(__xludf.DUMMYFUNCTION("""COMPUTED_VALUE"""),43395.0)</f>
        <v>43395</v>
      </c>
      <c r="B43" s="1" t="str">
        <f>IFERROR(__xludf.DUMMYFUNCTION("""COMPUTED_VALUE"""),"8:00p")</f>
        <v>8:00p</v>
      </c>
      <c r="C43" s="1" t="str">
        <f>IFERROR(__xludf.DUMMYFUNCTION("""COMPUTED_VALUE"""),"New York Knicks")</f>
        <v>New York Knicks</v>
      </c>
      <c r="D43" s="1">
        <f>IFERROR(__xludf.DUMMYFUNCTION("""COMPUTED_VALUE"""),113.0)</f>
        <v>113</v>
      </c>
      <c r="E43" s="1" t="str">
        <f>IFERROR(__xludf.DUMMYFUNCTION("""COMPUTED_VALUE"""),"Milwaukee Bucks")</f>
        <v>Milwaukee Bucks</v>
      </c>
      <c r="F43" s="1">
        <f>IFERROR(__xludf.DUMMYFUNCTION("""COMPUTED_VALUE"""),124.0)</f>
        <v>124</v>
      </c>
      <c r="G43" s="1" t="str">
        <f>IFERROR(__xludf.DUMMYFUNCTION("""COMPUTED_VALUE"""),"Box Score")</f>
        <v>Box Score</v>
      </c>
      <c r="H43" s="1"/>
      <c r="I43" s="3">
        <f>IFERROR(__xludf.DUMMYFUNCTION("""COMPUTED_VALUE"""),16228.0)</f>
        <v>16228</v>
      </c>
      <c r="J43" s="1"/>
    </row>
    <row r="44" ht="15.75" customHeight="1">
      <c r="A44" s="2">
        <f>IFERROR(__xludf.DUMMYFUNCTION("""COMPUTED_VALUE"""),43395.0)</f>
        <v>43395</v>
      </c>
      <c r="B44" s="1" t="str">
        <f>IFERROR(__xludf.DUMMYFUNCTION("""COMPUTED_VALUE"""),"8:00p")</f>
        <v>8:00p</v>
      </c>
      <c r="C44" s="1" t="str">
        <f>IFERROR(__xludf.DUMMYFUNCTION("""COMPUTED_VALUE"""),"Indiana Pacers")</f>
        <v>Indiana Pacers</v>
      </c>
      <c r="D44" s="1">
        <f>IFERROR(__xludf.DUMMYFUNCTION("""COMPUTED_VALUE"""),91.0)</f>
        <v>91</v>
      </c>
      <c r="E44" s="1" t="str">
        <f>IFERROR(__xludf.DUMMYFUNCTION("""COMPUTED_VALUE"""),"Minnesota Timberwolves")</f>
        <v>Minnesota Timberwolves</v>
      </c>
      <c r="F44" s="1">
        <f>IFERROR(__xludf.DUMMYFUNCTION("""COMPUTED_VALUE"""),101.0)</f>
        <v>101</v>
      </c>
      <c r="G44" s="1" t="str">
        <f>IFERROR(__xludf.DUMMYFUNCTION("""COMPUTED_VALUE"""),"Box Score")</f>
        <v>Box Score</v>
      </c>
      <c r="H44" s="1"/>
      <c r="I44" s="3">
        <f>IFERROR(__xludf.DUMMYFUNCTION("""COMPUTED_VALUE"""),10371.0)</f>
        <v>10371</v>
      </c>
      <c r="J44" s="1"/>
    </row>
    <row r="45" ht="15.75" customHeight="1">
      <c r="A45" s="2">
        <f>IFERROR(__xludf.DUMMYFUNCTION("""COMPUTED_VALUE"""),43395.0)</f>
        <v>43395</v>
      </c>
      <c r="B45" s="1" t="str">
        <f>IFERROR(__xludf.DUMMYFUNCTION("""COMPUTED_VALUE"""),"8:30p")</f>
        <v>8:30p</v>
      </c>
      <c r="C45" s="1" t="str">
        <f>IFERROR(__xludf.DUMMYFUNCTION("""COMPUTED_VALUE"""),"Chicago Bulls")</f>
        <v>Chicago Bulls</v>
      </c>
      <c r="D45" s="1">
        <f>IFERROR(__xludf.DUMMYFUNCTION("""COMPUTED_VALUE"""),109.0)</f>
        <v>109</v>
      </c>
      <c r="E45" s="1" t="str">
        <f>IFERROR(__xludf.DUMMYFUNCTION("""COMPUTED_VALUE"""),"Dallas Mavericks")</f>
        <v>Dallas Mavericks</v>
      </c>
      <c r="F45" s="1">
        <f>IFERROR(__xludf.DUMMYFUNCTION("""COMPUTED_VALUE"""),115.0)</f>
        <v>115</v>
      </c>
      <c r="G45" s="1" t="str">
        <f>IFERROR(__xludf.DUMMYFUNCTION("""COMPUTED_VALUE"""),"Box Score")</f>
        <v>Box Score</v>
      </c>
      <c r="H45" s="1"/>
      <c r="I45" s="3">
        <f>IFERROR(__xludf.DUMMYFUNCTION("""COMPUTED_VALUE"""),19291.0)</f>
        <v>19291</v>
      </c>
      <c r="J45" s="1"/>
    </row>
    <row r="46" ht="15.75" customHeight="1">
      <c r="A46" s="2">
        <f>IFERROR(__xludf.DUMMYFUNCTION("""COMPUTED_VALUE"""),43395.0)</f>
        <v>43395</v>
      </c>
      <c r="B46" s="1" t="str">
        <f>IFERROR(__xludf.DUMMYFUNCTION("""COMPUTED_VALUE"""),"9:00p")</f>
        <v>9:00p</v>
      </c>
      <c r="C46" s="1" t="str">
        <f>IFERROR(__xludf.DUMMYFUNCTION("""COMPUTED_VALUE"""),"Memphis Grizzlies")</f>
        <v>Memphis Grizzlies</v>
      </c>
      <c r="D46" s="1">
        <f>IFERROR(__xludf.DUMMYFUNCTION("""COMPUTED_VALUE"""),92.0)</f>
        <v>92</v>
      </c>
      <c r="E46" s="1" t="str">
        <f>IFERROR(__xludf.DUMMYFUNCTION("""COMPUTED_VALUE"""),"Utah Jazz")</f>
        <v>Utah Jazz</v>
      </c>
      <c r="F46" s="1">
        <f>IFERROR(__xludf.DUMMYFUNCTION("""COMPUTED_VALUE"""),84.0)</f>
        <v>84</v>
      </c>
      <c r="G46" s="1" t="str">
        <f>IFERROR(__xludf.DUMMYFUNCTION("""COMPUTED_VALUE"""),"Box Score")</f>
        <v>Box Score</v>
      </c>
      <c r="H46" s="1"/>
      <c r="I46" s="3">
        <f>IFERROR(__xludf.DUMMYFUNCTION("""COMPUTED_VALUE"""),18306.0)</f>
        <v>18306</v>
      </c>
      <c r="J46" s="1"/>
    </row>
    <row r="47" ht="15.75" customHeight="1">
      <c r="A47" s="2">
        <f>IFERROR(__xludf.DUMMYFUNCTION("""COMPUTED_VALUE"""),43395.0)</f>
        <v>43395</v>
      </c>
      <c r="B47" s="1" t="str">
        <f>IFERROR(__xludf.DUMMYFUNCTION("""COMPUTED_VALUE"""),"10:00p")</f>
        <v>10:00p</v>
      </c>
      <c r="C47" s="1" t="str">
        <f>IFERROR(__xludf.DUMMYFUNCTION("""COMPUTED_VALUE"""),"Washington Wizards")</f>
        <v>Washington Wizards</v>
      </c>
      <c r="D47" s="1">
        <f>IFERROR(__xludf.DUMMYFUNCTION("""COMPUTED_VALUE"""),125.0)</f>
        <v>125</v>
      </c>
      <c r="E47" s="1" t="str">
        <f>IFERROR(__xludf.DUMMYFUNCTION("""COMPUTED_VALUE"""),"Portland Trail Blazers")</f>
        <v>Portland Trail Blazers</v>
      </c>
      <c r="F47" s="1">
        <f>IFERROR(__xludf.DUMMYFUNCTION("""COMPUTED_VALUE"""),124.0)</f>
        <v>124</v>
      </c>
      <c r="G47" s="1" t="str">
        <f>IFERROR(__xludf.DUMMYFUNCTION("""COMPUTED_VALUE"""),"Box Score")</f>
        <v>Box Score</v>
      </c>
      <c r="H47" s="1" t="str">
        <f>IFERROR(__xludf.DUMMYFUNCTION("""COMPUTED_VALUE"""),"OT")</f>
        <v>OT</v>
      </c>
      <c r="I47" s="3">
        <f>IFERROR(__xludf.DUMMYFUNCTION("""COMPUTED_VALUE"""),19187.0)</f>
        <v>19187</v>
      </c>
      <c r="J47" s="1"/>
    </row>
    <row r="48" ht="15.75" customHeight="1">
      <c r="A48" s="2">
        <f>IFERROR(__xludf.DUMMYFUNCTION("""COMPUTED_VALUE"""),43395.0)</f>
        <v>43395</v>
      </c>
      <c r="B48" s="1" t="str">
        <f>IFERROR(__xludf.DUMMYFUNCTION("""COMPUTED_VALUE"""),"10:30p")</f>
        <v>10:30p</v>
      </c>
      <c r="C48" s="1" t="str">
        <f>IFERROR(__xludf.DUMMYFUNCTION("""COMPUTED_VALUE"""),"Phoenix Suns")</f>
        <v>Phoenix Suns</v>
      </c>
      <c r="D48" s="1">
        <f>IFERROR(__xludf.DUMMYFUNCTION("""COMPUTED_VALUE"""),103.0)</f>
        <v>103</v>
      </c>
      <c r="E48" s="1" t="str">
        <f>IFERROR(__xludf.DUMMYFUNCTION("""COMPUTED_VALUE"""),"Golden State Warriors")</f>
        <v>Golden State Warriors</v>
      </c>
      <c r="F48" s="1">
        <f>IFERROR(__xludf.DUMMYFUNCTION("""COMPUTED_VALUE"""),123.0)</f>
        <v>123</v>
      </c>
      <c r="G48" s="1" t="str">
        <f>IFERROR(__xludf.DUMMYFUNCTION("""COMPUTED_VALUE"""),"Box Score")</f>
        <v>Box Score</v>
      </c>
      <c r="H48" s="1"/>
      <c r="I48" s="3">
        <f>IFERROR(__xludf.DUMMYFUNCTION("""COMPUTED_VALUE"""),19596.0)</f>
        <v>19596</v>
      </c>
      <c r="J48" s="1"/>
    </row>
    <row r="49" ht="15.75" customHeight="1">
      <c r="A49" s="2">
        <f>IFERROR(__xludf.DUMMYFUNCTION("""COMPUTED_VALUE"""),43395.0)</f>
        <v>43395</v>
      </c>
      <c r="B49" s="1" t="str">
        <f>IFERROR(__xludf.DUMMYFUNCTION("""COMPUTED_VALUE"""),"10:30p")</f>
        <v>10:30p</v>
      </c>
      <c r="C49" s="1" t="str">
        <f>IFERROR(__xludf.DUMMYFUNCTION("""COMPUTED_VALUE"""),"San Antonio Spurs")</f>
        <v>San Antonio Spurs</v>
      </c>
      <c r="D49" s="1">
        <f>IFERROR(__xludf.DUMMYFUNCTION("""COMPUTED_VALUE"""),143.0)</f>
        <v>143</v>
      </c>
      <c r="E49" s="1" t="str">
        <f>IFERROR(__xludf.DUMMYFUNCTION("""COMPUTED_VALUE"""),"Los Angeles Lakers")</f>
        <v>Los Angeles Lakers</v>
      </c>
      <c r="F49" s="1">
        <f>IFERROR(__xludf.DUMMYFUNCTION("""COMPUTED_VALUE"""),142.0)</f>
        <v>142</v>
      </c>
      <c r="G49" s="1" t="str">
        <f>IFERROR(__xludf.DUMMYFUNCTION("""COMPUTED_VALUE"""),"Box Score")</f>
        <v>Box Score</v>
      </c>
      <c r="H49" s="1" t="str">
        <f>IFERROR(__xludf.DUMMYFUNCTION("""COMPUTED_VALUE"""),"OT")</f>
        <v>OT</v>
      </c>
      <c r="I49" s="3">
        <f>IFERROR(__xludf.DUMMYFUNCTION("""COMPUTED_VALUE"""),18997.0)</f>
        <v>18997</v>
      </c>
      <c r="J49" s="1"/>
    </row>
    <row r="50" ht="15.75" customHeight="1">
      <c r="A50" s="2">
        <f>IFERROR(__xludf.DUMMYFUNCTION("""COMPUTED_VALUE"""),43396.0)</f>
        <v>43396</v>
      </c>
      <c r="B50" s="1" t="str">
        <f>IFERROR(__xludf.DUMMYFUNCTION("""COMPUTED_VALUE"""),"7:00p")</f>
        <v>7:00p</v>
      </c>
      <c r="C50" s="1" t="str">
        <f>IFERROR(__xludf.DUMMYFUNCTION("""COMPUTED_VALUE"""),"Philadelphia 76ers")</f>
        <v>Philadelphia 76ers</v>
      </c>
      <c r="D50" s="1">
        <f>IFERROR(__xludf.DUMMYFUNCTION("""COMPUTED_VALUE"""),132.0)</f>
        <v>132</v>
      </c>
      <c r="E50" s="1" t="str">
        <f>IFERROR(__xludf.DUMMYFUNCTION("""COMPUTED_VALUE"""),"Detroit Pistons")</f>
        <v>Detroit Pistons</v>
      </c>
      <c r="F50" s="1">
        <f>IFERROR(__xludf.DUMMYFUNCTION("""COMPUTED_VALUE"""),133.0)</f>
        <v>133</v>
      </c>
      <c r="G50" s="1" t="str">
        <f>IFERROR(__xludf.DUMMYFUNCTION("""COMPUTED_VALUE"""),"Box Score")</f>
        <v>Box Score</v>
      </c>
      <c r="H50" s="1" t="str">
        <f>IFERROR(__xludf.DUMMYFUNCTION("""COMPUTED_VALUE"""),"OT")</f>
        <v>OT</v>
      </c>
      <c r="I50" s="3">
        <f>IFERROR(__xludf.DUMMYFUNCTION("""COMPUTED_VALUE"""),14418.0)</f>
        <v>14418</v>
      </c>
      <c r="J50" s="1"/>
    </row>
    <row r="51" ht="15.75" customHeight="1">
      <c r="A51" s="2">
        <f>IFERROR(__xludf.DUMMYFUNCTION("""COMPUTED_VALUE"""),43396.0)</f>
        <v>43396</v>
      </c>
      <c r="B51" s="1" t="str">
        <f>IFERROR(__xludf.DUMMYFUNCTION("""COMPUTED_VALUE"""),"8:00p")</f>
        <v>8:00p</v>
      </c>
      <c r="C51" s="1" t="str">
        <f>IFERROR(__xludf.DUMMYFUNCTION("""COMPUTED_VALUE"""),"Los Angeles Clippers")</f>
        <v>Los Angeles Clippers</v>
      </c>
      <c r="D51" s="1">
        <f>IFERROR(__xludf.DUMMYFUNCTION("""COMPUTED_VALUE"""),109.0)</f>
        <v>109</v>
      </c>
      <c r="E51" s="1" t="str">
        <f>IFERROR(__xludf.DUMMYFUNCTION("""COMPUTED_VALUE"""),"New Orleans Pelicans")</f>
        <v>New Orleans Pelicans</v>
      </c>
      <c r="F51" s="1">
        <f>IFERROR(__xludf.DUMMYFUNCTION("""COMPUTED_VALUE"""),116.0)</f>
        <v>116</v>
      </c>
      <c r="G51" s="1" t="str">
        <f>IFERROR(__xludf.DUMMYFUNCTION("""COMPUTED_VALUE"""),"Box Score")</f>
        <v>Box Score</v>
      </c>
      <c r="H51" s="1"/>
      <c r="I51" s="3">
        <f>IFERROR(__xludf.DUMMYFUNCTION("""COMPUTED_VALUE"""),14625.0)</f>
        <v>14625</v>
      </c>
      <c r="J51" s="1"/>
    </row>
    <row r="52" ht="15.75" customHeight="1">
      <c r="A52" s="2">
        <f>IFERROR(__xludf.DUMMYFUNCTION("""COMPUTED_VALUE"""),43396.0)</f>
        <v>43396</v>
      </c>
      <c r="B52" s="1" t="str">
        <f>IFERROR(__xludf.DUMMYFUNCTION("""COMPUTED_VALUE"""),"9:00p")</f>
        <v>9:00p</v>
      </c>
      <c r="C52" s="1" t="str">
        <f>IFERROR(__xludf.DUMMYFUNCTION("""COMPUTED_VALUE"""),"Sacramento Kings")</f>
        <v>Sacramento Kings</v>
      </c>
      <c r="D52" s="1">
        <f>IFERROR(__xludf.DUMMYFUNCTION("""COMPUTED_VALUE"""),112.0)</f>
        <v>112</v>
      </c>
      <c r="E52" s="1" t="str">
        <f>IFERROR(__xludf.DUMMYFUNCTION("""COMPUTED_VALUE"""),"Denver Nuggets")</f>
        <v>Denver Nuggets</v>
      </c>
      <c r="F52" s="1">
        <f>IFERROR(__xludf.DUMMYFUNCTION("""COMPUTED_VALUE"""),126.0)</f>
        <v>126</v>
      </c>
      <c r="G52" s="1" t="str">
        <f>IFERROR(__xludf.DUMMYFUNCTION("""COMPUTED_VALUE"""),"Box Score")</f>
        <v>Box Score</v>
      </c>
      <c r="H52" s="1"/>
      <c r="I52" s="3">
        <f>IFERROR(__xludf.DUMMYFUNCTION("""COMPUTED_VALUE"""),13214.0)</f>
        <v>13214</v>
      </c>
      <c r="J52" s="1"/>
    </row>
    <row r="53" ht="15.75" customHeight="1">
      <c r="A53" s="2">
        <f>IFERROR(__xludf.DUMMYFUNCTION("""COMPUTED_VALUE"""),43397.0)</f>
        <v>43397</v>
      </c>
      <c r="B53" s="1" t="str">
        <f>IFERROR(__xludf.DUMMYFUNCTION("""COMPUTED_VALUE"""),"7:00p")</f>
        <v>7:00p</v>
      </c>
      <c r="C53" s="1" t="str">
        <f>IFERROR(__xludf.DUMMYFUNCTION("""COMPUTED_VALUE"""),"Dallas Mavericks")</f>
        <v>Dallas Mavericks</v>
      </c>
      <c r="D53" s="1">
        <f>IFERROR(__xludf.DUMMYFUNCTION("""COMPUTED_VALUE"""),104.0)</f>
        <v>104</v>
      </c>
      <c r="E53" s="1" t="str">
        <f>IFERROR(__xludf.DUMMYFUNCTION("""COMPUTED_VALUE"""),"Atlanta Hawks")</f>
        <v>Atlanta Hawks</v>
      </c>
      <c r="F53" s="1">
        <f>IFERROR(__xludf.DUMMYFUNCTION("""COMPUTED_VALUE"""),111.0)</f>
        <v>111</v>
      </c>
      <c r="G53" s="1" t="str">
        <f>IFERROR(__xludf.DUMMYFUNCTION("""COMPUTED_VALUE"""),"Box Score")</f>
        <v>Box Score</v>
      </c>
      <c r="H53" s="1"/>
      <c r="I53" s="3">
        <f>IFERROR(__xludf.DUMMYFUNCTION("""COMPUTED_VALUE"""),16705.0)</f>
        <v>16705</v>
      </c>
      <c r="J53" s="1"/>
    </row>
    <row r="54" ht="15.75" customHeight="1">
      <c r="A54" s="2">
        <f>IFERROR(__xludf.DUMMYFUNCTION("""COMPUTED_VALUE"""),43397.0)</f>
        <v>43397</v>
      </c>
      <c r="B54" s="1" t="str">
        <f>IFERROR(__xludf.DUMMYFUNCTION("""COMPUTED_VALUE"""),"7:00p")</f>
        <v>7:00p</v>
      </c>
      <c r="C54" s="1" t="str">
        <f>IFERROR(__xludf.DUMMYFUNCTION("""COMPUTED_VALUE"""),"Brooklyn Nets")</f>
        <v>Brooklyn Nets</v>
      </c>
      <c r="D54" s="1">
        <f>IFERROR(__xludf.DUMMYFUNCTION("""COMPUTED_VALUE"""),102.0)</f>
        <v>102</v>
      </c>
      <c r="E54" s="1" t="str">
        <f>IFERROR(__xludf.DUMMYFUNCTION("""COMPUTED_VALUE"""),"Cleveland Cavaliers")</f>
        <v>Cleveland Cavaliers</v>
      </c>
      <c r="F54" s="1">
        <f>IFERROR(__xludf.DUMMYFUNCTION("""COMPUTED_VALUE"""),86.0)</f>
        <v>86</v>
      </c>
      <c r="G54" s="1" t="str">
        <f>IFERROR(__xludf.DUMMYFUNCTION("""COMPUTED_VALUE"""),"Box Score")</f>
        <v>Box Score</v>
      </c>
      <c r="H54" s="1"/>
      <c r="I54" s="3">
        <f>IFERROR(__xludf.DUMMYFUNCTION("""COMPUTED_VALUE"""),19432.0)</f>
        <v>19432</v>
      </c>
      <c r="J54" s="1"/>
    </row>
    <row r="55" ht="15.75" customHeight="1">
      <c r="A55" s="2">
        <f>IFERROR(__xludf.DUMMYFUNCTION("""COMPUTED_VALUE"""),43397.0)</f>
        <v>43397</v>
      </c>
      <c r="B55" s="1" t="str">
        <f>IFERROR(__xludf.DUMMYFUNCTION("""COMPUTED_VALUE"""),"7:30p")</f>
        <v>7:30p</v>
      </c>
      <c r="C55" s="1" t="str">
        <f>IFERROR(__xludf.DUMMYFUNCTION("""COMPUTED_VALUE"""),"New York Knicks")</f>
        <v>New York Knicks</v>
      </c>
      <c r="D55" s="1">
        <f>IFERROR(__xludf.DUMMYFUNCTION("""COMPUTED_VALUE"""),87.0)</f>
        <v>87</v>
      </c>
      <c r="E55" s="1" t="str">
        <f>IFERROR(__xludf.DUMMYFUNCTION("""COMPUTED_VALUE"""),"Miami Heat")</f>
        <v>Miami Heat</v>
      </c>
      <c r="F55" s="1">
        <f>IFERROR(__xludf.DUMMYFUNCTION("""COMPUTED_VALUE"""),110.0)</f>
        <v>110</v>
      </c>
      <c r="G55" s="1" t="str">
        <f>IFERROR(__xludf.DUMMYFUNCTION("""COMPUTED_VALUE"""),"Box Score")</f>
        <v>Box Score</v>
      </c>
      <c r="H55" s="1"/>
      <c r="I55" s="3">
        <f>IFERROR(__xludf.DUMMYFUNCTION("""COMPUTED_VALUE"""),19600.0)</f>
        <v>19600</v>
      </c>
      <c r="J55" s="1"/>
    </row>
    <row r="56" ht="15.75" customHeight="1">
      <c r="A56" s="2">
        <f>IFERROR(__xludf.DUMMYFUNCTION("""COMPUTED_VALUE"""),43397.0)</f>
        <v>43397</v>
      </c>
      <c r="B56" s="1" t="str">
        <f>IFERROR(__xludf.DUMMYFUNCTION("""COMPUTED_VALUE"""),"7:30p")</f>
        <v>7:30p</v>
      </c>
      <c r="C56" s="1" t="str">
        <f>IFERROR(__xludf.DUMMYFUNCTION("""COMPUTED_VALUE"""),"Minnesota Timberwolves")</f>
        <v>Minnesota Timberwolves</v>
      </c>
      <c r="D56" s="1">
        <f>IFERROR(__xludf.DUMMYFUNCTION("""COMPUTED_VALUE"""),105.0)</f>
        <v>105</v>
      </c>
      <c r="E56" s="1" t="str">
        <f>IFERROR(__xludf.DUMMYFUNCTION("""COMPUTED_VALUE"""),"Toronto Raptors")</f>
        <v>Toronto Raptors</v>
      </c>
      <c r="F56" s="1">
        <f>IFERROR(__xludf.DUMMYFUNCTION("""COMPUTED_VALUE"""),112.0)</f>
        <v>112</v>
      </c>
      <c r="G56" s="1" t="str">
        <f>IFERROR(__xludf.DUMMYFUNCTION("""COMPUTED_VALUE"""),"Box Score")</f>
        <v>Box Score</v>
      </c>
      <c r="H56" s="1"/>
      <c r="I56" s="3">
        <f>IFERROR(__xludf.DUMMYFUNCTION("""COMPUTED_VALUE"""),19800.0)</f>
        <v>19800</v>
      </c>
      <c r="J56" s="1"/>
    </row>
    <row r="57" ht="15.75" customHeight="1">
      <c r="A57" s="2">
        <f>IFERROR(__xludf.DUMMYFUNCTION("""COMPUTED_VALUE"""),43397.0)</f>
        <v>43397</v>
      </c>
      <c r="B57" s="1" t="str">
        <f>IFERROR(__xludf.DUMMYFUNCTION("""COMPUTED_VALUE"""),"8:00p")</f>
        <v>8:00p</v>
      </c>
      <c r="C57" s="1" t="str">
        <f>IFERROR(__xludf.DUMMYFUNCTION("""COMPUTED_VALUE"""),"Charlotte Hornets")</f>
        <v>Charlotte Hornets</v>
      </c>
      <c r="D57" s="1">
        <f>IFERROR(__xludf.DUMMYFUNCTION("""COMPUTED_VALUE"""),110.0)</f>
        <v>110</v>
      </c>
      <c r="E57" s="1" t="str">
        <f>IFERROR(__xludf.DUMMYFUNCTION("""COMPUTED_VALUE"""),"Chicago Bulls")</f>
        <v>Chicago Bulls</v>
      </c>
      <c r="F57" s="1">
        <f>IFERROR(__xludf.DUMMYFUNCTION("""COMPUTED_VALUE"""),112.0)</f>
        <v>112</v>
      </c>
      <c r="G57" s="1" t="str">
        <f>IFERROR(__xludf.DUMMYFUNCTION("""COMPUTED_VALUE"""),"Box Score")</f>
        <v>Box Score</v>
      </c>
      <c r="H57" s="1"/>
      <c r="I57" s="3">
        <f>IFERROR(__xludf.DUMMYFUNCTION("""COMPUTED_VALUE"""),19170.0)</f>
        <v>19170</v>
      </c>
      <c r="J57" s="1"/>
    </row>
    <row r="58" ht="15.75" customHeight="1">
      <c r="A58" s="2">
        <f>IFERROR(__xludf.DUMMYFUNCTION("""COMPUTED_VALUE"""),43397.0)</f>
        <v>43397</v>
      </c>
      <c r="B58" s="1" t="str">
        <f>IFERROR(__xludf.DUMMYFUNCTION("""COMPUTED_VALUE"""),"8:00p")</f>
        <v>8:00p</v>
      </c>
      <c r="C58" s="1" t="str">
        <f>IFERROR(__xludf.DUMMYFUNCTION("""COMPUTED_VALUE"""),"Utah Jazz")</f>
        <v>Utah Jazz</v>
      </c>
      <c r="D58" s="1">
        <f>IFERROR(__xludf.DUMMYFUNCTION("""COMPUTED_VALUE"""),100.0)</f>
        <v>100</v>
      </c>
      <c r="E58" s="1" t="str">
        <f>IFERROR(__xludf.DUMMYFUNCTION("""COMPUTED_VALUE"""),"Houston Rockets")</f>
        <v>Houston Rockets</v>
      </c>
      <c r="F58" s="1">
        <f>IFERROR(__xludf.DUMMYFUNCTION("""COMPUTED_VALUE"""),89.0)</f>
        <v>89</v>
      </c>
      <c r="G58" s="1" t="str">
        <f>IFERROR(__xludf.DUMMYFUNCTION("""COMPUTED_VALUE"""),"Box Score")</f>
        <v>Box Score</v>
      </c>
      <c r="H58" s="1"/>
      <c r="I58" s="3">
        <f>IFERROR(__xludf.DUMMYFUNCTION("""COMPUTED_VALUE"""),18055.0)</f>
        <v>18055</v>
      </c>
      <c r="J58" s="1"/>
    </row>
    <row r="59" ht="15.75" customHeight="1">
      <c r="A59" s="2">
        <f>IFERROR(__xludf.DUMMYFUNCTION("""COMPUTED_VALUE"""),43397.0)</f>
        <v>43397</v>
      </c>
      <c r="B59" s="1" t="str">
        <f>IFERROR(__xludf.DUMMYFUNCTION("""COMPUTED_VALUE"""),"8:30p")</f>
        <v>8:30p</v>
      </c>
      <c r="C59" s="1" t="str">
        <f>IFERROR(__xludf.DUMMYFUNCTION("""COMPUTED_VALUE"""),"Indiana Pacers")</f>
        <v>Indiana Pacers</v>
      </c>
      <c r="D59" s="1">
        <f>IFERROR(__xludf.DUMMYFUNCTION("""COMPUTED_VALUE"""),116.0)</f>
        <v>116</v>
      </c>
      <c r="E59" s="1" t="str">
        <f>IFERROR(__xludf.DUMMYFUNCTION("""COMPUTED_VALUE"""),"San Antonio Spurs")</f>
        <v>San Antonio Spurs</v>
      </c>
      <c r="F59" s="1">
        <f>IFERROR(__xludf.DUMMYFUNCTION("""COMPUTED_VALUE"""),96.0)</f>
        <v>96</v>
      </c>
      <c r="G59" s="1" t="str">
        <f>IFERROR(__xludf.DUMMYFUNCTION("""COMPUTED_VALUE"""),"Box Score")</f>
        <v>Box Score</v>
      </c>
      <c r="H59" s="1"/>
      <c r="I59" s="3">
        <f>IFERROR(__xludf.DUMMYFUNCTION("""COMPUTED_VALUE"""),18354.0)</f>
        <v>18354</v>
      </c>
      <c r="J59" s="1"/>
    </row>
    <row r="60" ht="15.75" customHeight="1">
      <c r="A60" s="2">
        <f>IFERROR(__xludf.DUMMYFUNCTION("""COMPUTED_VALUE"""),43397.0)</f>
        <v>43397</v>
      </c>
      <c r="B60" s="1" t="str">
        <f>IFERROR(__xludf.DUMMYFUNCTION("""COMPUTED_VALUE"""),"9:30p")</f>
        <v>9:30p</v>
      </c>
      <c r="C60" s="1" t="str">
        <f>IFERROR(__xludf.DUMMYFUNCTION("""COMPUTED_VALUE"""),"Philadelphia 76ers")</f>
        <v>Philadelphia 76ers</v>
      </c>
      <c r="D60" s="1">
        <f>IFERROR(__xludf.DUMMYFUNCTION("""COMPUTED_VALUE"""),108.0)</f>
        <v>108</v>
      </c>
      <c r="E60" s="1" t="str">
        <f>IFERROR(__xludf.DUMMYFUNCTION("""COMPUTED_VALUE"""),"Milwaukee Bucks")</f>
        <v>Milwaukee Bucks</v>
      </c>
      <c r="F60" s="1">
        <f>IFERROR(__xludf.DUMMYFUNCTION("""COMPUTED_VALUE"""),123.0)</f>
        <v>123</v>
      </c>
      <c r="G60" s="1" t="str">
        <f>IFERROR(__xludf.DUMMYFUNCTION("""COMPUTED_VALUE"""),"Box Score")</f>
        <v>Box Score</v>
      </c>
      <c r="H60" s="1"/>
      <c r="I60" s="3">
        <f>IFERROR(__xludf.DUMMYFUNCTION("""COMPUTED_VALUE"""),17341.0)</f>
        <v>17341</v>
      </c>
      <c r="J60" s="1"/>
    </row>
    <row r="61" ht="15.75" customHeight="1">
      <c r="A61" s="2">
        <f>IFERROR(__xludf.DUMMYFUNCTION("""COMPUTED_VALUE"""),43397.0)</f>
        <v>43397</v>
      </c>
      <c r="B61" s="1" t="str">
        <f>IFERROR(__xludf.DUMMYFUNCTION("""COMPUTED_VALUE"""),"10:00p")</f>
        <v>10:00p</v>
      </c>
      <c r="C61" s="1" t="str">
        <f>IFERROR(__xludf.DUMMYFUNCTION("""COMPUTED_VALUE"""),"Los Angeles Lakers")</f>
        <v>Los Angeles Lakers</v>
      </c>
      <c r="D61" s="1">
        <f>IFERROR(__xludf.DUMMYFUNCTION("""COMPUTED_VALUE"""),131.0)</f>
        <v>131</v>
      </c>
      <c r="E61" s="1" t="str">
        <f>IFERROR(__xludf.DUMMYFUNCTION("""COMPUTED_VALUE"""),"Phoenix Suns")</f>
        <v>Phoenix Suns</v>
      </c>
      <c r="F61" s="1">
        <f>IFERROR(__xludf.DUMMYFUNCTION("""COMPUTED_VALUE"""),113.0)</f>
        <v>113</v>
      </c>
      <c r="G61" s="1" t="str">
        <f>IFERROR(__xludf.DUMMYFUNCTION("""COMPUTED_VALUE"""),"Box Score")</f>
        <v>Box Score</v>
      </c>
      <c r="H61" s="1"/>
      <c r="I61" s="3">
        <f>IFERROR(__xludf.DUMMYFUNCTION("""COMPUTED_VALUE"""),18055.0)</f>
        <v>18055</v>
      </c>
      <c r="J61" s="1"/>
    </row>
    <row r="62" ht="15.75" customHeight="1">
      <c r="A62" s="2">
        <f>IFERROR(__xludf.DUMMYFUNCTION("""COMPUTED_VALUE"""),43397.0)</f>
        <v>43397</v>
      </c>
      <c r="B62" s="1" t="str">
        <f>IFERROR(__xludf.DUMMYFUNCTION("""COMPUTED_VALUE"""),"10:00p")</f>
        <v>10:00p</v>
      </c>
      <c r="C62" s="1" t="str">
        <f>IFERROR(__xludf.DUMMYFUNCTION("""COMPUTED_VALUE"""),"Memphis Grizzlies")</f>
        <v>Memphis Grizzlies</v>
      </c>
      <c r="D62" s="1">
        <f>IFERROR(__xludf.DUMMYFUNCTION("""COMPUTED_VALUE"""),92.0)</f>
        <v>92</v>
      </c>
      <c r="E62" s="1" t="str">
        <f>IFERROR(__xludf.DUMMYFUNCTION("""COMPUTED_VALUE"""),"Sacramento Kings")</f>
        <v>Sacramento Kings</v>
      </c>
      <c r="F62" s="1">
        <f>IFERROR(__xludf.DUMMYFUNCTION("""COMPUTED_VALUE"""),97.0)</f>
        <v>97</v>
      </c>
      <c r="G62" s="1" t="str">
        <f>IFERROR(__xludf.DUMMYFUNCTION("""COMPUTED_VALUE"""),"Box Score")</f>
        <v>Box Score</v>
      </c>
      <c r="H62" s="1"/>
      <c r="I62" s="3">
        <f>IFERROR(__xludf.DUMMYFUNCTION("""COMPUTED_VALUE"""),14198.0)</f>
        <v>14198</v>
      </c>
      <c r="J62" s="1"/>
    </row>
    <row r="63" ht="15.75" customHeight="1">
      <c r="A63" s="2">
        <f>IFERROR(__xludf.DUMMYFUNCTION("""COMPUTED_VALUE"""),43397.0)</f>
        <v>43397</v>
      </c>
      <c r="B63" s="1" t="str">
        <f>IFERROR(__xludf.DUMMYFUNCTION("""COMPUTED_VALUE"""),"10:30p")</f>
        <v>10:30p</v>
      </c>
      <c r="C63" s="1" t="str">
        <f>IFERROR(__xludf.DUMMYFUNCTION("""COMPUTED_VALUE"""),"Washington Wizards")</f>
        <v>Washington Wizards</v>
      </c>
      <c r="D63" s="1">
        <f>IFERROR(__xludf.DUMMYFUNCTION("""COMPUTED_VALUE"""),122.0)</f>
        <v>122</v>
      </c>
      <c r="E63" s="1" t="str">
        <f>IFERROR(__xludf.DUMMYFUNCTION("""COMPUTED_VALUE"""),"Golden State Warriors")</f>
        <v>Golden State Warriors</v>
      </c>
      <c r="F63" s="1">
        <f>IFERROR(__xludf.DUMMYFUNCTION("""COMPUTED_VALUE"""),144.0)</f>
        <v>144</v>
      </c>
      <c r="G63" s="1" t="str">
        <f>IFERROR(__xludf.DUMMYFUNCTION("""COMPUTED_VALUE"""),"Box Score")</f>
        <v>Box Score</v>
      </c>
      <c r="H63" s="1"/>
      <c r="I63" s="3">
        <f>IFERROR(__xludf.DUMMYFUNCTION("""COMPUTED_VALUE"""),19596.0)</f>
        <v>19596</v>
      </c>
      <c r="J63" s="1"/>
    </row>
    <row r="64" ht="15.75" customHeight="1">
      <c r="A64" s="2">
        <f>IFERROR(__xludf.DUMMYFUNCTION("""COMPUTED_VALUE"""),43398.0)</f>
        <v>43398</v>
      </c>
      <c r="B64" s="1" t="str">
        <f>IFERROR(__xludf.DUMMYFUNCTION("""COMPUTED_VALUE"""),"7:00p")</f>
        <v>7:00p</v>
      </c>
      <c r="C64" s="1" t="str">
        <f>IFERROR(__xludf.DUMMYFUNCTION("""COMPUTED_VALUE"""),"Cleveland Cavaliers")</f>
        <v>Cleveland Cavaliers</v>
      </c>
      <c r="D64" s="1">
        <f>IFERROR(__xludf.DUMMYFUNCTION("""COMPUTED_VALUE"""),103.0)</f>
        <v>103</v>
      </c>
      <c r="E64" s="1" t="str">
        <f>IFERROR(__xludf.DUMMYFUNCTION("""COMPUTED_VALUE"""),"Detroit Pistons")</f>
        <v>Detroit Pistons</v>
      </c>
      <c r="F64" s="1">
        <f>IFERROR(__xludf.DUMMYFUNCTION("""COMPUTED_VALUE"""),110.0)</f>
        <v>110</v>
      </c>
      <c r="G64" s="1" t="str">
        <f>IFERROR(__xludf.DUMMYFUNCTION("""COMPUTED_VALUE"""),"Box Score")</f>
        <v>Box Score</v>
      </c>
      <c r="H64" s="1"/>
      <c r="I64" s="3">
        <f>IFERROR(__xludf.DUMMYFUNCTION("""COMPUTED_VALUE"""),15896.0)</f>
        <v>15896</v>
      </c>
      <c r="J64" s="1"/>
    </row>
    <row r="65" ht="15.75" customHeight="1">
      <c r="A65" s="2">
        <f>IFERROR(__xludf.DUMMYFUNCTION("""COMPUTED_VALUE"""),43398.0)</f>
        <v>43398</v>
      </c>
      <c r="B65" s="1" t="str">
        <f>IFERROR(__xludf.DUMMYFUNCTION("""COMPUTED_VALUE"""),"7:00p")</f>
        <v>7:00p</v>
      </c>
      <c r="C65" s="1" t="str">
        <f>IFERROR(__xludf.DUMMYFUNCTION("""COMPUTED_VALUE"""),"Portland Trail Blazers")</f>
        <v>Portland Trail Blazers</v>
      </c>
      <c r="D65" s="1">
        <f>IFERROR(__xludf.DUMMYFUNCTION("""COMPUTED_VALUE"""),128.0)</f>
        <v>128</v>
      </c>
      <c r="E65" s="1" t="str">
        <f>IFERROR(__xludf.DUMMYFUNCTION("""COMPUTED_VALUE"""),"Orlando Magic")</f>
        <v>Orlando Magic</v>
      </c>
      <c r="F65" s="1">
        <f>IFERROR(__xludf.DUMMYFUNCTION("""COMPUTED_VALUE"""),114.0)</f>
        <v>114</v>
      </c>
      <c r="G65" s="1" t="str">
        <f>IFERROR(__xludf.DUMMYFUNCTION("""COMPUTED_VALUE"""),"Box Score")</f>
        <v>Box Score</v>
      </c>
      <c r="H65" s="1"/>
      <c r="I65" s="3">
        <f>IFERROR(__xludf.DUMMYFUNCTION("""COMPUTED_VALUE"""),15114.0)</f>
        <v>15114</v>
      </c>
      <c r="J65" s="1"/>
    </row>
    <row r="66" ht="15.75" customHeight="1">
      <c r="A66" s="2">
        <f>IFERROR(__xludf.DUMMYFUNCTION("""COMPUTED_VALUE"""),43398.0)</f>
        <v>43398</v>
      </c>
      <c r="B66" s="1" t="str">
        <f>IFERROR(__xludf.DUMMYFUNCTION("""COMPUTED_VALUE"""),"8:00p")</f>
        <v>8:00p</v>
      </c>
      <c r="C66" s="1" t="str">
        <f>IFERROR(__xludf.DUMMYFUNCTION("""COMPUTED_VALUE"""),"Boston Celtics")</f>
        <v>Boston Celtics</v>
      </c>
      <c r="D66" s="1">
        <f>IFERROR(__xludf.DUMMYFUNCTION("""COMPUTED_VALUE"""),101.0)</f>
        <v>101</v>
      </c>
      <c r="E66" s="1" t="str">
        <f>IFERROR(__xludf.DUMMYFUNCTION("""COMPUTED_VALUE"""),"Oklahoma City Thunder")</f>
        <v>Oklahoma City Thunder</v>
      </c>
      <c r="F66" s="1">
        <f>IFERROR(__xludf.DUMMYFUNCTION("""COMPUTED_VALUE"""),95.0)</f>
        <v>95</v>
      </c>
      <c r="G66" s="1" t="str">
        <f>IFERROR(__xludf.DUMMYFUNCTION("""COMPUTED_VALUE"""),"Box Score")</f>
        <v>Box Score</v>
      </c>
      <c r="H66" s="1"/>
      <c r="I66" s="3">
        <f>IFERROR(__xludf.DUMMYFUNCTION("""COMPUTED_VALUE"""),18203.0)</f>
        <v>18203</v>
      </c>
      <c r="J66" s="1"/>
    </row>
    <row r="67" ht="15.75" customHeight="1">
      <c r="A67" s="2">
        <f>IFERROR(__xludf.DUMMYFUNCTION("""COMPUTED_VALUE"""),43398.0)</f>
        <v>43398</v>
      </c>
      <c r="B67" s="1" t="str">
        <f>IFERROR(__xludf.DUMMYFUNCTION("""COMPUTED_VALUE"""),"10:30p")</f>
        <v>10:30p</v>
      </c>
      <c r="C67" s="1" t="str">
        <f>IFERROR(__xludf.DUMMYFUNCTION("""COMPUTED_VALUE"""),"Denver Nuggets")</f>
        <v>Denver Nuggets</v>
      </c>
      <c r="D67" s="1">
        <f>IFERROR(__xludf.DUMMYFUNCTION("""COMPUTED_VALUE"""),114.0)</f>
        <v>114</v>
      </c>
      <c r="E67" s="1" t="str">
        <f>IFERROR(__xludf.DUMMYFUNCTION("""COMPUTED_VALUE"""),"Los Angeles Lakers")</f>
        <v>Los Angeles Lakers</v>
      </c>
      <c r="F67" s="1">
        <f>IFERROR(__xludf.DUMMYFUNCTION("""COMPUTED_VALUE"""),121.0)</f>
        <v>121</v>
      </c>
      <c r="G67" s="1" t="str">
        <f>IFERROR(__xludf.DUMMYFUNCTION("""COMPUTED_VALUE"""),"Box Score")</f>
        <v>Box Score</v>
      </c>
      <c r="H67" s="1"/>
      <c r="I67" s="3">
        <f>IFERROR(__xludf.DUMMYFUNCTION("""COMPUTED_VALUE"""),18997.0)</f>
        <v>18997</v>
      </c>
      <c r="J67" s="1"/>
    </row>
    <row r="68" ht="15.75" customHeight="1">
      <c r="A68" s="2">
        <f>IFERROR(__xludf.DUMMYFUNCTION("""COMPUTED_VALUE"""),43399.0)</f>
        <v>43399</v>
      </c>
      <c r="B68" s="1" t="str">
        <f>IFERROR(__xludf.DUMMYFUNCTION("""COMPUTED_VALUE"""),"7:00p")</f>
        <v>7:00p</v>
      </c>
      <c r="C68" s="1" t="str">
        <f>IFERROR(__xludf.DUMMYFUNCTION("""COMPUTED_VALUE"""),"Chicago Bulls")</f>
        <v>Chicago Bulls</v>
      </c>
      <c r="D68" s="1">
        <f>IFERROR(__xludf.DUMMYFUNCTION("""COMPUTED_VALUE"""),106.0)</f>
        <v>106</v>
      </c>
      <c r="E68" s="1" t="str">
        <f>IFERROR(__xludf.DUMMYFUNCTION("""COMPUTED_VALUE"""),"Charlotte Hornets")</f>
        <v>Charlotte Hornets</v>
      </c>
      <c r="F68" s="1">
        <f>IFERROR(__xludf.DUMMYFUNCTION("""COMPUTED_VALUE"""),135.0)</f>
        <v>135</v>
      </c>
      <c r="G68" s="1" t="str">
        <f>IFERROR(__xludf.DUMMYFUNCTION("""COMPUTED_VALUE"""),"Box Score")</f>
        <v>Box Score</v>
      </c>
      <c r="H68" s="1"/>
      <c r="I68" s="3">
        <f>IFERROR(__xludf.DUMMYFUNCTION("""COMPUTED_VALUE"""),15220.0)</f>
        <v>15220</v>
      </c>
      <c r="J68" s="1"/>
    </row>
    <row r="69" ht="15.75" customHeight="1">
      <c r="A69" s="2">
        <f>IFERROR(__xludf.DUMMYFUNCTION("""COMPUTED_VALUE"""),43399.0)</f>
        <v>43399</v>
      </c>
      <c r="B69" s="1" t="str">
        <f>IFERROR(__xludf.DUMMYFUNCTION("""COMPUTED_VALUE"""),"7:30p")</f>
        <v>7:30p</v>
      </c>
      <c r="C69" s="1" t="str">
        <f>IFERROR(__xludf.DUMMYFUNCTION("""COMPUTED_VALUE"""),"Golden State Warriors")</f>
        <v>Golden State Warriors</v>
      </c>
      <c r="D69" s="1">
        <f>IFERROR(__xludf.DUMMYFUNCTION("""COMPUTED_VALUE"""),128.0)</f>
        <v>128</v>
      </c>
      <c r="E69" s="1" t="str">
        <f>IFERROR(__xludf.DUMMYFUNCTION("""COMPUTED_VALUE"""),"New York Knicks")</f>
        <v>New York Knicks</v>
      </c>
      <c r="F69" s="1">
        <f>IFERROR(__xludf.DUMMYFUNCTION("""COMPUTED_VALUE"""),100.0)</f>
        <v>100</v>
      </c>
      <c r="G69" s="1" t="str">
        <f>IFERROR(__xludf.DUMMYFUNCTION("""COMPUTED_VALUE"""),"Box Score")</f>
        <v>Box Score</v>
      </c>
      <c r="H69" s="1"/>
      <c r="I69" s="3">
        <f>IFERROR(__xludf.DUMMYFUNCTION("""COMPUTED_VALUE"""),19812.0)</f>
        <v>19812</v>
      </c>
      <c r="J69" s="1"/>
    </row>
    <row r="70" ht="15.75" customHeight="1">
      <c r="A70" s="2">
        <f>IFERROR(__xludf.DUMMYFUNCTION("""COMPUTED_VALUE"""),43399.0)</f>
        <v>43399</v>
      </c>
      <c r="B70" s="1" t="str">
        <f>IFERROR(__xludf.DUMMYFUNCTION("""COMPUTED_VALUE"""),"7:30p")</f>
        <v>7:30p</v>
      </c>
      <c r="C70" s="1" t="str">
        <f>IFERROR(__xludf.DUMMYFUNCTION("""COMPUTED_VALUE"""),"Dallas Mavericks")</f>
        <v>Dallas Mavericks</v>
      </c>
      <c r="D70" s="1">
        <f>IFERROR(__xludf.DUMMYFUNCTION("""COMPUTED_VALUE"""),107.0)</f>
        <v>107</v>
      </c>
      <c r="E70" s="1" t="str">
        <f>IFERROR(__xludf.DUMMYFUNCTION("""COMPUTED_VALUE"""),"Toronto Raptors")</f>
        <v>Toronto Raptors</v>
      </c>
      <c r="F70" s="1">
        <f>IFERROR(__xludf.DUMMYFUNCTION("""COMPUTED_VALUE"""),116.0)</f>
        <v>116</v>
      </c>
      <c r="G70" s="1" t="str">
        <f>IFERROR(__xludf.DUMMYFUNCTION("""COMPUTED_VALUE"""),"Box Score")</f>
        <v>Box Score</v>
      </c>
      <c r="H70" s="1"/>
      <c r="I70" s="3">
        <f>IFERROR(__xludf.DUMMYFUNCTION("""COMPUTED_VALUE"""),19800.0)</f>
        <v>19800</v>
      </c>
      <c r="J70" s="1"/>
    </row>
    <row r="71" ht="15.75" customHeight="1">
      <c r="A71" s="2">
        <f>IFERROR(__xludf.DUMMYFUNCTION("""COMPUTED_VALUE"""),43399.0)</f>
        <v>43399</v>
      </c>
      <c r="B71" s="1" t="str">
        <f>IFERROR(__xludf.DUMMYFUNCTION("""COMPUTED_VALUE"""),"8:00p")</f>
        <v>8:00p</v>
      </c>
      <c r="C71" s="1" t="str">
        <f>IFERROR(__xludf.DUMMYFUNCTION("""COMPUTED_VALUE"""),"Los Angeles Clippers")</f>
        <v>Los Angeles Clippers</v>
      </c>
      <c r="D71" s="1">
        <f>IFERROR(__xludf.DUMMYFUNCTION("""COMPUTED_VALUE"""),133.0)</f>
        <v>133</v>
      </c>
      <c r="E71" s="1" t="str">
        <f>IFERROR(__xludf.DUMMYFUNCTION("""COMPUTED_VALUE"""),"Houston Rockets")</f>
        <v>Houston Rockets</v>
      </c>
      <c r="F71" s="1">
        <f>IFERROR(__xludf.DUMMYFUNCTION("""COMPUTED_VALUE"""),113.0)</f>
        <v>113</v>
      </c>
      <c r="G71" s="1" t="str">
        <f>IFERROR(__xludf.DUMMYFUNCTION("""COMPUTED_VALUE"""),"Box Score")</f>
        <v>Box Score</v>
      </c>
      <c r="H71" s="1"/>
      <c r="I71" s="3">
        <f>IFERROR(__xludf.DUMMYFUNCTION("""COMPUTED_VALUE"""),18055.0)</f>
        <v>18055</v>
      </c>
      <c r="J71" s="1"/>
    </row>
    <row r="72" ht="15.75" customHeight="1">
      <c r="A72" s="2">
        <f>IFERROR(__xludf.DUMMYFUNCTION("""COMPUTED_VALUE"""),43399.0)</f>
        <v>43399</v>
      </c>
      <c r="B72" s="1" t="str">
        <f>IFERROR(__xludf.DUMMYFUNCTION("""COMPUTED_VALUE"""),"8:00p")</f>
        <v>8:00p</v>
      </c>
      <c r="C72" s="1" t="str">
        <f>IFERROR(__xludf.DUMMYFUNCTION("""COMPUTED_VALUE"""),"Milwaukee Bucks")</f>
        <v>Milwaukee Bucks</v>
      </c>
      <c r="D72" s="1">
        <f>IFERROR(__xludf.DUMMYFUNCTION("""COMPUTED_VALUE"""),125.0)</f>
        <v>125</v>
      </c>
      <c r="E72" s="1" t="str">
        <f>IFERROR(__xludf.DUMMYFUNCTION("""COMPUTED_VALUE"""),"Minnesota Timberwolves")</f>
        <v>Minnesota Timberwolves</v>
      </c>
      <c r="F72" s="1">
        <f>IFERROR(__xludf.DUMMYFUNCTION("""COMPUTED_VALUE"""),95.0)</f>
        <v>95</v>
      </c>
      <c r="G72" s="1" t="str">
        <f>IFERROR(__xludf.DUMMYFUNCTION("""COMPUTED_VALUE"""),"Box Score")</f>
        <v>Box Score</v>
      </c>
      <c r="H72" s="1"/>
      <c r="I72" s="3">
        <f>IFERROR(__xludf.DUMMYFUNCTION("""COMPUTED_VALUE"""),16334.0)</f>
        <v>16334</v>
      </c>
      <c r="J72" s="1"/>
    </row>
    <row r="73" ht="15.75" customHeight="1">
      <c r="A73" s="2">
        <f>IFERROR(__xludf.DUMMYFUNCTION("""COMPUTED_VALUE"""),43399.0)</f>
        <v>43399</v>
      </c>
      <c r="B73" s="1" t="str">
        <f>IFERROR(__xludf.DUMMYFUNCTION("""COMPUTED_VALUE"""),"8:00p")</f>
        <v>8:00p</v>
      </c>
      <c r="C73" s="1" t="str">
        <f>IFERROR(__xludf.DUMMYFUNCTION("""COMPUTED_VALUE"""),"Brooklyn Nets")</f>
        <v>Brooklyn Nets</v>
      </c>
      <c r="D73" s="1">
        <f>IFERROR(__xludf.DUMMYFUNCTION("""COMPUTED_VALUE"""),115.0)</f>
        <v>115</v>
      </c>
      <c r="E73" s="1" t="str">
        <f>IFERROR(__xludf.DUMMYFUNCTION("""COMPUTED_VALUE"""),"New Orleans Pelicans")</f>
        <v>New Orleans Pelicans</v>
      </c>
      <c r="F73" s="1">
        <f>IFERROR(__xludf.DUMMYFUNCTION("""COMPUTED_VALUE"""),117.0)</f>
        <v>117</v>
      </c>
      <c r="G73" s="1" t="str">
        <f>IFERROR(__xludf.DUMMYFUNCTION("""COMPUTED_VALUE"""),"Box Score")</f>
        <v>Box Score</v>
      </c>
      <c r="H73" s="1"/>
      <c r="I73" s="3">
        <f>IFERROR(__xludf.DUMMYFUNCTION("""COMPUTED_VALUE"""),15272.0)</f>
        <v>15272</v>
      </c>
      <c r="J73" s="1"/>
    </row>
    <row r="74" ht="15.75" customHeight="1">
      <c r="A74" s="2">
        <f>IFERROR(__xludf.DUMMYFUNCTION("""COMPUTED_VALUE"""),43399.0)</f>
        <v>43399</v>
      </c>
      <c r="B74" s="1" t="str">
        <f>IFERROR(__xludf.DUMMYFUNCTION("""COMPUTED_VALUE"""),"10:00p")</f>
        <v>10:00p</v>
      </c>
      <c r="C74" s="1" t="str">
        <f>IFERROR(__xludf.DUMMYFUNCTION("""COMPUTED_VALUE"""),"Washington Wizards")</f>
        <v>Washington Wizards</v>
      </c>
      <c r="D74" s="1">
        <f>IFERROR(__xludf.DUMMYFUNCTION("""COMPUTED_VALUE"""),112.0)</f>
        <v>112</v>
      </c>
      <c r="E74" s="1" t="str">
        <f>IFERROR(__xludf.DUMMYFUNCTION("""COMPUTED_VALUE"""),"Sacramento Kings")</f>
        <v>Sacramento Kings</v>
      </c>
      <c r="F74" s="1">
        <f>IFERROR(__xludf.DUMMYFUNCTION("""COMPUTED_VALUE"""),116.0)</f>
        <v>116</v>
      </c>
      <c r="G74" s="1" t="str">
        <f>IFERROR(__xludf.DUMMYFUNCTION("""COMPUTED_VALUE"""),"Box Score")</f>
        <v>Box Score</v>
      </c>
      <c r="H74" s="1"/>
      <c r="I74" s="3">
        <f>IFERROR(__xludf.DUMMYFUNCTION("""COMPUTED_VALUE"""),14101.0)</f>
        <v>14101</v>
      </c>
      <c r="J74" s="1"/>
    </row>
    <row r="75" ht="15.75" customHeight="1">
      <c r="A75" s="2">
        <f>IFERROR(__xludf.DUMMYFUNCTION("""COMPUTED_VALUE"""),43400.0)</f>
        <v>43400</v>
      </c>
      <c r="B75" s="1" t="str">
        <f>IFERROR(__xludf.DUMMYFUNCTION("""COMPUTED_VALUE"""),"7:00p")</f>
        <v>7:00p</v>
      </c>
      <c r="C75" s="1" t="str">
        <f>IFERROR(__xludf.DUMMYFUNCTION("""COMPUTED_VALUE"""),"Boston Celtics")</f>
        <v>Boston Celtics</v>
      </c>
      <c r="D75" s="1">
        <f>IFERROR(__xludf.DUMMYFUNCTION("""COMPUTED_VALUE"""),109.0)</f>
        <v>109</v>
      </c>
      <c r="E75" s="1" t="str">
        <f>IFERROR(__xludf.DUMMYFUNCTION("""COMPUTED_VALUE"""),"Detroit Pistons")</f>
        <v>Detroit Pistons</v>
      </c>
      <c r="F75" s="1">
        <f>IFERROR(__xludf.DUMMYFUNCTION("""COMPUTED_VALUE"""),89.0)</f>
        <v>89</v>
      </c>
      <c r="G75" s="1" t="str">
        <f>IFERROR(__xludf.DUMMYFUNCTION("""COMPUTED_VALUE"""),"Box Score")</f>
        <v>Box Score</v>
      </c>
      <c r="H75" s="1"/>
      <c r="I75" s="3">
        <f>IFERROR(__xludf.DUMMYFUNCTION("""COMPUTED_VALUE"""),18120.0)</f>
        <v>18120</v>
      </c>
      <c r="J75" s="1"/>
    </row>
    <row r="76" ht="15.75" customHeight="1">
      <c r="A76" s="2">
        <f>IFERROR(__xludf.DUMMYFUNCTION("""COMPUTED_VALUE"""),43400.0)</f>
        <v>43400</v>
      </c>
      <c r="B76" s="1" t="str">
        <f>IFERROR(__xludf.DUMMYFUNCTION("""COMPUTED_VALUE"""),"7:00p")</f>
        <v>7:00p</v>
      </c>
      <c r="C76" s="1" t="str">
        <f>IFERROR(__xludf.DUMMYFUNCTION("""COMPUTED_VALUE"""),"Utah Jazz")</f>
        <v>Utah Jazz</v>
      </c>
      <c r="D76" s="1">
        <f>IFERROR(__xludf.DUMMYFUNCTION("""COMPUTED_VALUE"""),132.0)</f>
        <v>132</v>
      </c>
      <c r="E76" s="1" t="str">
        <f>IFERROR(__xludf.DUMMYFUNCTION("""COMPUTED_VALUE"""),"New Orleans Pelicans")</f>
        <v>New Orleans Pelicans</v>
      </c>
      <c r="F76" s="1">
        <f>IFERROR(__xludf.DUMMYFUNCTION("""COMPUTED_VALUE"""),111.0)</f>
        <v>111</v>
      </c>
      <c r="G76" s="1" t="str">
        <f>IFERROR(__xludf.DUMMYFUNCTION("""COMPUTED_VALUE"""),"Box Score")</f>
        <v>Box Score</v>
      </c>
      <c r="H76" s="1"/>
      <c r="I76" s="3">
        <f>IFERROR(__xludf.DUMMYFUNCTION("""COMPUTED_VALUE"""),16373.0)</f>
        <v>16373</v>
      </c>
      <c r="J76" s="1"/>
    </row>
    <row r="77" ht="15.75" customHeight="1">
      <c r="A77" s="2">
        <f>IFERROR(__xludf.DUMMYFUNCTION("""COMPUTED_VALUE"""),43400.0)</f>
        <v>43400</v>
      </c>
      <c r="B77" s="1" t="str">
        <f>IFERROR(__xludf.DUMMYFUNCTION("""COMPUTED_VALUE"""),"7:30p")</f>
        <v>7:30p</v>
      </c>
      <c r="C77" s="1" t="str">
        <f>IFERROR(__xludf.DUMMYFUNCTION("""COMPUTED_VALUE"""),"Chicago Bulls")</f>
        <v>Chicago Bulls</v>
      </c>
      <c r="D77" s="1">
        <f>IFERROR(__xludf.DUMMYFUNCTION("""COMPUTED_VALUE"""),97.0)</f>
        <v>97</v>
      </c>
      <c r="E77" s="1" t="str">
        <f>IFERROR(__xludf.DUMMYFUNCTION("""COMPUTED_VALUE"""),"Atlanta Hawks")</f>
        <v>Atlanta Hawks</v>
      </c>
      <c r="F77" s="1">
        <f>IFERROR(__xludf.DUMMYFUNCTION("""COMPUTED_VALUE"""),85.0)</f>
        <v>85</v>
      </c>
      <c r="G77" s="1" t="str">
        <f>IFERROR(__xludf.DUMMYFUNCTION("""COMPUTED_VALUE"""),"Box Score")</f>
        <v>Box Score</v>
      </c>
      <c r="H77" s="1"/>
      <c r="I77" s="3">
        <f>IFERROR(__xludf.DUMMYFUNCTION("""COMPUTED_VALUE"""),15549.0)</f>
        <v>15549</v>
      </c>
      <c r="J77" s="1"/>
    </row>
    <row r="78" ht="15.75" customHeight="1">
      <c r="A78" s="2">
        <f>IFERROR(__xludf.DUMMYFUNCTION("""COMPUTED_VALUE"""),43400.0)</f>
        <v>43400</v>
      </c>
      <c r="B78" s="1" t="str">
        <f>IFERROR(__xludf.DUMMYFUNCTION("""COMPUTED_VALUE"""),"7:30p")</f>
        <v>7:30p</v>
      </c>
      <c r="C78" s="1" t="str">
        <f>IFERROR(__xludf.DUMMYFUNCTION("""COMPUTED_VALUE"""),"Indiana Pacers")</f>
        <v>Indiana Pacers</v>
      </c>
      <c r="D78" s="1">
        <f>IFERROR(__xludf.DUMMYFUNCTION("""COMPUTED_VALUE"""),119.0)</f>
        <v>119</v>
      </c>
      <c r="E78" s="1" t="str">
        <f>IFERROR(__xludf.DUMMYFUNCTION("""COMPUTED_VALUE"""),"Cleveland Cavaliers")</f>
        <v>Cleveland Cavaliers</v>
      </c>
      <c r="F78" s="1">
        <f>IFERROR(__xludf.DUMMYFUNCTION("""COMPUTED_VALUE"""),107.0)</f>
        <v>107</v>
      </c>
      <c r="G78" s="1" t="str">
        <f>IFERROR(__xludf.DUMMYFUNCTION("""COMPUTED_VALUE"""),"Box Score")</f>
        <v>Box Score</v>
      </c>
      <c r="H78" s="1"/>
      <c r="I78" s="3">
        <f>IFERROR(__xludf.DUMMYFUNCTION("""COMPUTED_VALUE"""),19432.0)</f>
        <v>19432</v>
      </c>
      <c r="J78" s="1"/>
    </row>
    <row r="79" ht="15.75" customHeight="1">
      <c r="A79" s="2">
        <f>IFERROR(__xludf.DUMMYFUNCTION("""COMPUTED_VALUE"""),43400.0)</f>
        <v>43400</v>
      </c>
      <c r="B79" s="1" t="str">
        <f>IFERROR(__xludf.DUMMYFUNCTION("""COMPUTED_VALUE"""),"7:30p")</f>
        <v>7:30p</v>
      </c>
      <c r="C79" s="1" t="str">
        <f>IFERROR(__xludf.DUMMYFUNCTION("""COMPUTED_VALUE"""),"Charlotte Hornets")</f>
        <v>Charlotte Hornets</v>
      </c>
      <c r="D79" s="1">
        <f>IFERROR(__xludf.DUMMYFUNCTION("""COMPUTED_VALUE"""),103.0)</f>
        <v>103</v>
      </c>
      <c r="E79" s="1" t="str">
        <f>IFERROR(__xludf.DUMMYFUNCTION("""COMPUTED_VALUE"""),"Philadelphia 76ers")</f>
        <v>Philadelphia 76ers</v>
      </c>
      <c r="F79" s="1">
        <f>IFERROR(__xludf.DUMMYFUNCTION("""COMPUTED_VALUE"""),105.0)</f>
        <v>105</v>
      </c>
      <c r="G79" s="1" t="str">
        <f>IFERROR(__xludf.DUMMYFUNCTION("""COMPUTED_VALUE"""),"Box Score")</f>
        <v>Box Score</v>
      </c>
      <c r="H79" s="1"/>
      <c r="I79" s="3">
        <f>IFERROR(__xludf.DUMMYFUNCTION("""COMPUTED_VALUE"""),20203.0)</f>
        <v>20203</v>
      </c>
      <c r="J79" s="1"/>
    </row>
    <row r="80" ht="15.75" customHeight="1">
      <c r="A80" s="2">
        <f>IFERROR(__xludf.DUMMYFUNCTION("""COMPUTED_VALUE"""),43400.0)</f>
        <v>43400</v>
      </c>
      <c r="B80" s="1" t="str">
        <f>IFERROR(__xludf.DUMMYFUNCTION("""COMPUTED_VALUE"""),"8:00p")</f>
        <v>8:00p</v>
      </c>
      <c r="C80" s="1" t="str">
        <f>IFERROR(__xludf.DUMMYFUNCTION("""COMPUTED_VALUE"""),"Phoenix Suns")</f>
        <v>Phoenix Suns</v>
      </c>
      <c r="D80" s="1">
        <f>IFERROR(__xludf.DUMMYFUNCTION("""COMPUTED_VALUE"""),96.0)</f>
        <v>96</v>
      </c>
      <c r="E80" s="1" t="str">
        <f>IFERROR(__xludf.DUMMYFUNCTION("""COMPUTED_VALUE"""),"Memphis Grizzlies")</f>
        <v>Memphis Grizzlies</v>
      </c>
      <c r="F80" s="1">
        <f>IFERROR(__xludf.DUMMYFUNCTION("""COMPUTED_VALUE"""),117.0)</f>
        <v>117</v>
      </c>
      <c r="G80" s="1" t="str">
        <f>IFERROR(__xludf.DUMMYFUNCTION("""COMPUTED_VALUE"""),"Box Score")</f>
        <v>Box Score</v>
      </c>
      <c r="H80" s="1"/>
      <c r="I80" s="3">
        <f>IFERROR(__xludf.DUMMYFUNCTION("""COMPUTED_VALUE"""),15926.0)</f>
        <v>15926</v>
      </c>
      <c r="J80" s="1"/>
    </row>
    <row r="81" ht="15.75" customHeight="1">
      <c r="A81" s="2">
        <f>IFERROR(__xludf.DUMMYFUNCTION("""COMPUTED_VALUE"""),43400.0)</f>
        <v>43400</v>
      </c>
      <c r="B81" s="1" t="str">
        <f>IFERROR(__xludf.DUMMYFUNCTION("""COMPUTED_VALUE"""),"8:00p")</f>
        <v>8:00p</v>
      </c>
      <c r="C81" s="1" t="str">
        <f>IFERROR(__xludf.DUMMYFUNCTION("""COMPUTED_VALUE"""),"Portland Trail Blazers")</f>
        <v>Portland Trail Blazers</v>
      </c>
      <c r="D81" s="1">
        <f>IFERROR(__xludf.DUMMYFUNCTION("""COMPUTED_VALUE"""),111.0)</f>
        <v>111</v>
      </c>
      <c r="E81" s="1" t="str">
        <f>IFERROR(__xludf.DUMMYFUNCTION("""COMPUTED_VALUE"""),"Miami Heat")</f>
        <v>Miami Heat</v>
      </c>
      <c r="F81" s="1">
        <f>IFERROR(__xludf.DUMMYFUNCTION("""COMPUTED_VALUE"""),120.0)</f>
        <v>120</v>
      </c>
      <c r="G81" s="1" t="str">
        <f>IFERROR(__xludf.DUMMYFUNCTION("""COMPUTED_VALUE"""),"Box Score")</f>
        <v>Box Score</v>
      </c>
      <c r="H81" s="1"/>
      <c r="I81" s="3">
        <f>IFERROR(__xludf.DUMMYFUNCTION("""COMPUTED_VALUE"""),19600.0)</f>
        <v>19600</v>
      </c>
      <c r="J81" s="1"/>
    </row>
    <row r="82" ht="15.75" customHeight="1">
      <c r="A82" s="2">
        <f>IFERROR(__xludf.DUMMYFUNCTION("""COMPUTED_VALUE"""),43400.0)</f>
        <v>43400</v>
      </c>
      <c r="B82" s="1" t="str">
        <f>IFERROR(__xludf.DUMMYFUNCTION("""COMPUTED_VALUE"""),"8:30p")</f>
        <v>8:30p</v>
      </c>
      <c r="C82" s="1" t="str">
        <f>IFERROR(__xludf.DUMMYFUNCTION("""COMPUTED_VALUE"""),"Orlando Magic")</f>
        <v>Orlando Magic</v>
      </c>
      <c r="D82" s="1">
        <f>IFERROR(__xludf.DUMMYFUNCTION("""COMPUTED_VALUE"""),91.0)</f>
        <v>91</v>
      </c>
      <c r="E82" s="1" t="str">
        <f>IFERROR(__xludf.DUMMYFUNCTION("""COMPUTED_VALUE"""),"Milwaukee Bucks")</f>
        <v>Milwaukee Bucks</v>
      </c>
      <c r="F82" s="1">
        <f>IFERROR(__xludf.DUMMYFUNCTION("""COMPUTED_VALUE"""),113.0)</f>
        <v>113</v>
      </c>
      <c r="G82" s="1" t="str">
        <f>IFERROR(__xludf.DUMMYFUNCTION("""COMPUTED_VALUE"""),"Box Score")</f>
        <v>Box Score</v>
      </c>
      <c r="H82" s="1"/>
      <c r="I82" s="3">
        <f>IFERROR(__xludf.DUMMYFUNCTION("""COMPUTED_VALUE"""),17341.0)</f>
        <v>17341</v>
      </c>
      <c r="J82" s="1"/>
    </row>
    <row r="83" ht="15.75" customHeight="1">
      <c r="A83" s="2">
        <f>IFERROR(__xludf.DUMMYFUNCTION("""COMPUTED_VALUE"""),43400.0)</f>
        <v>43400</v>
      </c>
      <c r="B83" s="1" t="str">
        <f>IFERROR(__xludf.DUMMYFUNCTION("""COMPUTED_VALUE"""),"8:30p")</f>
        <v>8:30p</v>
      </c>
      <c r="C83" s="1" t="str">
        <f>IFERROR(__xludf.DUMMYFUNCTION("""COMPUTED_VALUE"""),"Los Angeles Lakers")</f>
        <v>Los Angeles Lakers</v>
      </c>
      <c r="D83" s="1">
        <f>IFERROR(__xludf.DUMMYFUNCTION("""COMPUTED_VALUE"""),106.0)</f>
        <v>106</v>
      </c>
      <c r="E83" s="1" t="str">
        <f>IFERROR(__xludf.DUMMYFUNCTION("""COMPUTED_VALUE"""),"San Antonio Spurs")</f>
        <v>San Antonio Spurs</v>
      </c>
      <c r="F83" s="1">
        <f>IFERROR(__xludf.DUMMYFUNCTION("""COMPUTED_VALUE"""),110.0)</f>
        <v>110</v>
      </c>
      <c r="G83" s="1" t="str">
        <f>IFERROR(__xludf.DUMMYFUNCTION("""COMPUTED_VALUE"""),"Box Score")</f>
        <v>Box Score</v>
      </c>
      <c r="H83" s="1"/>
      <c r="I83" s="3">
        <f>IFERROR(__xludf.DUMMYFUNCTION("""COMPUTED_VALUE"""),18589.0)</f>
        <v>18589</v>
      </c>
      <c r="J83" s="1"/>
    </row>
    <row r="84" ht="15.75" customHeight="1">
      <c r="A84" s="2">
        <f>IFERROR(__xludf.DUMMYFUNCTION("""COMPUTED_VALUE"""),43401.0)</f>
        <v>43401</v>
      </c>
      <c r="B84" s="1" t="str">
        <f>IFERROR(__xludf.DUMMYFUNCTION("""COMPUTED_VALUE"""),"5:00p")</f>
        <v>5:00p</v>
      </c>
      <c r="C84" s="1" t="str">
        <f>IFERROR(__xludf.DUMMYFUNCTION("""COMPUTED_VALUE"""),"Golden State Warriors")</f>
        <v>Golden State Warriors</v>
      </c>
      <c r="D84" s="1">
        <f>IFERROR(__xludf.DUMMYFUNCTION("""COMPUTED_VALUE"""),120.0)</f>
        <v>120</v>
      </c>
      <c r="E84" s="1" t="str">
        <f>IFERROR(__xludf.DUMMYFUNCTION("""COMPUTED_VALUE"""),"Brooklyn Nets")</f>
        <v>Brooklyn Nets</v>
      </c>
      <c r="F84" s="1">
        <f>IFERROR(__xludf.DUMMYFUNCTION("""COMPUTED_VALUE"""),114.0)</f>
        <v>114</v>
      </c>
      <c r="G84" s="1" t="str">
        <f>IFERROR(__xludf.DUMMYFUNCTION("""COMPUTED_VALUE"""),"Box Score")</f>
        <v>Box Score</v>
      </c>
      <c r="H84" s="1"/>
      <c r="I84" s="3">
        <f>IFERROR(__xludf.DUMMYFUNCTION("""COMPUTED_VALUE"""),17732.0)</f>
        <v>17732</v>
      </c>
      <c r="J84" s="1"/>
    </row>
    <row r="85" ht="15.75" customHeight="1">
      <c r="A85" s="2">
        <f>IFERROR(__xludf.DUMMYFUNCTION("""COMPUTED_VALUE"""),43401.0)</f>
        <v>43401</v>
      </c>
      <c r="B85" s="1" t="str">
        <f>IFERROR(__xludf.DUMMYFUNCTION("""COMPUTED_VALUE"""),"7:00p")</f>
        <v>7:00p</v>
      </c>
      <c r="C85" s="1" t="str">
        <f>IFERROR(__xludf.DUMMYFUNCTION("""COMPUTED_VALUE"""),"Utah Jazz")</f>
        <v>Utah Jazz</v>
      </c>
      <c r="D85" s="1">
        <f>IFERROR(__xludf.DUMMYFUNCTION("""COMPUTED_VALUE"""),113.0)</f>
        <v>113</v>
      </c>
      <c r="E85" s="1" t="str">
        <f>IFERROR(__xludf.DUMMYFUNCTION("""COMPUTED_VALUE"""),"Dallas Mavericks")</f>
        <v>Dallas Mavericks</v>
      </c>
      <c r="F85" s="1">
        <f>IFERROR(__xludf.DUMMYFUNCTION("""COMPUTED_VALUE"""),104.0)</f>
        <v>104</v>
      </c>
      <c r="G85" s="1" t="str">
        <f>IFERROR(__xludf.DUMMYFUNCTION("""COMPUTED_VALUE"""),"Box Score")</f>
        <v>Box Score</v>
      </c>
      <c r="H85" s="1"/>
      <c r="I85" s="3">
        <f>IFERROR(__xludf.DUMMYFUNCTION("""COMPUTED_VALUE"""),19571.0)</f>
        <v>19571</v>
      </c>
      <c r="J85" s="1"/>
    </row>
    <row r="86" ht="15.75" customHeight="1">
      <c r="A86" s="2">
        <f>IFERROR(__xludf.DUMMYFUNCTION("""COMPUTED_VALUE"""),43401.0)</f>
        <v>43401</v>
      </c>
      <c r="B86" s="1" t="str">
        <f>IFERROR(__xludf.DUMMYFUNCTION("""COMPUTED_VALUE"""),"7:00p")</f>
        <v>7:00p</v>
      </c>
      <c r="C86" s="1" t="str">
        <f>IFERROR(__xludf.DUMMYFUNCTION("""COMPUTED_VALUE"""),"Phoenix Suns")</f>
        <v>Phoenix Suns</v>
      </c>
      <c r="D86" s="1">
        <f>IFERROR(__xludf.DUMMYFUNCTION("""COMPUTED_VALUE"""),110.0)</f>
        <v>110</v>
      </c>
      <c r="E86" s="1" t="str">
        <f>IFERROR(__xludf.DUMMYFUNCTION("""COMPUTED_VALUE"""),"Oklahoma City Thunder")</f>
        <v>Oklahoma City Thunder</v>
      </c>
      <c r="F86" s="1">
        <f>IFERROR(__xludf.DUMMYFUNCTION("""COMPUTED_VALUE"""),117.0)</f>
        <v>117</v>
      </c>
      <c r="G86" s="1" t="str">
        <f>IFERROR(__xludf.DUMMYFUNCTION("""COMPUTED_VALUE"""),"Box Score")</f>
        <v>Box Score</v>
      </c>
      <c r="H86" s="1"/>
      <c r="I86" s="3">
        <f>IFERROR(__xludf.DUMMYFUNCTION("""COMPUTED_VALUE"""),18203.0)</f>
        <v>18203</v>
      </c>
      <c r="J86" s="1"/>
    </row>
    <row r="87" ht="15.75" customHeight="1">
      <c r="A87" s="2">
        <f>IFERROR(__xludf.DUMMYFUNCTION("""COMPUTED_VALUE"""),43401.0)</f>
        <v>43401</v>
      </c>
      <c r="B87" s="1" t="str">
        <f>IFERROR(__xludf.DUMMYFUNCTION("""COMPUTED_VALUE"""),"9:30p")</f>
        <v>9:30p</v>
      </c>
      <c r="C87" s="1" t="str">
        <f>IFERROR(__xludf.DUMMYFUNCTION("""COMPUTED_VALUE"""),"Washington Wizards")</f>
        <v>Washington Wizards</v>
      </c>
      <c r="D87" s="1">
        <f>IFERROR(__xludf.DUMMYFUNCTION("""COMPUTED_VALUE"""),104.0)</f>
        <v>104</v>
      </c>
      <c r="E87" s="1" t="str">
        <f>IFERROR(__xludf.DUMMYFUNCTION("""COMPUTED_VALUE"""),"Los Angeles Clippers")</f>
        <v>Los Angeles Clippers</v>
      </c>
      <c r="F87" s="1">
        <f>IFERROR(__xludf.DUMMYFUNCTION("""COMPUTED_VALUE"""),136.0)</f>
        <v>136</v>
      </c>
      <c r="G87" s="1" t="str">
        <f>IFERROR(__xludf.DUMMYFUNCTION("""COMPUTED_VALUE"""),"Box Score")</f>
        <v>Box Score</v>
      </c>
      <c r="H87" s="1"/>
      <c r="I87" s="3">
        <f>IFERROR(__xludf.DUMMYFUNCTION("""COMPUTED_VALUE"""),16491.0)</f>
        <v>16491</v>
      </c>
      <c r="J87" s="1"/>
    </row>
    <row r="88" ht="15.75" customHeight="1">
      <c r="A88" s="2">
        <f>IFERROR(__xludf.DUMMYFUNCTION("""COMPUTED_VALUE"""),43402.0)</f>
        <v>43402</v>
      </c>
      <c r="B88" s="1" t="str">
        <f>IFERROR(__xludf.DUMMYFUNCTION("""COMPUTED_VALUE"""),"7:00p")</f>
        <v>7:00p</v>
      </c>
      <c r="C88" s="1" t="str">
        <f>IFERROR(__xludf.DUMMYFUNCTION("""COMPUTED_VALUE"""),"Portland Trail Blazers")</f>
        <v>Portland Trail Blazers</v>
      </c>
      <c r="D88" s="1">
        <f>IFERROR(__xludf.DUMMYFUNCTION("""COMPUTED_VALUE"""),103.0)</f>
        <v>103</v>
      </c>
      <c r="E88" s="1" t="str">
        <f>IFERROR(__xludf.DUMMYFUNCTION("""COMPUTED_VALUE"""),"Indiana Pacers")</f>
        <v>Indiana Pacers</v>
      </c>
      <c r="F88" s="1">
        <f>IFERROR(__xludf.DUMMYFUNCTION("""COMPUTED_VALUE"""),93.0)</f>
        <v>93</v>
      </c>
      <c r="G88" s="1" t="str">
        <f>IFERROR(__xludf.DUMMYFUNCTION("""COMPUTED_VALUE"""),"Box Score")</f>
        <v>Box Score</v>
      </c>
      <c r="H88" s="1"/>
      <c r="I88" s="3">
        <f>IFERROR(__xludf.DUMMYFUNCTION("""COMPUTED_VALUE"""),15788.0)</f>
        <v>15788</v>
      </c>
      <c r="J88" s="1"/>
    </row>
    <row r="89" ht="15.75" customHeight="1">
      <c r="A89" s="2">
        <f>IFERROR(__xludf.DUMMYFUNCTION("""COMPUTED_VALUE"""),43402.0)</f>
        <v>43402</v>
      </c>
      <c r="B89" s="1" t="str">
        <f>IFERROR(__xludf.DUMMYFUNCTION("""COMPUTED_VALUE"""),"7:00p")</f>
        <v>7:00p</v>
      </c>
      <c r="C89" s="1" t="str">
        <f>IFERROR(__xludf.DUMMYFUNCTION("""COMPUTED_VALUE"""),"Atlanta Hawks")</f>
        <v>Atlanta Hawks</v>
      </c>
      <c r="D89" s="1">
        <f>IFERROR(__xludf.DUMMYFUNCTION("""COMPUTED_VALUE"""),92.0)</f>
        <v>92</v>
      </c>
      <c r="E89" s="1" t="str">
        <f>IFERROR(__xludf.DUMMYFUNCTION("""COMPUTED_VALUE"""),"Philadelphia 76ers")</f>
        <v>Philadelphia 76ers</v>
      </c>
      <c r="F89" s="1">
        <f>IFERROR(__xludf.DUMMYFUNCTION("""COMPUTED_VALUE"""),113.0)</f>
        <v>113</v>
      </c>
      <c r="G89" s="1" t="str">
        <f>IFERROR(__xludf.DUMMYFUNCTION("""COMPUTED_VALUE"""),"Box Score")</f>
        <v>Box Score</v>
      </c>
      <c r="H89" s="1"/>
      <c r="I89" s="3">
        <f>IFERROR(__xludf.DUMMYFUNCTION("""COMPUTED_VALUE"""),20269.0)</f>
        <v>20269</v>
      </c>
      <c r="J89" s="1"/>
    </row>
    <row r="90" ht="15.75" customHeight="1">
      <c r="A90" s="2">
        <f>IFERROR(__xludf.DUMMYFUNCTION("""COMPUTED_VALUE"""),43402.0)</f>
        <v>43402</v>
      </c>
      <c r="B90" s="1" t="str">
        <f>IFERROR(__xludf.DUMMYFUNCTION("""COMPUTED_VALUE"""),"7:30p")</f>
        <v>7:30p</v>
      </c>
      <c r="C90" s="1" t="str">
        <f>IFERROR(__xludf.DUMMYFUNCTION("""COMPUTED_VALUE"""),"Sacramento Kings")</f>
        <v>Sacramento Kings</v>
      </c>
      <c r="D90" s="1">
        <f>IFERROR(__xludf.DUMMYFUNCTION("""COMPUTED_VALUE"""),123.0)</f>
        <v>123</v>
      </c>
      <c r="E90" s="1" t="str">
        <f>IFERROR(__xludf.DUMMYFUNCTION("""COMPUTED_VALUE"""),"Miami Heat")</f>
        <v>Miami Heat</v>
      </c>
      <c r="F90" s="1">
        <f>IFERROR(__xludf.DUMMYFUNCTION("""COMPUTED_VALUE"""),113.0)</f>
        <v>113</v>
      </c>
      <c r="G90" s="1" t="str">
        <f>IFERROR(__xludf.DUMMYFUNCTION("""COMPUTED_VALUE"""),"Box Score")</f>
        <v>Box Score</v>
      </c>
      <c r="H90" s="1"/>
      <c r="I90" s="3">
        <f>IFERROR(__xludf.DUMMYFUNCTION("""COMPUTED_VALUE"""),19600.0)</f>
        <v>19600</v>
      </c>
      <c r="J90" s="1"/>
    </row>
    <row r="91" ht="15.75" customHeight="1">
      <c r="A91" s="2">
        <f>IFERROR(__xludf.DUMMYFUNCTION("""COMPUTED_VALUE"""),43402.0)</f>
        <v>43402</v>
      </c>
      <c r="B91" s="1" t="str">
        <f>IFERROR(__xludf.DUMMYFUNCTION("""COMPUTED_VALUE"""),"7:30p")</f>
        <v>7:30p</v>
      </c>
      <c r="C91" s="1" t="str">
        <f>IFERROR(__xludf.DUMMYFUNCTION("""COMPUTED_VALUE"""),"Brooklyn Nets")</f>
        <v>Brooklyn Nets</v>
      </c>
      <c r="D91" s="1">
        <f>IFERROR(__xludf.DUMMYFUNCTION("""COMPUTED_VALUE"""),96.0)</f>
        <v>96</v>
      </c>
      <c r="E91" s="1" t="str">
        <f>IFERROR(__xludf.DUMMYFUNCTION("""COMPUTED_VALUE"""),"New York Knicks")</f>
        <v>New York Knicks</v>
      </c>
      <c r="F91" s="1">
        <f>IFERROR(__xludf.DUMMYFUNCTION("""COMPUTED_VALUE"""),115.0)</f>
        <v>115</v>
      </c>
      <c r="G91" s="1" t="str">
        <f>IFERROR(__xludf.DUMMYFUNCTION("""COMPUTED_VALUE"""),"Box Score")</f>
        <v>Box Score</v>
      </c>
      <c r="H91" s="1"/>
      <c r="I91" s="3">
        <f>IFERROR(__xludf.DUMMYFUNCTION("""COMPUTED_VALUE"""),19221.0)</f>
        <v>19221</v>
      </c>
      <c r="J91" s="1"/>
    </row>
    <row r="92" ht="15.75" customHeight="1">
      <c r="A92" s="2">
        <f>IFERROR(__xludf.DUMMYFUNCTION("""COMPUTED_VALUE"""),43402.0)</f>
        <v>43402</v>
      </c>
      <c r="B92" s="1" t="str">
        <f>IFERROR(__xludf.DUMMYFUNCTION("""COMPUTED_VALUE"""),"8:00p")</f>
        <v>8:00p</v>
      </c>
      <c r="C92" s="1" t="str">
        <f>IFERROR(__xludf.DUMMYFUNCTION("""COMPUTED_VALUE"""),"Golden State Warriors")</f>
        <v>Golden State Warriors</v>
      </c>
      <c r="D92" s="1">
        <f>IFERROR(__xludf.DUMMYFUNCTION("""COMPUTED_VALUE"""),149.0)</f>
        <v>149</v>
      </c>
      <c r="E92" s="1" t="str">
        <f>IFERROR(__xludf.DUMMYFUNCTION("""COMPUTED_VALUE"""),"Chicago Bulls")</f>
        <v>Chicago Bulls</v>
      </c>
      <c r="F92" s="1">
        <f>IFERROR(__xludf.DUMMYFUNCTION("""COMPUTED_VALUE"""),124.0)</f>
        <v>124</v>
      </c>
      <c r="G92" s="1" t="str">
        <f>IFERROR(__xludf.DUMMYFUNCTION("""COMPUTED_VALUE"""),"Box Score")</f>
        <v>Box Score</v>
      </c>
      <c r="H92" s="1"/>
      <c r="I92" s="3">
        <f>IFERROR(__xludf.DUMMYFUNCTION("""COMPUTED_VALUE"""),21076.0)</f>
        <v>21076</v>
      </c>
      <c r="J92" s="1"/>
    </row>
    <row r="93" ht="15.75" customHeight="1">
      <c r="A93" s="2">
        <f>IFERROR(__xludf.DUMMYFUNCTION("""COMPUTED_VALUE"""),43402.0)</f>
        <v>43402</v>
      </c>
      <c r="B93" s="1" t="str">
        <f>IFERROR(__xludf.DUMMYFUNCTION("""COMPUTED_VALUE"""),"8:00p")</f>
        <v>8:00p</v>
      </c>
      <c r="C93" s="1" t="str">
        <f>IFERROR(__xludf.DUMMYFUNCTION("""COMPUTED_VALUE"""),"Toronto Raptors")</f>
        <v>Toronto Raptors</v>
      </c>
      <c r="D93" s="1">
        <f>IFERROR(__xludf.DUMMYFUNCTION("""COMPUTED_VALUE"""),109.0)</f>
        <v>109</v>
      </c>
      <c r="E93" s="1" t="str">
        <f>IFERROR(__xludf.DUMMYFUNCTION("""COMPUTED_VALUE"""),"Milwaukee Bucks")</f>
        <v>Milwaukee Bucks</v>
      </c>
      <c r="F93" s="1">
        <f>IFERROR(__xludf.DUMMYFUNCTION("""COMPUTED_VALUE"""),124.0)</f>
        <v>124</v>
      </c>
      <c r="G93" s="1" t="str">
        <f>IFERROR(__xludf.DUMMYFUNCTION("""COMPUTED_VALUE"""),"Box Score")</f>
        <v>Box Score</v>
      </c>
      <c r="H93" s="1"/>
      <c r="I93" s="3">
        <f>IFERROR(__xludf.DUMMYFUNCTION("""COMPUTED_VALUE"""),17341.0)</f>
        <v>17341</v>
      </c>
      <c r="J93" s="1"/>
    </row>
    <row r="94" ht="15.75" customHeight="1">
      <c r="A94" s="2">
        <f>IFERROR(__xludf.DUMMYFUNCTION("""COMPUTED_VALUE"""),43402.0)</f>
        <v>43402</v>
      </c>
      <c r="B94" s="1" t="str">
        <f>IFERROR(__xludf.DUMMYFUNCTION("""COMPUTED_VALUE"""),"8:00p")</f>
        <v>8:00p</v>
      </c>
      <c r="C94" s="1" t="str">
        <f>IFERROR(__xludf.DUMMYFUNCTION("""COMPUTED_VALUE"""),"Los Angeles Lakers")</f>
        <v>Los Angeles Lakers</v>
      </c>
      <c r="D94" s="1">
        <f>IFERROR(__xludf.DUMMYFUNCTION("""COMPUTED_VALUE"""),120.0)</f>
        <v>120</v>
      </c>
      <c r="E94" s="1" t="str">
        <f>IFERROR(__xludf.DUMMYFUNCTION("""COMPUTED_VALUE"""),"Minnesota Timberwolves")</f>
        <v>Minnesota Timberwolves</v>
      </c>
      <c r="F94" s="1">
        <f>IFERROR(__xludf.DUMMYFUNCTION("""COMPUTED_VALUE"""),124.0)</f>
        <v>124</v>
      </c>
      <c r="G94" s="1" t="str">
        <f>IFERROR(__xludf.DUMMYFUNCTION("""COMPUTED_VALUE"""),"Box Score")</f>
        <v>Box Score</v>
      </c>
      <c r="H94" s="1"/>
      <c r="I94" s="3">
        <f>IFERROR(__xludf.DUMMYFUNCTION("""COMPUTED_VALUE"""),18978.0)</f>
        <v>18978</v>
      </c>
      <c r="J94" s="1"/>
    </row>
    <row r="95" ht="15.75" customHeight="1">
      <c r="A95" s="2">
        <f>IFERROR(__xludf.DUMMYFUNCTION("""COMPUTED_VALUE"""),43402.0)</f>
        <v>43402</v>
      </c>
      <c r="B95" s="1" t="str">
        <f>IFERROR(__xludf.DUMMYFUNCTION("""COMPUTED_VALUE"""),"8:30p")</f>
        <v>8:30p</v>
      </c>
      <c r="C95" s="1" t="str">
        <f>IFERROR(__xludf.DUMMYFUNCTION("""COMPUTED_VALUE"""),"Dallas Mavericks")</f>
        <v>Dallas Mavericks</v>
      </c>
      <c r="D95" s="1">
        <f>IFERROR(__xludf.DUMMYFUNCTION("""COMPUTED_VALUE"""),108.0)</f>
        <v>108</v>
      </c>
      <c r="E95" s="1" t="str">
        <f>IFERROR(__xludf.DUMMYFUNCTION("""COMPUTED_VALUE"""),"San Antonio Spurs")</f>
        <v>San Antonio Spurs</v>
      </c>
      <c r="F95" s="1">
        <f>IFERROR(__xludf.DUMMYFUNCTION("""COMPUTED_VALUE"""),113.0)</f>
        <v>113</v>
      </c>
      <c r="G95" s="1" t="str">
        <f>IFERROR(__xludf.DUMMYFUNCTION("""COMPUTED_VALUE"""),"Box Score")</f>
        <v>Box Score</v>
      </c>
      <c r="H95" s="1" t="str">
        <f>IFERROR(__xludf.DUMMYFUNCTION("""COMPUTED_VALUE"""),"OT")</f>
        <v>OT</v>
      </c>
      <c r="I95" s="3">
        <f>IFERROR(__xludf.DUMMYFUNCTION("""COMPUTED_VALUE"""),18354.0)</f>
        <v>18354</v>
      </c>
      <c r="J95" s="1"/>
    </row>
    <row r="96" ht="15.75" customHeight="1">
      <c r="A96" s="2">
        <f>IFERROR(__xludf.DUMMYFUNCTION("""COMPUTED_VALUE"""),43402.0)</f>
        <v>43402</v>
      </c>
      <c r="B96" s="1" t="str">
        <f>IFERROR(__xludf.DUMMYFUNCTION("""COMPUTED_VALUE"""),"9:00p")</f>
        <v>9:00p</v>
      </c>
      <c r="C96" s="1" t="str">
        <f>IFERROR(__xludf.DUMMYFUNCTION("""COMPUTED_VALUE"""),"New Orleans Pelicans")</f>
        <v>New Orleans Pelicans</v>
      </c>
      <c r="D96" s="1">
        <f>IFERROR(__xludf.DUMMYFUNCTION("""COMPUTED_VALUE"""),111.0)</f>
        <v>111</v>
      </c>
      <c r="E96" s="1" t="str">
        <f>IFERROR(__xludf.DUMMYFUNCTION("""COMPUTED_VALUE"""),"Denver Nuggets")</f>
        <v>Denver Nuggets</v>
      </c>
      <c r="F96" s="1">
        <f>IFERROR(__xludf.DUMMYFUNCTION("""COMPUTED_VALUE"""),116.0)</f>
        <v>116</v>
      </c>
      <c r="G96" s="1" t="str">
        <f>IFERROR(__xludf.DUMMYFUNCTION("""COMPUTED_VALUE"""),"Box Score")</f>
        <v>Box Score</v>
      </c>
      <c r="H96" s="1"/>
      <c r="I96" s="3">
        <f>IFERROR(__xludf.DUMMYFUNCTION("""COMPUTED_VALUE"""),15217.0)</f>
        <v>15217</v>
      </c>
      <c r="J96" s="1"/>
    </row>
    <row r="97" ht="15.75" customHeight="1">
      <c r="A97" s="2">
        <f>IFERROR(__xludf.DUMMYFUNCTION("""COMPUTED_VALUE"""),43403.0)</f>
        <v>43403</v>
      </c>
      <c r="B97" s="1" t="str">
        <f>IFERROR(__xludf.DUMMYFUNCTION("""COMPUTED_VALUE"""),"7:00p")</f>
        <v>7:00p</v>
      </c>
      <c r="C97" s="1" t="str">
        <f>IFERROR(__xludf.DUMMYFUNCTION("""COMPUTED_VALUE"""),"Miami Heat")</f>
        <v>Miami Heat</v>
      </c>
      <c r="D97" s="1">
        <f>IFERROR(__xludf.DUMMYFUNCTION("""COMPUTED_VALUE"""),113.0)</f>
        <v>113</v>
      </c>
      <c r="E97" s="1" t="str">
        <f>IFERROR(__xludf.DUMMYFUNCTION("""COMPUTED_VALUE"""),"Charlotte Hornets")</f>
        <v>Charlotte Hornets</v>
      </c>
      <c r="F97" s="1">
        <f>IFERROR(__xludf.DUMMYFUNCTION("""COMPUTED_VALUE"""),125.0)</f>
        <v>125</v>
      </c>
      <c r="G97" s="1" t="str">
        <f>IFERROR(__xludf.DUMMYFUNCTION("""COMPUTED_VALUE"""),"Box Score")</f>
        <v>Box Score</v>
      </c>
      <c r="H97" s="1"/>
      <c r="I97" s="3">
        <f>IFERROR(__xludf.DUMMYFUNCTION("""COMPUTED_VALUE"""),14117.0)</f>
        <v>14117</v>
      </c>
      <c r="J97" s="1"/>
    </row>
    <row r="98" ht="15.75" customHeight="1">
      <c r="A98" s="2">
        <f>IFERROR(__xludf.DUMMYFUNCTION("""COMPUTED_VALUE"""),43403.0)</f>
        <v>43403</v>
      </c>
      <c r="B98" s="1" t="str">
        <f>IFERROR(__xludf.DUMMYFUNCTION("""COMPUTED_VALUE"""),"7:00p")</f>
        <v>7:00p</v>
      </c>
      <c r="C98" s="1" t="str">
        <f>IFERROR(__xludf.DUMMYFUNCTION("""COMPUTED_VALUE"""),"Atlanta Hawks")</f>
        <v>Atlanta Hawks</v>
      </c>
      <c r="D98" s="1">
        <f>IFERROR(__xludf.DUMMYFUNCTION("""COMPUTED_VALUE"""),114.0)</f>
        <v>114</v>
      </c>
      <c r="E98" s="1" t="str">
        <f>IFERROR(__xludf.DUMMYFUNCTION("""COMPUTED_VALUE"""),"Cleveland Cavaliers")</f>
        <v>Cleveland Cavaliers</v>
      </c>
      <c r="F98" s="1">
        <f>IFERROR(__xludf.DUMMYFUNCTION("""COMPUTED_VALUE"""),136.0)</f>
        <v>136</v>
      </c>
      <c r="G98" s="1" t="str">
        <f>IFERROR(__xludf.DUMMYFUNCTION("""COMPUTED_VALUE"""),"Box Score")</f>
        <v>Box Score</v>
      </c>
      <c r="H98" s="1"/>
      <c r="I98" s="3">
        <f>IFERROR(__xludf.DUMMYFUNCTION("""COMPUTED_VALUE"""),19432.0)</f>
        <v>19432</v>
      </c>
      <c r="J98" s="1"/>
    </row>
    <row r="99" ht="15.75" customHeight="1">
      <c r="A99" s="2">
        <f>IFERROR(__xludf.DUMMYFUNCTION("""COMPUTED_VALUE"""),43403.0)</f>
        <v>43403</v>
      </c>
      <c r="B99" s="1" t="str">
        <f>IFERROR(__xludf.DUMMYFUNCTION("""COMPUTED_VALUE"""),"7:00p")</f>
        <v>7:00p</v>
      </c>
      <c r="C99" s="1" t="str">
        <f>IFERROR(__xludf.DUMMYFUNCTION("""COMPUTED_VALUE"""),"Sacramento Kings")</f>
        <v>Sacramento Kings</v>
      </c>
      <c r="D99" s="1">
        <f>IFERROR(__xludf.DUMMYFUNCTION("""COMPUTED_VALUE"""),107.0)</f>
        <v>107</v>
      </c>
      <c r="E99" s="1" t="str">
        <f>IFERROR(__xludf.DUMMYFUNCTION("""COMPUTED_VALUE"""),"Orlando Magic")</f>
        <v>Orlando Magic</v>
      </c>
      <c r="F99" s="1">
        <f>IFERROR(__xludf.DUMMYFUNCTION("""COMPUTED_VALUE"""),99.0)</f>
        <v>99</v>
      </c>
      <c r="G99" s="1" t="str">
        <f>IFERROR(__xludf.DUMMYFUNCTION("""COMPUTED_VALUE"""),"Box Score")</f>
        <v>Box Score</v>
      </c>
      <c r="H99" s="1"/>
      <c r="I99" s="3">
        <f>IFERROR(__xludf.DUMMYFUNCTION("""COMPUTED_VALUE"""),15074.0)</f>
        <v>15074</v>
      </c>
      <c r="J99" s="1"/>
    </row>
    <row r="100" ht="15.75" customHeight="1">
      <c r="A100" s="2">
        <f>IFERROR(__xludf.DUMMYFUNCTION("""COMPUTED_VALUE"""),43403.0)</f>
        <v>43403</v>
      </c>
      <c r="B100" s="1" t="str">
        <f>IFERROR(__xludf.DUMMYFUNCTION("""COMPUTED_VALUE"""),"7:30p")</f>
        <v>7:30p</v>
      </c>
      <c r="C100" s="1" t="str">
        <f>IFERROR(__xludf.DUMMYFUNCTION("""COMPUTED_VALUE"""),"Detroit Pistons")</f>
        <v>Detroit Pistons</v>
      </c>
      <c r="D100" s="1">
        <f>IFERROR(__xludf.DUMMYFUNCTION("""COMPUTED_VALUE"""),105.0)</f>
        <v>105</v>
      </c>
      <c r="E100" s="1" t="str">
        <f>IFERROR(__xludf.DUMMYFUNCTION("""COMPUTED_VALUE"""),"Boston Celtics")</f>
        <v>Boston Celtics</v>
      </c>
      <c r="F100" s="1">
        <f>IFERROR(__xludf.DUMMYFUNCTION("""COMPUTED_VALUE"""),108.0)</f>
        <v>108</v>
      </c>
      <c r="G100" s="1" t="str">
        <f>IFERROR(__xludf.DUMMYFUNCTION("""COMPUTED_VALUE"""),"Box Score")</f>
        <v>Box Score</v>
      </c>
      <c r="H100" s="1"/>
      <c r="I100" s="3">
        <f>IFERROR(__xludf.DUMMYFUNCTION("""COMPUTED_VALUE"""),18624.0)</f>
        <v>18624</v>
      </c>
      <c r="J100" s="1"/>
    </row>
    <row r="101" ht="15.75" customHeight="1">
      <c r="A101" s="2">
        <f>IFERROR(__xludf.DUMMYFUNCTION("""COMPUTED_VALUE"""),43403.0)</f>
        <v>43403</v>
      </c>
      <c r="B101" s="1" t="str">
        <f>IFERROR(__xludf.DUMMYFUNCTION("""COMPUTED_VALUE"""),"7:30p")</f>
        <v>7:30p</v>
      </c>
      <c r="C101" s="1" t="str">
        <f>IFERROR(__xludf.DUMMYFUNCTION("""COMPUTED_VALUE"""),"Philadelphia 76ers")</f>
        <v>Philadelphia 76ers</v>
      </c>
      <c r="D101" s="1">
        <f>IFERROR(__xludf.DUMMYFUNCTION("""COMPUTED_VALUE"""),112.0)</f>
        <v>112</v>
      </c>
      <c r="E101" s="1" t="str">
        <f>IFERROR(__xludf.DUMMYFUNCTION("""COMPUTED_VALUE"""),"Toronto Raptors")</f>
        <v>Toronto Raptors</v>
      </c>
      <c r="F101" s="1">
        <f>IFERROR(__xludf.DUMMYFUNCTION("""COMPUTED_VALUE"""),129.0)</f>
        <v>129</v>
      </c>
      <c r="G101" s="1" t="str">
        <f>IFERROR(__xludf.DUMMYFUNCTION("""COMPUTED_VALUE"""),"Box Score")</f>
        <v>Box Score</v>
      </c>
      <c r="H101" s="1"/>
      <c r="I101" s="3">
        <f>IFERROR(__xludf.DUMMYFUNCTION("""COMPUTED_VALUE"""),19800.0)</f>
        <v>19800</v>
      </c>
      <c r="J101" s="1"/>
    </row>
    <row r="102" ht="15.75" customHeight="1">
      <c r="A102" s="2">
        <f>IFERROR(__xludf.DUMMYFUNCTION("""COMPUTED_VALUE"""),43403.0)</f>
        <v>43403</v>
      </c>
      <c r="B102" s="1" t="str">
        <f>IFERROR(__xludf.DUMMYFUNCTION("""COMPUTED_VALUE"""),"8:00p")</f>
        <v>8:00p</v>
      </c>
      <c r="C102" s="1" t="str">
        <f>IFERROR(__xludf.DUMMYFUNCTION("""COMPUTED_VALUE"""),"Portland Trail Blazers")</f>
        <v>Portland Trail Blazers</v>
      </c>
      <c r="D102" s="1">
        <f>IFERROR(__xludf.DUMMYFUNCTION("""COMPUTED_VALUE"""),104.0)</f>
        <v>104</v>
      </c>
      <c r="E102" s="1" t="str">
        <f>IFERROR(__xludf.DUMMYFUNCTION("""COMPUTED_VALUE"""),"Houston Rockets")</f>
        <v>Houston Rockets</v>
      </c>
      <c r="F102" s="1">
        <f>IFERROR(__xludf.DUMMYFUNCTION("""COMPUTED_VALUE"""),85.0)</f>
        <v>85</v>
      </c>
      <c r="G102" s="1" t="str">
        <f>IFERROR(__xludf.DUMMYFUNCTION("""COMPUTED_VALUE"""),"Box Score")</f>
        <v>Box Score</v>
      </c>
      <c r="H102" s="1"/>
      <c r="I102" s="3">
        <f>IFERROR(__xludf.DUMMYFUNCTION("""COMPUTED_VALUE"""),18055.0)</f>
        <v>18055</v>
      </c>
      <c r="J102" s="1"/>
    </row>
    <row r="103" ht="15.75" customHeight="1">
      <c r="A103" s="2">
        <f>IFERROR(__xludf.DUMMYFUNCTION("""COMPUTED_VALUE"""),43403.0)</f>
        <v>43403</v>
      </c>
      <c r="B103" s="1" t="str">
        <f>IFERROR(__xludf.DUMMYFUNCTION("""COMPUTED_VALUE"""),"8:00p")</f>
        <v>8:00p</v>
      </c>
      <c r="C103" s="1" t="str">
        <f>IFERROR(__xludf.DUMMYFUNCTION("""COMPUTED_VALUE"""),"Washington Wizards")</f>
        <v>Washington Wizards</v>
      </c>
      <c r="D103" s="1">
        <f>IFERROR(__xludf.DUMMYFUNCTION("""COMPUTED_VALUE"""),95.0)</f>
        <v>95</v>
      </c>
      <c r="E103" s="1" t="str">
        <f>IFERROR(__xludf.DUMMYFUNCTION("""COMPUTED_VALUE"""),"Memphis Grizzlies")</f>
        <v>Memphis Grizzlies</v>
      </c>
      <c r="F103" s="1">
        <f>IFERROR(__xludf.DUMMYFUNCTION("""COMPUTED_VALUE"""),107.0)</f>
        <v>107</v>
      </c>
      <c r="G103" s="1" t="str">
        <f>IFERROR(__xludf.DUMMYFUNCTION("""COMPUTED_VALUE"""),"Box Score")</f>
        <v>Box Score</v>
      </c>
      <c r="H103" s="1"/>
      <c r="I103" s="3">
        <f>IFERROR(__xludf.DUMMYFUNCTION("""COMPUTED_VALUE"""),14106.0)</f>
        <v>14106</v>
      </c>
      <c r="J103" s="1"/>
    </row>
    <row r="104" ht="15.75" customHeight="1">
      <c r="A104" s="2">
        <f>IFERROR(__xludf.DUMMYFUNCTION("""COMPUTED_VALUE"""),43403.0)</f>
        <v>43403</v>
      </c>
      <c r="B104" s="1" t="str">
        <f>IFERROR(__xludf.DUMMYFUNCTION("""COMPUTED_VALUE"""),"8:00p")</f>
        <v>8:00p</v>
      </c>
      <c r="C104" s="1" t="str">
        <f>IFERROR(__xludf.DUMMYFUNCTION("""COMPUTED_VALUE"""),"Los Angeles Clippers")</f>
        <v>Los Angeles Clippers</v>
      </c>
      <c r="D104" s="1">
        <f>IFERROR(__xludf.DUMMYFUNCTION("""COMPUTED_VALUE"""),110.0)</f>
        <v>110</v>
      </c>
      <c r="E104" s="1" t="str">
        <f>IFERROR(__xludf.DUMMYFUNCTION("""COMPUTED_VALUE"""),"Oklahoma City Thunder")</f>
        <v>Oklahoma City Thunder</v>
      </c>
      <c r="F104" s="1">
        <f>IFERROR(__xludf.DUMMYFUNCTION("""COMPUTED_VALUE"""),128.0)</f>
        <v>128</v>
      </c>
      <c r="G104" s="1" t="str">
        <f>IFERROR(__xludf.DUMMYFUNCTION("""COMPUTED_VALUE"""),"Box Score")</f>
        <v>Box Score</v>
      </c>
      <c r="H104" s="1"/>
      <c r="I104" s="3">
        <f>IFERROR(__xludf.DUMMYFUNCTION("""COMPUTED_VALUE"""),18203.0)</f>
        <v>18203</v>
      </c>
      <c r="J104" s="1"/>
    </row>
    <row r="105" ht="15.75" customHeight="1">
      <c r="A105" s="2">
        <f>IFERROR(__xludf.DUMMYFUNCTION("""COMPUTED_VALUE"""),43404.0)</f>
        <v>43404</v>
      </c>
      <c r="B105" s="1" t="str">
        <f>IFERROR(__xludf.DUMMYFUNCTION("""COMPUTED_VALUE"""),"7:30p")</f>
        <v>7:30p</v>
      </c>
      <c r="C105" s="1" t="str">
        <f>IFERROR(__xludf.DUMMYFUNCTION("""COMPUTED_VALUE"""),"Detroit Pistons")</f>
        <v>Detroit Pistons</v>
      </c>
      <c r="D105" s="1">
        <f>IFERROR(__xludf.DUMMYFUNCTION("""COMPUTED_VALUE"""),119.0)</f>
        <v>119</v>
      </c>
      <c r="E105" s="1" t="str">
        <f>IFERROR(__xludf.DUMMYFUNCTION("""COMPUTED_VALUE"""),"Brooklyn Nets")</f>
        <v>Brooklyn Nets</v>
      </c>
      <c r="F105" s="1">
        <f>IFERROR(__xludf.DUMMYFUNCTION("""COMPUTED_VALUE"""),120.0)</f>
        <v>120</v>
      </c>
      <c r="G105" s="1" t="str">
        <f>IFERROR(__xludf.DUMMYFUNCTION("""COMPUTED_VALUE"""),"Box Score")</f>
        <v>Box Score</v>
      </c>
      <c r="H105" s="1" t="str">
        <f>IFERROR(__xludf.DUMMYFUNCTION("""COMPUTED_VALUE"""),"OT")</f>
        <v>OT</v>
      </c>
      <c r="I105" s="3">
        <f>IFERROR(__xludf.DUMMYFUNCTION("""COMPUTED_VALUE"""),12862.0)</f>
        <v>12862</v>
      </c>
      <c r="J105" s="1"/>
    </row>
    <row r="106" ht="15.75" customHeight="1">
      <c r="A106" s="2">
        <f>IFERROR(__xludf.DUMMYFUNCTION("""COMPUTED_VALUE"""),43404.0)</f>
        <v>43404</v>
      </c>
      <c r="B106" s="1" t="str">
        <f>IFERROR(__xludf.DUMMYFUNCTION("""COMPUTED_VALUE"""),"8:00p")</f>
        <v>8:00p</v>
      </c>
      <c r="C106" s="1" t="str">
        <f>IFERROR(__xludf.DUMMYFUNCTION("""COMPUTED_VALUE"""),"Denver Nuggets")</f>
        <v>Denver Nuggets</v>
      </c>
      <c r="D106" s="1">
        <f>IFERROR(__xludf.DUMMYFUNCTION("""COMPUTED_VALUE"""),108.0)</f>
        <v>108</v>
      </c>
      <c r="E106" s="1" t="str">
        <f>IFERROR(__xludf.DUMMYFUNCTION("""COMPUTED_VALUE"""),"Chicago Bulls")</f>
        <v>Chicago Bulls</v>
      </c>
      <c r="F106" s="1">
        <f>IFERROR(__xludf.DUMMYFUNCTION("""COMPUTED_VALUE"""),107.0)</f>
        <v>107</v>
      </c>
      <c r="G106" s="1" t="str">
        <f>IFERROR(__xludf.DUMMYFUNCTION("""COMPUTED_VALUE"""),"Box Score")</f>
        <v>Box Score</v>
      </c>
      <c r="H106" s="1" t="str">
        <f>IFERROR(__xludf.DUMMYFUNCTION("""COMPUTED_VALUE"""),"OT")</f>
        <v>OT</v>
      </c>
      <c r="I106" s="3">
        <f>IFERROR(__xludf.DUMMYFUNCTION("""COMPUTED_VALUE"""),19027.0)</f>
        <v>19027</v>
      </c>
      <c r="J106" s="1"/>
    </row>
    <row r="107" ht="15.75" customHeight="1">
      <c r="A107" s="2">
        <f>IFERROR(__xludf.DUMMYFUNCTION("""COMPUTED_VALUE"""),43404.0)</f>
        <v>43404</v>
      </c>
      <c r="B107" s="1" t="str">
        <f>IFERROR(__xludf.DUMMYFUNCTION("""COMPUTED_VALUE"""),"8:00p")</f>
        <v>8:00p</v>
      </c>
      <c r="C107" s="1" t="str">
        <f>IFERROR(__xludf.DUMMYFUNCTION("""COMPUTED_VALUE"""),"Utah Jazz")</f>
        <v>Utah Jazz</v>
      </c>
      <c r="D107" s="1">
        <f>IFERROR(__xludf.DUMMYFUNCTION("""COMPUTED_VALUE"""),125.0)</f>
        <v>125</v>
      </c>
      <c r="E107" s="1" t="str">
        <f>IFERROR(__xludf.DUMMYFUNCTION("""COMPUTED_VALUE"""),"Minnesota Timberwolves")</f>
        <v>Minnesota Timberwolves</v>
      </c>
      <c r="F107" s="1">
        <f>IFERROR(__xludf.DUMMYFUNCTION("""COMPUTED_VALUE"""),128.0)</f>
        <v>128</v>
      </c>
      <c r="G107" s="1" t="str">
        <f>IFERROR(__xludf.DUMMYFUNCTION("""COMPUTED_VALUE"""),"Box Score")</f>
        <v>Box Score</v>
      </c>
      <c r="H107" s="1"/>
      <c r="I107" s="3">
        <f>IFERROR(__xludf.DUMMYFUNCTION("""COMPUTED_VALUE"""),10079.0)</f>
        <v>10079</v>
      </c>
      <c r="J107" s="1"/>
    </row>
    <row r="108" ht="15.75" customHeight="1">
      <c r="A108" s="2">
        <f>IFERROR(__xludf.DUMMYFUNCTION("""COMPUTED_VALUE"""),43404.0)</f>
        <v>43404</v>
      </c>
      <c r="B108" s="1" t="str">
        <f>IFERROR(__xludf.DUMMYFUNCTION("""COMPUTED_VALUE"""),"8:00p")</f>
        <v>8:00p</v>
      </c>
      <c r="C108" s="1" t="str">
        <f>IFERROR(__xludf.DUMMYFUNCTION("""COMPUTED_VALUE"""),"Indiana Pacers")</f>
        <v>Indiana Pacers</v>
      </c>
      <c r="D108" s="1">
        <f>IFERROR(__xludf.DUMMYFUNCTION("""COMPUTED_VALUE"""),107.0)</f>
        <v>107</v>
      </c>
      <c r="E108" s="1" t="str">
        <f>IFERROR(__xludf.DUMMYFUNCTION("""COMPUTED_VALUE"""),"New York Knicks")</f>
        <v>New York Knicks</v>
      </c>
      <c r="F108" s="1">
        <f>IFERROR(__xludf.DUMMYFUNCTION("""COMPUTED_VALUE"""),101.0)</f>
        <v>101</v>
      </c>
      <c r="G108" s="1" t="str">
        <f>IFERROR(__xludf.DUMMYFUNCTION("""COMPUTED_VALUE"""),"Box Score")</f>
        <v>Box Score</v>
      </c>
      <c r="H108" s="1"/>
      <c r="I108" s="3">
        <f>IFERROR(__xludf.DUMMYFUNCTION("""COMPUTED_VALUE"""),18295.0)</f>
        <v>18295</v>
      </c>
      <c r="J108" s="1"/>
    </row>
    <row r="109" ht="15.75" customHeight="1">
      <c r="A109" s="2">
        <f>IFERROR(__xludf.DUMMYFUNCTION("""COMPUTED_VALUE"""),43404.0)</f>
        <v>43404</v>
      </c>
      <c r="B109" s="1" t="str">
        <f>IFERROR(__xludf.DUMMYFUNCTION("""COMPUTED_VALUE"""),"10:30p")</f>
        <v>10:30p</v>
      </c>
      <c r="C109" s="1" t="str">
        <f>IFERROR(__xludf.DUMMYFUNCTION("""COMPUTED_VALUE"""),"New Orleans Pelicans")</f>
        <v>New Orleans Pelicans</v>
      </c>
      <c r="D109" s="1">
        <f>IFERROR(__xludf.DUMMYFUNCTION("""COMPUTED_VALUE"""),121.0)</f>
        <v>121</v>
      </c>
      <c r="E109" s="1" t="str">
        <f>IFERROR(__xludf.DUMMYFUNCTION("""COMPUTED_VALUE"""),"Golden State Warriors")</f>
        <v>Golden State Warriors</v>
      </c>
      <c r="F109" s="1">
        <f>IFERROR(__xludf.DUMMYFUNCTION("""COMPUTED_VALUE"""),131.0)</f>
        <v>131</v>
      </c>
      <c r="G109" s="1" t="str">
        <f>IFERROR(__xludf.DUMMYFUNCTION("""COMPUTED_VALUE"""),"Box Score")</f>
        <v>Box Score</v>
      </c>
      <c r="H109" s="1"/>
      <c r="I109" s="3">
        <f>IFERROR(__xludf.DUMMYFUNCTION("""COMPUTED_VALUE"""),19596.0)</f>
        <v>19596</v>
      </c>
      <c r="J109" s="1"/>
    </row>
    <row r="110" ht="15.75" customHeight="1">
      <c r="A110" s="2">
        <f>IFERROR(__xludf.DUMMYFUNCTION("""COMPUTED_VALUE"""),43404.0)</f>
        <v>43404</v>
      </c>
      <c r="B110" s="1" t="str">
        <f>IFERROR(__xludf.DUMMYFUNCTION("""COMPUTED_VALUE"""),"10:30p")</f>
        <v>10:30p</v>
      </c>
      <c r="C110" s="1" t="str">
        <f>IFERROR(__xludf.DUMMYFUNCTION("""COMPUTED_VALUE"""),"Dallas Mavericks")</f>
        <v>Dallas Mavericks</v>
      </c>
      <c r="D110" s="1">
        <f>IFERROR(__xludf.DUMMYFUNCTION("""COMPUTED_VALUE"""),113.0)</f>
        <v>113</v>
      </c>
      <c r="E110" s="1" t="str">
        <f>IFERROR(__xludf.DUMMYFUNCTION("""COMPUTED_VALUE"""),"Los Angeles Lakers")</f>
        <v>Los Angeles Lakers</v>
      </c>
      <c r="F110" s="1">
        <f>IFERROR(__xludf.DUMMYFUNCTION("""COMPUTED_VALUE"""),114.0)</f>
        <v>114</v>
      </c>
      <c r="G110" s="1" t="str">
        <f>IFERROR(__xludf.DUMMYFUNCTION("""COMPUTED_VALUE"""),"Box Score")</f>
        <v>Box Score</v>
      </c>
      <c r="H110" s="1"/>
      <c r="I110" s="3">
        <f>IFERROR(__xludf.DUMMYFUNCTION("""COMPUTED_VALUE"""),18997.0)</f>
        <v>18997</v>
      </c>
      <c r="J110" s="1"/>
    </row>
    <row r="111" ht="15.75" customHeight="1">
      <c r="A111" s="2">
        <f>IFERROR(__xludf.DUMMYFUNCTION("""COMPUTED_VALUE"""),43404.0)</f>
        <v>43404</v>
      </c>
      <c r="B111" s="1" t="str">
        <f>IFERROR(__xludf.DUMMYFUNCTION("""COMPUTED_VALUE"""),"10:30p")</f>
        <v>10:30p</v>
      </c>
      <c r="C111" s="1" t="str">
        <f>IFERROR(__xludf.DUMMYFUNCTION("""COMPUTED_VALUE"""),"San Antonio Spurs")</f>
        <v>San Antonio Spurs</v>
      </c>
      <c r="D111" s="1">
        <f>IFERROR(__xludf.DUMMYFUNCTION("""COMPUTED_VALUE"""),120.0)</f>
        <v>120</v>
      </c>
      <c r="E111" s="1" t="str">
        <f>IFERROR(__xludf.DUMMYFUNCTION("""COMPUTED_VALUE"""),"Phoenix Suns")</f>
        <v>Phoenix Suns</v>
      </c>
      <c r="F111" s="1">
        <f>IFERROR(__xludf.DUMMYFUNCTION("""COMPUTED_VALUE"""),90.0)</f>
        <v>90</v>
      </c>
      <c r="G111" s="1" t="str">
        <f>IFERROR(__xludf.DUMMYFUNCTION("""COMPUTED_VALUE"""),"Box Score")</f>
        <v>Box Score</v>
      </c>
      <c r="H111" s="1"/>
      <c r="I111" s="3">
        <f>IFERROR(__xludf.DUMMYFUNCTION("""COMPUTED_VALUE"""),12328.0)</f>
        <v>12328</v>
      </c>
      <c r="J111" s="1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tr">
        <f>IFERROR(__xludf.DUMMYFUNCTION("IMPORTHTML(""https://www.basketball-reference.com/leagues/NBA_2019_games-november.html"",""table"",1)"),"Date")</f>
        <v>Date</v>
      </c>
      <c r="B1" s="1" t="str">
        <f>IFERROR(__xludf.DUMMYFUNCTION("""COMPUTED_VALUE"""),"Start (ET)")</f>
        <v>Start (ET)</v>
      </c>
      <c r="C1" s="1" t="str">
        <f>IFERROR(__xludf.DUMMYFUNCTION("""COMPUTED_VALUE"""),"Visitor/Neutral")</f>
        <v>Visitor/Neutral</v>
      </c>
      <c r="D1" s="1" t="str">
        <f>IFERROR(__xludf.DUMMYFUNCTION("""COMPUTED_VALUE"""),"PTS")</f>
        <v>PTS</v>
      </c>
      <c r="E1" s="1" t="str">
        <f>IFERROR(__xludf.DUMMYFUNCTION("""COMPUTED_VALUE"""),"Home/Neutral")</f>
        <v>Home/Neutral</v>
      </c>
      <c r="F1" s="1" t="str">
        <f>IFERROR(__xludf.DUMMYFUNCTION("""COMPUTED_VALUE"""),"PTS")</f>
        <v>PTS</v>
      </c>
      <c r="G1" s="1"/>
      <c r="H1" s="1"/>
      <c r="I1" s="1" t="str">
        <f>IFERROR(__xludf.DUMMYFUNCTION("""COMPUTED_VALUE"""),"Attend.")</f>
        <v>Attend.</v>
      </c>
      <c r="J1" s="1" t="str">
        <f>IFERROR(__xludf.DUMMYFUNCTION("""COMPUTED_VALUE"""),"Notes")</f>
        <v>Notes</v>
      </c>
    </row>
    <row r="2" ht="15.75" customHeight="1">
      <c r="A2" s="2">
        <f>IFERROR(__xludf.DUMMYFUNCTION("""COMPUTED_VALUE"""),43405.0)</f>
        <v>43405</v>
      </c>
      <c r="B2" s="1" t="str">
        <f>IFERROR(__xludf.DUMMYFUNCTION("""COMPUTED_VALUE"""),"7:00p")</f>
        <v>7:00p</v>
      </c>
      <c r="C2" s="1" t="str">
        <f>IFERROR(__xludf.DUMMYFUNCTION("""COMPUTED_VALUE"""),"Oklahoma City Thunder")</f>
        <v>Oklahoma City Thunder</v>
      </c>
      <c r="D2" s="1">
        <f>IFERROR(__xludf.DUMMYFUNCTION("""COMPUTED_VALUE"""),111.0)</f>
        <v>111</v>
      </c>
      <c r="E2" s="1" t="str">
        <f>IFERROR(__xludf.DUMMYFUNCTION("""COMPUTED_VALUE"""),"Charlotte Hornets")</f>
        <v>Charlotte Hornets</v>
      </c>
      <c r="F2" s="1">
        <f>IFERROR(__xludf.DUMMYFUNCTION("""COMPUTED_VALUE"""),107.0)</f>
        <v>107</v>
      </c>
      <c r="G2" s="1" t="str">
        <f>IFERROR(__xludf.DUMMYFUNCTION("""COMPUTED_VALUE"""),"Box Score")</f>
        <v>Box Score</v>
      </c>
      <c r="H2" s="1"/>
      <c r="I2" s="3">
        <f>IFERROR(__xludf.DUMMYFUNCTION("""COMPUTED_VALUE"""),14583.0)</f>
        <v>14583</v>
      </c>
      <c r="J2" s="1"/>
    </row>
    <row r="3" ht="15.75" customHeight="1">
      <c r="A3" s="2">
        <f>IFERROR(__xludf.DUMMYFUNCTION("""COMPUTED_VALUE"""),43405.0)</f>
        <v>43405</v>
      </c>
      <c r="B3" s="1" t="str">
        <f>IFERROR(__xludf.DUMMYFUNCTION("""COMPUTED_VALUE"""),"7:00p")</f>
        <v>7:00p</v>
      </c>
      <c r="C3" s="1" t="str">
        <f>IFERROR(__xludf.DUMMYFUNCTION("""COMPUTED_VALUE"""),"Denver Nuggets")</f>
        <v>Denver Nuggets</v>
      </c>
      <c r="D3" s="1">
        <f>IFERROR(__xludf.DUMMYFUNCTION("""COMPUTED_VALUE"""),110.0)</f>
        <v>110</v>
      </c>
      <c r="E3" s="1" t="str">
        <f>IFERROR(__xludf.DUMMYFUNCTION("""COMPUTED_VALUE"""),"Cleveland Cavaliers")</f>
        <v>Cleveland Cavaliers</v>
      </c>
      <c r="F3" s="1">
        <f>IFERROR(__xludf.DUMMYFUNCTION("""COMPUTED_VALUE"""),91.0)</f>
        <v>91</v>
      </c>
      <c r="G3" s="1" t="str">
        <f>IFERROR(__xludf.DUMMYFUNCTION("""COMPUTED_VALUE"""),"Box Score")</f>
        <v>Box Score</v>
      </c>
      <c r="H3" s="1"/>
      <c r="I3" s="3">
        <f>IFERROR(__xludf.DUMMYFUNCTION("""COMPUTED_VALUE"""),19432.0)</f>
        <v>19432</v>
      </c>
      <c r="J3" s="1"/>
    </row>
    <row r="4" ht="15.75" customHeight="1">
      <c r="A4" s="2">
        <f>IFERROR(__xludf.DUMMYFUNCTION("""COMPUTED_VALUE"""),43405.0)</f>
        <v>43405</v>
      </c>
      <c r="B4" s="1" t="str">
        <f>IFERROR(__xludf.DUMMYFUNCTION("""COMPUTED_VALUE"""),"7:00p")</f>
        <v>7:00p</v>
      </c>
      <c r="C4" s="1" t="str">
        <f>IFERROR(__xludf.DUMMYFUNCTION("""COMPUTED_VALUE"""),"Los Angeles Clippers")</f>
        <v>Los Angeles Clippers</v>
      </c>
      <c r="D4" s="1">
        <f>IFERROR(__xludf.DUMMYFUNCTION("""COMPUTED_VALUE"""),113.0)</f>
        <v>113</v>
      </c>
      <c r="E4" s="1" t="str">
        <f>IFERROR(__xludf.DUMMYFUNCTION("""COMPUTED_VALUE"""),"Philadelphia 76ers")</f>
        <v>Philadelphia 76ers</v>
      </c>
      <c r="F4" s="1">
        <f>IFERROR(__xludf.DUMMYFUNCTION("""COMPUTED_VALUE"""),122.0)</f>
        <v>122</v>
      </c>
      <c r="G4" s="1" t="str">
        <f>IFERROR(__xludf.DUMMYFUNCTION("""COMPUTED_VALUE"""),"Box Score")</f>
        <v>Box Score</v>
      </c>
      <c r="H4" s="1"/>
      <c r="I4" s="3">
        <f>IFERROR(__xludf.DUMMYFUNCTION("""COMPUTED_VALUE"""),20246.0)</f>
        <v>20246</v>
      </c>
      <c r="J4" s="1"/>
    </row>
    <row r="5" ht="15.75" customHeight="1">
      <c r="A5" s="2">
        <f>IFERROR(__xludf.DUMMYFUNCTION("""COMPUTED_VALUE"""),43405.0)</f>
        <v>43405</v>
      </c>
      <c r="B5" s="1" t="str">
        <f>IFERROR(__xludf.DUMMYFUNCTION("""COMPUTED_VALUE"""),"7:30p")</f>
        <v>7:30p</v>
      </c>
      <c r="C5" s="1" t="str">
        <f>IFERROR(__xludf.DUMMYFUNCTION("""COMPUTED_VALUE"""),"Sacramento Kings")</f>
        <v>Sacramento Kings</v>
      </c>
      <c r="D5" s="1">
        <f>IFERROR(__xludf.DUMMYFUNCTION("""COMPUTED_VALUE"""),146.0)</f>
        <v>146</v>
      </c>
      <c r="E5" s="1" t="str">
        <f>IFERROR(__xludf.DUMMYFUNCTION("""COMPUTED_VALUE"""),"Atlanta Hawks")</f>
        <v>Atlanta Hawks</v>
      </c>
      <c r="F5" s="1">
        <f>IFERROR(__xludf.DUMMYFUNCTION("""COMPUTED_VALUE"""),115.0)</f>
        <v>115</v>
      </c>
      <c r="G5" s="1" t="str">
        <f>IFERROR(__xludf.DUMMYFUNCTION("""COMPUTED_VALUE"""),"Box Score")</f>
        <v>Box Score</v>
      </c>
      <c r="H5" s="1"/>
      <c r="I5" s="3">
        <f>IFERROR(__xludf.DUMMYFUNCTION("""COMPUTED_VALUE"""),12095.0)</f>
        <v>12095</v>
      </c>
      <c r="J5" s="1"/>
    </row>
    <row r="6" ht="15.75" customHeight="1">
      <c r="A6" s="2">
        <f>IFERROR(__xludf.DUMMYFUNCTION("""COMPUTED_VALUE"""),43405.0)</f>
        <v>43405</v>
      </c>
      <c r="B6" s="1" t="str">
        <f>IFERROR(__xludf.DUMMYFUNCTION("""COMPUTED_VALUE"""),"8:00p")</f>
        <v>8:00p</v>
      </c>
      <c r="C6" s="1" t="str">
        <f>IFERROR(__xludf.DUMMYFUNCTION("""COMPUTED_VALUE"""),"Milwaukee Bucks")</f>
        <v>Milwaukee Bucks</v>
      </c>
      <c r="D6" s="1">
        <f>IFERROR(__xludf.DUMMYFUNCTION("""COMPUTED_VALUE"""),113.0)</f>
        <v>113</v>
      </c>
      <c r="E6" s="1" t="str">
        <f>IFERROR(__xludf.DUMMYFUNCTION("""COMPUTED_VALUE"""),"Boston Celtics")</f>
        <v>Boston Celtics</v>
      </c>
      <c r="F6" s="1">
        <f>IFERROR(__xludf.DUMMYFUNCTION("""COMPUTED_VALUE"""),117.0)</f>
        <v>117</v>
      </c>
      <c r="G6" s="1" t="str">
        <f>IFERROR(__xludf.DUMMYFUNCTION("""COMPUTED_VALUE"""),"Box Score")</f>
        <v>Box Score</v>
      </c>
      <c r="H6" s="1"/>
      <c r="I6" s="3">
        <f>IFERROR(__xludf.DUMMYFUNCTION("""COMPUTED_VALUE"""),18624.0)</f>
        <v>18624</v>
      </c>
      <c r="J6" s="1"/>
    </row>
    <row r="7" ht="15.75" customHeight="1">
      <c r="A7" s="2">
        <f>IFERROR(__xludf.DUMMYFUNCTION("""COMPUTED_VALUE"""),43405.0)</f>
        <v>43405</v>
      </c>
      <c r="B7" s="1" t="str">
        <f>IFERROR(__xludf.DUMMYFUNCTION("""COMPUTED_VALUE"""),"10:30p")</f>
        <v>10:30p</v>
      </c>
      <c r="C7" s="1" t="str">
        <f>IFERROR(__xludf.DUMMYFUNCTION("""COMPUTED_VALUE"""),"New Orleans Pelicans")</f>
        <v>New Orleans Pelicans</v>
      </c>
      <c r="D7" s="1">
        <f>IFERROR(__xludf.DUMMYFUNCTION("""COMPUTED_VALUE"""),119.0)</f>
        <v>119</v>
      </c>
      <c r="E7" s="1" t="str">
        <f>IFERROR(__xludf.DUMMYFUNCTION("""COMPUTED_VALUE"""),"Portland Trail Blazers")</f>
        <v>Portland Trail Blazers</v>
      </c>
      <c r="F7" s="1">
        <f>IFERROR(__xludf.DUMMYFUNCTION("""COMPUTED_VALUE"""),132.0)</f>
        <v>132</v>
      </c>
      <c r="G7" s="1" t="str">
        <f>IFERROR(__xludf.DUMMYFUNCTION("""COMPUTED_VALUE"""),"Box Score")</f>
        <v>Box Score</v>
      </c>
      <c r="H7" s="1"/>
      <c r="I7" s="3">
        <f>IFERROR(__xludf.DUMMYFUNCTION("""COMPUTED_VALUE"""),18921.0)</f>
        <v>18921</v>
      </c>
      <c r="J7" s="1"/>
    </row>
    <row r="8" ht="15.75" customHeight="1">
      <c r="A8" s="2">
        <f>IFERROR(__xludf.DUMMYFUNCTION("""COMPUTED_VALUE"""),43406.0)</f>
        <v>43406</v>
      </c>
      <c r="B8" s="1" t="str">
        <f>IFERROR(__xludf.DUMMYFUNCTION("""COMPUTED_VALUE"""),"7:00p")</f>
        <v>7:00p</v>
      </c>
      <c r="C8" s="1" t="str">
        <f>IFERROR(__xludf.DUMMYFUNCTION("""COMPUTED_VALUE"""),"Los Angeles Clippers")</f>
        <v>Los Angeles Clippers</v>
      </c>
      <c r="D8" s="1">
        <f>IFERROR(__xludf.DUMMYFUNCTION("""COMPUTED_VALUE"""),120.0)</f>
        <v>120</v>
      </c>
      <c r="E8" s="1" t="str">
        <f>IFERROR(__xludf.DUMMYFUNCTION("""COMPUTED_VALUE"""),"Orlando Magic")</f>
        <v>Orlando Magic</v>
      </c>
      <c r="F8" s="1">
        <f>IFERROR(__xludf.DUMMYFUNCTION("""COMPUTED_VALUE"""),95.0)</f>
        <v>95</v>
      </c>
      <c r="G8" s="1" t="str">
        <f>IFERROR(__xludf.DUMMYFUNCTION("""COMPUTED_VALUE"""),"Box Score")</f>
        <v>Box Score</v>
      </c>
      <c r="H8" s="1"/>
      <c r="I8" s="3">
        <f>IFERROR(__xludf.DUMMYFUNCTION("""COMPUTED_VALUE"""),15953.0)</f>
        <v>15953</v>
      </c>
      <c r="J8" s="1"/>
    </row>
    <row r="9" ht="15.75" customHeight="1">
      <c r="A9" s="2">
        <f>IFERROR(__xludf.DUMMYFUNCTION("""COMPUTED_VALUE"""),43406.0)</f>
        <v>43406</v>
      </c>
      <c r="B9" s="1" t="str">
        <f>IFERROR(__xludf.DUMMYFUNCTION("""COMPUTED_VALUE"""),"7:30p")</f>
        <v>7:30p</v>
      </c>
      <c r="C9" s="1" t="str">
        <f>IFERROR(__xludf.DUMMYFUNCTION("""COMPUTED_VALUE"""),"Houston Rockets")</f>
        <v>Houston Rockets</v>
      </c>
      <c r="D9" s="1">
        <f>IFERROR(__xludf.DUMMYFUNCTION("""COMPUTED_VALUE"""),119.0)</f>
        <v>119</v>
      </c>
      <c r="E9" s="1" t="str">
        <f>IFERROR(__xludf.DUMMYFUNCTION("""COMPUTED_VALUE"""),"Brooklyn Nets")</f>
        <v>Brooklyn Nets</v>
      </c>
      <c r="F9" s="1">
        <f>IFERROR(__xludf.DUMMYFUNCTION("""COMPUTED_VALUE"""),111.0)</f>
        <v>111</v>
      </c>
      <c r="G9" s="1" t="str">
        <f>IFERROR(__xludf.DUMMYFUNCTION("""COMPUTED_VALUE"""),"Box Score")</f>
        <v>Box Score</v>
      </c>
      <c r="H9" s="1"/>
      <c r="I9" s="3">
        <f>IFERROR(__xludf.DUMMYFUNCTION("""COMPUTED_VALUE"""),14013.0)</f>
        <v>14013</v>
      </c>
      <c r="J9" s="1"/>
    </row>
    <row r="10" ht="15.75" customHeight="1">
      <c r="A10" s="2">
        <f>IFERROR(__xludf.DUMMYFUNCTION("""COMPUTED_VALUE"""),43406.0)</f>
        <v>43406</v>
      </c>
      <c r="B10" s="1" t="str">
        <f>IFERROR(__xludf.DUMMYFUNCTION("""COMPUTED_VALUE"""),"8:00p")</f>
        <v>8:00p</v>
      </c>
      <c r="C10" s="1" t="str">
        <f>IFERROR(__xludf.DUMMYFUNCTION("""COMPUTED_VALUE"""),"Indiana Pacers")</f>
        <v>Indiana Pacers</v>
      </c>
      <c r="D10" s="1">
        <f>IFERROR(__xludf.DUMMYFUNCTION("""COMPUTED_VALUE"""),107.0)</f>
        <v>107</v>
      </c>
      <c r="E10" s="1" t="str">
        <f>IFERROR(__xludf.DUMMYFUNCTION("""COMPUTED_VALUE"""),"Chicago Bulls")</f>
        <v>Chicago Bulls</v>
      </c>
      <c r="F10" s="1">
        <f>IFERROR(__xludf.DUMMYFUNCTION("""COMPUTED_VALUE"""),105.0)</f>
        <v>105</v>
      </c>
      <c r="G10" s="1" t="str">
        <f>IFERROR(__xludf.DUMMYFUNCTION("""COMPUTED_VALUE"""),"Box Score")</f>
        <v>Box Score</v>
      </c>
      <c r="H10" s="1"/>
      <c r="I10" s="3">
        <f>IFERROR(__xludf.DUMMYFUNCTION("""COMPUTED_VALUE"""),19704.0)</f>
        <v>19704</v>
      </c>
      <c r="J10" s="1"/>
    </row>
    <row r="11" ht="15.75" customHeight="1">
      <c r="A11" s="2">
        <f>IFERROR(__xludf.DUMMYFUNCTION("""COMPUTED_VALUE"""),43406.0)</f>
        <v>43406</v>
      </c>
      <c r="B11" s="1" t="str">
        <f>IFERROR(__xludf.DUMMYFUNCTION("""COMPUTED_VALUE"""),"8:00p")</f>
        <v>8:00p</v>
      </c>
      <c r="C11" s="1" t="str">
        <f>IFERROR(__xludf.DUMMYFUNCTION("""COMPUTED_VALUE"""),"Oklahoma City Thunder")</f>
        <v>Oklahoma City Thunder</v>
      </c>
      <c r="D11" s="1">
        <f>IFERROR(__xludf.DUMMYFUNCTION("""COMPUTED_VALUE"""),134.0)</f>
        <v>134</v>
      </c>
      <c r="E11" s="1" t="str">
        <f>IFERROR(__xludf.DUMMYFUNCTION("""COMPUTED_VALUE"""),"Washington Wizards")</f>
        <v>Washington Wizards</v>
      </c>
      <c r="F11" s="1">
        <f>IFERROR(__xludf.DUMMYFUNCTION("""COMPUTED_VALUE"""),111.0)</f>
        <v>111</v>
      </c>
      <c r="G11" s="1" t="str">
        <f>IFERROR(__xludf.DUMMYFUNCTION("""COMPUTED_VALUE"""),"Box Score")</f>
        <v>Box Score</v>
      </c>
      <c r="H11" s="1"/>
      <c r="I11" s="3">
        <f>IFERROR(__xludf.DUMMYFUNCTION("""COMPUTED_VALUE"""),20409.0)</f>
        <v>20409</v>
      </c>
      <c r="J11" s="1"/>
    </row>
    <row r="12" ht="15.75" customHeight="1">
      <c r="A12" s="2">
        <f>IFERROR(__xludf.DUMMYFUNCTION("""COMPUTED_VALUE"""),43406.0)</f>
        <v>43406</v>
      </c>
      <c r="B12" s="1" t="str">
        <f>IFERROR(__xludf.DUMMYFUNCTION("""COMPUTED_VALUE"""),"8:30p")</f>
        <v>8:30p</v>
      </c>
      <c r="C12" s="1" t="str">
        <f>IFERROR(__xludf.DUMMYFUNCTION("""COMPUTED_VALUE"""),"New York Knicks")</f>
        <v>New York Knicks</v>
      </c>
      <c r="D12" s="1">
        <f>IFERROR(__xludf.DUMMYFUNCTION("""COMPUTED_VALUE"""),118.0)</f>
        <v>118</v>
      </c>
      <c r="E12" s="1" t="str">
        <f>IFERROR(__xludf.DUMMYFUNCTION("""COMPUTED_VALUE"""),"Dallas Mavericks")</f>
        <v>Dallas Mavericks</v>
      </c>
      <c r="F12" s="1">
        <f>IFERROR(__xludf.DUMMYFUNCTION("""COMPUTED_VALUE"""),106.0)</f>
        <v>106</v>
      </c>
      <c r="G12" s="1" t="str">
        <f>IFERROR(__xludf.DUMMYFUNCTION("""COMPUTED_VALUE"""),"Box Score")</f>
        <v>Box Score</v>
      </c>
      <c r="H12" s="1"/>
      <c r="I12" s="3">
        <f>IFERROR(__xludf.DUMMYFUNCTION("""COMPUTED_VALUE"""),20008.0)</f>
        <v>20008</v>
      </c>
      <c r="J12" s="1"/>
    </row>
    <row r="13" ht="15.75" customHeight="1">
      <c r="A13" s="2">
        <f>IFERROR(__xludf.DUMMYFUNCTION("""COMPUTED_VALUE"""),43406.0)</f>
        <v>43406</v>
      </c>
      <c r="B13" s="1" t="str">
        <f>IFERROR(__xludf.DUMMYFUNCTION("""COMPUTED_VALUE"""),"9:00p")</f>
        <v>9:00p</v>
      </c>
      <c r="C13" s="1" t="str">
        <f>IFERROR(__xludf.DUMMYFUNCTION("""COMPUTED_VALUE"""),"Memphis Grizzlies")</f>
        <v>Memphis Grizzlies</v>
      </c>
      <c r="D13" s="1">
        <f>IFERROR(__xludf.DUMMYFUNCTION("""COMPUTED_VALUE"""),110.0)</f>
        <v>110</v>
      </c>
      <c r="E13" s="1" t="str">
        <f>IFERROR(__xludf.DUMMYFUNCTION("""COMPUTED_VALUE"""),"Utah Jazz")</f>
        <v>Utah Jazz</v>
      </c>
      <c r="F13" s="1">
        <f>IFERROR(__xludf.DUMMYFUNCTION("""COMPUTED_VALUE"""),100.0)</f>
        <v>100</v>
      </c>
      <c r="G13" s="1" t="str">
        <f>IFERROR(__xludf.DUMMYFUNCTION("""COMPUTED_VALUE"""),"Box Score")</f>
        <v>Box Score</v>
      </c>
      <c r="H13" s="1"/>
      <c r="I13" s="3">
        <f>IFERROR(__xludf.DUMMYFUNCTION("""COMPUTED_VALUE"""),18306.0)</f>
        <v>18306</v>
      </c>
      <c r="J13" s="1"/>
    </row>
    <row r="14" ht="15.75" customHeight="1">
      <c r="A14" s="2">
        <f>IFERROR(__xludf.DUMMYFUNCTION("""COMPUTED_VALUE"""),43406.0)</f>
        <v>43406</v>
      </c>
      <c r="B14" s="1" t="str">
        <f>IFERROR(__xludf.DUMMYFUNCTION("""COMPUTED_VALUE"""),"10:00p")</f>
        <v>10:00p</v>
      </c>
      <c r="C14" s="1" t="str">
        <f>IFERROR(__xludf.DUMMYFUNCTION("""COMPUTED_VALUE"""),"Toronto Raptors")</f>
        <v>Toronto Raptors</v>
      </c>
      <c r="D14" s="1">
        <f>IFERROR(__xludf.DUMMYFUNCTION("""COMPUTED_VALUE"""),107.0)</f>
        <v>107</v>
      </c>
      <c r="E14" s="1" t="str">
        <f>IFERROR(__xludf.DUMMYFUNCTION("""COMPUTED_VALUE"""),"Phoenix Suns")</f>
        <v>Phoenix Suns</v>
      </c>
      <c r="F14" s="1">
        <f>IFERROR(__xludf.DUMMYFUNCTION("""COMPUTED_VALUE"""),98.0)</f>
        <v>98</v>
      </c>
      <c r="G14" s="1" t="str">
        <f>IFERROR(__xludf.DUMMYFUNCTION("""COMPUTED_VALUE"""),"Box Score")</f>
        <v>Box Score</v>
      </c>
      <c r="H14" s="1"/>
      <c r="I14" s="3">
        <f>IFERROR(__xludf.DUMMYFUNCTION("""COMPUTED_VALUE"""),15843.0)</f>
        <v>15843</v>
      </c>
      <c r="J14" s="1"/>
    </row>
    <row r="15" ht="15.75" customHeight="1">
      <c r="A15" s="2">
        <f>IFERROR(__xludf.DUMMYFUNCTION("""COMPUTED_VALUE"""),43406.0)</f>
        <v>43406</v>
      </c>
      <c r="B15" s="1" t="str">
        <f>IFERROR(__xludf.DUMMYFUNCTION("""COMPUTED_VALUE"""),"10:30p")</f>
        <v>10:30p</v>
      </c>
      <c r="C15" s="1" t="str">
        <f>IFERROR(__xludf.DUMMYFUNCTION("""COMPUTED_VALUE"""),"Minnesota Timberwolves")</f>
        <v>Minnesota Timberwolves</v>
      </c>
      <c r="D15" s="1">
        <f>IFERROR(__xludf.DUMMYFUNCTION("""COMPUTED_VALUE"""),99.0)</f>
        <v>99</v>
      </c>
      <c r="E15" s="1" t="str">
        <f>IFERROR(__xludf.DUMMYFUNCTION("""COMPUTED_VALUE"""),"Golden State Warriors")</f>
        <v>Golden State Warriors</v>
      </c>
      <c r="F15" s="1">
        <f>IFERROR(__xludf.DUMMYFUNCTION("""COMPUTED_VALUE"""),116.0)</f>
        <v>116</v>
      </c>
      <c r="G15" s="1" t="str">
        <f>IFERROR(__xludf.DUMMYFUNCTION("""COMPUTED_VALUE"""),"Box Score")</f>
        <v>Box Score</v>
      </c>
      <c r="H15" s="1"/>
      <c r="I15" s="3">
        <f>IFERROR(__xludf.DUMMYFUNCTION("""COMPUTED_VALUE"""),19596.0)</f>
        <v>19596</v>
      </c>
      <c r="J15" s="1"/>
    </row>
    <row r="16" ht="15.75" customHeight="1">
      <c r="A16" s="2">
        <f>IFERROR(__xludf.DUMMYFUNCTION("""COMPUTED_VALUE"""),43407.0)</f>
        <v>43407</v>
      </c>
      <c r="B16" s="1" t="str">
        <f>IFERROR(__xludf.DUMMYFUNCTION("""COMPUTED_VALUE"""),"1:00p")</f>
        <v>1:00p</v>
      </c>
      <c r="C16" s="1" t="str">
        <f>IFERROR(__xludf.DUMMYFUNCTION("""COMPUTED_VALUE"""),"Detroit Pistons")</f>
        <v>Detroit Pistons</v>
      </c>
      <c r="D16" s="1">
        <f>IFERROR(__xludf.DUMMYFUNCTION("""COMPUTED_VALUE"""),99.0)</f>
        <v>99</v>
      </c>
      <c r="E16" s="1" t="str">
        <f>IFERROR(__xludf.DUMMYFUNCTION("""COMPUTED_VALUE"""),"Philadelphia 76ers")</f>
        <v>Philadelphia 76ers</v>
      </c>
      <c r="F16" s="1">
        <f>IFERROR(__xludf.DUMMYFUNCTION("""COMPUTED_VALUE"""),109.0)</f>
        <v>109</v>
      </c>
      <c r="G16" s="1" t="str">
        <f>IFERROR(__xludf.DUMMYFUNCTION("""COMPUTED_VALUE"""),"Box Score")</f>
        <v>Box Score</v>
      </c>
      <c r="H16" s="1"/>
      <c r="I16" s="3">
        <f>IFERROR(__xludf.DUMMYFUNCTION("""COMPUTED_VALUE"""),20289.0)</f>
        <v>20289</v>
      </c>
      <c r="J16" s="1"/>
    </row>
    <row r="17" ht="15.75" customHeight="1">
      <c r="A17" s="2">
        <f>IFERROR(__xludf.DUMMYFUNCTION("""COMPUTED_VALUE"""),43407.0)</f>
        <v>43407</v>
      </c>
      <c r="B17" s="1" t="str">
        <f>IFERROR(__xludf.DUMMYFUNCTION("""COMPUTED_VALUE"""),"7:00p")</f>
        <v>7:00p</v>
      </c>
      <c r="C17" s="1" t="str">
        <f>IFERROR(__xludf.DUMMYFUNCTION("""COMPUTED_VALUE"""),"Cleveland Cavaliers")</f>
        <v>Cleveland Cavaliers</v>
      </c>
      <c r="D17" s="1">
        <f>IFERROR(__xludf.DUMMYFUNCTION("""COMPUTED_VALUE"""),94.0)</f>
        <v>94</v>
      </c>
      <c r="E17" s="1" t="str">
        <f>IFERROR(__xludf.DUMMYFUNCTION("""COMPUTED_VALUE"""),"Charlotte Hornets")</f>
        <v>Charlotte Hornets</v>
      </c>
      <c r="F17" s="1">
        <f>IFERROR(__xludf.DUMMYFUNCTION("""COMPUTED_VALUE"""),126.0)</f>
        <v>126</v>
      </c>
      <c r="G17" s="1" t="str">
        <f>IFERROR(__xludf.DUMMYFUNCTION("""COMPUTED_VALUE"""),"Box Score")</f>
        <v>Box Score</v>
      </c>
      <c r="H17" s="1"/>
      <c r="I17" s="3">
        <f>IFERROR(__xludf.DUMMYFUNCTION("""COMPUTED_VALUE"""),16221.0)</f>
        <v>16221</v>
      </c>
      <c r="J17" s="1"/>
    </row>
    <row r="18" ht="15.75" customHeight="1">
      <c r="A18" s="2">
        <f>IFERROR(__xludf.DUMMYFUNCTION("""COMPUTED_VALUE"""),43407.0)</f>
        <v>43407</v>
      </c>
      <c r="B18" s="1" t="str">
        <f>IFERROR(__xludf.DUMMYFUNCTION("""COMPUTED_VALUE"""),"7:00p")</f>
        <v>7:00p</v>
      </c>
      <c r="C18" s="1" t="str">
        <f>IFERROR(__xludf.DUMMYFUNCTION("""COMPUTED_VALUE"""),"Boston Celtics")</f>
        <v>Boston Celtics</v>
      </c>
      <c r="D18" s="1">
        <f>IFERROR(__xludf.DUMMYFUNCTION("""COMPUTED_VALUE"""),101.0)</f>
        <v>101</v>
      </c>
      <c r="E18" s="1" t="str">
        <f>IFERROR(__xludf.DUMMYFUNCTION("""COMPUTED_VALUE"""),"Indiana Pacers")</f>
        <v>Indiana Pacers</v>
      </c>
      <c r="F18" s="1">
        <f>IFERROR(__xludf.DUMMYFUNCTION("""COMPUTED_VALUE"""),102.0)</f>
        <v>102</v>
      </c>
      <c r="G18" s="1" t="str">
        <f>IFERROR(__xludf.DUMMYFUNCTION("""COMPUTED_VALUE"""),"Box Score")</f>
        <v>Box Score</v>
      </c>
      <c r="H18" s="1"/>
      <c r="I18" s="3">
        <f>IFERROR(__xludf.DUMMYFUNCTION("""COMPUTED_VALUE"""),17505.0)</f>
        <v>17505</v>
      </c>
      <c r="J18" s="1"/>
    </row>
    <row r="19" ht="15.75" customHeight="1">
      <c r="A19" s="2">
        <f>IFERROR(__xludf.DUMMYFUNCTION("""COMPUTED_VALUE"""),43407.0)</f>
        <v>43407</v>
      </c>
      <c r="B19" s="1" t="str">
        <f>IFERROR(__xludf.DUMMYFUNCTION("""COMPUTED_VALUE"""),"7:30p")</f>
        <v>7:30p</v>
      </c>
      <c r="C19" s="1" t="str">
        <f>IFERROR(__xludf.DUMMYFUNCTION("""COMPUTED_VALUE"""),"Miami Heat")</f>
        <v>Miami Heat</v>
      </c>
      <c r="D19" s="1">
        <f>IFERROR(__xludf.DUMMYFUNCTION("""COMPUTED_VALUE"""),118.0)</f>
        <v>118</v>
      </c>
      <c r="E19" s="1" t="str">
        <f>IFERROR(__xludf.DUMMYFUNCTION("""COMPUTED_VALUE"""),"Atlanta Hawks")</f>
        <v>Atlanta Hawks</v>
      </c>
      <c r="F19" s="1">
        <f>IFERROR(__xludf.DUMMYFUNCTION("""COMPUTED_VALUE"""),123.0)</f>
        <v>123</v>
      </c>
      <c r="G19" s="1" t="str">
        <f>IFERROR(__xludf.DUMMYFUNCTION("""COMPUTED_VALUE"""),"Box Score")</f>
        <v>Box Score</v>
      </c>
      <c r="H19" s="1"/>
      <c r="I19" s="3">
        <f>IFERROR(__xludf.DUMMYFUNCTION("""COMPUTED_VALUE"""),16303.0)</f>
        <v>16303</v>
      </c>
      <c r="J19" s="1"/>
    </row>
    <row r="20" ht="15.75" customHeight="1">
      <c r="A20" s="2">
        <f>IFERROR(__xludf.DUMMYFUNCTION("""COMPUTED_VALUE"""),43407.0)</f>
        <v>43407</v>
      </c>
      <c r="B20" s="1" t="str">
        <f>IFERROR(__xludf.DUMMYFUNCTION("""COMPUTED_VALUE"""),"8:00p")</f>
        <v>8:00p</v>
      </c>
      <c r="C20" s="1" t="str">
        <f>IFERROR(__xludf.DUMMYFUNCTION("""COMPUTED_VALUE"""),"Houston Rockets")</f>
        <v>Houston Rockets</v>
      </c>
      <c r="D20" s="1">
        <f>IFERROR(__xludf.DUMMYFUNCTION("""COMPUTED_VALUE"""),96.0)</f>
        <v>96</v>
      </c>
      <c r="E20" s="1" t="str">
        <f>IFERROR(__xludf.DUMMYFUNCTION("""COMPUTED_VALUE"""),"Chicago Bulls")</f>
        <v>Chicago Bulls</v>
      </c>
      <c r="F20" s="1">
        <f>IFERROR(__xludf.DUMMYFUNCTION("""COMPUTED_VALUE"""),88.0)</f>
        <v>88</v>
      </c>
      <c r="G20" s="1" t="str">
        <f>IFERROR(__xludf.DUMMYFUNCTION("""COMPUTED_VALUE"""),"Box Score")</f>
        <v>Box Score</v>
      </c>
      <c r="H20" s="1"/>
      <c r="I20" s="3">
        <f>IFERROR(__xludf.DUMMYFUNCTION("""COMPUTED_VALUE"""),20505.0)</f>
        <v>20505</v>
      </c>
      <c r="J20" s="1"/>
    </row>
    <row r="21" ht="15.75" customHeight="1">
      <c r="A21" s="2">
        <f>IFERROR(__xludf.DUMMYFUNCTION("""COMPUTED_VALUE"""),43407.0)</f>
        <v>43407</v>
      </c>
      <c r="B21" s="1" t="str">
        <f>IFERROR(__xludf.DUMMYFUNCTION("""COMPUTED_VALUE"""),"8:30p")</f>
        <v>8:30p</v>
      </c>
      <c r="C21" s="1" t="str">
        <f>IFERROR(__xludf.DUMMYFUNCTION("""COMPUTED_VALUE"""),"New Orleans Pelicans")</f>
        <v>New Orleans Pelicans</v>
      </c>
      <c r="D21" s="1">
        <f>IFERROR(__xludf.DUMMYFUNCTION("""COMPUTED_VALUE"""),95.0)</f>
        <v>95</v>
      </c>
      <c r="E21" s="1" t="str">
        <f>IFERROR(__xludf.DUMMYFUNCTION("""COMPUTED_VALUE"""),"San Antonio Spurs")</f>
        <v>San Antonio Spurs</v>
      </c>
      <c r="F21" s="1">
        <f>IFERROR(__xludf.DUMMYFUNCTION("""COMPUTED_VALUE"""),109.0)</f>
        <v>109</v>
      </c>
      <c r="G21" s="1" t="str">
        <f>IFERROR(__xludf.DUMMYFUNCTION("""COMPUTED_VALUE"""),"Box Score")</f>
        <v>Box Score</v>
      </c>
      <c r="H21" s="1"/>
      <c r="I21" s="3">
        <f>IFERROR(__xludf.DUMMYFUNCTION("""COMPUTED_VALUE"""),18354.0)</f>
        <v>18354</v>
      </c>
      <c r="J21" s="1"/>
    </row>
    <row r="22" ht="15.75" customHeight="1">
      <c r="A22" s="2">
        <f>IFERROR(__xludf.DUMMYFUNCTION("""COMPUTED_VALUE"""),43407.0)</f>
        <v>43407</v>
      </c>
      <c r="B22" s="1" t="str">
        <f>IFERROR(__xludf.DUMMYFUNCTION("""COMPUTED_VALUE"""),"9:00p")</f>
        <v>9:00p</v>
      </c>
      <c r="C22" s="1" t="str">
        <f>IFERROR(__xludf.DUMMYFUNCTION("""COMPUTED_VALUE"""),"Utah Jazz")</f>
        <v>Utah Jazz</v>
      </c>
      <c r="D22" s="1">
        <f>IFERROR(__xludf.DUMMYFUNCTION("""COMPUTED_VALUE"""),88.0)</f>
        <v>88</v>
      </c>
      <c r="E22" s="1" t="str">
        <f>IFERROR(__xludf.DUMMYFUNCTION("""COMPUTED_VALUE"""),"Denver Nuggets")</f>
        <v>Denver Nuggets</v>
      </c>
      <c r="F22" s="1">
        <f>IFERROR(__xludf.DUMMYFUNCTION("""COMPUTED_VALUE"""),103.0)</f>
        <v>103</v>
      </c>
      <c r="G22" s="1" t="str">
        <f>IFERROR(__xludf.DUMMYFUNCTION("""COMPUTED_VALUE"""),"Box Score")</f>
        <v>Box Score</v>
      </c>
      <c r="H22" s="1"/>
      <c r="I22" s="3">
        <f>IFERROR(__xludf.DUMMYFUNCTION("""COMPUTED_VALUE"""),19520.0)</f>
        <v>19520</v>
      </c>
      <c r="J22" s="1"/>
    </row>
    <row r="23" ht="15.75" customHeight="1">
      <c r="A23" s="2">
        <f>IFERROR(__xludf.DUMMYFUNCTION("""COMPUTED_VALUE"""),43407.0)</f>
        <v>43407</v>
      </c>
      <c r="B23" s="1" t="str">
        <f>IFERROR(__xludf.DUMMYFUNCTION("""COMPUTED_VALUE"""),"10:00p")</f>
        <v>10:00p</v>
      </c>
      <c r="C23" s="1" t="str">
        <f>IFERROR(__xludf.DUMMYFUNCTION("""COMPUTED_VALUE"""),"Los Angeles Lakers")</f>
        <v>Los Angeles Lakers</v>
      </c>
      <c r="D23" s="1">
        <f>IFERROR(__xludf.DUMMYFUNCTION("""COMPUTED_VALUE"""),114.0)</f>
        <v>114</v>
      </c>
      <c r="E23" s="1" t="str">
        <f>IFERROR(__xludf.DUMMYFUNCTION("""COMPUTED_VALUE"""),"Portland Trail Blazers")</f>
        <v>Portland Trail Blazers</v>
      </c>
      <c r="F23" s="1">
        <f>IFERROR(__xludf.DUMMYFUNCTION("""COMPUTED_VALUE"""),110.0)</f>
        <v>110</v>
      </c>
      <c r="G23" s="1" t="str">
        <f>IFERROR(__xludf.DUMMYFUNCTION("""COMPUTED_VALUE"""),"Box Score")</f>
        <v>Box Score</v>
      </c>
      <c r="H23" s="1"/>
      <c r="I23" s="3">
        <f>IFERROR(__xludf.DUMMYFUNCTION("""COMPUTED_VALUE"""),19848.0)</f>
        <v>19848</v>
      </c>
      <c r="J23" s="1"/>
    </row>
    <row r="24" ht="15.75" customHeight="1">
      <c r="A24" s="2">
        <f>IFERROR(__xludf.DUMMYFUNCTION("""COMPUTED_VALUE"""),43408.0)</f>
        <v>43408</v>
      </c>
      <c r="B24" s="1" t="str">
        <f>IFERROR(__xludf.DUMMYFUNCTION("""COMPUTED_VALUE"""),"3:30p")</f>
        <v>3:30p</v>
      </c>
      <c r="C24" s="1" t="str">
        <f>IFERROR(__xludf.DUMMYFUNCTION("""COMPUTED_VALUE"""),"Sacramento Kings")</f>
        <v>Sacramento Kings</v>
      </c>
      <c r="D24" s="1">
        <f>IFERROR(__xludf.DUMMYFUNCTION("""COMPUTED_VALUE"""),109.0)</f>
        <v>109</v>
      </c>
      <c r="E24" s="1" t="str">
        <f>IFERROR(__xludf.DUMMYFUNCTION("""COMPUTED_VALUE"""),"Milwaukee Bucks")</f>
        <v>Milwaukee Bucks</v>
      </c>
      <c r="F24" s="1">
        <f>IFERROR(__xludf.DUMMYFUNCTION("""COMPUTED_VALUE"""),144.0)</f>
        <v>144</v>
      </c>
      <c r="G24" s="1" t="str">
        <f>IFERROR(__xludf.DUMMYFUNCTION("""COMPUTED_VALUE"""),"Box Score")</f>
        <v>Box Score</v>
      </c>
      <c r="H24" s="1"/>
      <c r="I24" s="3">
        <f>IFERROR(__xludf.DUMMYFUNCTION("""COMPUTED_VALUE"""),17341.0)</f>
        <v>17341</v>
      </c>
      <c r="J24" s="1"/>
    </row>
    <row r="25" ht="15.75" customHeight="1">
      <c r="A25" s="2">
        <f>IFERROR(__xludf.DUMMYFUNCTION("""COMPUTED_VALUE"""),43408.0)</f>
        <v>43408</v>
      </c>
      <c r="B25" s="1" t="str">
        <f>IFERROR(__xludf.DUMMYFUNCTION("""COMPUTED_VALUE"""),"6:00p")</f>
        <v>6:00p</v>
      </c>
      <c r="C25" s="1" t="str">
        <f>IFERROR(__xludf.DUMMYFUNCTION("""COMPUTED_VALUE"""),"Philadelphia 76ers")</f>
        <v>Philadelphia 76ers</v>
      </c>
      <c r="D25" s="1">
        <f>IFERROR(__xludf.DUMMYFUNCTION("""COMPUTED_VALUE"""),97.0)</f>
        <v>97</v>
      </c>
      <c r="E25" s="1" t="str">
        <f>IFERROR(__xludf.DUMMYFUNCTION("""COMPUTED_VALUE"""),"Brooklyn Nets")</f>
        <v>Brooklyn Nets</v>
      </c>
      <c r="F25" s="1">
        <f>IFERROR(__xludf.DUMMYFUNCTION("""COMPUTED_VALUE"""),122.0)</f>
        <v>122</v>
      </c>
      <c r="G25" s="1" t="str">
        <f>IFERROR(__xludf.DUMMYFUNCTION("""COMPUTED_VALUE"""),"Box Score")</f>
        <v>Box Score</v>
      </c>
      <c r="H25" s="1"/>
      <c r="I25" s="3">
        <f>IFERROR(__xludf.DUMMYFUNCTION("""COMPUTED_VALUE"""),12826.0)</f>
        <v>12826</v>
      </c>
      <c r="J25" s="1"/>
    </row>
    <row r="26" ht="15.75" customHeight="1">
      <c r="A26" s="2">
        <f>IFERROR(__xludf.DUMMYFUNCTION("""COMPUTED_VALUE"""),43408.0)</f>
        <v>43408</v>
      </c>
      <c r="B26" s="1" t="str">
        <f>IFERROR(__xludf.DUMMYFUNCTION("""COMPUTED_VALUE"""),"6:00p")</f>
        <v>6:00p</v>
      </c>
      <c r="C26" s="1" t="str">
        <f>IFERROR(__xludf.DUMMYFUNCTION("""COMPUTED_VALUE"""),"New York Knicks")</f>
        <v>New York Knicks</v>
      </c>
      <c r="D26" s="1">
        <f>IFERROR(__xludf.DUMMYFUNCTION("""COMPUTED_VALUE"""),95.0)</f>
        <v>95</v>
      </c>
      <c r="E26" s="1" t="str">
        <f>IFERROR(__xludf.DUMMYFUNCTION("""COMPUTED_VALUE"""),"Washington Wizards")</f>
        <v>Washington Wizards</v>
      </c>
      <c r="F26" s="1">
        <f>IFERROR(__xludf.DUMMYFUNCTION("""COMPUTED_VALUE"""),108.0)</f>
        <v>108</v>
      </c>
      <c r="G26" s="1" t="str">
        <f>IFERROR(__xludf.DUMMYFUNCTION("""COMPUTED_VALUE"""),"Box Score")</f>
        <v>Box Score</v>
      </c>
      <c r="H26" s="1"/>
      <c r="I26" s="3">
        <f>IFERROR(__xludf.DUMMYFUNCTION("""COMPUTED_VALUE"""),16679.0)</f>
        <v>16679</v>
      </c>
      <c r="J26" s="1"/>
    </row>
    <row r="27" ht="15.75" customHeight="1">
      <c r="A27" s="2">
        <f>IFERROR(__xludf.DUMMYFUNCTION("""COMPUTED_VALUE"""),43408.0)</f>
        <v>43408</v>
      </c>
      <c r="B27" s="1" t="str">
        <f>IFERROR(__xludf.DUMMYFUNCTION("""COMPUTED_VALUE"""),"7:00p")</f>
        <v>7:00p</v>
      </c>
      <c r="C27" s="1" t="str">
        <f>IFERROR(__xludf.DUMMYFUNCTION("""COMPUTED_VALUE"""),"Orlando Magic")</f>
        <v>Orlando Magic</v>
      </c>
      <c r="D27" s="1">
        <f>IFERROR(__xludf.DUMMYFUNCTION("""COMPUTED_VALUE"""),117.0)</f>
        <v>117</v>
      </c>
      <c r="E27" s="1" t="str">
        <f>IFERROR(__xludf.DUMMYFUNCTION("""COMPUTED_VALUE"""),"San Antonio Spurs")</f>
        <v>San Antonio Spurs</v>
      </c>
      <c r="F27" s="1">
        <f>IFERROR(__xludf.DUMMYFUNCTION("""COMPUTED_VALUE"""),110.0)</f>
        <v>110</v>
      </c>
      <c r="G27" s="1" t="str">
        <f>IFERROR(__xludf.DUMMYFUNCTION("""COMPUTED_VALUE"""),"Box Score")</f>
        <v>Box Score</v>
      </c>
      <c r="H27" s="1"/>
      <c r="I27" s="3">
        <f>IFERROR(__xludf.DUMMYFUNCTION("""COMPUTED_VALUE"""),18354.0)</f>
        <v>18354</v>
      </c>
      <c r="J27" s="1"/>
    </row>
    <row r="28" ht="15.75" customHeight="1">
      <c r="A28" s="2">
        <f>IFERROR(__xludf.DUMMYFUNCTION("""COMPUTED_VALUE"""),43408.0)</f>
        <v>43408</v>
      </c>
      <c r="B28" s="1" t="str">
        <f>IFERROR(__xludf.DUMMYFUNCTION("""COMPUTED_VALUE"""),"8:00p")</f>
        <v>8:00p</v>
      </c>
      <c r="C28" s="1" t="str">
        <f>IFERROR(__xludf.DUMMYFUNCTION("""COMPUTED_VALUE"""),"Memphis Grizzlies")</f>
        <v>Memphis Grizzlies</v>
      </c>
      <c r="D28" s="1">
        <f>IFERROR(__xludf.DUMMYFUNCTION("""COMPUTED_VALUE"""),100.0)</f>
        <v>100</v>
      </c>
      <c r="E28" s="1" t="str">
        <f>IFERROR(__xludf.DUMMYFUNCTION("""COMPUTED_VALUE"""),"Phoenix Suns")</f>
        <v>Phoenix Suns</v>
      </c>
      <c r="F28" s="1">
        <f>IFERROR(__xludf.DUMMYFUNCTION("""COMPUTED_VALUE"""),102.0)</f>
        <v>102</v>
      </c>
      <c r="G28" s="1" t="str">
        <f>IFERROR(__xludf.DUMMYFUNCTION("""COMPUTED_VALUE"""),"Box Score")</f>
        <v>Box Score</v>
      </c>
      <c r="H28" s="1"/>
      <c r="I28" s="3">
        <f>IFERROR(__xludf.DUMMYFUNCTION("""COMPUTED_VALUE"""),13074.0)</f>
        <v>13074</v>
      </c>
      <c r="J28" s="1"/>
    </row>
    <row r="29" ht="15.75" customHeight="1">
      <c r="A29" s="2">
        <f>IFERROR(__xludf.DUMMYFUNCTION("""COMPUTED_VALUE"""),43408.0)</f>
        <v>43408</v>
      </c>
      <c r="B29" s="1" t="str">
        <f>IFERROR(__xludf.DUMMYFUNCTION("""COMPUTED_VALUE"""),"9:00p")</f>
        <v>9:00p</v>
      </c>
      <c r="C29" s="1" t="str">
        <f>IFERROR(__xludf.DUMMYFUNCTION("""COMPUTED_VALUE"""),"Minnesota Timberwolves")</f>
        <v>Minnesota Timberwolves</v>
      </c>
      <c r="D29" s="1">
        <f>IFERROR(__xludf.DUMMYFUNCTION("""COMPUTED_VALUE"""),81.0)</f>
        <v>81</v>
      </c>
      <c r="E29" s="1" t="str">
        <f>IFERROR(__xludf.DUMMYFUNCTION("""COMPUTED_VALUE"""),"Portland Trail Blazers")</f>
        <v>Portland Trail Blazers</v>
      </c>
      <c r="F29" s="1">
        <f>IFERROR(__xludf.DUMMYFUNCTION("""COMPUTED_VALUE"""),111.0)</f>
        <v>111</v>
      </c>
      <c r="G29" s="1" t="str">
        <f>IFERROR(__xludf.DUMMYFUNCTION("""COMPUTED_VALUE"""),"Box Score")</f>
        <v>Box Score</v>
      </c>
      <c r="H29" s="1"/>
      <c r="I29" s="3">
        <f>IFERROR(__xludf.DUMMYFUNCTION("""COMPUTED_VALUE"""),19522.0)</f>
        <v>19522</v>
      </c>
      <c r="J29" s="1"/>
    </row>
    <row r="30" ht="15.75" customHeight="1">
      <c r="A30" s="2">
        <f>IFERROR(__xludf.DUMMYFUNCTION("""COMPUTED_VALUE"""),43408.0)</f>
        <v>43408</v>
      </c>
      <c r="B30" s="1" t="str">
        <f>IFERROR(__xludf.DUMMYFUNCTION("""COMPUTED_VALUE"""),"9:30p")</f>
        <v>9:30p</v>
      </c>
      <c r="C30" s="1" t="str">
        <f>IFERROR(__xludf.DUMMYFUNCTION("""COMPUTED_VALUE"""),"Toronto Raptors")</f>
        <v>Toronto Raptors</v>
      </c>
      <c r="D30" s="1">
        <f>IFERROR(__xludf.DUMMYFUNCTION("""COMPUTED_VALUE"""),121.0)</f>
        <v>121</v>
      </c>
      <c r="E30" s="1" t="str">
        <f>IFERROR(__xludf.DUMMYFUNCTION("""COMPUTED_VALUE"""),"Los Angeles Lakers")</f>
        <v>Los Angeles Lakers</v>
      </c>
      <c r="F30" s="1">
        <f>IFERROR(__xludf.DUMMYFUNCTION("""COMPUTED_VALUE"""),107.0)</f>
        <v>107</v>
      </c>
      <c r="G30" s="1" t="str">
        <f>IFERROR(__xludf.DUMMYFUNCTION("""COMPUTED_VALUE"""),"Box Score")</f>
        <v>Box Score</v>
      </c>
      <c r="H30" s="1"/>
      <c r="I30" s="3">
        <f>IFERROR(__xludf.DUMMYFUNCTION("""COMPUTED_VALUE"""),18997.0)</f>
        <v>18997</v>
      </c>
      <c r="J30" s="1"/>
    </row>
    <row r="31" ht="15.75" customHeight="1">
      <c r="A31" s="2">
        <f>IFERROR(__xludf.DUMMYFUNCTION("""COMPUTED_VALUE"""),43409.0)</f>
        <v>43409</v>
      </c>
      <c r="B31" s="1" t="str">
        <f>IFERROR(__xludf.DUMMYFUNCTION("""COMPUTED_VALUE"""),"7:00p")</f>
        <v>7:00p</v>
      </c>
      <c r="C31" s="1" t="str">
        <f>IFERROR(__xludf.DUMMYFUNCTION("""COMPUTED_VALUE"""),"Miami Heat")</f>
        <v>Miami Heat</v>
      </c>
      <c r="D31" s="1">
        <f>IFERROR(__xludf.DUMMYFUNCTION("""COMPUTED_VALUE"""),120.0)</f>
        <v>120</v>
      </c>
      <c r="E31" s="1" t="str">
        <f>IFERROR(__xludf.DUMMYFUNCTION("""COMPUTED_VALUE"""),"Detroit Pistons")</f>
        <v>Detroit Pistons</v>
      </c>
      <c r="F31" s="1">
        <f>IFERROR(__xludf.DUMMYFUNCTION("""COMPUTED_VALUE"""),115.0)</f>
        <v>115</v>
      </c>
      <c r="G31" s="1" t="str">
        <f>IFERROR(__xludf.DUMMYFUNCTION("""COMPUTED_VALUE"""),"Box Score")</f>
        <v>Box Score</v>
      </c>
      <c r="H31" s="1" t="str">
        <f>IFERROR(__xludf.DUMMYFUNCTION("""COMPUTED_VALUE"""),"OT")</f>
        <v>OT</v>
      </c>
      <c r="I31" s="3">
        <f>IFERROR(__xludf.DUMMYFUNCTION("""COMPUTED_VALUE"""),14148.0)</f>
        <v>14148</v>
      </c>
      <c r="J31" s="1"/>
    </row>
    <row r="32" ht="15.75" customHeight="1">
      <c r="A32" s="2">
        <f>IFERROR(__xludf.DUMMYFUNCTION("""COMPUTED_VALUE"""),43409.0)</f>
        <v>43409</v>
      </c>
      <c r="B32" s="1" t="str">
        <f>IFERROR(__xludf.DUMMYFUNCTION("""COMPUTED_VALUE"""),"7:00p")</f>
        <v>7:00p</v>
      </c>
      <c r="C32" s="1" t="str">
        <f>IFERROR(__xludf.DUMMYFUNCTION("""COMPUTED_VALUE"""),"Houston Rockets")</f>
        <v>Houston Rockets</v>
      </c>
      <c r="D32" s="1">
        <f>IFERROR(__xludf.DUMMYFUNCTION("""COMPUTED_VALUE"""),98.0)</f>
        <v>98</v>
      </c>
      <c r="E32" s="1" t="str">
        <f>IFERROR(__xludf.DUMMYFUNCTION("""COMPUTED_VALUE"""),"Indiana Pacers")</f>
        <v>Indiana Pacers</v>
      </c>
      <c r="F32" s="1">
        <f>IFERROR(__xludf.DUMMYFUNCTION("""COMPUTED_VALUE"""),94.0)</f>
        <v>94</v>
      </c>
      <c r="G32" s="1" t="str">
        <f>IFERROR(__xludf.DUMMYFUNCTION("""COMPUTED_VALUE"""),"Box Score")</f>
        <v>Box Score</v>
      </c>
      <c r="H32" s="1"/>
      <c r="I32" s="3">
        <f>IFERROR(__xludf.DUMMYFUNCTION("""COMPUTED_VALUE"""),14735.0)</f>
        <v>14735</v>
      </c>
      <c r="J32" s="1"/>
    </row>
    <row r="33" ht="15.75" customHeight="1">
      <c r="A33" s="2">
        <f>IFERROR(__xludf.DUMMYFUNCTION("""COMPUTED_VALUE"""),43409.0)</f>
        <v>43409</v>
      </c>
      <c r="B33" s="1" t="str">
        <f>IFERROR(__xludf.DUMMYFUNCTION("""COMPUTED_VALUE"""),"7:00p")</f>
        <v>7:00p</v>
      </c>
      <c r="C33" s="1" t="str">
        <f>IFERROR(__xludf.DUMMYFUNCTION("""COMPUTED_VALUE"""),"Cleveland Cavaliers")</f>
        <v>Cleveland Cavaliers</v>
      </c>
      <c r="D33" s="1">
        <f>IFERROR(__xludf.DUMMYFUNCTION("""COMPUTED_VALUE"""),100.0)</f>
        <v>100</v>
      </c>
      <c r="E33" s="1" t="str">
        <f>IFERROR(__xludf.DUMMYFUNCTION("""COMPUTED_VALUE"""),"Orlando Magic")</f>
        <v>Orlando Magic</v>
      </c>
      <c r="F33" s="1">
        <f>IFERROR(__xludf.DUMMYFUNCTION("""COMPUTED_VALUE"""),102.0)</f>
        <v>102</v>
      </c>
      <c r="G33" s="1" t="str">
        <f>IFERROR(__xludf.DUMMYFUNCTION("""COMPUTED_VALUE"""),"Box Score")</f>
        <v>Box Score</v>
      </c>
      <c r="H33" s="1"/>
      <c r="I33" s="3">
        <f>IFERROR(__xludf.DUMMYFUNCTION("""COMPUTED_VALUE"""),15009.0)</f>
        <v>15009</v>
      </c>
      <c r="J33" s="1"/>
    </row>
    <row r="34" ht="15.75" customHeight="1">
      <c r="A34" s="2">
        <f>IFERROR(__xludf.DUMMYFUNCTION("""COMPUTED_VALUE"""),43409.0)</f>
        <v>43409</v>
      </c>
      <c r="B34" s="1" t="str">
        <f>IFERROR(__xludf.DUMMYFUNCTION("""COMPUTED_VALUE"""),"7:30p")</f>
        <v>7:30p</v>
      </c>
      <c r="C34" s="1" t="str">
        <f>IFERROR(__xludf.DUMMYFUNCTION("""COMPUTED_VALUE"""),"Chicago Bulls")</f>
        <v>Chicago Bulls</v>
      </c>
      <c r="D34" s="1">
        <f>IFERROR(__xludf.DUMMYFUNCTION("""COMPUTED_VALUE"""),116.0)</f>
        <v>116</v>
      </c>
      <c r="E34" s="1" t="str">
        <f>IFERROR(__xludf.DUMMYFUNCTION("""COMPUTED_VALUE"""),"New York Knicks")</f>
        <v>New York Knicks</v>
      </c>
      <c r="F34" s="1">
        <f>IFERROR(__xludf.DUMMYFUNCTION("""COMPUTED_VALUE"""),115.0)</f>
        <v>115</v>
      </c>
      <c r="G34" s="1" t="str">
        <f>IFERROR(__xludf.DUMMYFUNCTION("""COMPUTED_VALUE"""),"Box Score")</f>
        <v>Box Score</v>
      </c>
      <c r="H34" s="1" t="str">
        <f>IFERROR(__xludf.DUMMYFUNCTION("""COMPUTED_VALUE"""),"2OT")</f>
        <v>2OT</v>
      </c>
      <c r="I34" s="3">
        <f>IFERROR(__xludf.DUMMYFUNCTION("""COMPUTED_VALUE"""),19812.0)</f>
        <v>19812</v>
      </c>
      <c r="J34" s="1"/>
    </row>
    <row r="35" ht="15.75" customHeight="1">
      <c r="A35" s="2">
        <f>IFERROR(__xludf.DUMMYFUNCTION("""COMPUTED_VALUE"""),43409.0)</f>
        <v>43409</v>
      </c>
      <c r="B35" s="1" t="str">
        <f>IFERROR(__xludf.DUMMYFUNCTION("""COMPUTED_VALUE"""),"8:00p")</f>
        <v>8:00p</v>
      </c>
      <c r="C35" s="1" t="str">
        <f>IFERROR(__xludf.DUMMYFUNCTION("""COMPUTED_VALUE"""),"New Orleans Pelicans")</f>
        <v>New Orleans Pelicans</v>
      </c>
      <c r="D35" s="1">
        <f>IFERROR(__xludf.DUMMYFUNCTION("""COMPUTED_VALUE"""),116.0)</f>
        <v>116</v>
      </c>
      <c r="E35" s="1" t="str">
        <f>IFERROR(__xludf.DUMMYFUNCTION("""COMPUTED_VALUE"""),"Oklahoma City Thunder")</f>
        <v>Oklahoma City Thunder</v>
      </c>
      <c r="F35" s="1">
        <f>IFERROR(__xludf.DUMMYFUNCTION("""COMPUTED_VALUE"""),122.0)</f>
        <v>122</v>
      </c>
      <c r="G35" s="1" t="str">
        <f>IFERROR(__xludf.DUMMYFUNCTION("""COMPUTED_VALUE"""),"Box Score")</f>
        <v>Box Score</v>
      </c>
      <c r="H35" s="1"/>
      <c r="I35" s="3">
        <f>IFERROR(__xludf.DUMMYFUNCTION("""COMPUTED_VALUE"""),18203.0)</f>
        <v>18203</v>
      </c>
      <c r="J35" s="1"/>
    </row>
    <row r="36" ht="15.75" customHeight="1">
      <c r="A36" s="2">
        <f>IFERROR(__xludf.DUMMYFUNCTION("""COMPUTED_VALUE"""),43409.0)</f>
        <v>43409</v>
      </c>
      <c r="B36" s="1" t="str">
        <f>IFERROR(__xludf.DUMMYFUNCTION("""COMPUTED_VALUE"""),"9:00p")</f>
        <v>9:00p</v>
      </c>
      <c r="C36" s="1" t="str">
        <f>IFERROR(__xludf.DUMMYFUNCTION("""COMPUTED_VALUE"""),"Boston Celtics")</f>
        <v>Boston Celtics</v>
      </c>
      <c r="D36" s="1">
        <f>IFERROR(__xludf.DUMMYFUNCTION("""COMPUTED_VALUE"""),107.0)</f>
        <v>107</v>
      </c>
      <c r="E36" s="1" t="str">
        <f>IFERROR(__xludf.DUMMYFUNCTION("""COMPUTED_VALUE"""),"Denver Nuggets")</f>
        <v>Denver Nuggets</v>
      </c>
      <c r="F36" s="1">
        <f>IFERROR(__xludf.DUMMYFUNCTION("""COMPUTED_VALUE"""),115.0)</f>
        <v>115</v>
      </c>
      <c r="G36" s="1" t="str">
        <f>IFERROR(__xludf.DUMMYFUNCTION("""COMPUTED_VALUE"""),"Box Score")</f>
        <v>Box Score</v>
      </c>
      <c r="H36" s="1"/>
      <c r="I36" s="3">
        <f>IFERROR(__xludf.DUMMYFUNCTION("""COMPUTED_VALUE"""),19520.0)</f>
        <v>19520</v>
      </c>
      <c r="J36" s="1"/>
    </row>
    <row r="37" ht="15.75" customHeight="1">
      <c r="A37" s="2">
        <f>IFERROR(__xludf.DUMMYFUNCTION("""COMPUTED_VALUE"""),43409.0)</f>
        <v>43409</v>
      </c>
      <c r="B37" s="1" t="str">
        <f>IFERROR(__xludf.DUMMYFUNCTION("""COMPUTED_VALUE"""),"9:00p")</f>
        <v>9:00p</v>
      </c>
      <c r="C37" s="1" t="str">
        <f>IFERROR(__xludf.DUMMYFUNCTION("""COMPUTED_VALUE"""),"Toronto Raptors")</f>
        <v>Toronto Raptors</v>
      </c>
      <c r="D37" s="1">
        <f>IFERROR(__xludf.DUMMYFUNCTION("""COMPUTED_VALUE"""),124.0)</f>
        <v>124</v>
      </c>
      <c r="E37" s="1" t="str">
        <f>IFERROR(__xludf.DUMMYFUNCTION("""COMPUTED_VALUE"""),"Utah Jazz")</f>
        <v>Utah Jazz</v>
      </c>
      <c r="F37" s="1">
        <f>IFERROR(__xludf.DUMMYFUNCTION("""COMPUTED_VALUE"""),111.0)</f>
        <v>111</v>
      </c>
      <c r="G37" s="1" t="str">
        <f>IFERROR(__xludf.DUMMYFUNCTION("""COMPUTED_VALUE"""),"Box Score")</f>
        <v>Box Score</v>
      </c>
      <c r="H37" s="1"/>
      <c r="I37" s="3">
        <f>IFERROR(__xludf.DUMMYFUNCTION("""COMPUTED_VALUE"""),18306.0)</f>
        <v>18306</v>
      </c>
      <c r="J37" s="1"/>
    </row>
    <row r="38" ht="15.75" customHeight="1">
      <c r="A38" s="2">
        <f>IFERROR(__xludf.DUMMYFUNCTION("""COMPUTED_VALUE"""),43409.0)</f>
        <v>43409</v>
      </c>
      <c r="B38" s="1" t="str">
        <f>IFERROR(__xludf.DUMMYFUNCTION("""COMPUTED_VALUE"""),"10:30p")</f>
        <v>10:30p</v>
      </c>
      <c r="C38" s="1" t="str">
        <f>IFERROR(__xludf.DUMMYFUNCTION("""COMPUTED_VALUE"""),"Memphis Grizzlies")</f>
        <v>Memphis Grizzlies</v>
      </c>
      <c r="D38" s="1">
        <f>IFERROR(__xludf.DUMMYFUNCTION("""COMPUTED_VALUE"""),101.0)</f>
        <v>101</v>
      </c>
      <c r="E38" s="1" t="str">
        <f>IFERROR(__xludf.DUMMYFUNCTION("""COMPUTED_VALUE"""),"Golden State Warriors")</f>
        <v>Golden State Warriors</v>
      </c>
      <c r="F38" s="1">
        <f>IFERROR(__xludf.DUMMYFUNCTION("""COMPUTED_VALUE"""),117.0)</f>
        <v>117</v>
      </c>
      <c r="G38" s="1" t="str">
        <f>IFERROR(__xludf.DUMMYFUNCTION("""COMPUTED_VALUE"""),"Box Score")</f>
        <v>Box Score</v>
      </c>
      <c r="H38" s="1"/>
      <c r="I38" s="3">
        <f>IFERROR(__xludf.DUMMYFUNCTION("""COMPUTED_VALUE"""),19596.0)</f>
        <v>19596</v>
      </c>
      <c r="J38" s="1"/>
    </row>
    <row r="39" ht="15.75" customHeight="1">
      <c r="A39" s="2">
        <f>IFERROR(__xludf.DUMMYFUNCTION("""COMPUTED_VALUE"""),43409.0)</f>
        <v>43409</v>
      </c>
      <c r="B39" s="1" t="str">
        <f>IFERROR(__xludf.DUMMYFUNCTION("""COMPUTED_VALUE"""),"10:30p")</f>
        <v>10:30p</v>
      </c>
      <c r="C39" s="1" t="str">
        <f>IFERROR(__xludf.DUMMYFUNCTION("""COMPUTED_VALUE"""),"Minnesota Timberwolves")</f>
        <v>Minnesota Timberwolves</v>
      </c>
      <c r="D39" s="1">
        <f>IFERROR(__xludf.DUMMYFUNCTION("""COMPUTED_VALUE"""),109.0)</f>
        <v>109</v>
      </c>
      <c r="E39" s="1" t="str">
        <f>IFERROR(__xludf.DUMMYFUNCTION("""COMPUTED_VALUE"""),"Los Angeles Clippers")</f>
        <v>Los Angeles Clippers</v>
      </c>
      <c r="F39" s="1">
        <f>IFERROR(__xludf.DUMMYFUNCTION("""COMPUTED_VALUE"""),120.0)</f>
        <v>120</v>
      </c>
      <c r="G39" s="1" t="str">
        <f>IFERROR(__xludf.DUMMYFUNCTION("""COMPUTED_VALUE"""),"Box Score")</f>
        <v>Box Score</v>
      </c>
      <c r="H39" s="1"/>
      <c r="I39" s="3">
        <f>IFERROR(__xludf.DUMMYFUNCTION("""COMPUTED_VALUE"""),16564.0)</f>
        <v>16564</v>
      </c>
      <c r="J39" s="1"/>
    </row>
    <row r="40" ht="15.75" customHeight="1">
      <c r="A40" s="2">
        <f>IFERROR(__xludf.DUMMYFUNCTION("""COMPUTED_VALUE"""),43410.0)</f>
        <v>43410</v>
      </c>
      <c r="B40" s="1" t="str">
        <f>IFERROR(__xludf.DUMMYFUNCTION("""COMPUTED_VALUE"""),"7:00p")</f>
        <v>7:00p</v>
      </c>
      <c r="C40" s="1" t="str">
        <f>IFERROR(__xludf.DUMMYFUNCTION("""COMPUTED_VALUE"""),"Atlanta Hawks")</f>
        <v>Atlanta Hawks</v>
      </c>
      <c r="D40" s="1">
        <f>IFERROR(__xludf.DUMMYFUNCTION("""COMPUTED_VALUE"""),102.0)</f>
        <v>102</v>
      </c>
      <c r="E40" s="1" t="str">
        <f>IFERROR(__xludf.DUMMYFUNCTION("""COMPUTED_VALUE"""),"Charlotte Hornets")</f>
        <v>Charlotte Hornets</v>
      </c>
      <c r="F40" s="1">
        <f>IFERROR(__xludf.DUMMYFUNCTION("""COMPUTED_VALUE"""),113.0)</f>
        <v>113</v>
      </c>
      <c r="G40" s="1" t="str">
        <f>IFERROR(__xludf.DUMMYFUNCTION("""COMPUTED_VALUE"""),"Box Score")</f>
        <v>Box Score</v>
      </c>
      <c r="H40" s="1"/>
      <c r="I40" s="3">
        <f>IFERROR(__xludf.DUMMYFUNCTION("""COMPUTED_VALUE"""),13955.0)</f>
        <v>13955</v>
      </c>
      <c r="J40" s="1"/>
    </row>
    <row r="41" ht="15.75" customHeight="1">
      <c r="A41" s="2">
        <f>IFERROR(__xludf.DUMMYFUNCTION("""COMPUTED_VALUE"""),43410.0)</f>
        <v>43410</v>
      </c>
      <c r="B41" s="1" t="str">
        <f>IFERROR(__xludf.DUMMYFUNCTION("""COMPUTED_VALUE"""),"8:30p")</f>
        <v>8:30p</v>
      </c>
      <c r="C41" s="1" t="str">
        <f>IFERROR(__xludf.DUMMYFUNCTION("""COMPUTED_VALUE"""),"Washington Wizards")</f>
        <v>Washington Wizards</v>
      </c>
      <c r="D41" s="1">
        <f>IFERROR(__xludf.DUMMYFUNCTION("""COMPUTED_VALUE"""),100.0)</f>
        <v>100</v>
      </c>
      <c r="E41" s="1" t="str">
        <f>IFERROR(__xludf.DUMMYFUNCTION("""COMPUTED_VALUE"""),"Dallas Mavericks")</f>
        <v>Dallas Mavericks</v>
      </c>
      <c r="F41" s="1">
        <f>IFERROR(__xludf.DUMMYFUNCTION("""COMPUTED_VALUE"""),119.0)</f>
        <v>119</v>
      </c>
      <c r="G41" s="1" t="str">
        <f>IFERROR(__xludf.DUMMYFUNCTION("""COMPUTED_VALUE"""),"Box Score")</f>
        <v>Box Score</v>
      </c>
      <c r="H41" s="1"/>
      <c r="I41" s="3">
        <f>IFERROR(__xludf.DUMMYFUNCTION("""COMPUTED_VALUE"""),19234.0)</f>
        <v>19234</v>
      </c>
      <c r="J41" s="1"/>
    </row>
    <row r="42" ht="15.75" customHeight="1">
      <c r="A42" s="2">
        <f>IFERROR(__xludf.DUMMYFUNCTION("""COMPUTED_VALUE"""),43410.0)</f>
        <v>43410</v>
      </c>
      <c r="B42" s="1" t="str">
        <f>IFERROR(__xludf.DUMMYFUNCTION("""COMPUTED_VALUE"""),"9:00p")</f>
        <v>9:00p</v>
      </c>
      <c r="C42" s="1" t="str">
        <f>IFERROR(__xludf.DUMMYFUNCTION("""COMPUTED_VALUE"""),"Brooklyn Nets")</f>
        <v>Brooklyn Nets</v>
      </c>
      <c r="D42" s="1">
        <f>IFERROR(__xludf.DUMMYFUNCTION("""COMPUTED_VALUE"""),104.0)</f>
        <v>104</v>
      </c>
      <c r="E42" s="1" t="str">
        <f>IFERROR(__xludf.DUMMYFUNCTION("""COMPUTED_VALUE"""),"Phoenix Suns")</f>
        <v>Phoenix Suns</v>
      </c>
      <c r="F42" s="1">
        <f>IFERROR(__xludf.DUMMYFUNCTION("""COMPUTED_VALUE"""),82.0)</f>
        <v>82</v>
      </c>
      <c r="G42" s="1" t="str">
        <f>IFERROR(__xludf.DUMMYFUNCTION("""COMPUTED_VALUE"""),"Box Score")</f>
        <v>Box Score</v>
      </c>
      <c r="H42" s="1"/>
      <c r="I42" s="3">
        <f>IFERROR(__xludf.DUMMYFUNCTION("""COMPUTED_VALUE"""),14205.0)</f>
        <v>14205</v>
      </c>
      <c r="J42" s="1"/>
    </row>
    <row r="43" ht="15.75" customHeight="1">
      <c r="A43" s="2">
        <f>IFERROR(__xludf.DUMMYFUNCTION("""COMPUTED_VALUE"""),43410.0)</f>
        <v>43410</v>
      </c>
      <c r="B43" s="1" t="str">
        <f>IFERROR(__xludf.DUMMYFUNCTION("""COMPUTED_VALUE"""),"10:00p")</f>
        <v>10:00p</v>
      </c>
      <c r="C43" s="1" t="str">
        <f>IFERROR(__xludf.DUMMYFUNCTION("""COMPUTED_VALUE"""),"Milwaukee Bucks")</f>
        <v>Milwaukee Bucks</v>
      </c>
      <c r="D43" s="1">
        <f>IFERROR(__xludf.DUMMYFUNCTION("""COMPUTED_VALUE"""),103.0)</f>
        <v>103</v>
      </c>
      <c r="E43" s="1" t="str">
        <f>IFERROR(__xludf.DUMMYFUNCTION("""COMPUTED_VALUE"""),"Portland Trail Blazers")</f>
        <v>Portland Trail Blazers</v>
      </c>
      <c r="F43" s="1">
        <f>IFERROR(__xludf.DUMMYFUNCTION("""COMPUTED_VALUE"""),118.0)</f>
        <v>118</v>
      </c>
      <c r="G43" s="1" t="str">
        <f>IFERROR(__xludf.DUMMYFUNCTION("""COMPUTED_VALUE"""),"Box Score")</f>
        <v>Box Score</v>
      </c>
      <c r="H43" s="1"/>
      <c r="I43" s="3">
        <f>IFERROR(__xludf.DUMMYFUNCTION("""COMPUTED_VALUE"""),19512.0)</f>
        <v>19512</v>
      </c>
      <c r="J43" s="1"/>
    </row>
    <row r="44" ht="15.75" customHeight="1">
      <c r="A44" s="2">
        <f>IFERROR(__xludf.DUMMYFUNCTION("""COMPUTED_VALUE"""),43411.0)</f>
        <v>43411</v>
      </c>
      <c r="B44" s="1" t="str">
        <f>IFERROR(__xludf.DUMMYFUNCTION("""COMPUTED_VALUE"""),"7:00p")</f>
        <v>7:00p</v>
      </c>
      <c r="C44" s="1" t="str">
        <f>IFERROR(__xludf.DUMMYFUNCTION("""COMPUTED_VALUE"""),"Oklahoma City Thunder")</f>
        <v>Oklahoma City Thunder</v>
      </c>
      <c r="D44" s="1">
        <f>IFERROR(__xludf.DUMMYFUNCTION("""COMPUTED_VALUE"""),95.0)</f>
        <v>95</v>
      </c>
      <c r="E44" s="1" t="str">
        <f>IFERROR(__xludf.DUMMYFUNCTION("""COMPUTED_VALUE"""),"Cleveland Cavaliers")</f>
        <v>Cleveland Cavaliers</v>
      </c>
      <c r="F44" s="1">
        <f>IFERROR(__xludf.DUMMYFUNCTION("""COMPUTED_VALUE"""),86.0)</f>
        <v>86</v>
      </c>
      <c r="G44" s="1" t="str">
        <f>IFERROR(__xludf.DUMMYFUNCTION("""COMPUTED_VALUE"""),"Box Score")</f>
        <v>Box Score</v>
      </c>
      <c r="H44" s="1"/>
      <c r="I44" s="3">
        <f>IFERROR(__xludf.DUMMYFUNCTION("""COMPUTED_VALUE"""),19432.0)</f>
        <v>19432</v>
      </c>
      <c r="J44" s="1"/>
    </row>
    <row r="45" ht="15.75" customHeight="1">
      <c r="A45" s="2">
        <f>IFERROR(__xludf.DUMMYFUNCTION("""COMPUTED_VALUE"""),43411.0)</f>
        <v>43411</v>
      </c>
      <c r="B45" s="1" t="str">
        <f>IFERROR(__xludf.DUMMYFUNCTION("""COMPUTED_VALUE"""),"7:00p")</f>
        <v>7:00p</v>
      </c>
      <c r="C45" s="1" t="str">
        <f>IFERROR(__xludf.DUMMYFUNCTION("""COMPUTED_VALUE"""),"Detroit Pistons")</f>
        <v>Detroit Pistons</v>
      </c>
      <c r="D45" s="1">
        <f>IFERROR(__xludf.DUMMYFUNCTION("""COMPUTED_VALUE"""),103.0)</f>
        <v>103</v>
      </c>
      <c r="E45" s="1" t="str">
        <f>IFERROR(__xludf.DUMMYFUNCTION("""COMPUTED_VALUE"""),"Orlando Magic")</f>
        <v>Orlando Magic</v>
      </c>
      <c r="F45" s="1">
        <f>IFERROR(__xludf.DUMMYFUNCTION("""COMPUTED_VALUE"""),96.0)</f>
        <v>96</v>
      </c>
      <c r="G45" s="1" t="str">
        <f>IFERROR(__xludf.DUMMYFUNCTION("""COMPUTED_VALUE"""),"Box Score")</f>
        <v>Box Score</v>
      </c>
      <c r="H45" s="1"/>
      <c r="I45" s="3">
        <f>IFERROR(__xludf.DUMMYFUNCTION("""COMPUTED_VALUE"""),16103.0)</f>
        <v>16103</v>
      </c>
      <c r="J45" s="1"/>
    </row>
    <row r="46" ht="15.75" customHeight="1">
      <c r="A46" s="2">
        <f>IFERROR(__xludf.DUMMYFUNCTION("""COMPUTED_VALUE"""),43411.0)</f>
        <v>43411</v>
      </c>
      <c r="B46" s="1" t="str">
        <f>IFERROR(__xludf.DUMMYFUNCTION("""COMPUTED_VALUE"""),"7:30p")</f>
        <v>7:30p</v>
      </c>
      <c r="C46" s="1" t="str">
        <f>IFERROR(__xludf.DUMMYFUNCTION("""COMPUTED_VALUE"""),"New York Knicks")</f>
        <v>New York Knicks</v>
      </c>
      <c r="D46" s="1">
        <f>IFERROR(__xludf.DUMMYFUNCTION("""COMPUTED_VALUE"""),112.0)</f>
        <v>112</v>
      </c>
      <c r="E46" s="1" t="str">
        <f>IFERROR(__xludf.DUMMYFUNCTION("""COMPUTED_VALUE"""),"Atlanta Hawks")</f>
        <v>Atlanta Hawks</v>
      </c>
      <c r="F46" s="1">
        <f>IFERROR(__xludf.DUMMYFUNCTION("""COMPUTED_VALUE"""),107.0)</f>
        <v>107</v>
      </c>
      <c r="G46" s="1" t="str">
        <f>IFERROR(__xludf.DUMMYFUNCTION("""COMPUTED_VALUE"""),"Box Score")</f>
        <v>Box Score</v>
      </c>
      <c r="H46" s="1"/>
      <c r="I46" s="3">
        <f>IFERROR(__xludf.DUMMYFUNCTION("""COMPUTED_VALUE"""),12412.0)</f>
        <v>12412</v>
      </c>
      <c r="J46" s="1"/>
    </row>
    <row r="47" ht="15.75" customHeight="1">
      <c r="A47" s="2">
        <f>IFERROR(__xludf.DUMMYFUNCTION("""COMPUTED_VALUE"""),43411.0)</f>
        <v>43411</v>
      </c>
      <c r="B47" s="1" t="str">
        <f>IFERROR(__xludf.DUMMYFUNCTION("""COMPUTED_VALUE"""),"7:30p")</f>
        <v>7:30p</v>
      </c>
      <c r="C47" s="1" t="str">
        <f>IFERROR(__xludf.DUMMYFUNCTION("""COMPUTED_VALUE"""),"San Antonio Spurs")</f>
        <v>San Antonio Spurs</v>
      </c>
      <c r="D47" s="1">
        <f>IFERROR(__xludf.DUMMYFUNCTION("""COMPUTED_VALUE"""),88.0)</f>
        <v>88</v>
      </c>
      <c r="E47" s="1" t="str">
        <f>IFERROR(__xludf.DUMMYFUNCTION("""COMPUTED_VALUE"""),"Miami Heat")</f>
        <v>Miami Heat</v>
      </c>
      <c r="F47" s="1">
        <f>IFERROR(__xludf.DUMMYFUNCTION("""COMPUTED_VALUE"""),95.0)</f>
        <v>95</v>
      </c>
      <c r="G47" s="1" t="str">
        <f>IFERROR(__xludf.DUMMYFUNCTION("""COMPUTED_VALUE"""),"Box Score")</f>
        <v>Box Score</v>
      </c>
      <c r="H47" s="1"/>
      <c r="I47" s="3">
        <f>IFERROR(__xludf.DUMMYFUNCTION("""COMPUTED_VALUE"""),19600.0)</f>
        <v>19600</v>
      </c>
      <c r="J47" s="1"/>
    </row>
    <row r="48" ht="15.75" customHeight="1">
      <c r="A48" s="2">
        <f>IFERROR(__xludf.DUMMYFUNCTION("""COMPUTED_VALUE"""),43411.0)</f>
        <v>43411</v>
      </c>
      <c r="B48" s="1" t="str">
        <f>IFERROR(__xludf.DUMMYFUNCTION("""COMPUTED_VALUE"""),"8:00p")</f>
        <v>8:00p</v>
      </c>
      <c r="C48" s="1" t="str">
        <f>IFERROR(__xludf.DUMMYFUNCTION("""COMPUTED_VALUE"""),"Philadelphia 76ers")</f>
        <v>Philadelphia 76ers</v>
      </c>
      <c r="D48" s="1">
        <f>IFERROR(__xludf.DUMMYFUNCTION("""COMPUTED_VALUE"""),100.0)</f>
        <v>100</v>
      </c>
      <c r="E48" s="1" t="str">
        <f>IFERROR(__xludf.DUMMYFUNCTION("""COMPUTED_VALUE"""),"Indiana Pacers")</f>
        <v>Indiana Pacers</v>
      </c>
      <c r="F48" s="1">
        <f>IFERROR(__xludf.DUMMYFUNCTION("""COMPUTED_VALUE"""),94.0)</f>
        <v>94</v>
      </c>
      <c r="G48" s="1" t="str">
        <f>IFERROR(__xludf.DUMMYFUNCTION("""COMPUTED_VALUE"""),"Box Score")</f>
        <v>Box Score</v>
      </c>
      <c r="H48" s="1"/>
      <c r="I48" s="3">
        <f>IFERROR(__xludf.DUMMYFUNCTION("""COMPUTED_VALUE"""),16434.0)</f>
        <v>16434</v>
      </c>
      <c r="J48" s="1"/>
    </row>
    <row r="49" ht="15.75" customHeight="1">
      <c r="A49" s="2">
        <f>IFERROR(__xludf.DUMMYFUNCTION("""COMPUTED_VALUE"""),43411.0)</f>
        <v>43411</v>
      </c>
      <c r="B49" s="1" t="str">
        <f>IFERROR(__xludf.DUMMYFUNCTION("""COMPUTED_VALUE"""),"8:00p")</f>
        <v>8:00p</v>
      </c>
      <c r="C49" s="1" t="str">
        <f>IFERROR(__xludf.DUMMYFUNCTION("""COMPUTED_VALUE"""),"Denver Nuggets")</f>
        <v>Denver Nuggets</v>
      </c>
      <c r="D49" s="1">
        <f>IFERROR(__xludf.DUMMYFUNCTION("""COMPUTED_VALUE"""),87.0)</f>
        <v>87</v>
      </c>
      <c r="E49" s="1" t="str">
        <f>IFERROR(__xludf.DUMMYFUNCTION("""COMPUTED_VALUE"""),"Memphis Grizzlies")</f>
        <v>Memphis Grizzlies</v>
      </c>
      <c r="F49" s="1">
        <f>IFERROR(__xludf.DUMMYFUNCTION("""COMPUTED_VALUE"""),89.0)</f>
        <v>89</v>
      </c>
      <c r="G49" s="1" t="str">
        <f>IFERROR(__xludf.DUMMYFUNCTION("""COMPUTED_VALUE"""),"Box Score")</f>
        <v>Box Score</v>
      </c>
      <c r="H49" s="1"/>
      <c r="I49" s="3">
        <f>IFERROR(__xludf.DUMMYFUNCTION("""COMPUTED_VALUE"""),15832.0)</f>
        <v>15832</v>
      </c>
      <c r="J49" s="1"/>
    </row>
    <row r="50" ht="15.75" customHeight="1">
      <c r="A50" s="2">
        <f>IFERROR(__xludf.DUMMYFUNCTION("""COMPUTED_VALUE"""),43411.0)</f>
        <v>43411</v>
      </c>
      <c r="B50" s="1" t="str">
        <f>IFERROR(__xludf.DUMMYFUNCTION("""COMPUTED_VALUE"""),"8:00p")</f>
        <v>8:00p</v>
      </c>
      <c r="C50" s="1" t="str">
        <f>IFERROR(__xludf.DUMMYFUNCTION("""COMPUTED_VALUE"""),"Chicago Bulls")</f>
        <v>Chicago Bulls</v>
      </c>
      <c r="D50" s="1">
        <f>IFERROR(__xludf.DUMMYFUNCTION("""COMPUTED_VALUE"""),98.0)</f>
        <v>98</v>
      </c>
      <c r="E50" s="1" t="str">
        <f>IFERROR(__xludf.DUMMYFUNCTION("""COMPUTED_VALUE"""),"New Orleans Pelicans")</f>
        <v>New Orleans Pelicans</v>
      </c>
      <c r="F50" s="1">
        <f>IFERROR(__xludf.DUMMYFUNCTION("""COMPUTED_VALUE"""),107.0)</f>
        <v>107</v>
      </c>
      <c r="G50" s="1" t="str">
        <f>IFERROR(__xludf.DUMMYFUNCTION("""COMPUTED_VALUE"""),"Box Score")</f>
        <v>Box Score</v>
      </c>
      <c r="H50" s="1"/>
      <c r="I50" s="3">
        <f>IFERROR(__xludf.DUMMYFUNCTION("""COMPUTED_VALUE"""),15514.0)</f>
        <v>15514</v>
      </c>
      <c r="J50" s="1"/>
    </row>
    <row r="51" ht="15.75" customHeight="1">
      <c r="A51" s="2">
        <f>IFERROR(__xludf.DUMMYFUNCTION("""COMPUTED_VALUE"""),43411.0)</f>
        <v>43411</v>
      </c>
      <c r="B51" s="1" t="str">
        <f>IFERROR(__xludf.DUMMYFUNCTION("""COMPUTED_VALUE"""),"9:00p")</f>
        <v>9:00p</v>
      </c>
      <c r="C51" s="1" t="str">
        <f>IFERROR(__xludf.DUMMYFUNCTION("""COMPUTED_VALUE"""),"Dallas Mavericks")</f>
        <v>Dallas Mavericks</v>
      </c>
      <c r="D51" s="1">
        <f>IFERROR(__xludf.DUMMYFUNCTION("""COMPUTED_VALUE"""),102.0)</f>
        <v>102</v>
      </c>
      <c r="E51" s="1" t="str">
        <f>IFERROR(__xludf.DUMMYFUNCTION("""COMPUTED_VALUE"""),"Utah Jazz")</f>
        <v>Utah Jazz</v>
      </c>
      <c r="F51" s="1">
        <f>IFERROR(__xludf.DUMMYFUNCTION("""COMPUTED_VALUE"""),117.0)</f>
        <v>117</v>
      </c>
      <c r="G51" s="1" t="str">
        <f>IFERROR(__xludf.DUMMYFUNCTION("""COMPUTED_VALUE"""),"Box Score")</f>
        <v>Box Score</v>
      </c>
      <c r="H51" s="1"/>
      <c r="I51" s="3">
        <f>IFERROR(__xludf.DUMMYFUNCTION("""COMPUTED_VALUE"""),18306.0)</f>
        <v>18306</v>
      </c>
      <c r="J51" s="1"/>
    </row>
    <row r="52" ht="15.75" customHeight="1">
      <c r="A52" s="2">
        <f>IFERROR(__xludf.DUMMYFUNCTION("""COMPUTED_VALUE"""),43411.0)</f>
        <v>43411</v>
      </c>
      <c r="B52" s="1" t="str">
        <f>IFERROR(__xludf.DUMMYFUNCTION("""COMPUTED_VALUE"""),"10:00p")</f>
        <v>10:00p</v>
      </c>
      <c r="C52" s="1" t="str">
        <f>IFERROR(__xludf.DUMMYFUNCTION("""COMPUTED_VALUE"""),"Toronto Raptors")</f>
        <v>Toronto Raptors</v>
      </c>
      <c r="D52" s="1">
        <f>IFERROR(__xludf.DUMMYFUNCTION("""COMPUTED_VALUE"""),114.0)</f>
        <v>114</v>
      </c>
      <c r="E52" s="1" t="str">
        <f>IFERROR(__xludf.DUMMYFUNCTION("""COMPUTED_VALUE"""),"Sacramento Kings")</f>
        <v>Sacramento Kings</v>
      </c>
      <c r="F52" s="1">
        <f>IFERROR(__xludf.DUMMYFUNCTION("""COMPUTED_VALUE"""),105.0)</f>
        <v>105</v>
      </c>
      <c r="G52" s="1" t="str">
        <f>IFERROR(__xludf.DUMMYFUNCTION("""COMPUTED_VALUE"""),"Box Score")</f>
        <v>Box Score</v>
      </c>
      <c r="H52" s="1"/>
      <c r="I52" s="3">
        <f>IFERROR(__xludf.DUMMYFUNCTION("""COMPUTED_VALUE"""),17583.0)</f>
        <v>17583</v>
      </c>
      <c r="J52" s="1"/>
    </row>
    <row r="53" ht="15.75" customHeight="1">
      <c r="A53" s="2">
        <f>IFERROR(__xludf.DUMMYFUNCTION("""COMPUTED_VALUE"""),43411.0)</f>
        <v>43411</v>
      </c>
      <c r="B53" s="1" t="str">
        <f>IFERROR(__xludf.DUMMYFUNCTION("""COMPUTED_VALUE"""),"10:30p")</f>
        <v>10:30p</v>
      </c>
      <c r="C53" s="1" t="str">
        <f>IFERROR(__xludf.DUMMYFUNCTION("""COMPUTED_VALUE"""),"Minnesota Timberwolves")</f>
        <v>Minnesota Timberwolves</v>
      </c>
      <c r="D53" s="1">
        <f>IFERROR(__xludf.DUMMYFUNCTION("""COMPUTED_VALUE"""),110.0)</f>
        <v>110</v>
      </c>
      <c r="E53" s="1" t="str">
        <f>IFERROR(__xludf.DUMMYFUNCTION("""COMPUTED_VALUE"""),"Los Angeles Lakers")</f>
        <v>Los Angeles Lakers</v>
      </c>
      <c r="F53" s="1">
        <f>IFERROR(__xludf.DUMMYFUNCTION("""COMPUTED_VALUE"""),114.0)</f>
        <v>114</v>
      </c>
      <c r="G53" s="1" t="str">
        <f>IFERROR(__xludf.DUMMYFUNCTION("""COMPUTED_VALUE"""),"Box Score")</f>
        <v>Box Score</v>
      </c>
      <c r="H53" s="1"/>
      <c r="I53" s="3">
        <f>IFERROR(__xludf.DUMMYFUNCTION("""COMPUTED_VALUE"""),18997.0)</f>
        <v>18997</v>
      </c>
      <c r="J53" s="1"/>
    </row>
    <row r="54" ht="15.75" customHeight="1">
      <c r="A54" s="2">
        <f>IFERROR(__xludf.DUMMYFUNCTION("""COMPUTED_VALUE"""),43412.0)</f>
        <v>43412</v>
      </c>
      <c r="B54" s="1" t="str">
        <f>IFERROR(__xludf.DUMMYFUNCTION("""COMPUTED_VALUE"""),"8:00p")</f>
        <v>8:00p</v>
      </c>
      <c r="C54" s="1" t="str">
        <f>IFERROR(__xludf.DUMMYFUNCTION("""COMPUTED_VALUE"""),"Houston Rockets")</f>
        <v>Houston Rockets</v>
      </c>
      <c r="D54" s="1">
        <f>IFERROR(__xludf.DUMMYFUNCTION("""COMPUTED_VALUE"""),80.0)</f>
        <v>80</v>
      </c>
      <c r="E54" s="1" t="str">
        <f>IFERROR(__xludf.DUMMYFUNCTION("""COMPUTED_VALUE"""),"Oklahoma City Thunder")</f>
        <v>Oklahoma City Thunder</v>
      </c>
      <c r="F54" s="1">
        <f>IFERROR(__xludf.DUMMYFUNCTION("""COMPUTED_VALUE"""),98.0)</f>
        <v>98</v>
      </c>
      <c r="G54" s="1" t="str">
        <f>IFERROR(__xludf.DUMMYFUNCTION("""COMPUTED_VALUE"""),"Box Score")</f>
        <v>Box Score</v>
      </c>
      <c r="H54" s="1"/>
      <c r="I54" s="3">
        <f>IFERROR(__xludf.DUMMYFUNCTION("""COMPUTED_VALUE"""),18203.0)</f>
        <v>18203</v>
      </c>
      <c r="J54" s="1"/>
    </row>
    <row r="55" ht="15.75" customHeight="1">
      <c r="A55" s="2">
        <f>IFERROR(__xludf.DUMMYFUNCTION("""COMPUTED_VALUE"""),43412.0)</f>
        <v>43412</v>
      </c>
      <c r="B55" s="1" t="str">
        <f>IFERROR(__xludf.DUMMYFUNCTION("""COMPUTED_VALUE"""),"9:00p")</f>
        <v>9:00p</v>
      </c>
      <c r="C55" s="1" t="str">
        <f>IFERROR(__xludf.DUMMYFUNCTION("""COMPUTED_VALUE"""),"Boston Celtics")</f>
        <v>Boston Celtics</v>
      </c>
      <c r="D55" s="1">
        <f>IFERROR(__xludf.DUMMYFUNCTION("""COMPUTED_VALUE"""),116.0)</f>
        <v>116</v>
      </c>
      <c r="E55" s="1" t="str">
        <f>IFERROR(__xludf.DUMMYFUNCTION("""COMPUTED_VALUE"""),"Phoenix Suns")</f>
        <v>Phoenix Suns</v>
      </c>
      <c r="F55" s="1">
        <f>IFERROR(__xludf.DUMMYFUNCTION("""COMPUTED_VALUE"""),109.0)</f>
        <v>109</v>
      </c>
      <c r="G55" s="1" t="str">
        <f>IFERROR(__xludf.DUMMYFUNCTION("""COMPUTED_VALUE"""),"Box Score")</f>
        <v>Box Score</v>
      </c>
      <c r="H55" s="1" t="str">
        <f>IFERROR(__xludf.DUMMYFUNCTION("""COMPUTED_VALUE"""),"OT")</f>
        <v>OT</v>
      </c>
      <c r="I55" s="3">
        <f>IFERROR(__xludf.DUMMYFUNCTION("""COMPUTED_VALUE"""),17359.0)</f>
        <v>17359</v>
      </c>
      <c r="J55" s="1"/>
    </row>
    <row r="56" ht="15.75" customHeight="1">
      <c r="A56" s="2">
        <f>IFERROR(__xludf.DUMMYFUNCTION("""COMPUTED_VALUE"""),43412.0)</f>
        <v>43412</v>
      </c>
      <c r="B56" s="1" t="str">
        <f>IFERROR(__xludf.DUMMYFUNCTION("""COMPUTED_VALUE"""),"10:00p")</f>
        <v>10:00p</v>
      </c>
      <c r="C56" s="1" t="str">
        <f>IFERROR(__xludf.DUMMYFUNCTION("""COMPUTED_VALUE"""),"Los Angeles Clippers")</f>
        <v>Los Angeles Clippers</v>
      </c>
      <c r="D56" s="1">
        <f>IFERROR(__xludf.DUMMYFUNCTION("""COMPUTED_VALUE"""),105.0)</f>
        <v>105</v>
      </c>
      <c r="E56" s="1" t="str">
        <f>IFERROR(__xludf.DUMMYFUNCTION("""COMPUTED_VALUE"""),"Portland Trail Blazers")</f>
        <v>Portland Trail Blazers</v>
      </c>
      <c r="F56" s="1">
        <f>IFERROR(__xludf.DUMMYFUNCTION("""COMPUTED_VALUE"""),116.0)</f>
        <v>116</v>
      </c>
      <c r="G56" s="1" t="str">
        <f>IFERROR(__xludf.DUMMYFUNCTION("""COMPUTED_VALUE"""),"Box Score")</f>
        <v>Box Score</v>
      </c>
      <c r="H56" s="1"/>
      <c r="I56" s="3">
        <f>IFERROR(__xludf.DUMMYFUNCTION("""COMPUTED_VALUE"""),19170.0)</f>
        <v>19170</v>
      </c>
      <c r="J56" s="1"/>
    </row>
    <row r="57" ht="15.75" customHeight="1">
      <c r="A57" s="2">
        <f>IFERROR(__xludf.DUMMYFUNCTION("""COMPUTED_VALUE"""),43412.0)</f>
        <v>43412</v>
      </c>
      <c r="B57" s="1" t="str">
        <f>IFERROR(__xludf.DUMMYFUNCTION("""COMPUTED_VALUE"""),"10:30p")</f>
        <v>10:30p</v>
      </c>
      <c r="C57" s="1" t="str">
        <f>IFERROR(__xludf.DUMMYFUNCTION("""COMPUTED_VALUE"""),"Milwaukee Bucks")</f>
        <v>Milwaukee Bucks</v>
      </c>
      <c r="D57" s="1">
        <f>IFERROR(__xludf.DUMMYFUNCTION("""COMPUTED_VALUE"""),134.0)</f>
        <v>134</v>
      </c>
      <c r="E57" s="1" t="str">
        <f>IFERROR(__xludf.DUMMYFUNCTION("""COMPUTED_VALUE"""),"Golden State Warriors")</f>
        <v>Golden State Warriors</v>
      </c>
      <c r="F57" s="1">
        <f>IFERROR(__xludf.DUMMYFUNCTION("""COMPUTED_VALUE"""),111.0)</f>
        <v>111</v>
      </c>
      <c r="G57" s="1" t="str">
        <f>IFERROR(__xludf.DUMMYFUNCTION("""COMPUTED_VALUE"""),"Box Score")</f>
        <v>Box Score</v>
      </c>
      <c r="H57" s="1"/>
      <c r="I57" s="3">
        <f>IFERROR(__xludf.DUMMYFUNCTION("""COMPUTED_VALUE"""),19596.0)</f>
        <v>19596</v>
      </c>
      <c r="J57" s="1"/>
    </row>
    <row r="58" ht="15.75" customHeight="1">
      <c r="A58" s="2">
        <f>IFERROR(__xludf.DUMMYFUNCTION("""COMPUTED_VALUE"""),43413.0)</f>
        <v>43413</v>
      </c>
      <c r="B58" s="1" t="str">
        <f>IFERROR(__xludf.DUMMYFUNCTION("""COMPUTED_VALUE"""),"7:00p")</f>
        <v>7:00p</v>
      </c>
      <c r="C58" s="1" t="str">
        <f>IFERROR(__xludf.DUMMYFUNCTION("""COMPUTED_VALUE"""),"Washington Wizards")</f>
        <v>Washington Wizards</v>
      </c>
      <c r="D58" s="1">
        <f>IFERROR(__xludf.DUMMYFUNCTION("""COMPUTED_VALUE"""),108.0)</f>
        <v>108</v>
      </c>
      <c r="E58" s="1" t="str">
        <f>IFERROR(__xludf.DUMMYFUNCTION("""COMPUTED_VALUE"""),"Orlando Magic")</f>
        <v>Orlando Magic</v>
      </c>
      <c r="F58" s="1">
        <f>IFERROR(__xludf.DUMMYFUNCTION("""COMPUTED_VALUE"""),117.0)</f>
        <v>117</v>
      </c>
      <c r="G58" s="1" t="str">
        <f>IFERROR(__xludf.DUMMYFUNCTION("""COMPUTED_VALUE"""),"Box Score")</f>
        <v>Box Score</v>
      </c>
      <c r="H58" s="1"/>
      <c r="I58" s="3">
        <f>IFERROR(__xludf.DUMMYFUNCTION("""COMPUTED_VALUE"""),16562.0)</f>
        <v>16562</v>
      </c>
      <c r="J58" s="1"/>
    </row>
    <row r="59" ht="15.75" customHeight="1">
      <c r="A59" s="2">
        <f>IFERROR(__xludf.DUMMYFUNCTION("""COMPUTED_VALUE"""),43413.0)</f>
        <v>43413</v>
      </c>
      <c r="B59" s="1" t="str">
        <f>IFERROR(__xludf.DUMMYFUNCTION("""COMPUTED_VALUE"""),"7:00p")</f>
        <v>7:00p</v>
      </c>
      <c r="C59" s="1" t="str">
        <f>IFERROR(__xludf.DUMMYFUNCTION("""COMPUTED_VALUE"""),"Charlotte Hornets")</f>
        <v>Charlotte Hornets</v>
      </c>
      <c r="D59" s="1">
        <f>IFERROR(__xludf.DUMMYFUNCTION("""COMPUTED_VALUE"""),132.0)</f>
        <v>132</v>
      </c>
      <c r="E59" s="1" t="str">
        <f>IFERROR(__xludf.DUMMYFUNCTION("""COMPUTED_VALUE"""),"Philadelphia 76ers")</f>
        <v>Philadelphia 76ers</v>
      </c>
      <c r="F59" s="1">
        <f>IFERROR(__xludf.DUMMYFUNCTION("""COMPUTED_VALUE"""),133.0)</f>
        <v>133</v>
      </c>
      <c r="G59" s="1" t="str">
        <f>IFERROR(__xludf.DUMMYFUNCTION("""COMPUTED_VALUE"""),"Box Score")</f>
        <v>Box Score</v>
      </c>
      <c r="H59" s="1" t="str">
        <f>IFERROR(__xludf.DUMMYFUNCTION("""COMPUTED_VALUE"""),"OT")</f>
        <v>OT</v>
      </c>
      <c r="I59" s="3">
        <f>IFERROR(__xludf.DUMMYFUNCTION("""COMPUTED_VALUE"""),20424.0)</f>
        <v>20424</v>
      </c>
      <c r="J59" s="1"/>
    </row>
    <row r="60" ht="15.75" customHeight="1">
      <c r="A60" s="2">
        <f>IFERROR(__xludf.DUMMYFUNCTION("""COMPUTED_VALUE"""),43413.0)</f>
        <v>43413</v>
      </c>
      <c r="B60" s="1" t="str">
        <f>IFERROR(__xludf.DUMMYFUNCTION("""COMPUTED_VALUE"""),"7:30p")</f>
        <v>7:30p</v>
      </c>
      <c r="C60" s="1" t="str">
        <f>IFERROR(__xludf.DUMMYFUNCTION("""COMPUTED_VALUE"""),"Detroit Pistons")</f>
        <v>Detroit Pistons</v>
      </c>
      <c r="D60" s="1">
        <f>IFERROR(__xludf.DUMMYFUNCTION("""COMPUTED_VALUE"""),124.0)</f>
        <v>124</v>
      </c>
      <c r="E60" s="1" t="str">
        <f>IFERROR(__xludf.DUMMYFUNCTION("""COMPUTED_VALUE"""),"Atlanta Hawks")</f>
        <v>Atlanta Hawks</v>
      </c>
      <c r="F60" s="1">
        <f>IFERROR(__xludf.DUMMYFUNCTION("""COMPUTED_VALUE"""),109.0)</f>
        <v>109</v>
      </c>
      <c r="G60" s="1" t="str">
        <f>IFERROR(__xludf.DUMMYFUNCTION("""COMPUTED_VALUE"""),"Box Score")</f>
        <v>Box Score</v>
      </c>
      <c r="H60" s="1"/>
      <c r="I60" s="3">
        <f>IFERROR(__xludf.DUMMYFUNCTION("""COMPUTED_VALUE"""),14759.0)</f>
        <v>14759</v>
      </c>
      <c r="J60" s="1"/>
    </row>
    <row r="61" ht="15.75" customHeight="1">
      <c r="A61" s="2">
        <f>IFERROR(__xludf.DUMMYFUNCTION("""COMPUTED_VALUE"""),43413.0)</f>
        <v>43413</v>
      </c>
      <c r="B61" s="1" t="str">
        <f>IFERROR(__xludf.DUMMYFUNCTION("""COMPUTED_VALUE"""),"8:00p")</f>
        <v>8:00p</v>
      </c>
      <c r="C61" s="1" t="str">
        <f>IFERROR(__xludf.DUMMYFUNCTION("""COMPUTED_VALUE"""),"Indiana Pacers")</f>
        <v>Indiana Pacers</v>
      </c>
      <c r="D61" s="1">
        <f>IFERROR(__xludf.DUMMYFUNCTION("""COMPUTED_VALUE"""),110.0)</f>
        <v>110</v>
      </c>
      <c r="E61" s="1" t="str">
        <f>IFERROR(__xludf.DUMMYFUNCTION("""COMPUTED_VALUE"""),"Miami Heat")</f>
        <v>Miami Heat</v>
      </c>
      <c r="F61" s="1">
        <f>IFERROR(__xludf.DUMMYFUNCTION("""COMPUTED_VALUE"""),102.0)</f>
        <v>102</v>
      </c>
      <c r="G61" s="1" t="str">
        <f>IFERROR(__xludf.DUMMYFUNCTION("""COMPUTED_VALUE"""),"Box Score")</f>
        <v>Box Score</v>
      </c>
      <c r="H61" s="1"/>
      <c r="I61" s="3">
        <f>IFERROR(__xludf.DUMMYFUNCTION("""COMPUTED_VALUE"""),19600.0)</f>
        <v>19600</v>
      </c>
      <c r="J61" s="1"/>
    </row>
    <row r="62" ht="15.75" customHeight="1">
      <c r="A62" s="2">
        <f>IFERROR(__xludf.DUMMYFUNCTION("""COMPUTED_VALUE"""),43413.0)</f>
        <v>43413</v>
      </c>
      <c r="B62" s="1" t="str">
        <f>IFERROR(__xludf.DUMMYFUNCTION("""COMPUTED_VALUE"""),"9:00p")</f>
        <v>9:00p</v>
      </c>
      <c r="C62" s="1" t="str">
        <f>IFERROR(__xludf.DUMMYFUNCTION("""COMPUTED_VALUE"""),"Brooklyn Nets")</f>
        <v>Brooklyn Nets</v>
      </c>
      <c r="D62" s="1">
        <f>IFERROR(__xludf.DUMMYFUNCTION("""COMPUTED_VALUE"""),112.0)</f>
        <v>112</v>
      </c>
      <c r="E62" s="1" t="str">
        <f>IFERROR(__xludf.DUMMYFUNCTION("""COMPUTED_VALUE"""),"Denver Nuggets")</f>
        <v>Denver Nuggets</v>
      </c>
      <c r="F62" s="1">
        <f>IFERROR(__xludf.DUMMYFUNCTION("""COMPUTED_VALUE"""),110.0)</f>
        <v>110</v>
      </c>
      <c r="G62" s="1" t="str">
        <f>IFERROR(__xludf.DUMMYFUNCTION("""COMPUTED_VALUE"""),"Box Score")</f>
        <v>Box Score</v>
      </c>
      <c r="H62" s="1"/>
      <c r="I62" s="3">
        <f>IFERROR(__xludf.DUMMYFUNCTION("""COMPUTED_VALUE"""),19520.0)</f>
        <v>19520</v>
      </c>
      <c r="J62" s="1"/>
    </row>
    <row r="63" ht="15.75" customHeight="1">
      <c r="A63" s="2">
        <f>IFERROR(__xludf.DUMMYFUNCTION("""COMPUTED_VALUE"""),43413.0)</f>
        <v>43413</v>
      </c>
      <c r="B63" s="1" t="str">
        <f>IFERROR(__xludf.DUMMYFUNCTION("""COMPUTED_VALUE"""),"9:30p")</f>
        <v>9:30p</v>
      </c>
      <c r="C63" s="1" t="str">
        <f>IFERROR(__xludf.DUMMYFUNCTION("""COMPUTED_VALUE"""),"Boston Celtics")</f>
        <v>Boston Celtics</v>
      </c>
      <c r="D63" s="1">
        <f>IFERROR(__xludf.DUMMYFUNCTION("""COMPUTED_VALUE"""),115.0)</f>
        <v>115</v>
      </c>
      <c r="E63" s="1" t="str">
        <f>IFERROR(__xludf.DUMMYFUNCTION("""COMPUTED_VALUE"""),"Utah Jazz")</f>
        <v>Utah Jazz</v>
      </c>
      <c r="F63" s="1">
        <f>IFERROR(__xludf.DUMMYFUNCTION("""COMPUTED_VALUE"""),123.0)</f>
        <v>123</v>
      </c>
      <c r="G63" s="1" t="str">
        <f>IFERROR(__xludf.DUMMYFUNCTION("""COMPUTED_VALUE"""),"Box Score")</f>
        <v>Box Score</v>
      </c>
      <c r="H63" s="1"/>
      <c r="I63" s="3">
        <f>IFERROR(__xludf.DUMMYFUNCTION("""COMPUTED_VALUE"""),18306.0)</f>
        <v>18306</v>
      </c>
      <c r="J63" s="1"/>
    </row>
    <row r="64" ht="15.75" customHeight="1">
      <c r="A64" s="2">
        <f>IFERROR(__xludf.DUMMYFUNCTION("""COMPUTED_VALUE"""),43413.0)</f>
        <v>43413</v>
      </c>
      <c r="B64" s="1" t="str">
        <f>IFERROR(__xludf.DUMMYFUNCTION("""COMPUTED_VALUE"""),"10:00p")</f>
        <v>10:00p</v>
      </c>
      <c r="C64" s="1" t="str">
        <f>IFERROR(__xludf.DUMMYFUNCTION("""COMPUTED_VALUE"""),"Minnesota Timberwolves")</f>
        <v>Minnesota Timberwolves</v>
      </c>
      <c r="D64" s="1">
        <f>IFERROR(__xludf.DUMMYFUNCTION("""COMPUTED_VALUE"""),110.0)</f>
        <v>110</v>
      </c>
      <c r="E64" s="1" t="str">
        <f>IFERROR(__xludf.DUMMYFUNCTION("""COMPUTED_VALUE"""),"Sacramento Kings")</f>
        <v>Sacramento Kings</v>
      </c>
      <c r="F64" s="1">
        <f>IFERROR(__xludf.DUMMYFUNCTION("""COMPUTED_VALUE"""),121.0)</f>
        <v>121</v>
      </c>
      <c r="G64" s="1" t="str">
        <f>IFERROR(__xludf.DUMMYFUNCTION("""COMPUTED_VALUE"""),"Box Score")</f>
        <v>Box Score</v>
      </c>
      <c r="H64" s="1"/>
      <c r="I64" s="3">
        <f>IFERROR(__xludf.DUMMYFUNCTION("""COMPUTED_VALUE"""),17583.0)</f>
        <v>17583</v>
      </c>
      <c r="J64" s="1"/>
    </row>
    <row r="65" ht="15.75" customHeight="1">
      <c r="A65" s="2">
        <f>IFERROR(__xludf.DUMMYFUNCTION("""COMPUTED_VALUE"""),43414.0)</f>
        <v>43414</v>
      </c>
      <c r="B65" s="1" t="str">
        <f>IFERROR(__xludf.DUMMYFUNCTION("""COMPUTED_VALUE"""),"3:00p")</f>
        <v>3:00p</v>
      </c>
      <c r="C65" s="1" t="str">
        <f>IFERROR(__xludf.DUMMYFUNCTION("""COMPUTED_VALUE"""),"New York Knicks")</f>
        <v>New York Knicks</v>
      </c>
      <c r="D65" s="1">
        <f>IFERROR(__xludf.DUMMYFUNCTION("""COMPUTED_VALUE"""),112.0)</f>
        <v>112</v>
      </c>
      <c r="E65" s="1" t="str">
        <f>IFERROR(__xludf.DUMMYFUNCTION("""COMPUTED_VALUE"""),"Toronto Raptors")</f>
        <v>Toronto Raptors</v>
      </c>
      <c r="F65" s="1">
        <f>IFERROR(__xludf.DUMMYFUNCTION("""COMPUTED_VALUE"""),128.0)</f>
        <v>128</v>
      </c>
      <c r="G65" s="1" t="str">
        <f>IFERROR(__xludf.DUMMYFUNCTION("""COMPUTED_VALUE"""),"Box Score")</f>
        <v>Box Score</v>
      </c>
      <c r="H65" s="1"/>
      <c r="I65" s="3">
        <f>IFERROR(__xludf.DUMMYFUNCTION("""COMPUTED_VALUE"""),19800.0)</f>
        <v>19800</v>
      </c>
      <c r="J65" s="1"/>
    </row>
    <row r="66" ht="15.75" customHeight="1">
      <c r="A66" s="2">
        <f>IFERROR(__xludf.DUMMYFUNCTION("""COMPUTED_VALUE"""),43414.0)</f>
        <v>43414</v>
      </c>
      <c r="B66" s="1" t="str">
        <f>IFERROR(__xludf.DUMMYFUNCTION("""COMPUTED_VALUE"""),"3:30p")</f>
        <v>3:30p</v>
      </c>
      <c r="C66" s="1" t="str">
        <f>IFERROR(__xludf.DUMMYFUNCTION("""COMPUTED_VALUE"""),"Milwaukee Bucks")</f>
        <v>Milwaukee Bucks</v>
      </c>
      <c r="D66" s="1">
        <f>IFERROR(__xludf.DUMMYFUNCTION("""COMPUTED_VALUE"""),126.0)</f>
        <v>126</v>
      </c>
      <c r="E66" s="1" t="str">
        <f>IFERROR(__xludf.DUMMYFUNCTION("""COMPUTED_VALUE"""),"Los Angeles Clippers")</f>
        <v>Los Angeles Clippers</v>
      </c>
      <c r="F66" s="1">
        <f>IFERROR(__xludf.DUMMYFUNCTION("""COMPUTED_VALUE"""),128.0)</f>
        <v>128</v>
      </c>
      <c r="G66" s="1" t="str">
        <f>IFERROR(__xludf.DUMMYFUNCTION("""COMPUTED_VALUE"""),"Box Score")</f>
        <v>Box Score</v>
      </c>
      <c r="H66" s="1" t="str">
        <f>IFERROR(__xludf.DUMMYFUNCTION("""COMPUTED_VALUE"""),"OT")</f>
        <v>OT</v>
      </c>
      <c r="I66" s="3">
        <f>IFERROR(__xludf.DUMMYFUNCTION("""COMPUTED_VALUE"""),17486.0)</f>
        <v>17486</v>
      </c>
      <c r="J66" s="1"/>
    </row>
    <row r="67" ht="15.75" customHeight="1">
      <c r="A67" s="2">
        <f>IFERROR(__xludf.DUMMYFUNCTION("""COMPUTED_VALUE"""),43414.0)</f>
        <v>43414</v>
      </c>
      <c r="B67" s="1" t="str">
        <f>IFERROR(__xludf.DUMMYFUNCTION("""COMPUTED_VALUE"""),"7:00p")</f>
        <v>7:00p</v>
      </c>
      <c r="C67" s="1" t="str">
        <f>IFERROR(__xludf.DUMMYFUNCTION("""COMPUTED_VALUE"""),"Phoenix Suns")</f>
        <v>Phoenix Suns</v>
      </c>
      <c r="D67" s="1">
        <f>IFERROR(__xludf.DUMMYFUNCTION("""COMPUTED_VALUE"""),99.0)</f>
        <v>99</v>
      </c>
      <c r="E67" s="1" t="str">
        <f>IFERROR(__xludf.DUMMYFUNCTION("""COMPUTED_VALUE"""),"New Orleans Pelicans")</f>
        <v>New Orleans Pelicans</v>
      </c>
      <c r="F67" s="1">
        <f>IFERROR(__xludf.DUMMYFUNCTION("""COMPUTED_VALUE"""),119.0)</f>
        <v>119</v>
      </c>
      <c r="G67" s="1" t="str">
        <f>IFERROR(__xludf.DUMMYFUNCTION("""COMPUTED_VALUE"""),"Box Score")</f>
        <v>Box Score</v>
      </c>
      <c r="H67" s="1"/>
      <c r="I67" s="3">
        <f>IFERROR(__xludf.DUMMYFUNCTION("""COMPUTED_VALUE"""),15222.0)</f>
        <v>15222</v>
      </c>
      <c r="J67" s="1"/>
    </row>
    <row r="68" ht="15.75" customHeight="1">
      <c r="A68" s="2">
        <f>IFERROR(__xludf.DUMMYFUNCTION("""COMPUTED_VALUE"""),43414.0)</f>
        <v>43414</v>
      </c>
      <c r="B68" s="1" t="str">
        <f>IFERROR(__xludf.DUMMYFUNCTION("""COMPUTED_VALUE"""),"8:00p")</f>
        <v>8:00p</v>
      </c>
      <c r="C68" s="1" t="str">
        <f>IFERROR(__xludf.DUMMYFUNCTION("""COMPUTED_VALUE"""),"Cleveland Cavaliers")</f>
        <v>Cleveland Cavaliers</v>
      </c>
      <c r="D68" s="1">
        <f>IFERROR(__xludf.DUMMYFUNCTION("""COMPUTED_VALUE"""),98.0)</f>
        <v>98</v>
      </c>
      <c r="E68" s="1" t="str">
        <f>IFERROR(__xludf.DUMMYFUNCTION("""COMPUTED_VALUE"""),"Chicago Bulls")</f>
        <v>Chicago Bulls</v>
      </c>
      <c r="F68" s="1">
        <f>IFERROR(__xludf.DUMMYFUNCTION("""COMPUTED_VALUE"""),99.0)</f>
        <v>99</v>
      </c>
      <c r="G68" s="1" t="str">
        <f>IFERROR(__xludf.DUMMYFUNCTION("""COMPUTED_VALUE"""),"Box Score")</f>
        <v>Box Score</v>
      </c>
      <c r="H68" s="1"/>
      <c r="I68" s="3">
        <f>IFERROR(__xludf.DUMMYFUNCTION("""COMPUTED_VALUE"""),21506.0)</f>
        <v>21506</v>
      </c>
      <c r="J68" s="1"/>
    </row>
    <row r="69" ht="15.75" customHeight="1">
      <c r="A69" s="2">
        <f>IFERROR(__xludf.DUMMYFUNCTION("""COMPUTED_VALUE"""),43414.0)</f>
        <v>43414</v>
      </c>
      <c r="B69" s="1" t="str">
        <f>IFERROR(__xludf.DUMMYFUNCTION("""COMPUTED_VALUE"""),"8:00p")</f>
        <v>8:00p</v>
      </c>
      <c r="C69" s="1" t="str">
        <f>IFERROR(__xludf.DUMMYFUNCTION("""COMPUTED_VALUE"""),"Philadelphia 76ers")</f>
        <v>Philadelphia 76ers</v>
      </c>
      <c r="D69" s="1">
        <f>IFERROR(__xludf.DUMMYFUNCTION("""COMPUTED_VALUE"""),106.0)</f>
        <v>106</v>
      </c>
      <c r="E69" s="1" t="str">
        <f>IFERROR(__xludf.DUMMYFUNCTION("""COMPUTED_VALUE"""),"Memphis Grizzlies")</f>
        <v>Memphis Grizzlies</v>
      </c>
      <c r="F69" s="1">
        <f>IFERROR(__xludf.DUMMYFUNCTION("""COMPUTED_VALUE"""),112.0)</f>
        <v>112</v>
      </c>
      <c r="G69" s="1" t="str">
        <f>IFERROR(__xludf.DUMMYFUNCTION("""COMPUTED_VALUE"""),"Box Score")</f>
        <v>Box Score</v>
      </c>
      <c r="H69" s="1" t="str">
        <f>IFERROR(__xludf.DUMMYFUNCTION("""COMPUTED_VALUE"""),"OT")</f>
        <v>OT</v>
      </c>
      <c r="I69" s="3">
        <f>IFERROR(__xludf.DUMMYFUNCTION("""COMPUTED_VALUE"""),16904.0)</f>
        <v>16904</v>
      </c>
      <c r="J69" s="1"/>
    </row>
    <row r="70" ht="15.75" customHeight="1">
      <c r="A70" s="2">
        <f>IFERROR(__xludf.DUMMYFUNCTION("""COMPUTED_VALUE"""),43414.0)</f>
        <v>43414</v>
      </c>
      <c r="B70" s="1" t="str">
        <f>IFERROR(__xludf.DUMMYFUNCTION("""COMPUTED_VALUE"""),"8:00p")</f>
        <v>8:00p</v>
      </c>
      <c r="C70" s="1" t="str">
        <f>IFERROR(__xludf.DUMMYFUNCTION("""COMPUTED_VALUE"""),"Washington Wizards")</f>
        <v>Washington Wizards</v>
      </c>
      <c r="D70" s="1">
        <f>IFERROR(__xludf.DUMMYFUNCTION("""COMPUTED_VALUE"""),116.0)</f>
        <v>116</v>
      </c>
      <c r="E70" s="1" t="str">
        <f>IFERROR(__xludf.DUMMYFUNCTION("""COMPUTED_VALUE"""),"Miami Heat")</f>
        <v>Miami Heat</v>
      </c>
      <c r="F70" s="1">
        <f>IFERROR(__xludf.DUMMYFUNCTION("""COMPUTED_VALUE"""),110.0)</f>
        <v>110</v>
      </c>
      <c r="G70" s="1" t="str">
        <f>IFERROR(__xludf.DUMMYFUNCTION("""COMPUTED_VALUE"""),"Box Score")</f>
        <v>Box Score</v>
      </c>
      <c r="H70" s="1"/>
      <c r="I70" s="3">
        <f>IFERROR(__xludf.DUMMYFUNCTION("""COMPUTED_VALUE"""),19600.0)</f>
        <v>19600</v>
      </c>
      <c r="J70" s="1"/>
    </row>
    <row r="71" ht="15.75" customHeight="1">
      <c r="A71" s="2">
        <f>IFERROR(__xludf.DUMMYFUNCTION("""COMPUTED_VALUE"""),43414.0)</f>
        <v>43414</v>
      </c>
      <c r="B71" s="1" t="str">
        <f>IFERROR(__xludf.DUMMYFUNCTION("""COMPUTED_VALUE"""),"8:30p")</f>
        <v>8:30p</v>
      </c>
      <c r="C71" s="1" t="str">
        <f>IFERROR(__xludf.DUMMYFUNCTION("""COMPUTED_VALUE"""),"Brooklyn Nets")</f>
        <v>Brooklyn Nets</v>
      </c>
      <c r="D71" s="1">
        <f>IFERROR(__xludf.DUMMYFUNCTION("""COMPUTED_VALUE"""),100.0)</f>
        <v>100</v>
      </c>
      <c r="E71" s="1" t="str">
        <f>IFERROR(__xludf.DUMMYFUNCTION("""COMPUTED_VALUE"""),"Golden State Warriors")</f>
        <v>Golden State Warriors</v>
      </c>
      <c r="F71" s="1">
        <f>IFERROR(__xludf.DUMMYFUNCTION("""COMPUTED_VALUE"""),116.0)</f>
        <v>116</v>
      </c>
      <c r="G71" s="1" t="str">
        <f>IFERROR(__xludf.DUMMYFUNCTION("""COMPUTED_VALUE"""),"Box Score")</f>
        <v>Box Score</v>
      </c>
      <c r="H71" s="1"/>
      <c r="I71" s="3">
        <f>IFERROR(__xludf.DUMMYFUNCTION("""COMPUTED_VALUE"""),19596.0)</f>
        <v>19596</v>
      </c>
      <c r="J71" s="1"/>
    </row>
    <row r="72" ht="15.75" customHeight="1">
      <c r="A72" s="2">
        <f>IFERROR(__xludf.DUMMYFUNCTION("""COMPUTED_VALUE"""),43414.0)</f>
        <v>43414</v>
      </c>
      <c r="B72" s="1" t="str">
        <f>IFERROR(__xludf.DUMMYFUNCTION("""COMPUTED_VALUE"""),"8:30p")</f>
        <v>8:30p</v>
      </c>
      <c r="C72" s="1" t="str">
        <f>IFERROR(__xludf.DUMMYFUNCTION("""COMPUTED_VALUE"""),"Houston Rockets")</f>
        <v>Houston Rockets</v>
      </c>
      <c r="D72" s="1">
        <f>IFERROR(__xludf.DUMMYFUNCTION("""COMPUTED_VALUE"""),89.0)</f>
        <v>89</v>
      </c>
      <c r="E72" s="1" t="str">
        <f>IFERROR(__xludf.DUMMYFUNCTION("""COMPUTED_VALUE"""),"San Antonio Spurs")</f>
        <v>San Antonio Spurs</v>
      </c>
      <c r="F72" s="1">
        <f>IFERROR(__xludf.DUMMYFUNCTION("""COMPUTED_VALUE"""),96.0)</f>
        <v>96</v>
      </c>
      <c r="G72" s="1" t="str">
        <f>IFERROR(__xludf.DUMMYFUNCTION("""COMPUTED_VALUE"""),"Box Score")</f>
        <v>Box Score</v>
      </c>
      <c r="H72" s="1"/>
      <c r="I72" s="3">
        <f>IFERROR(__xludf.DUMMYFUNCTION("""COMPUTED_VALUE"""),18354.0)</f>
        <v>18354</v>
      </c>
      <c r="J72" s="1"/>
    </row>
    <row r="73" ht="15.75" customHeight="1">
      <c r="A73" s="2">
        <f>IFERROR(__xludf.DUMMYFUNCTION("""COMPUTED_VALUE"""),43414.0)</f>
        <v>43414</v>
      </c>
      <c r="B73" s="1" t="str">
        <f>IFERROR(__xludf.DUMMYFUNCTION("""COMPUTED_VALUE"""),"9:00p")</f>
        <v>9:00p</v>
      </c>
      <c r="C73" s="1" t="str">
        <f>IFERROR(__xludf.DUMMYFUNCTION("""COMPUTED_VALUE"""),"Oklahoma City Thunder")</f>
        <v>Oklahoma City Thunder</v>
      </c>
      <c r="D73" s="1">
        <f>IFERROR(__xludf.DUMMYFUNCTION("""COMPUTED_VALUE"""),96.0)</f>
        <v>96</v>
      </c>
      <c r="E73" s="1" t="str">
        <f>IFERROR(__xludf.DUMMYFUNCTION("""COMPUTED_VALUE"""),"Dallas Mavericks")</f>
        <v>Dallas Mavericks</v>
      </c>
      <c r="F73" s="1">
        <f>IFERROR(__xludf.DUMMYFUNCTION("""COMPUTED_VALUE"""),111.0)</f>
        <v>111</v>
      </c>
      <c r="G73" s="1" t="str">
        <f>IFERROR(__xludf.DUMMYFUNCTION("""COMPUTED_VALUE"""),"Box Score")</f>
        <v>Box Score</v>
      </c>
      <c r="H73" s="1"/>
      <c r="I73" s="3">
        <f>IFERROR(__xludf.DUMMYFUNCTION("""COMPUTED_VALUE"""),19818.0)</f>
        <v>19818</v>
      </c>
      <c r="J73" s="1"/>
    </row>
    <row r="74" ht="15.75" customHeight="1">
      <c r="A74" s="2">
        <f>IFERROR(__xludf.DUMMYFUNCTION("""COMPUTED_VALUE"""),43414.0)</f>
        <v>43414</v>
      </c>
      <c r="B74" s="1" t="str">
        <f>IFERROR(__xludf.DUMMYFUNCTION("""COMPUTED_VALUE"""),"10:00p")</f>
        <v>10:00p</v>
      </c>
      <c r="C74" s="1" t="str">
        <f>IFERROR(__xludf.DUMMYFUNCTION("""COMPUTED_VALUE"""),"Los Angeles Lakers")</f>
        <v>Los Angeles Lakers</v>
      </c>
      <c r="D74" s="1">
        <f>IFERROR(__xludf.DUMMYFUNCTION("""COMPUTED_VALUE"""),101.0)</f>
        <v>101</v>
      </c>
      <c r="E74" s="1" t="str">
        <f>IFERROR(__xludf.DUMMYFUNCTION("""COMPUTED_VALUE"""),"Sacramento Kings")</f>
        <v>Sacramento Kings</v>
      </c>
      <c r="F74" s="1">
        <f>IFERROR(__xludf.DUMMYFUNCTION("""COMPUTED_VALUE"""),86.0)</f>
        <v>86</v>
      </c>
      <c r="G74" s="1" t="str">
        <f>IFERROR(__xludf.DUMMYFUNCTION("""COMPUTED_VALUE"""),"Box Score")</f>
        <v>Box Score</v>
      </c>
      <c r="H74" s="1"/>
      <c r="I74" s="3">
        <f>IFERROR(__xludf.DUMMYFUNCTION("""COMPUTED_VALUE"""),17583.0)</f>
        <v>17583</v>
      </c>
      <c r="J74" s="1"/>
    </row>
    <row r="75" ht="15.75" customHeight="1">
      <c r="A75" s="2">
        <f>IFERROR(__xludf.DUMMYFUNCTION("""COMPUTED_VALUE"""),43415.0)</f>
        <v>43415</v>
      </c>
      <c r="B75" s="1" t="str">
        <f>IFERROR(__xludf.DUMMYFUNCTION("""COMPUTED_VALUE"""),"3:30p")</f>
        <v>3:30p</v>
      </c>
      <c r="C75" s="1" t="str">
        <f>IFERROR(__xludf.DUMMYFUNCTION("""COMPUTED_VALUE"""),"Charlotte Hornets")</f>
        <v>Charlotte Hornets</v>
      </c>
      <c r="D75" s="1">
        <f>IFERROR(__xludf.DUMMYFUNCTION("""COMPUTED_VALUE"""),113.0)</f>
        <v>113</v>
      </c>
      <c r="E75" s="1" t="str">
        <f>IFERROR(__xludf.DUMMYFUNCTION("""COMPUTED_VALUE"""),"Detroit Pistons")</f>
        <v>Detroit Pistons</v>
      </c>
      <c r="F75" s="1">
        <f>IFERROR(__xludf.DUMMYFUNCTION("""COMPUTED_VALUE"""),103.0)</f>
        <v>103</v>
      </c>
      <c r="G75" s="1" t="str">
        <f>IFERROR(__xludf.DUMMYFUNCTION("""COMPUTED_VALUE"""),"Box Score")</f>
        <v>Box Score</v>
      </c>
      <c r="H75" s="1"/>
      <c r="I75" s="3">
        <f>IFERROR(__xludf.DUMMYFUNCTION("""COMPUTED_VALUE"""),15133.0)</f>
        <v>15133</v>
      </c>
      <c r="J75" s="1"/>
    </row>
    <row r="76" ht="15.75" customHeight="1">
      <c r="A76" s="2">
        <f>IFERROR(__xludf.DUMMYFUNCTION("""COMPUTED_VALUE"""),43415.0)</f>
        <v>43415</v>
      </c>
      <c r="B76" s="1" t="str">
        <f>IFERROR(__xludf.DUMMYFUNCTION("""COMPUTED_VALUE"""),"7:00p")</f>
        <v>7:00p</v>
      </c>
      <c r="C76" s="1" t="str">
        <f>IFERROR(__xludf.DUMMYFUNCTION("""COMPUTED_VALUE"""),"Indiana Pacers")</f>
        <v>Indiana Pacers</v>
      </c>
      <c r="D76" s="1">
        <f>IFERROR(__xludf.DUMMYFUNCTION("""COMPUTED_VALUE"""),103.0)</f>
        <v>103</v>
      </c>
      <c r="E76" s="1" t="str">
        <f>IFERROR(__xludf.DUMMYFUNCTION("""COMPUTED_VALUE"""),"Houston Rockets")</f>
        <v>Houston Rockets</v>
      </c>
      <c r="F76" s="1">
        <f>IFERROR(__xludf.DUMMYFUNCTION("""COMPUTED_VALUE"""),115.0)</f>
        <v>115</v>
      </c>
      <c r="G76" s="1" t="str">
        <f>IFERROR(__xludf.DUMMYFUNCTION("""COMPUTED_VALUE"""),"Box Score")</f>
        <v>Box Score</v>
      </c>
      <c r="H76" s="1"/>
      <c r="I76" s="3">
        <f>IFERROR(__xludf.DUMMYFUNCTION("""COMPUTED_VALUE"""),18055.0)</f>
        <v>18055</v>
      </c>
      <c r="J76" s="1"/>
    </row>
    <row r="77" ht="15.75" customHeight="1">
      <c r="A77" s="2">
        <f>IFERROR(__xludf.DUMMYFUNCTION("""COMPUTED_VALUE"""),43415.0)</f>
        <v>43415</v>
      </c>
      <c r="B77" s="1" t="str">
        <f>IFERROR(__xludf.DUMMYFUNCTION("""COMPUTED_VALUE"""),"7:30p")</f>
        <v>7:30p</v>
      </c>
      <c r="C77" s="1" t="str">
        <f>IFERROR(__xludf.DUMMYFUNCTION("""COMPUTED_VALUE"""),"Orlando Magic")</f>
        <v>Orlando Magic</v>
      </c>
      <c r="D77" s="1">
        <f>IFERROR(__xludf.DUMMYFUNCTION("""COMPUTED_VALUE"""),115.0)</f>
        <v>115</v>
      </c>
      <c r="E77" s="1" t="str">
        <f>IFERROR(__xludf.DUMMYFUNCTION("""COMPUTED_VALUE"""),"New York Knicks")</f>
        <v>New York Knicks</v>
      </c>
      <c r="F77" s="1">
        <f>IFERROR(__xludf.DUMMYFUNCTION("""COMPUTED_VALUE"""),89.0)</f>
        <v>89</v>
      </c>
      <c r="G77" s="1" t="str">
        <f>IFERROR(__xludf.DUMMYFUNCTION("""COMPUTED_VALUE"""),"Box Score")</f>
        <v>Box Score</v>
      </c>
      <c r="H77" s="1"/>
      <c r="I77" s="3">
        <f>IFERROR(__xludf.DUMMYFUNCTION("""COMPUTED_VALUE"""),19812.0)</f>
        <v>19812</v>
      </c>
      <c r="J77" s="1"/>
    </row>
    <row r="78" ht="15.75" customHeight="1">
      <c r="A78" s="2">
        <f>IFERROR(__xludf.DUMMYFUNCTION("""COMPUTED_VALUE"""),43415.0)</f>
        <v>43415</v>
      </c>
      <c r="B78" s="1" t="str">
        <f>IFERROR(__xludf.DUMMYFUNCTION("""COMPUTED_VALUE"""),"8:00p")</f>
        <v>8:00p</v>
      </c>
      <c r="C78" s="1" t="str">
        <f>IFERROR(__xludf.DUMMYFUNCTION("""COMPUTED_VALUE"""),"Milwaukee Bucks")</f>
        <v>Milwaukee Bucks</v>
      </c>
      <c r="D78" s="1">
        <f>IFERROR(__xludf.DUMMYFUNCTION("""COMPUTED_VALUE"""),121.0)</f>
        <v>121</v>
      </c>
      <c r="E78" s="1" t="str">
        <f>IFERROR(__xludf.DUMMYFUNCTION("""COMPUTED_VALUE"""),"Denver Nuggets")</f>
        <v>Denver Nuggets</v>
      </c>
      <c r="F78" s="1">
        <f>IFERROR(__xludf.DUMMYFUNCTION("""COMPUTED_VALUE"""),114.0)</f>
        <v>114</v>
      </c>
      <c r="G78" s="1" t="str">
        <f>IFERROR(__xludf.DUMMYFUNCTION("""COMPUTED_VALUE"""),"Box Score")</f>
        <v>Box Score</v>
      </c>
      <c r="H78" s="1"/>
      <c r="I78" s="3">
        <f>IFERROR(__xludf.DUMMYFUNCTION("""COMPUTED_VALUE"""),19520.0)</f>
        <v>19520</v>
      </c>
      <c r="J78" s="1"/>
    </row>
    <row r="79" ht="15.75" customHeight="1">
      <c r="A79" s="2">
        <f>IFERROR(__xludf.DUMMYFUNCTION("""COMPUTED_VALUE"""),43415.0)</f>
        <v>43415</v>
      </c>
      <c r="B79" s="1" t="str">
        <f>IFERROR(__xludf.DUMMYFUNCTION("""COMPUTED_VALUE"""),"9:00p")</f>
        <v>9:00p</v>
      </c>
      <c r="C79" s="1" t="str">
        <f>IFERROR(__xludf.DUMMYFUNCTION("""COMPUTED_VALUE"""),"Boston Celtics")</f>
        <v>Boston Celtics</v>
      </c>
      <c r="D79" s="1">
        <f>IFERROR(__xludf.DUMMYFUNCTION("""COMPUTED_VALUE"""),94.0)</f>
        <v>94</v>
      </c>
      <c r="E79" s="1" t="str">
        <f>IFERROR(__xludf.DUMMYFUNCTION("""COMPUTED_VALUE"""),"Portland Trail Blazers")</f>
        <v>Portland Trail Blazers</v>
      </c>
      <c r="F79" s="1">
        <f>IFERROR(__xludf.DUMMYFUNCTION("""COMPUTED_VALUE"""),100.0)</f>
        <v>100</v>
      </c>
      <c r="G79" s="1" t="str">
        <f>IFERROR(__xludf.DUMMYFUNCTION("""COMPUTED_VALUE"""),"Box Score")</f>
        <v>Box Score</v>
      </c>
      <c r="H79" s="1"/>
      <c r="I79" s="3">
        <f>IFERROR(__xludf.DUMMYFUNCTION("""COMPUTED_VALUE"""),19712.0)</f>
        <v>19712</v>
      </c>
      <c r="J79" s="1"/>
    </row>
    <row r="80" ht="15.75" customHeight="1">
      <c r="A80" s="2">
        <f>IFERROR(__xludf.DUMMYFUNCTION("""COMPUTED_VALUE"""),43415.0)</f>
        <v>43415</v>
      </c>
      <c r="B80" s="1" t="str">
        <f>IFERROR(__xludf.DUMMYFUNCTION("""COMPUTED_VALUE"""),"9:30p")</f>
        <v>9:30p</v>
      </c>
      <c r="C80" s="1" t="str">
        <f>IFERROR(__xludf.DUMMYFUNCTION("""COMPUTED_VALUE"""),"Atlanta Hawks")</f>
        <v>Atlanta Hawks</v>
      </c>
      <c r="D80" s="1">
        <f>IFERROR(__xludf.DUMMYFUNCTION("""COMPUTED_VALUE"""),106.0)</f>
        <v>106</v>
      </c>
      <c r="E80" s="1" t="str">
        <f>IFERROR(__xludf.DUMMYFUNCTION("""COMPUTED_VALUE"""),"Los Angeles Lakers")</f>
        <v>Los Angeles Lakers</v>
      </c>
      <c r="F80" s="1">
        <f>IFERROR(__xludf.DUMMYFUNCTION("""COMPUTED_VALUE"""),107.0)</f>
        <v>107</v>
      </c>
      <c r="G80" s="1" t="str">
        <f>IFERROR(__xludf.DUMMYFUNCTION("""COMPUTED_VALUE"""),"Box Score")</f>
        <v>Box Score</v>
      </c>
      <c r="H80" s="1"/>
      <c r="I80" s="3">
        <f>IFERROR(__xludf.DUMMYFUNCTION("""COMPUTED_VALUE"""),18997.0)</f>
        <v>18997</v>
      </c>
      <c r="J80" s="1"/>
    </row>
    <row r="81" ht="15.75" customHeight="1">
      <c r="A81" s="2">
        <f>IFERROR(__xludf.DUMMYFUNCTION("""COMPUTED_VALUE"""),43416.0)</f>
        <v>43416</v>
      </c>
      <c r="B81" s="1" t="str">
        <f>IFERROR(__xludf.DUMMYFUNCTION("""COMPUTED_VALUE"""),"7:00p")</f>
        <v>7:00p</v>
      </c>
      <c r="C81" s="1" t="str">
        <f>IFERROR(__xludf.DUMMYFUNCTION("""COMPUTED_VALUE"""),"Orlando Magic")</f>
        <v>Orlando Magic</v>
      </c>
      <c r="D81" s="1">
        <f>IFERROR(__xludf.DUMMYFUNCTION("""COMPUTED_VALUE"""),109.0)</f>
        <v>109</v>
      </c>
      <c r="E81" s="1" t="str">
        <f>IFERROR(__xludf.DUMMYFUNCTION("""COMPUTED_VALUE"""),"Washington Wizards")</f>
        <v>Washington Wizards</v>
      </c>
      <c r="F81" s="1">
        <f>IFERROR(__xludf.DUMMYFUNCTION("""COMPUTED_VALUE"""),117.0)</f>
        <v>117</v>
      </c>
      <c r="G81" s="1" t="str">
        <f>IFERROR(__xludf.DUMMYFUNCTION("""COMPUTED_VALUE"""),"Box Score")</f>
        <v>Box Score</v>
      </c>
      <c r="H81" s="1"/>
      <c r="I81" s="3">
        <f>IFERROR(__xludf.DUMMYFUNCTION("""COMPUTED_VALUE"""),15346.0)</f>
        <v>15346</v>
      </c>
      <c r="J81" s="1"/>
    </row>
    <row r="82" ht="15.75" customHeight="1">
      <c r="A82" s="2">
        <f>IFERROR(__xludf.DUMMYFUNCTION("""COMPUTED_VALUE"""),43416.0)</f>
        <v>43416</v>
      </c>
      <c r="B82" s="1" t="str">
        <f>IFERROR(__xludf.DUMMYFUNCTION("""COMPUTED_VALUE"""),"7:30p")</f>
        <v>7:30p</v>
      </c>
      <c r="C82" s="1" t="str">
        <f>IFERROR(__xludf.DUMMYFUNCTION("""COMPUTED_VALUE"""),"Philadelphia 76ers")</f>
        <v>Philadelphia 76ers</v>
      </c>
      <c r="D82" s="1">
        <f>IFERROR(__xludf.DUMMYFUNCTION("""COMPUTED_VALUE"""),124.0)</f>
        <v>124</v>
      </c>
      <c r="E82" s="1" t="str">
        <f>IFERROR(__xludf.DUMMYFUNCTION("""COMPUTED_VALUE"""),"Miami Heat")</f>
        <v>Miami Heat</v>
      </c>
      <c r="F82" s="1">
        <f>IFERROR(__xludf.DUMMYFUNCTION("""COMPUTED_VALUE"""),114.0)</f>
        <v>114</v>
      </c>
      <c r="G82" s="1" t="str">
        <f>IFERROR(__xludf.DUMMYFUNCTION("""COMPUTED_VALUE"""),"Box Score")</f>
        <v>Box Score</v>
      </c>
      <c r="H82" s="1"/>
      <c r="I82" s="3">
        <f>IFERROR(__xludf.DUMMYFUNCTION("""COMPUTED_VALUE"""),19600.0)</f>
        <v>19600</v>
      </c>
      <c r="J82" s="1"/>
    </row>
    <row r="83" ht="15.75" customHeight="1">
      <c r="A83" s="2">
        <f>IFERROR(__xludf.DUMMYFUNCTION("""COMPUTED_VALUE"""),43416.0)</f>
        <v>43416</v>
      </c>
      <c r="B83" s="1" t="str">
        <f>IFERROR(__xludf.DUMMYFUNCTION("""COMPUTED_VALUE"""),"7:30p")</f>
        <v>7:30p</v>
      </c>
      <c r="C83" s="1" t="str">
        <f>IFERROR(__xludf.DUMMYFUNCTION("""COMPUTED_VALUE"""),"New Orleans Pelicans")</f>
        <v>New Orleans Pelicans</v>
      </c>
      <c r="D83" s="1">
        <f>IFERROR(__xludf.DUMMYFUNCTION("""COMPUTED_VALUE"""),126.0)</f>
        <v>126</v>
      </c>
      <c r="E83" s="1" t="str">
        <f>IFERROR(__xludf.DUMMYFUNCTION("""COMPUTED_VALUE"""),"Toronto Raptors")</f>
        <v>Toronto Raptors</v>
      </c>
      <c r="F83" s="1">
        <f>IFERROR(__xludf.DUMMYFUNCTION("""COMPUTED_VALUE"""),110.0)</f>
        <v>110</v>
      </c>
      <c r="G83" s="1" t="str">
        <f>IFERROR(__xludf.DUMMYFUNCTION("""COMPUTED_VALUE"""),"Box Score")</f>
        <v>Box Score</v>
      </c>
      <c r="H83" s="1"/>
      <c r="I83" s="3">
        <f>IFERROR(__xludf.DUMMYFUNCTION("""COMPUTED_VALUE"""),19800.0)</f>
        <v>19800</v>
      </c>
      <c r="J83" s="1"/>
    </row>
    <row r="84" ht="15.75" customHeight="1">
      <c r="A84" s="2">
        <f>IFERROR(__xludf.DUMMYFUNCTION("""COMPUTED_VALUE"""),43416.0)</f>
        <v>43416</v>
      </c>
      <c r="B84" s="1" t="str">
        <f>IFERROR(__xludf.DUMMYFUNCTION("""COMPUTED_VALUE"""),"8:00p")</f>
        <v>8:00p</v>
      </c>
      <c r="C84" s="1" t="str">
        <f>IFERROR(__xludf.DUMMYFUNCTION("""COMPUTED_VALUE"""),"Dallas Mavericks")</f>
        <v>Dallas Mavericks</v>
      </c>
      <c r="D84" s="1">
        <f>IFERROR(__xludf.DUMMYFUNCTION("""COMPUTED_VALUE"""),103.0)</f>
        <v>103</v>
      </c>
      <c r="E84" s="1" t="str">
        <f>IFERROR(__xludf.DUMMYFUNCTION("""COMPUTED_VALUE"""),"Chicago Bulls")</f>
        <v>Chicago Bulls</v>
      </c>
      <c r="F84" s="1">
        <f>IFERROR(__xludf.DUMMYFUNCTION("""COMPUTED_VALUE"""),98.0)</f>
        <v>98</v>
      </c>
      <c r="G84" s="1" t="str">
        <f>IFERROR(__xludf.DUMMYFUNCTION("""COMPUTED_VALUE"""),"Box Score")</f>
        <v>Box Score</v>
      </c>
      <c r="H84" s="1"/>
      <c r="I84" s="3">
        <f>IFERROR(__xludf.DUMMYFUNCTION("""COMPUTED_VALUE"""),19012.0)</f>
        <v>19012</v>
      </c>
      <c r="J84" s="1"/>
    </row>
    <row r="85" ht="15.75" customHeight="1">
      <c r="A85" s="2">
        <f>IFERROR(__xludf.DUMMYFUNCTION("""COMPUTED_VALUE"""),43416.0)</f>
        <v>43416</v>
      </c>
      <c r="B85" s="1" t="str">
        <f>IFERROR(__xludf.DUMMYFUNCTION("""COMPUTED_VALUE"""),"8:00p")</f>
        <v>8:00p</v>
      </c>
      <c r="C85" s="1" t="str">
        <f>IFERROR(__xludf.DUMMYFUNCTION("""COMPUTED_VALUE"""),"Utah Jazz")</f>
        <v>Utah Jazz</v>
      </c>
      <c r="D85" s="1">
        <f>IFERROR(__xludf.DUMMYFUNCTION("""COMPUTED_VALUE"""),96.0)</f>
        <v>96</v>
      </c>
      <c r="E85" s="1" t="str">
        <f>IFERROR(__xludf.DUMMYFUNCTION("""COMPUTED_VALUE"""),"Memphis Grizzlies")</f>
        <v>Memphis Grizzlies</v>
      </c>
      <c r="F85" s="1">
        <f>IFERROR(__xludf.DUMMYFUNCTION("""COMPUTED_VALUE"""),88.0)</f>
        <v>88</v>
      </c>
      <c r="G85" s="1" t="str">
        <f>IFERROR(__xludf.DUMMYFUNCTION("""COMPUTED_VALUE"""),"Box Score")</f>
        <v>Box Score</v>
      </c>
      <c r="H85" s="1"/>
      <c r="I85" s="3">
        <f>IFERROR(__xludf.DUMMYFUNCTION("""COMPUTED_VALUE"""),13477.0)</f>
        <v>13477</v>
      </c>
      <c r="J85" s="1"/>
    </row>
    <row r="86" ht="15.75" customHeight="1">
      <c r="A86" s="2">
        <f>IFERROR(__xludf.DUMMYFUNCTION("""COMPUTED_VALUE"""),43416.0)</f>
        <v>43416</v>
      </c>
      <c r="B86" s="1" t="str">
        <f>IFERROR(__xludf.DUMMYFUNCTION("""COMPUTED_VALUE"""),"8:00p")</f>
        <v>8:00p</v>
      </c>
      <c r="C86" s="1" t="str">
        <f>IFERROR(__xludf.DUMMYFUNCTION("""COMPUTED_VALUE"""),"Brooklyn Nets")</f>
        <v>Brooklyn Nets</v>
      </c>
      <c r="D86" s="1">
        <f>IFERROR(__xludf.DUMMYFUNCTION("""COMPUTED_VALUE"""),113.0)</f>
        <v>113</v>
      </c>
      <c r="E86" s="1" t="str">
        <f>IFERROR(__xludf.DUMMYFUNCTION("""COMPUTED_VALUE"""),"Minnesota Timberwolves")</f>
        <v>Minnesota Timberwolves</v>
      </c>
      <c r="F86" s="1">
        <f>IFERROR(__xludf.DUMMYFUNCTION("""COMPUTED_VALUE"""),120.0)</f>
        <v>120</v>
      </c>
      <c r="G86" s="1" t="str">
        <f>IFERROR(__xludf.DUMMYFUNCTION("""COMPUTED_VALUE"""),"Box Score")</f>
        <v>Box Score</v>
      </c>
      <c r="H86" s="1"/>
      <c r="I86" s="3">
        <f>IFERROR(__xludf.DUMMYFUNCTION("""COMPUTED_VALUE"""),10186.0)</f>
        <v>10186</v>
      </c>
      <c r="J86" s="1"/>
    </row>
    <row r="87" ht="15.75" customHeight="1">
      <c r="A87" s="2">
        <f>IFERROR(__xludf.DUMMYFUNCTION("""COMPUTED_VALUE"""),43416.0)</f>
        <v>43416</v>
      </c>
      <c r="B87" s="1" t="str">
        <f>IFERROR(__xludf.DUMMYFUNCTION("""COMPUTED_VALUE"""),"8:00p")</f>
        <v>8:00p</v>
      </c>
      <c r="C87" s="1" t="str">
        <f>IFERROR(__xludf.DUMMYFUNCTION("""COMPUTED_VALUE"""),"Phoenix Suns")</f>
        <v>Phoenix Suns</v>
      </c>
      <c r="D87" s="1">
        <f>IFERROR(__xludf.DUMMYFUNCTION("""COMPUTED_VALUE"""),101.0)</f>
        <v>101</v>
      </c>
      <c r="E87" s="1" t="str">
        <f>IFERROR(__xludf.DUMMYFUNCTION("""COMPUTED_VALUE"""),"Oklahoma City Thunder")</f>
        <v>Oklahoma City Thunder</v>
      </c>
      <c r="F87" s="1">
        <f>IFERROR(__xludf.DUMMYFUNCTION("""COMPUTED_VALUE"""),118.0)</f>
        <v>118</v>
      </c>
      <c r="G87" s="1" t="str">
        <f>IFERROR(__xludf.DUMMYFUNCTION("""COMPUTED_VALUE"""),"Box Score")</f>
        <v>Box Score</v>
      </c>
      <c r="H87" s="1"/>
      <c r="I87" s="3">
        <f>IFERROR(__xludf.DUMMYFUNCTION("""COMPUTED_VALUE"""),18203.0)</f>
        <v>18203</v>
      </c>
      <c r="J87" s="1"/>
    </row>
    <row r="88" ht="15.75" customHeight="1">
      <c r="A88" s="2">
        <f>IFERROR(__xludf.DUMMYFUNCTION("""COMPUTED_VALUE"""),43416.0)</f>
        <v>43416</v>
      </c>
      <c r="B88" s="1" t="str">
        <f>IFERROR(__xludf.DUMMYFUNCTION("""COMPUTED_VALUE"""),"10:00p")</f>
        <v>10:00p</v>
      </c>
      <c r="C88" s="1" t="str">
        <f>IFERROR(__xludf.DUMMYFUNCTION("""COMPUTED_VALUE"""),"San Antonio Spurs")</f>
        <v>San Antonio Spurs</v>
      </c>
      <c r="D88" s="1">
        <f>IFERROR(__xludf.DUMMYFUNCTION("""COMPUTED_VALUE"""),99.0)</f>
        <v>99</v>
      </c>
      <c r="E88" s="1" t="str">
        <f>IFERROR(__xludf.DUMMYFUNCTION("""COMPUTED_VALUE"""),"Sacramento Kings")</f>
        <v>Sacramento Kings</v>
      </c>
      <c r="F88" s="1">
        <f>IFERROR(__xludf.DUMMYFUNCTION("""COMPUTED_VALUE"""),104.0)</f>
        <v>104</v>
      </c>
      <c r="G88" s="1" t="str">
        <f>IFERROR(__xludf.DUMMYFUNCTION("""COMPUTED_VALUE"""),"Box Score")</f>
        <v>Box Score</v>
      </c>
      <c r="H88" s="1"/>
      <c r="I88" s="3">
        <f>IFERROR(__xludf.DUMMYFUNCTION("""COMPUTED_VALUE"""),15500.0)</f>
        <v>15500</v>
      </c>
      <c r="J88" s="1"/>
    </row>
    <row r="89" ht="15.75" customHeight="1">
      <c r="A89" s="2">
        <f>IFERROR(__xludf.DUMMYFUNCTION("""COMPUTED_VALUE"""),43416.0)</f>
        <v>43416</v>
      </c>
      <c r="B89" s="1" t="str">
        <f>IFERROR(__xludf.DUMMYFUNCTION("""COMPUTED_VALUE"""),"10:30p")</f>
        <v>10:30p</v>
      </c>
      <c r="C89" s="1" t="str">
        <f>IFERROR(__xludf.DUMMYFUNCTION("""COMPUTED_VALUE"""),"Golden State Warriors")</f>
        <v>Golden State Warriors</v>
      </c>
      <c r="D89" s="1">
        <f>IFERROR(__xludf.DUMMYFUNCTION("""COMPUTED_VALUE"""),116.0)</f>
        <v>116</v>
      </c>
      <c r="E89" s="1" t="str">
        <f>IFERROR(__xludf.DUMMYFUNCTION("""COMPUTED_VALUE"""),"Los Angeles Clippers")</f>
        <v>Los Angeles Clippers</v>
      </c>
      <c r="F89" s="1">
        <f>IFERROR(__xludf.DUMMYFUNCTION("""COMPUTED_VALUE"""),121.0)</f>
        <v>121</v>
      </c>
      <c r="G89" s="1" t="str">
        <f>IFERROR(__xludf.DUMMYFUNCTION("""COMPUTED_VALUE"""),"Box Score")</f>
        <v>Box Score</v>
      </c>
      <c r="H89" s="1" t="str">
        <f>IFERROR(__xludf.DUMMYFUNCTION("""COMPUTED_VALUE"""),"OT")</f>
        <v>OT</v>
      </c>
      <c r="I89" s="3">
        <f>IFERROR(__xludf.DUMMYFUNCTION("""COMPUTED_VALUE"""),19068.0)</f>
        <v>19068</v>
      </c>
      <c r="J89" s="1"/>
    </row>
    <row r="90" ht="15.75" customHeight="1">
      <c r="A90" s="2">
        <f>IFERROR(__xludf.DUMMYFUNCTION("""COMPUTED_VALUE"""),43417.0)</f>
        <v>43417</v>
      </c>
      <c r="B90" s="1" t="str">
        <f>IFERROR(__xludf.DUMMYFUNCTION("""COMPUTED_VALUE"""),"7:00p")</f>
        <v>7:00p</v>
      </c>
      <c r="C90" s="1" t="str">
        <f>IFERROR(__xludf.DUMMYFUNCTION("""COMPUTED_VALUE"""),"Charlotte Hornets")</f>
        <v>Charlotte Hornets</v>
      </c>
      <c r="D90" s="1">
        <f>IFERROR(__xludf.DUMMYFUNCTION("""COMPUTED_VALUE"""),89.0)</f>
        <v>89</v>
      </c>
      <c r="E90" s="1" t="str">
        <f>IFERROR(__xludf.DUMMYFUNCTION("""COMPUTED_VALUE"""),"Cleveland Cavaliers")</f>
        <v>Cleveland Cavaliers</v>
      </c>
      <c r="F90" s="1">
        <f>IFERROR(__xludf.DUMMYFUNCTION("""COMPUTED_VALUE"""),113.0)</f>
        <v>113</v>
      </c>
      <c r="G90" s="1" t="str">
        <f>IFERROR(__xludf.DUMMYFUNCTION("""COMPUTED_VALUE"""),"Box Score")</f>
        <v>Box Score</v>
      </c>
      <c r="H90" s="1"/>
      <c r="I90" s="3">
        <f>IFERROR(__xludf.DUMMYFUNCTION("""COMPUTED_VALUE"""),19432.0)</f>
        <v>19432</v>
      </c>
      <c r="J90" s="1"/>
    </row>
    <row r="91" ht="15.75" customHeight="1">
      <c r="A91" s="2">
        <f>IFERROR(__xludf.DUMMYFUNCTION("""COMPUTED_VALUE"""),43417.0)</f>
        <v>43417</v>
      </c>
      <c r="B91" s="1" t="str">
        <f>IFERROR(__xludf.DUMMYFUNCTION("""COMPUTED_VALUE"""),"9:00p")</f>
        <v>9:00p</v>
      </c>
      <c r="C91" s="1" t="str">
        <f>IFERROR(__xludf.DUMMYFUNCTION("""COMPUTED_VALUE"""),"Houston Rockets")</f>
        <v>Houston Rockets</v>
      </c>
      <c r="D91" s="1">
        <f>IFERROR(__xludf.DUMMYFUNCTION("""COMPUTED_VALUE"""),109.0)</f>
        <v>109</v>
      </c>
      <c r="E91" s="1" t="str">
        <f>IFERROR(__xludf.DUMMYFUNCTION("""COMPUTED_VALUE"""),"Denver Nuggets")</f>
        <v>Denver Nuggets</v>
      </c>
      <c r="F91" s="1">
        <f>IFERROR(__xludf.DUMMYFUNCTION("""COMPUTED_VALUE"""),99.0)</f>
        <v>99</v>
      </c>
      <c r="G91" s="1" t="str">
        <f>IFERROR(__xludf.DUMMYFUNCTION("""COMPUTED_VALUE"""),"Box Score")</f>
        <v>Box Score</v>
      </c>
      <c r="H91" s="1"/>
      <c r="I91" s="3">
        <f>IFERROR(__xludf.DUMMYFUNCTION("""COMPUTED_VALUE"""),16741.0)</f>
        <v>16741</v>
      </c>
      <c r="J91" s="1"/>
    </row>
    <row r="92" ht="15.75" customHeight="1">
      <c r="A92" s="2">
        <f>IFERROR(__xludf.DUMMYFUNCTION("""COMPUTED_VALUE"""),43417.0)</f>
        <v>43417</v>
      </c>
      <c r="B92" s="1" t="str">
        <f>IFERROR(__xludf.DUMMYFUNCTION("""COMPUTED_VALUE"""),"10:30p")</f>
        <v>10:30p</v>
      </c>
      <c r="C92" s="1" t="str">
        <f>IFERROR(__xludf.DUMMYFUNCTION("""COMPUTED_VALUE"""),"Atlanta Hawks")</f>
        <v>Atlanta Hawks</v>
      </c>
      <c r="D92" s="1">
        <f>IFERROR(__xludf.DUMMYFUNCTION("""COMPUTED_VALUE"""),103.0)</f>
        <v>103</v>
      </c>
      <c r="E92" s="1" t="str">
        <f>IFERROR(__xludf.DUMMYFUNCTION("""COMPUTED_VALUE"""),"Golden State Warriors")</f>
        <v>Golden State Warriors</v>
      </c>
      <c r="F92" s="1">
        <f>IFERROR(__xludf.DUMMYFUNCTION("""COMPUTED_VALUE"""),110.0)</f>
        <v>110</v>
      </c>
      <c r="G92" s="1" t="str">
        <f>IFERROR(__xludf.DUMMYFUNCTION("""COMPUTED_VALUE"""),"Box Score")</f>
        <v>Box Score</v>
      </c>
      <c r="H92" s="1"/>
      <c r="I92" s="3">
        <f>IFERROR(__xludf.DUMMYFUNCTION("""COMPUTED_VALUE"""),19596.0)</f>
        <v>19596</v>
      </c>
      <c r="J92" s="1"/>
    </row>
    <row r="93" ht="15.75" customHeight="1">
      <c r="A93" s="2">
        <f>IFERROR(__xludf.DUMMYFUNCTION("""COMPUTED_VALUE"""),43418.0)</f>
        <v>43418</v>
      </c>
      <c r="B93" s="1" t="str">
        <f>IFERROR(__xludf.DUMMYFUNCTION("""COMPUTED_VALUE"""),"7:00p")</f>
        <v>7:00p</v>
      </c>
      <c r="C93" s="1" t="str">
        <f>IFERROR(__xludf.DUMMYFUNCTION("""COMPUTED_VALUE"""),"Philadelphia 76ers")</f>
        <v>Philadelphia 76ers</v>
      </c>
      <c r="D93" s="1">
        <f>IFERROR(__xludf.DUMMYFUNCTION("""COMPUTED_VALUE"""),106.0)</f>
        <v>106</v>
      </c>
      <c r="E93" s="1" t="str">
        <f>IFERROR(__xludf.DUMMYFUNCTION("""COMPUTED_VALUE"""),"Orlando Magic")</f>
        <v>Orlando Magic</v>
      </c>
      <c r="F93" s="1">
        <f>IFERROR(__xludf.DUMMYFUNCTION("""COMPUTED_VALUE"""),111.0)</f>
        <v>111</v>
      </c>
      <c r="G93" s="1" t="str">
        <f>IFERROR(__xludf.DUMMYFUNCTION("""COMPUTED_VALUE"""),"Box Score")</f>
        <v>Box Score</v>
      </c>
      <c r="H93" s="1"/>
      <c r="I93" s="3">
        <f>IFERROR(__xludf.DUMMYFUNCTION("""COMPUTED_VALUE"""),15921.0)</f>
        <v>15921</v>
      </c>
      <c r="J93" s="1"/>
    </row>
    <row r="94" ht="15.75" customHeight="1">
      <c r="A94" s="2">
        <f>IFERROR(__xludf.DUMMYFUNCTION("""COMPUTED_VALUE"""),43418.0)</f>
        <v>43418</v>
      </c>
      <c r="B94" s="1" t="str">
        <f>IFERROR(__xludf.DUMMYFUNCTION("""COMPUTED_VALUE"""),"7:00p")</f>
        <v>7:00p</v>
      </c>
      <c r="C94" s="1" t="str">
        <f>IFERROR(__xludf.DUMMYFUNCTION("""COMPUTED_VALUE"""),"Cleveland Cavaliers")</f>
        <v>Cleveland Cavaliers</v>
      </c>
      <c r="D94" s="1">
        <f>IFERROR(__xludf.DUMMYFUNCTION("""COMPUTED_VALUE"""),95.0)</f>
        <v>95</v>
      </c>
      <c r="E94" s="1" t="str">
        <f>IFERROR(__xludf.DUMMYFUNCTION("""COMPUTED_VALUE"""),"Washington Wizards")</f>
        <v>Washington Wizards</v>
      </c>
      <c r="F94" s="1">
        <f>IFERROR(__xludf.DUMMYFUNCTION("""COMPUTED_VALUE"""),119.0)</f>
        <v>119</v>
      </c>
      <c r="G94" s="1" t="str">
        <f>IFERROR(__xludf.DUMMYFUNCTION("""COMPUTED_VALUE"""),"Box Score")</f>
        <v>Box Score</v>
      </c>
      <c r="H94" s="1"/>
      <c r="I94" s="3">
        <f>IFERROR(__xludf.DUMMYFUNCTION("""COMPUTED_VALUE"""),14537.0)</f>
        <v>14537</v>
      </c>
      <c r="J94" s="1"/>
    </row>
    <row r="95" ht="15.75" customHeight="1">
      <c r="A95" s="2">
        <f>IFERROR(__xludf.DUMMYFUNCTION("""COMPUTED_VALUE"""),43418.0)</f>
        <v>43418</v>
      </c>
      <c r="B95" s="1" t="str">
        <f>IFERROR(__xludf.DUMMYFUNCTION("""COMPUTED_VALUE"""),"7:30p")</f>
        <v>7:30p</v>
      </c>
      <c r="C95" s="1" t="str">
        <f>IFERROR(__xludf.DUMMYFUNCTION("""COMPUTED_VALUE"""),"Chicago Bulls")</f>
        <v>Chicago Bulls</v>
      </c>
      <c r="D95" s="1">
        <f>IFERROR(__xludf.DUMMYFUNCTION("""COMPUTED_VALUE"""),82.0)</f>
        <v>82</v>
      </c>
      <c r="E95" s="1" t="str">
        <f>IFERROR(__xludf.DUMMYFUNCTION("""COMPUTED_VALUE"""),"Boston Celtics")</f>
        <v>Boston Celtics</v>
      </c>
      <c r="F95" s="1">
        <f>IFERROR(__xludf.DUMMYFUNCTION("""COMPUTED_VALUE"""),111.0)</f>
        <v>111</v>
      </c>
      <c r="G95" s="1" t="str">
        <f>IFERROR(__xludf.DUMMYFUNCTION("""COMPUTED_VALUE"""),"Box Score")</f>
        <v>Box Score</v>
      </c>
      <c r="H95" s="1"/>
      <c r="I95" s="3">
        <f>IFERROR(__xludf.DUMMYFUNCTION("""COMPUTED_VALUE"""),18624.0)</f>
        <v>18624</v>
      </c>
      <c r="J95" s="1"/>
    </row>
    <row r="96" ht="15.75" customHeight="1">
      <c r="A96" s="2">
        <f>IFERROR(__xludf.DUMMYFUNCTION("""COMPUTED_VALUE"""),43418.0)</f>
        <v>43418</v>
      </c>
      <c r="B96" s="1" t="str">
        <f>IFERROR(__xludf.DUMMYFUNCTION("""COMPUTED_VALUE"""),"7:30p")</f>
        <v>7:30p</v>
      </c>
      <c r="C96" s="1" t="str">
        <f>IFERROR(__xludf.DUMMYFUNCTION("""COMPUTED_VALUE"""),"Miami Heat")</f>
        <v>Miami Heat</v>
      </c>
      <c r="D96" s="1">
        <f>IFERROR(__xludf.DUMMYFUNCTION("""COMPUTED_VALUE"""),120.0)</f>
        <v>120</v>
      </c>
      <c r="E96" s="1" t="str">
        <f>IFERROR(__xludf.DUMMYFUNCTION("""COMPUTED_VALUE"""),"Brooklyn Nets")</f>
        <v>Brooklyn Nets</v>
      </c>
      <c r="F96" s="1">
        <f>IFERROR(__xludf.DUMMYFUNCTION("""COMPUTED_VALUE"""),107.0)</f>
        <v>107</v>
      </c>
      <c r="G96" s="1" t="str">
        <f>IFERROR(__xludf.DUMMYFUNCTION("""COMPUTED_VALUE"""),"Box Score")</f>
        <v>Box Score</v>
      </c>
      <c r="H96" s="1"/>
      <c r="I96" s="3">
        <f>IFERROR(__xludf.DUMMYFUNCTION("""COMPUTED_VALUE"""),13317.0)</f>
        <v>13317</v>
      </c>
      <c r="J96" s="1"/>
    </row>
    <row r="97" ht="15.75" customHeight="1">
      <c r="A97" s="2">
        <f>IFERROR(__xludf.DUMMYFUNCTION("""COMPUTED_VALUE"""),43418.0)</f>
        <v>43418</v>
      </c>
      <c r="B97" s="1" t="str">
        <f>IFERROR(__xludf.DUMMYFUNCTION("""COMPUTED_VALUE"""),"7:30p")</f>
        <v>7:30p</v>
      </c>
      <c r="C97" s="1" t="str">
        <f>IFERROR(__xludf.DUMMYFUNCTION("""COMPUTED_VALUE"""),"Detroit Pistons")</f>
        <v>Detroit Pistons</v>
      </c>
      <c r="D97" s="1">
        <f>IFERROR(__xludf.DUMMYFUNCTION("""COMPUTED_VALUE"""),106.0)</f>
        <v>106</v>
      </c>
      <c r="E97" s="1" t="str">
        <f>IFERROR(__xludf.DUMMYFUNCTION("""COMPUTED_VALUE"""),"Toronto Raptors")</f>
        <v>Toronto Raptors</v>
      </c>
      <c r="F97" s="1">
        <f>IFERROR(__xludf.DUMMYFUNCTION("""COMPUTED_VALUE"""),104.0)</f>
        <v>104</v>
      </c>
      <c r="G97" s="1" t="str">
        <f>IFERROR(__xludf.DUMMYFUNCTION("""COMPUTED_VALUE"""),"Box Score")</f>
        <v>Box Score</v>
      </c>
      <c r="H97" s="1"/>
      <c r="I97" s="3">
        <f>IFERROR(__xludf.DUMMYFUNCTION("""COMPUTED_VALUE"""),19800.0)</f>
        <v>19800</v>
      </c>
      <c r="J97" s="1"/>
    </row>
    <row r="98" ht="15.75" customHeight="1">
      <c r="A98" s="2">
        <f>IFERROR(__xludf.DUMMYFUNCTION("""COMPUTED_VALUE"""),43418.0)</f>
        <v>43418</v>
      </c>
      <c r="B98" s="1" t="str">
        <f>IFERROR(__xludf.DUMMYFUNCTION("""COMPUTED_VALUE"""),"8:00p")</f>
        <v>8:00p</v>
      </c>
      <c r="C98" s="1" t="str">
        <f>IFERROR(__xludf.DUMMYFUNCTION("""COMPUTED_VALUE"""),"Memphis Grizzlies")</f>
        <v>Memphis Grizzlies</v>
      </c>
      <c r="D98" s="1">
        <f>IFERROR(__xludf.DUMMYFUNCTION("""COMPUTED_VALUE"""),116.0)</f>
        <v>116</v>
      </c>
      <c r="E98" s="1" t="str">
        <f>IFERROR(__xludf.DUMMYFUNCTION("""COMPUTED_VALUE"""),"Milwaukee Bucks")</f>
        <v>Milwaukee Bucks</v>
      </c>
      <c r="F98" s="1">
        <f>IFERROR(__xludf.DUMMYFUNCTION("""COMPUTED_VALUE"""),113.0)</f>
        <v>113</v>
      </c>
      <c r="G98" s="1" t="str">
        <f>IFERROR(__xludf.DUMMYFUNCTION("""COMPUTED_VALUE"""),"Box Score")</f>
        <v>Box Score</v>
      </c>
      <c r="H98" s="1"/>
      <c r="I98" s="3">
        <f>IFERROR(__xludf.DUMMYFUNCTION("""COMPUTED_VALUE"""),16817.0)</f>
        <v>16817</v>
      </c>
      <c r="J98" s="1"/>
    </row>
    <row r="99" ht="15.75" customHeight="1">
      <c r="A99" s="2">
        <f>IFERROR(__xludf.DUMMYFUNCTION("""COMPUTED_VALUE"""),43418.0)</f>
        <v>43418</v>
      </c>
      <c r="B99" s="1" t="str">
        <f>IFERROR(__xludf.DUMMYFUNCTION("""COMPUTED_VALUE"""),"8:00p")</f>
        <v>8:00p</v>
      </c>
      <c r="C99" s="1" t="str">
        <f>IFERROR(__xludf.DUMMYFUNCTION("""COMPUTED_VALUE"""),"New Orleans Pelicans")</f>
        <v>New Orleans Pelicans</v>
      </c>
      <c r="D99" s="1">
        <f>IFERROR(__xludf.DUMMYFUNCTION("""COMPUTED_VALUE"""),100.0)</f>
        <v>100</v>
      </c>
      <c r="E99" s="1" t="str">
        <f>IFERROR(__xludf.DUMMYFUNCTION("""COMPUTED_VALUE"""),"Minnesota Timberwolves")</f>
        <v>Minnesota Timberwolves</v>
      </c>
      <c r="F99" s="1">
        <f>IFERROR(__xludf.DUMMYFUNCTION("""COMPUTED_VALUE"""),107.0)</f>
        <v>107</v>
      </c>
      <c r="G99" s="1" t="str">
        <f>IFERROR(__xludf.DUMMYFUNCTION("""COMPUTED_VALUE"""),"Box Score")</f>
        <v>Box Score</v>
      </c>
      <c r="H99" s="1"/>
      <c r="I99" s="3">
        <f>IFERROR(__xludf.DUMMYFUNCTION("""COMPUTED_VALUE"""),11636.0)</f>
        <v>11636</v>
      </c>
      <c r="J99" s="1"/>
    </row>
    <row r="100" ht="15.75" customHeight="1">
      <c r="A100" s="2">
        <f>IFERROR(__xludf.DUMMYFUNCTION("""COMPUTED_VALUE"""),43418.0)</f>
        <v>43418</v>
      </c>
      <c r="B100" s="1" t="str">
        <f>IFERROR(__xludf.DUMMYFUNCTION("""COMPUTED_VALUE"""),"8:00p")</f>
        <v>8:00p</v>
      </c>
      <c r="C100" s="1" t="str">
        <f>IFERROR(__xludf.DUMMYFUNCTION("""COMPUTED_VALUE"""),"New York Knicks")</f>
        <v>New York Knicks</v>
      </c>
      <c r="D100" s="1">
        <f>IFERROR(__xludf.DUMMYFUNCTION("""COMPUTED_VALUE"""),103.0)</f>
        <v>103</v>
      </c>
      <c r="E100" s="1" t="str">
        <f>IFERROR(__xludf.DUMMYFUNCTION("""COMPUTED_VALUE"""),"Oklahoma City Thunder")</f>
        <v>Oklahoma City Thunder</v>
      </c>
      <c r="F100" s="1">
        <f>IFERROR(__xludf.DUMMYFUNCTION("""COMPUTED_VALUE"""),128.0)</f>
        <v>128</v>
      </c>
      <c r="G100" s="1" t="str">
        <f>IFERROR(__xludf.DUMMYFUNCTION("""COMPUTED_VALUE"""),"Box Score")</f>
        <v>Box Score</v>
      </c>
      <c r="H100" s="1"/>
      <c r="I100" s="3">
        <f>IFERROR(__xludf.DUMMYFUNCTION("""COMPUTED_VALUE"""),18203.0)</f>
        <v>18203</v>
      </c>
      <c r="J100" s="1"/>
    </row>
    <row r="101" ht="15.75" customHeight="1">
      <c r="A101" s="2">
        <f>IFERROR(__xludf.DUMMYFUNCTION("""COMPUTED_VALUE"""),43418.0)</f>
        <v>43418</v>
      </c>
      <c r="B101" s="1" t="str">
        <f>IFERROR(__xludf.DUMMYFUNCTION("""COMPUTED_VALUE"""),"8:30p")</f>
        <v>8:30p</v>
      </c>
      <c r="C101" s="1" t="str">
        <f>IFERROR(__xludf.DUMMYFUNCTION("""COMPUTED_VALUE"""),"Utah Jazz")</f>
        <v>Utah Jazz</v>
      </c>
      <c r="D101" s="1">
        <f>IFERROR(__xludf.DUMMYFUNCTION("""COMPUTED_VALUE"""),68.0)</f>
        <v>68</v>
      </c>
      <c r="E101" s="1" t="str">
        <f>IFERROR(__xludf.DUMMYFUNCTION("""COMPUTED_VALUE"""),"Dallas Mavericks")</f>
        <v>Dallas Mavericks</v>
      </c>
      <c r="F101" s="1">
        <f>IFERROR(__xludf.DUMMYFUNCTION("""COMPUTED_VALUE"""),118.0)</f>
        <v>118</v>
      </c>
      <c r="G101" s="1" t="str">
        <f>IFERROR(__xludf.DUMMYFUNCTION("""COMPUTED_VALUE"""),"Box Score")</f>
        <v>Box Score</v>
      </c>
      <c r="H101" s="1"/>
      <c r="I101" s="3">
        <f>IFERROR(__xludf.DUMMYFUNCTION("""COMPUTED_VALUE"""),19371.0)</f>
        <v>19371</v>
      </c>
      <c r="J101" s="1"/>
    </row>
    <row r="102" ht="15.75" customHeight="1">
      <c r="A102" s="2">
        <f>IFERROR(__xludf.DUMMYFUNCTION("""COMPUTED_VALUE"""),43418.0)</f>
        <v>43418</v>
      </c>
      <c r="B102" s="1" t="str">
        <f>IFERROR(__xludf.DUMMYFUNCTION("""COMPUTED_VALUE"""),"9:00p")</f>
        <v>9:00p</v>
      </c>
      <c r="C102" s="1" t="str">
        <f>IFERROR(__xludf.DUMMYFUNCTION("""COMPUTED_VALUE"""),"San Antonio Spurs")</f>
        <v>San Antonio Spurs</v>
      </c>
      <c r="D102" s="1">
        <f>IFERROR(__xludf.DUMMYFUNCTION("""COMPUTED_VALUE"""),96.0)</f>
        <v>96</v>
      </c>
      <c r="E102" s="1" t="str">
        <f>IFERROR(__xludf.DUMMYFUNCTION("""COMPUTED_VALUE"""),"Phoenix Suns")</f>
        <v>Phoenix Suns</v>
      </c>
      <c r="F102" s="1">
        <f>IFERROR(__xludf.DUMMYFUNCTION("""COMPUTED_VALUE"""),116.0)</f>
        <v>116</v>
      </c>
      <c r="G102" s="1" t="str">
        <f>IFERROR(__xludf.DUMMYFUNCTION("""COMPUTED_VALUE"""),"Box Score")</f>
        <v>Box Score</v>
      </c>
      <c r="H102" s="1"/>
      <c r="I102" s="3">
        <f>IFERROR(__xludf.DUMMYFUNCTION("""COMPUTED_VALUE"""),14532.0)</f>
        <v>14532</v>
      </c>
      <c r="J102" s="1"/>
    </row>
    <row r="103" ht="15.75" customHeight="1">
      <c r="A103" s="2">
        <f>IFERROR(__xludf.DUMMYFUNCTION("""COMPUTED_VALUE"""),43418.0)</f>
        <v>43418</v>
      </c>
      <c r="B103" s="1" t="str">
        <f>IFERROR(__xludf.DUMMYFUNCTION("""COMPUTED_VALUE"""),"10:30p")</f>
        <v>10:30p</v>
      </c>
      <c r="C103" s="1" t="str">
        <f>IFERROR(__xludf.DUMMYFUNCTION("""COMPUTED_VALUE"""),"Portland Trail Blazers")</f>
        <v>Portland Trail Blazers</v>
      </c>
      <c r="D103" s="1">
        <f>IFERROR(__xludf.DUMMYFUNCTION("""COMPUTED_VALUE"""),117.0)</f>
        <v>117</v>
      </c>
      <c r="E103" s="1" t="str">
        <f>IFERROR(__xludf.DUMMYFUNCTION("""COMPUTED_VALUE"""),"Los Angeles Lakers")</f>
        <v>Los Angeles Lakers</v>
      </c>
      <c r="F103" s="1">
        <f>IFERROR(__xludf.DUMMYFUNCTION("""COMPUTED_VALUE"""),126.0)</f>
        <v>126</v>
      </c>
      <c r="G103" s="1" t="str">
        <f>IFERROR(__xludf.DUMMYFUNCTION("""COMPUTED_VALUE"""),"Box Score")</f>
        <v>Box Score</v>
      </c>
      <c r="H103" s="1"/>
      <c r="I103" s="3">
        <f>IFERROR(__xludf.DUMMYFUNCTION("""COMPUTED_VALUE"""),18997.0)</f>
        <v>18997</v>
      </c>
      <c r="J103" s="1"/>
    </row>
    <row r="104" ht="15.75" customHeight="1">
      <c r="A104" s="2">
        <f>IFERROR(__xludf.DUMMYFUNCTION("""COMPUTED_VALUE"""),43419.0)</f>
        <v>43419</v>
      </c>
      <c r="B104" s="1" t="str">
        <f>IFERROR(__xludf.DUMMYFUNCTION("""COMPUTED_VALUE"""),"8:00p")</f>
        <v>8:00p</v>
      </c>
      <c r="C104" s="1" t="str">
        <f>IFERROR(__xludf.DUMMYFUNCTION("""COMPUTED_VALUE"""),"Golden State Warriors")</f>
        <v>Golden State Warriors</v>
      </c>
      <c r="D104" s="1">
        <f>IFERROR(__xludf.DUMMYFUNCTION("""COMPUTED_VALUE"""),86.0)</f>
        <v>86</v>
      </c>
      <c r="E104" s="1" t="str">
        <f>IFERROR(__xludf.DUMMYFUNCTION("""COMPUTED_VALUE"""),"Houston Rockets")</f>
        <v>Houston Rockets</v>
      </c>
      <c r="F104" s="1">
        <f>IFERROR(__xludf.DUMMYFUNCTION("""COMPUTED_VALUE"""),107.0)</f>
        <v>107</v>
      </c>
      <c r="G104" s="1" t="str">
        <f>IFERROR(__xludf.DUMMYFUNCTION("""COMPUTED_VALUE"""),"Box Score")</f>
        <v>Box Score</v>
      </c>
      <c r="H104" s="1"/>
      <c r="I104" s="3">
        <f>IFERROR(__xludf.DUMMYFUNCTION("""COMPUTED_VALUE"""),18055.0)</f>
        <v>18055</v>
      </c>
      <c r="J104" s="1"/>
    </row>
    <row r="105" ht="15.75" customHeight="1">
      <c r="A105" s="2">
        <f>IFERROR(__xludf.DUMMYFUNCTION("""COMPUTED_VALUE"""),43419.0)</f>
        <v>43419</v>
      </c>
      <c r="B105" s="1" t="str">
        <f>IFERROR(__xludf.DUMMYFUNCTION("""COMPUTED_VALUE"""),"9:00p")</f>
        <v>9:00p</v>
      </c>
      <c r="C105" s="1" t="str">
        <f>IFERROR(__xludf.DUMMYFUNCTION("""COMPUTED_VALUE"""),"Atlanta Hawks")</f>
        <v>Atlanta Hawks</v>
      </c>
      <c r="D105" s="1">
        <f>IFERROR(__xludf.DUMMYFUNCTION("""COMPUTED_VALUE"""),93.0)</f>
        <v>93</v>
      </c>
      <c r="E105" s="1" t="str">
        <f>IFERROR(__xludf.DUMMYFUNCTION("""COMPUTED_VALUE"""),"Denver Nuggets")</f>
        <v>Denver Nuggets</v>
      </c>
      <c r="F105" s="1">
        <f>IFERROR(__xludf.DUMMYFUNCTION("""COMPUTED_VALUE"""),138.0)</f>
        <v>138</v>
      </c>
      <c r="G105" s="1" t="str">
        <f>IFERROR(__xludf.DUMMYFUNCTION("""COMPUTED_VALUE"""),"Box Score")</f>
        <v>Box Score</v>
      </c>
      <c r="H105" s="1"/>
      <c r="I105" s="3">
        <f>IFERROR(__xludf.DUMMYFUNCTION("""COMPUTED_VALUE"""),15103.0)</f>
        <v>15103</v>
      </c>
      <c r="J105" s="1"/>
    </row>
    <row r="106" ht="15.75" customHeight="1">
      <c r="A106" s="2">
        <f>IFERROR(__xludf.DUMMYFUNCTION("""COMPUTED_VALUE"""),43419.0)</f>
        <v>43419</v>
      </c>
      <c r="B106" s="1" t="str">
        <f>IFERROR(__xludf.DUMMYFUNCTION("""COMPUTED_VALUE"""),"10:30p")</f>
        <v>10:30p</v>
      </c>
      <c r="C106" s="1" t="str">
        <f>IFERROR(__xludf.DUMMYFUNCTION("""COMPUTED_VALUE"""),"San Antonio Spurs")</f>
        <v>San Antonio Spurs</v>
      </c>
      <c r="D106" s="1">
        <f>IFERROR(__xludf.DUMMYFUNCTION("""COMPUTED_VALUE"""),111.0)</f>
        <v>111</v>
      </c>
      <c r="E106" s="1" t="str">
        <f>IFERROR(__xludf.DUMMYFUNCTION("""COMPUTED_VALUE"""),"Los Angeles Clippers")</f>
        <v>Los Angeles Clippers</v>
      </c>
      <c r="F106" s="1">
        <f>IFERROR(__xludf.DUMMYFUNCTION("""COMPUTED_VALUE"""),116.0)</f>
        <v>116</v>
      </c>
      <c r="G106" s="1" t="str">
        <f>IFERROR(__xludf.DUMMYFUNCTION("""COMPUTED_VALUE"""),"Box Score")</f>
        <v>Box Score</v>
      </c>
      <c r="H106" s="1"/>
      <c r="I106" s="3">
        <f>IFERROR(__xludf.DUMMYFUNCTION("""COMPUTED_VALUE"""),17463.0)</f>
        <v>17463</v>
      </c>
      <c r="J106" s="1"/>
    </row>
    <row r="107" ht="15.75" customHeight="1">
      <c r="A107" s="2">
        <f>IFERROR(__xludf.DUMMYFUNCTION("""COMPUTED_VALUE"""),43420.0)</f>
        <v>43420</v>
      </c>
      <c r="B107" s="1" t="str">
        <f>IFERROR(__xludf.DUMMYFUNCTION("""COMPUTED_VALUE"""),"7:00p")</f>
        <v>7:00p</v>
      </c>
      <c r="C107" s="1" t="str">
        <f>IFERROR(__xludf.DUMMYFUNCTION("""COMPUTED_VALUE"""),"Toronto Raptors")</f>
        <v>Toronto Raptors</v>
      </c>
      <c r="D107" s="1">
        <f>IFERROR(__xludf.DUMMYFUNCTION("""COMPUTED_VALUE"""),116.0)</f>
        <v>116</v>
      </c>
      <c r="E107" s="1" t="str">
        <f>IFERROR(__xludf.DUMMYFUNCTION("""COMPUTED_VALUE"""),"Boston Celtics")</f>
        <v>Boston Celtics</v>
      </c>
      <c r="F107" s="1">
        <f>IFERROR(__xludf.DUMMYFUNCTION("""COMPUTED_VALUE"""),123.0)</f>
        <v>123</v>
      </c>
      <c r="G107" s="1" t="str">
        <f>IFERROR(__xludf.DUMMYFUNCTION("""COMPUTED_VALUE"""),"Box Score")</f>
        <v>Box Score</v>
      </c>
      <c r="H107" s="1" t="str">
        <f>IFERROR(__xludf.DUMMYFUNCTION("""COMPUTED_VALUE"""),"OT")</f>
        <v>OT</v>
      </c>
      <c r="I107" s="3">
        <f>IFERROR(__xludf.DUMMYFUNCTION("""COMPUTED_VALUE"""),18624.0)</f>
        <v>18624</v>
      </c>
      <c r="J107" s="1"/>
    </row>
    <row r="108" ht="15.75" customHeight="1">
      <c r="A108" s="2">
        <f>IFERROR(__xludf.DUMMYFUNCTION("""COMPUTED_VALUE"""),43420.0)</f>
        <v>43420</v>
      </c>
      <c r="B108" s="1" t="str">
        <f>IFERROR(__xludf.DUMMYFUNCTION("""COMPUTED_VALUE"""),"7:00p")</f>
        <v>7:00p</v>
      </c>
      <c r="C108" s="1" t="str">
        <f>IFERROR(__xludf.DUMMYFUNCTION("""COMPUTED_VALUE"""),"Miami Heat")</f>
        <v>Miami Heat</v>
      </c>
      <c r="D108" s="1">
        <f>IFERROR(__xludf.DUMMYFUNCTION("""COMPUTED_VALUE"""),91.0)</f>
        <v>91</v>
      </c>
      <c r="E108" s="1" t="str">
        <f>IFERROR(__xludf.DUMMYFUNCTION("""COMPUTED_VALUE"""),"Indiana Pacers")</f>
        <v>Indiana Pacers</v>
      </c>
      <c r="F108" s="1">
        <f>IFERROR(__xludf.DUMMYFUNCTION("""COMPUTED_VALUE"""),99.0)</f>
        <v>99</v>
      </c>
      <c r="G108" s="1" t="str">
        <f>IFERROR(__xludf.DUMMYFUNCTION("""COMPUTED_VALUE"""),"Box Score")</f>
        <v>Box Score</v>
      </c>
      <c r="H108" s="1"/>
      <c r="I108" s="3">
        <f>IFERROR(__xludf.DUMMYFUNCTION("""COMPUTED_VALUE"""),17923.0)</f>
        <v>17923</v>
      </c>
      <c r="J108" s="1"/>
    </row>
    <row r="109" ht="15.75" customHeight="1">
      <c r="A109" s="2">
        <f>IFERROR(__xludf.DUMMYFUNCTION("""COMPUTED_VALUE"""),43420.0)</f>
        <v>43420</v>
      </c>
      <c r="B109" s="1" t="str">
        <f>IFERROR(__xludf.DUMMYFUNCTION("""COMPUTED_VALUE"""),"7:00p")</f>
        <v>7:00p</v>
      </c>
      <c r="C109" s="1" t="str">
        <f>IFERROR(__xludf.DUMMYFUNCTION("""COMPUTED_VALUE"""),"Utah Jazz")</f>
        <v>Utah Jazz</v>
      </c>
      <c r="D109" s="1">
        <f>IFERROR(__xludf.DUMMYFUNCTION("""COMPUTED_VALUE"""),107.0)</f>
        <v>107</v>
      </c>
      <c r="E109" s="1" t="str">
        <f>IFERROR(__xludf.DUMMYFUNCTION("""COMPUTED_VALUE"""),"Philadelphia 76ers")</f>
        <v>Philadelphia 76ers</v>
      </c>
      <c r="F109" s="1">
        <f>IFERROR(__xludf.DUMMYFUNCTION("""COMPUTED_VALUE"""),113.0)</f>
        <v>113</v>
      </c>
      <c r="G109" s="1" t="str">
        <f>IFERROR(__xludf.DUMMYFUNCTION("""COMPUTED_VALUE"""),"Box Score")</f>
        <v>Box Score</v>
      </c>
      <c r="H109" s="1"/>
      <c r="I109" s="3">
        <f>IFERROR(__xludf.DUMMYFUNCTION("""COMPUTED_VALUE"""),20485.0)</f>
        <v>20485</v>
      </c>
      <c r="J109" s="1"/>
    </row>
    <row r="110" ht="15.75" customHeight="1">
      <c r="A110" s="2">
        <f>IFERROR(__xludf.DUMMYFUNCTION("""COMPUTED_VALUE"""),43420.0)</f>
        <v>43420</v>
      </c>
      <c r="B110" s="1" t="str">
        <f>IFERROR(__xludf.DUMMYFUNCTION("""COMPUTED_VALUE"""),"7:00p")</f>
        <v>7:00p</v>
      </c>
      <c r="C110" s="1" t="str">
        <f>IFERROR(__xludf.DUMMYFUNCTION("""COMPUTED_VALUE"""),"Brooklyn Nets")</f>
        <v>Brooklyn Nets</v>
      </c>
      <c r="D110" s="1">
        <f>IFERROR(__xludf.DUMMYFUNCTION("""COMPUTED_VALUE"""),115.0)</f>
        <v>115</v>
      </c>
      <c r="E110" s="1" t="str">
        <f>IFERROR(__xludf.DUMMYFUNCTION("""COMPUTED_VALUE"""),"Washington Wizards")</f>
        <v>Washington Wizards</v>
      </c>
      <c r="F110" s="1">
        <f>IFERROR(__xludf.DUMMYFUNCTION("""COMPUTED_VALUE"""),104.0)</f>
        <v>104</v>
      </c>
      <c r="G110" s="1" t="str">
        <f>IFERROR(__xludf.DUMMYFUNCTION("""COMPUTED_VALUE"""),"Box Score")</f>
        <v>Box Score</v>
      </c>
      <c r="H110" s="1"/>
      <c r="I110" s="3">
        <f>IFERROR(__xludf.DUMMYFUNCTION("""COMPUTED_VALUE"""),15102.0)</f>
        <v>15102</v>
      </c>
      <c r="J110" s="1"/>
    </row>
    <row r="111" ht="15.75" customHeight="1">
      <c r="A111" s="2">
        <f>IFERROR(__xludf.DUMMYFUNCTION("""COMPUTED_VALUE"""),43420.0)</f>
        <v>43420</v>
      </c>
      <c r="B111" s="1" t="str">
        <f>IFERROR(__xludf.DUMMYFUNCTION("""COMPUTED_VALUE"""),"8:00p")</f>
        <v>8:00p</v>
      </c>
      <c r="C111" s="1" t="str">
        <f>IFERROR(__xludf.DUMMYFUNCTION("""COMPUTED_VALUE"""),"Sacramento Kings")</f>
        <v>Sacramento Kings</v>
      </c>
      <c r="D111" s="1">
        <f>IFERROR(__xludf.DUMMYFUNCTION("""COMPUTED_VALUE"""),104.0)</f>
        <v>104</v>
      </c>
      <c r="E111" s="1" t="str">
        <f>IFERROR(__xludf.DUMMYFUNCTION("""COMPUTED_VALUE"""),"Memphis Grizzlies")</f>
        <v>Memphis Grizzlies</v>
      </c>
      <c r="F111" s="1">
        <f>IFERROR(__xludf.DUMMYFUNCTION("""COMPUTED_VALUE"""),112.0)</f>
        <v>112</v>
      </c>
      <c r="G111" s="1" t="str">
        <f>IFERROR(__xludf.DUMMYFUNCTION("""COMPUTED_VALUE"""),"Box Score")</f>
        <v>Box Score</v>
      </c>
      <c r="H111" s="1"/>
      <c r="I111" s="3">
        <f>IFERROR(__xludf.DUMMYFUNCTION("""COMPUTED_VALUE"""),13811.0)</f>
        <v>13811</v>
      </c>
      <c r="J111" s="1"/>
    </row>
    <row r="112" ht="15.75" customHeight="1">
      <c r="A112" s="2">
        <f>IFERROR(__xludf.DUMMYFUNCTION("""COMPUTED_VALUE"""),43420.0)</f>
        <v>43420</v>
      </c>
      <c r="B112" s="1" t="str">
        <f>IFERROR(__xludf.DUMMYFUNCTION("""COMPUTED_VALUE"""),"8:00p")</f>
        <v>8:00p</v>
      </c>
      <c r="C112" s="1" t="str">
        <f>IFERROR(__xludf.DUMMYFUNCTION("""COMPUTED_VALUE"""),"Portland Trail Blazers")</f>
        <v>Portland Trail Blazers</v>
      </c>
      <c r="D112" s="1">
        <f>IFERROR(__xludf.DUMMYFUNCTION("""COMPUTED_VALUE"""),96.0)</f>
        <v>96</v>
      </c>
      <c r="E112" s="1" t="str">
        <f>IFERROR(__xludf.DUMMYFUNCTION("""COMPUTED_VALUE"""),"Minnesota Timberwolves")</f>
        <v>Minnesota Timberwolves</v>
      </c>
      <c r="F112" s="1">
        <f>IFERROR(__xludf.DUMMYFUNCTION("""COMPUTED_VALUE"""),112.0)</f>
        <v>112</v>
      </c>
      <c r="G112" s="1" t="str">
        <f>IFERROR(__xludf.DUMMYFUNCTION("""COMPUTED_VALUE"""),"Box Score")</f>
        <v>Box Score</v>
      </c>
      <c r="H112" s="1"/>
      <c r="I112" s="3">
        <f>IFERROR(__xludf.DUMMYFUNCTION("""COMPUTED_VALUE"""),18978.0)</f>
        <v>18978</v>
      </c>
      <c r="J112" s="1"/>
    </row>
    <row r="113" ht="15.75" customHeight="1">
      <c r="A113" s="2">
        <f>IFERROR(__xludf.DUMMYFUNCTION("""COMPUTED_VALUE"""),43420.0)</f>
        <v>43420</v>
      </c>
      <c r="B113" s="1" t="str">
        <f>IFERROR(__xludf.DUMMYFUNCTION("""COMPUTED_VALUE"""),"8:00p")</f>
        <v>8:00p</v>
      </c>
      <c r="C113" s="1" t="str">
        <f>IFERROR(__xludf.DUMMYFUNCTION("""COMPUTED_VALUE"""),"New York Knicks")</f>
        <v>New York Knicks</v>
      </c>
      <c r="D113" s="1">
        <f>IFERROR(__xludf.DUMMYFUNCTION("""COMPUTED_VALUE"""),124.0)</f>
        <v>124</v>
      </c>
      <c r="E113" s="1" t="str">
        <f>IFERROR(__xludf.DUMMYFUNCTION("""COMPUTED_VALUE"""),"New Orleans Pelicans")</f>
        <v>New Orleans Pelicans</v>
      </c>
      <c r="F113" s="1">
        <f>IFERROR(__xludf.DUMMYFUNCTION("""COMPUTED_VALUE"""),129.0)</f>
        <v>129</v>
      </c>
      <c r="G113" s="1" t="str">
        <f>IFERROR(__xludf.DUMMYFUNCTION("""COMPUTED_VALUE"""),"Box Score")</f>
        <v>Box Score</v>
      </c>
      <c r="H113" s="1"/>
      <c r="I113" s="3">
        <f>IFERROR(__xludf.DUMMYFUNCTION("""COMPUTED_VALUE"""),14717.0)</f>
        <v>14717</v>
      </c>
      <c r="J113" s="1"/>
    </row>
    <row r="114" ht="15.75" customHeight="1">
      <c r="A114" s="2">
        <f>IFERROR(__xludf.DUMMYFUNCTION("""COMPUTED_VALUE"""),43420.0)</f>
        <v>43420</v>
      </c>
      <c r="B114" s="1" t="str">
        <f>IFERROR(__xludf.DUMMYFUNCTION("""COMPUTED_VALUE"""),"9:30p")</f>
        <v>9:30p</v>
      </c>
      <c r="C114" s="1" t="str">
        <f>IFERROR(__xludf.DUMMYFUNCTION("""COMPUTED_VALUE"""),"Chicago Bulls")</f>
        <v>Chicago Bulls</v>
      </c>
      <c r="D114" s="1">
        <f>IFERROR(__xludf.DUMMYFUNCTION("""COMPUTED_VALUE"""),104.0)</f>
        <v>104</v>
      </c>
      <c r="E114" s="1" t="str">
        <f>IFERROR(__xludf.DUMMYFUNCTION("""COMPUTED_VALUE"""),"Milwaukee Bucks")</f>
        <v>Milwaukee Bucks</v>
      </c>
      <c r="F114" s="1">
        <f>IFERROR(__xludf.DUMMYFUNCTION("""COMPUTED_VALUE"""),123.0)</f>
        <v>123</v>
      </c>
      <c r="G114" s="1" t="str">
        <f>IFERROR(__xludf.DUMMYFUNCTION("""COMPUTED_VALUE"""),"Box Score")</f>
        <v>Box Score</v>
      </c>
      <c r="H114" s="1"/>
      <c r="I114" s="3">
        <f>IFERROR(__xludf.DUMMYFUNCTION("""COMPUTED_VALUE"""),17341.0)</f>
        <v>17341</v>
      </c>
      <c r="J114" s="1"/>
    </row>
    <row r="115" ht="15.75" customHeight="1">
      <c r="A115" s="2">
        <f>IFERROR(__xludf.DUMMYFUNCTION("""COMPUTED_VALUE"""),43421.0)</f>
        <v>43421</v>
      </c>
      <c r="B115" s="1" t="str">
        <f>IFERROR(__xludf.DUMMYFUNCTION("""COMPUTED_VALUE"""),"6:00p")</f>
        <v>6:00p</v>
      </c>
      <c r="C115" s="1" t="str">
        <f>IFERROR(__xludf.DUMMYFUNCTION("""COMPUTED_VALUE"""),"Los Angeles Clippers")</f>
        <v>Los Angeles Clippers</v>
      </c>
      <c r="D115" s="1">
        <f>IFERROR(__xludf.DUMMYFUNCTION("""COMPUTED_VALUE"""),127.0)</f>
        <v>127</v>
      </c>
      <c r="E115" s="1" t="str">
        <f>IFERROR(__xludf.DUMMYFUNCTION("""COMPUTED_VALUE"""),"Brooklyn Nets")</f>
        <v>Brooklyn Nets</v>
      </c>
      <c r="F115" s="1">
        <f>IFERROR(__xludf.DUMMYFUNCTION("""COMPUTED_VALUE"""),119.0)</f>
        <v>119</v>
      </c>
      <c r="G115" s="1" t="str">
        <f>IFERROR(__xludf.DUMMYFUNCTION("""COMPUTED_VALUE"""),"Box Score")</f>
        <v>Box Score</v>
      </c>
      <c r="H115" s="1"/>
      <c r="I115" s="3">
        <f>IFERROR(__xludf.DUMMYFUNCTION("""COMPUTED_VALUE"""),12944.0)</f>
        <v>12944</v>
      </c>
      <c r="J115" s="1"/>
    </row>
    <row r="116" ht="15.75" customHeight="1">
      <c r="A116" s="2">
        <f>IFERROR(__xludf.DUMMYFUNCTION("""COMPUTED_VALUE"""),43421.0)</f>
        <v>43421</v>
      </c>
      <c r="B116" s="1" t="str">
        <f>IFERROR(__xludf.DUMMYFUNCTION("""COMPUTED_VALUE"""),"7:00p")</f>
        <v>7:00p</v>
      </c>
      <c r="C116" s="1" t="str">
        <f>IFERROR(__xludf.DUMMYFUNCTION("""COMPUTED_VALUE"""),"Philadelphia 76ers")</f>
        <v>Philadelphia 76ers</v>
      </c>
      <c r="D116" s="1">
        <f>IFERROR(__xludf.DUMMYFUNCTION("""COMPUTED_VALUE"""),122.0)</f>
        <v>122</v>
      </c>
      <c r="E116" s="1" t="str">
        <f>IFERROR(__xludf.DUMMYFUNCTION("""COMPUTED_VALUE"""),"Charlotte Hornets")</f>
        <v>Charlotte Hornets</v>
      </c>
      <c r="F116" s="1">
        <f>IFERROR(__xludf.DUMMYFUNCTION("""COMPUTED_VALUE"""),119.0)</f>
        <v>119</v>
      </c>
      <c r="G116" s="1" t="str">
        <f>IFERROR(__xludf.DUMMYFUNCTION("""COMPUTED_VALUE"""),"Box Score")</f>
        <v>Box Score</v>
      </c>
      <c r="H116" s="1" t="str">
        <f>IFERROR(__xludf.DUMMYFUNCTION("""COMPUTED_VALUE"""),"OT")</f>
        <v>OT</v>
      </c>
      <c r="I116" s="3">
        <f>IFERROR(__xludf.DUMMYFUNCTION("""COMPUTED_VALUE"""),19426.0)</f>
        <v>19426</v>
      </c>
      <c r="J116" s="1"/>
    </row>
    <row r="117" ht="15.75" customHeight="1">
      <c r="A117" s="2">
        <f>IFERROR(__xludf.DUMMYFUNCTION("""COMPUTED_VALUE"""),43421.0)</f>
        <v>43421</v>
      </c>
      <c r="B117" s="1" t="str">
        <f>IFERROR(__xludf.DUMMYFUNCTION("""COMPUTED_VALUE"""),"7:00p")</f>
        <v>7:00p</v>
      </c>
      <c r="C117" s="1" t="str">
        <f>IFERROR(__xludf.DUMMYFUNCTION("""COMPUTED_VALUE"""),"Atlanta Hawks")</f>
        <v>Atlanta Hawks</v>
      </c>
      <c r="D117" s="1">
        <f>IFERROR(__xludf.DUMMYFUNCTION("""COMPUTED_VALUE"""),89.0)</f>
        <v>89</v>
      </c>
      <c r="E117" s="1" t="str">
        <f>IFERROR(__xludf.DUMMYFUNCTION("""COMPUTED_VALUE"""),"Indiana Pacers")</f>
        <v>Indiana Pacers</v>
      </c>
      <c r="F117" s="1">
        <f>IFERROR(__xludf.DUMMYFUNCTION("""COMPUTED_VALUE"""),97.0)</f>
        <v>97</v>
      </c>
      <c r="G117" s="1" t="str">
        <f>IFERROR(__xludf.DUMMYFUNCTION("""COMPUTED_VALUE"""),"Box Score")</f>
        <v>Box Score</v>
      </c>
      <c r="H117" s="1"/>
      <c r="I117" s="3">
        <f>IFERROR(__xludf.DUMMYFUNCTION("""COMPUTED_VALUE"""),17491.0)</f>
        <v>17491</v>
      </c>
      <c r="J117" s="1"/>
    </row>
    <row r="118" ht="15.75" customHeight="1">
      <c r="A118" s="2">
        <f>IFERROR(__xludf.DUMMYFUNCTION("""COMPUTED_VALUE"""),43421.0)</f>
        <v>43421</v>
      </c>
      <c r="B118" s="1" t="str">
        <f>IFERROR(__xludf.DUMMYFUNCTION("""COMPUTED_VALUE"""),"7:00p")</f>
        <v>7:00p</v>
      </c>
      <c r="C118" s="1" t="str">
        <f>IFERROR(__xludf.DUMMYFUNCTION("""COMPUTED_VALUE"""),"Denver Nuggets")</f>
        <v>Denver Nuggets</v>
      </c>
      <c r="D118" s="1">
        <f>IFERROR(__xludf.DUMMYFUNCTION("""COMPUTED_VALUE"""),115.0)</f>
        <v>115</v>
      </c>
      <c r="E118" s="1" t="str">
        <f>IFERROR(__xludf.DUMMYFUNCTION("""COMPUTED_VALUE"""),"New Orleans Pelicans")</f>
        <v>New Orleans Pelicans</v>
      </c>
      <c r="F118" s="1">
        <f>IFERROR(__xludf.DUMMYFUNCTION("""COMPUTED_VALUE"""),125.0)</f>
        <v>125</v>
      </c>
      <c r="G118" s="1" t="str">
        <f>IFERROR(__xludf.DUMMYFUNCTION("""COMPUTED_VALUE"""),"Box Score")</f>
        <v>Box Score</v>
      </c>
      <c r="H118" s="1"/>
      <c r="I118" s="3">
        <f>IFERROR(__xludf.DUMMYFUNCTION("""COMPUTED_VALUE"""),15408.0)</f>
        <v>15408</v>
      </c>
      <c r="J118" s="1"/>
    </row>
    <row r="119" ht="15.75" customHeight="1">
      <c r="A119" s="2">
        <f>IFERROR(__xludf.DUMMYFUNCTION("""COMPUTED_VALUE"""),43421.0)</f>
        <v>43421</v>
      </c>
      <c r="B119" s="1" t="str">
        <f>IFERROR(__xludf.DUMMYFUNCTION("""COMPUTED_VALUE"""),"7:00p")</f>
        <v>7:00p</v>
      </c>
      <c r="C119" s="1" t="str">
        <f>IFERROR(__xludf.DUMMYFUNCTION("""COMPUTED_VALUE"""),"Los Angeles Lakers")</f>
        <v>Los Angeles Lakers</v>
      </c>
      <c r="D119" s="1">
        <f>IFERROR(__xludf.DUMMYFUNCTION("""COMPUTED_VALUE"""),117.0)</f>
        <v>117</v>
      </c>
      <c r="E119" s="1" t="str">
        <f>IFERROR(__xludf.DUMMYFUNCTION("""COMPUTED_VALUE"""),"Orlando Magic")</f>
        <v>Orlando Magic</v>
      </c>
      <c r="F119" s="1">
        <f>IFERROR(__xludf.DUMMYFUNCTION("""COMPUTED_VALUE"""),130.0)</f>
        <v>130</v>
      </c>
      <c r="G119" s="1" t="str">
        <f>IFERROR(__xludf.DUMMYFUNCTION("""COMPUTED_VALUE"""),"Box Score")</f>
        <v>Box Score</v>
      </c>
      <c r="H119" s="1"/>
      <c r="I119" s="3">
        <f>IFERROR(__xludf.DUMMYFUNCTION("""COMPUTED_VALUE"""),19249.0)</f>
        <v>19249</v>
      </c>
      <c r="J119" s="1"/>
    </row>
    <row r="120" ht="15.75" customHeight="1">
      <c r="A120" s="2">
        <f>IFERROR(__xludf.DUMMYFUNCTION("""COMPUTED_VALUE"""),43421.0)</f>
        <v>43421</v>
      </c>
      <c r="B120" s="1" t="str">
        <f>IFERROR(__xludf.DUMMYFUNCTION("""COMPUTED_VALUE"""),"7:30p")</f>
        <v>7:30p</v>
      </c>
      <c r="C120" s="1" t="str">
        <f>IFERROR(__xludf.DUMMYFUNCTION("""COMPUTED_VALUE"""),"Utah Jazz")</f>
        <v>Utah Jazz</v>
      </c>
      <c r="D120" s="1">
        <f>IFERROR(__xludf.DUMMYFUNCTION("""COMPUTED_VALUE"""),98.0)</f>
        <v>98</v>
      </c>
      <c r="E120" s="1" t="str">
        <f>IFERROR(__xludf.DUMMYFUNCTION("""COMPUTED_VALUE"""),"Boston Celtics")</f>
        <v>Boston Celtics</v>
      </c>
      <c r="F120" s="1">
        <f>IFERROR(__xludf.DUMMYFUNCTION("""COMPUTED_VALUE"""),86.0)</f>
        <v>86</v>
      </c>
      <c r="G120" s="1" t="str">
        <f>IFERROR(__xludf.DUMMYFUNCTION("""COMPUTED_VALUE"""),"Box Score")</f>
        <v>Box Score</v>
      </c>
      <c r="H120" s="1"/>
      <c r="I120" s="3">
        <f>IFERROR(__xludf.DUMMYFUNCTION("""COMPUTED_VALUE"""),18624.0)</f>
        <v>18624</v>
      </c>
      <c r="J120" s="1"/>
    </row>
    <row r="121" ht="15.75" customHeight="1">
      <c r="A121" s="2">
        <f>IFERROR(__xludf.DUMMYFUNCTION("""COMPUTED_VALUE"""),43421.0)</f>
        <v>43421</v>
      </c>
      <c r="B121" s="1" t="str">
        <f>IFERROR(__xludf.DUMMYFUNCTION("""COMPUTED_VALUE"""),"8:00p")</f>
        <v>8:00p</v>
      </c>
      <c r="C121" s="1" t="str">
        <f>IFERROR(__xludf.DUMMYFUNCTION("""COMPUTED_VALUE"""),"Toronto Raptors")</f>
        <v>Toronto Raptors</v>
      </c>
      <c r="D121" s="1">
        <f>IFERROR(__xludf.DUMMYFUNCTION("""COMPUTED_VALUE"""),122.0)</f>
        <v>122</v>
      </c>
      <c r="E121" s="1" t="str">
        <f>IFERROR(__xludf.DUMMYFUNCTION("""COMPUTED_VALUE"""),"Chicago Bulls")</f>
        <v>Chicago Bulls</v>
      </c>
      <c r="F121" s="1">
        <f>IFERROR(__xludf.DUMMYFUNCTION("""COMPUTED_VALUE"""),83.0)</f>
        <v>83</v>
      </c>
      <c r="G121" s="1" t="str">
        <f>IFERROR(__xludf.DUMMYFUNCTION("""COMPUTED_VALUE"""),"Box Score")</f>
        <v>Box Score</v>
      </c>
      <c r="H121" s="1"/>
      <c r="I121" s="3">
        <f>IFERROR(__xludf.DUMMYFUNCTION("""COMPUTED_VALUE"""),21263.0)</f>
        <v>21263</v>
      </c>
      <c r="J121" s="1"/>
    </row>
    <row r="122" ht="15.75" customHeight="1">
      <c r="A122" s="2">
        <f>IFERROR(__xludf.DUMMYFUNCTION("""COMPUTED_VALUE"""),43421.0)</f>
        <v>43421</v>
      </c>
      <c r="B122" s="1" t="str">
        <f>IFERROR(__xludf.DUMMYFUNCTION("""COMPUTED_VALUE"""),"8:00p")</f>
        <v>8:00p</v>
      </c>
      <c r="C122" s="1" t="str">
        <f>IFERROR(__xludf.DUMMYFUNCTION("""COMPUTED_VALUE"""),"Sacramento Kings")</f>
        <v>Sacramento Kings</v>
      </c>
      <c r="D122" s="1">
        <f>IFERROR(__xludf.DUMMYFUNCTION("""COMPUTED_VALUE"""),112.0)</f>
        <v>112</v>
      </c>
      <c r="E122" s="1" t="str">
        <f>IFERROR(__xludf.DUMMYFUNCTION("""COMPUTED_VALUE"""),"Houston Rockets")</f>
        <v>Houston Rockets</v>
      </c>
      <c r="F122" s="1">
        <f>IFERROR(__xludf.DUMMYFUNCTION("""COMPUTED_VALUE"""),132.0)</f>
        <v>132</v>
      </c>
      <c r="G122" s="1" t="str">
        <f>IFERROR(__xludf.DUMMYFUNCTION("""COMPUTED_VALUE"""),"Box Score")</f>
        <v>Box Score</v>
      </c>
      <c r="H122" s="1"/>
      <c r="I122" s="3">
        <f>IFERROR(__xludf.DUMMYFUNCTION("""COMPUTED_VALUE"""),18055.0)</f>
        <v>18055</v>
      </c>
      <c r="J122" s="1"/>
    </row>
    <row r="123" ht="15.75" customHeight="1">
      <c r="A123" s="2">
        <f>IFERROR(__xludf.DUMMYFUNCTION("""COMPUTED_VALUE"""),43421.0)</f>
        <v>43421</v>
      </c>
      <c r="B123" s="1" t="str">
        <f>IFERROR(__xludf.DUMMYFUNCTION("""COMPUTED_VALUE"""),"8:30p")</f>
        <v>8:30p</v>
      </c>
      <c r="C123" s="1" t="str">
        <f>IFERROR(__xludf.DUMMYFUNCTION("""COMPUTED_VALUE"""),"Golden State Warriors")</f>
        <v>Golden State Warriors</v>
      </c>
      <c r="D123" s="1">
        <f>IFERROR(__xludf.DUMMYFUNCTION("""COMPUTED_VALUE"""),109.0)</f>
        <v>109</v>
      </c>
      <c r="E123" s="1" t="str">
        <f>IFERROR(__xludf.DUMMYFUNCTION("""COMPUTED_VALUE"""),"Dallas Mavericks")</f>
        <v>Dallas Mavericks</v>
      </c>
      <c r="F123" s="1">
        <f>IFERROR(__xludf.DUMMYFUNCTION("""COMPUTED_VALUE"""),112.0)</f>
        <v>112</v>
      </c>
      <c r="G123" s="1" t="str">
        <f>IFERROR(__xludf.DUMMYFUNCTION("""COMPUTED_VALUE"""),"Box Score")</f>
        <v>Box Score</v>
      </c>
      <c r="H123" s="1"/>
      <c r="I123" s="3">
        <f>IFERROR(__xludf.DUMMYFUNCTION("""COMPUTED_VALUE"""),20260.0)</f>
        <v>20260</v>
      </c>
      <c r="J123" s="1"/>
    </row>
    <row r="124" ht="15.75" customHeight="1">
      <c r="A124" s="2">
        <f>IFERROR(__xludf.DUMMYFUNCTION("""COMPUTED_VALUE"""),43421.0)</f>
        <v>43421</v>
      </c>
      <c r="B124" s="1" t="str">
        <f>IFERROR(__xludf.DUMMYFUNCTION("""COMPUTED_VALUE"""),"9:00p")</f>
        <v>9:00p</v>
      </c>
      <c r="C124" s="1" t="str">
        <f>IFERROR(__xludf.DUMMYFUNCTION("""COMPUTED_VALUE"""),"Oklahoma City Thunder")</f>
        <v>Oklahoma City Thunder</v>
      </c>
      <c r="D124" s="1">
        <f>IFERROR(__xludf.DUMMYFUNCTION("""COMPUTED_VALUE"""),110.0)</f>
        <v>110</v>
      </c>
      <c r="E124" s="1" t="str">
        <f>IFERROR(__xludf.DUMMYFUNCTION("""COMPUTED_VALUE"""),"Phoenix Suns")</f>
        <v>Phoenix Suns</v>
      </c>
      <c r="F124" s="1">
        <f>IFERROR(__xludf.DUMMYFUNCTION("""COMPUTED_VALUE"""),100.0)</f>
        <v>100</v>
      </c>
      <c r="G124" s="1" t="str">
        <f>IFERROR(__xludf.DUMMYFUNCTION("""COMPUTED_VALUE"""),"Box Score")</f>
        <v>Box Score</v>
      </c>
      <c r="H124" s="1"/>
      <c r="I124" s="3">
        <f>IFERROR(__xludf.DUMMYFUNCTION("""COMPUTED_VALUE"""),16376.0)</f>
        <v>16376</v>
      </c>
      <c r="J124" s="1"/>
    </row>
    <row r="125" ht="15.75" customHeight="1">
      <c r="A125" s="2">
        <f>IFERROR(__xludf.DUMMYFUNCTION("""COMPUTED_VALUE"""),43422.0)</f>
        <v>43422</v>
      </c>
      <c r="B125" s="1" t="str">
        <f>IFERROR(__xludf.DUMMYFUNCTION("""COMPUTED_VALUE"""),"3:30p")</f>
        <v>3:30p</v>
      </c>
      <c r="C125" s="1" t="str">
        <f>IFERROR(__xludf.DUMMYFUNCTION("""COMPUTED_VALUE"""),"Memphis Grizzlies")</f>
        <v>Memphis Grizzlies</v>
      </c>
      <c r="D125" s="1">
        <f>IFERROR(__xludf.DUMMYFUNCTION("""COMPUTED_VALUE"""),100.0)</f>
        <v>100</v>
      </c>
      <c r="E125" s="1" t="str">
        <f>IFERROR(__xludf.DUMMYFUNCTION("""COMPUTED_VALUE"""),"Minnesota Timberwolves")</f>
        <v>Minnesota Timberwolves</v>
      </c>
      <c r="F125" s="1">
        <f>IFERROR(__xludf.DUMMYFUNCTION("""COMPUTED_VALUE"""),87.0)</f>
        <v>87</v>
      </c>
      <c r="G125" s="1" t="str">
        <f>IFERROR(__xludf.DUMMYFUNCTION("""COMPUTED_VALUE"""),"Box Score")</f>
        <v>Box Score</v>
      </c>
      <c r="H125" s="1"/>
      <c r="I125" s="3">
        <f>IFERROR(__xludf.DUMMYFUNCTION("""COMPUTED_VALUE"""),13179.0)</f>
        <v>13179</v>
      </c>
      <c r="J125" s="1"/>
    </row>
    <row r="126" ht="15.75" customHeight="1">
      <c r="A126" s="2">
        <f>IFERROR(__xludf.DUMMYFUNCTION("""COMPUTED_VALUE"""),43422.0)</f>
        <v>43422</v>
      </c>
      <c r="B126" s="1" t="str">
        <f>IFERROR(__xludf.DUMMYFUNCTION("""COMPUTED_VALUE"""),"6:00p")</f>
        <v>6:00p</v>
      </c>
      <c r="C126" s="1" t="str">
        <f>IFERROR(__xludf.DUMMYFUNCTION("""COMPUTED_VALUE"""),"Los Angeles Lakers")</f>
        <v>Los Angeles Lakers</v>
      </c>
      <c r="D126" s="1">
        <f>IFERROR(__xludf.DUMMYFUNCTION("""COMPUTED_VALUE"""),113.0)</f>
        <v>113</v>
      </c>
      <c r="E126" s="1" t="str">
        <f>IFERROR(__xludf.DUMMYFUNCTION("""COMPUTED_VALUE"""),"Miami Heat")</f>
        <v>Miami Heat</v>
      </c>
      <c r="F126" s="1">
        <f>IFERROR(__xludf.DUMMYFUNCTION("""COMPUTED_VALUE"""),97.0)</f>
        <v>97</v>
      </c>
      <c r="G126" s="1" t="str">
        <f>IFERROR(__xludf.DUMMYFUNCTION("""COMPUTED_VALUE"""),"Box Score")</f>
        <v>Box Score</v>
      </c>
      <c r="H126" s="1"/>
      <c r="I126" s="3">
        <f>IFERROR(__xludf.DUMMYFUNCTION("""COMPUTED_VALUE"""),19686.0)</f>
        <v>19686</v>
      </c>
      <c r="J126" s="1"/>
    </row>
    <row r="127" ht="15.75" customHeight="1">
      <c r="A127" s="2">
        <f>IFERROR(__xludf.DUMMYFUNCTION("""COMPUTED_VALUE"""),43422.0)</f>
        <v>43422</v>
      </c>
      <c r="B127" s="1" t="str">
        <f>IFERROR(__xludf.DUMMYFUNCTION("""COMPUTED_VALUE"""),"6:00p")</f>
        <v>6:00p</v>
      </c>
      <c r="C127" s="1" t="str">
        <f>IFERROR(__xludf.DUMMYFUNCTION("""COMPUTED_VALUE"""),"New York Knicks")</f>
        <v>New York Knicks</v>
      </c>
      <c r="D127" s="1">
        <f>IFERROR(__xludf.DUMMYFUNCTION("""COMPUTED_VALUE"""),117.0)</f>
        <v>117</v>
      </c>
      <c r="E127" s="1" t="str">
        <f>IFERROR(__xludf.DUMMYFUNCTION("""COMPUTED_VALUE"""),"Orlando Magic")</f>
        <v>Orlando Magic</v>
      </c>
      <c r="F127" s="1">
        <f>IFERROR(__xludf.DUMMYFUNCTION("""COMPUTED_VALUE"""),131.0)</f>
        <v>131</v>
      </c>
      <c r="G127" s="1" t="str">
        <f>IFERROR(__xludf.DUMMYFUNCTION("""COMPUTED_VALUE"""),"Box Score")</f>
        <v>Box Score</v>
      </c>
      <c r="H127" s="1"/>
      <c r="I127" s="3">
        <f>IFERROR(__xludf.DUMMYFUNCTION("""COMPUTED_VALUE"""),15898.0)</f>
        <v>15898</v>
      </c>
      <c r="J127" s="1"/>
    </row>
    <row r="128" ht="15.75" customHeight="1">
      <c r="A128" s="2">
        <f>IFERROR(__xludf.DUMMYFUNCTION("""COMPUTED_VALUE"""),43422.0)</f>
        <v>43422</v>
      </c>
      <c r="B128" s="1" t="str">
        <f>IFERROR(__xludf.DUMMYFUNCTION("""COMPUTED_VALUE"""),"6:00p")</f>
        <v>6:00p</v>
      </c>
      <c r="C128" s="1" t="str">
        <f>IFERROR(__xludf.DUMMYFUNCTION("""COMPUTED_VALUE"""),"Portland Trail Blazers")</f>
        <v>Portland Trail Blazers</v>
      </c>
      <c r="D128" s="1">
        <f>IFERROR(__xludf.DUMMYFUNCTION("""COMPUTED_VALUE"""),119.0)</f>
        <v>119</v>
      </c>
      <c r="E128" s="1" t="str">
        <f>IFERROR(__xludf.DUMMYFUNCTION("""COMPUTED_VALUE"""),"Washington Wizards")</f>
        <v>Washington Wizards</v>
      </c>
      <c r="F128" s="1">
        <f>IFERROR(__xludf.DUMMYFUNCTION("""COMPUTED_VALUE"""),109.0)</f>
        <v>109</v>
      </c>
      <c r="G128" s="1" t="str">
        <f>IFERROR(__xludf.DUMMYFUNCTION("""COMPUTED_VALUE"""),"Box Score")</f>
        <v>Box Score</v>
      </c>
      <c r="H128" s="1"/>
      <c r="I128" s="3">
        <f>IFERROR(__xludf.DUMMYFUNCTION("""COMPUTED_VALUE"""),16647.0)</f>
        <v>16647</v>
      </c>
      <c r="J128" s="1"/>
    </row>
    <row r="129" ht="15.75" customHeight="1">
      <c r="A129" s="2">
        <f>IFERROR(__xludf.DUMMYFUNCTION("""COMPUTED_VALUE"""),43422.0)</f>
        <v>43422</v>
      </c>
      <c r="B129" s="1" t="str">
        <f>IFERROR(__xludf.DUMMYFUNCTION("""COMPUTED_VALUE"""),"7:00p")</f>
        <v>7:00p</v>
      </c>
      <c r="C129" s="1" t="str">
        <f>IFERROR(__xludf.DUMMYFUNCTION("""COMPUTED_VALUE"""),"Golden State Warriors")</f>
        <v>Golden State Warriors</v>
      </c>
      <c r="D129" s="1">
        <f>IFERROR(__xludf.DUMMYFUNCTION("""COMPUTED_VALUE"""),92.0)</f>
        <v>92</v>
      </c>
      <c r="E129" s="1" t="str">
        <f>IFERROR(__xludf.DUMMYFUNCTION("""COMPUTED_VALUE"""),"San Antonio Spurs")</f>
        <v>San Antonio Spurs</v>
      </c>
      <c r="F129" s="1">
        <f>IFERROR(__xludf.DUMMYFUNCTION("""COMPUTED_VALUE"""),104.0)</f>
        <v>104</v>
      </c>
      <c r="G129" s="1" t="str">
        <f>IFERROR(__xludf.DUMMYFUNCTION("""COMPUTED_VALUE"""),"Box Score")</f>
        <v>Box Score</v>
      </c>
      <c r="H129" s="1"/>
      <c r="I129" s="3">
        <f>IFERROR(__xludf.DUMMYFUNCTION("""COMPUTED_VALUE"""),18354.0)</f>
        <v>18354</v>
      </c>
      <c r="J129" s="1"/>
    </row>
    <row r="130" ht="15.75" customHeight="1">
      <c r="A130" s="2">
        <f>IFERROR(__xludf.DUMMYFUNCTION("""COMPUTED_VALUE"""),43423.0)</f>
        <v>43423</v>
      </c>
      <c r="B130" s="1" t="str">
        <f>IFERROR(__xludf.DUMMYFUNCTION("""COMPUTED_VALUE"""),"7:00p")</f>
        <v>7:00p</v>
      </c>
      <c r="C130" s="1" t="str">
        <f>IFERROR(__xludf.DUMMYFUNCTION("""COMPUTED_VALUE"""),"Boston Celtics")</f>
        <v>Boston Celtics</v>
      </c>
      <c r="D130" s="1">
        <f>IFERROR(__xludf.DUMMYFUNCTION("""COMPUTED_VALUE"""),112.0)</f>
        <v>112</v>
      </c>
      <c r="E130" s="1" t="str">
        <f>IFERROR(__xludf.DUMMYFUNCTION("""COMPUTED_VALUE"""),"Charlotte Hornets")</f>
        <v>Charlotte Hornets</v>
      </c>
      <c r="F130" s="1">
        <f>IFERROR(__xludf.DUMMYFUNCTION("""COMPUTED_VALUE"""),117.0)</f>
        <v>117</v>
      </c>
      <c r="G130" s="1" t="str">
        <f>IFERROR(__xludf.DUMMYFUNCTION("""COMPUTED_VALUE"""),"Box Score")</f>
        <v>Box Score</v>
      </c>
      <c r="H130" s="1"/>
      <c r="I130" s="3">
        <f>IFERROR(__xludf.DUMMYFUNCTION("""COMPUTED_VALUE"""),18040.0)</f>
        <v>18040</v>
      </c>
      <c r="J130" s="1"/>
    </row>
    <row r="131" ht="15.75" customHeight="1">
      <c r="A131" s="2">
        <f>IFERROR(__xludf.DUMMYFUNCTION("""COMPUTED_VALUE"""),43423.0)</f>
        <v>43423</v>
      </c>
      <c r="B131" s="1" t="str">
        <f>IFERROR(__xludf.DUMMYFUNCTION("""COMPUTED_VALUE"""),"7:00p")</f>
        <v>7:00p</v>
      </c>
      <c r="C131" s="1" t="str">
        <f>IFERROR(__xludf.DUMMYFUNCTION("""COMPUTED_VALUE"""),"Cleveland Cavaliers")</f>
        <v>Cleveland Cavaliers</v>
      </c>
      <c r="D131" s="1">
        <f>IFERROR(__xludf.DUMMYFUNCTION("""COMPUTED_VALUE"""),102.0)</f>
        <v>102</v>
      </c>
      <c r="E131" s="1" t="str">
        <f>IFERROR(__xludf.DUMMYFUNCTION("""COMPUTED_VALUE"""),"Detroit Pistons")</f>
        <v>Detroit Pistons</v>
      </c>
      <c r="F131" s="1">
        <f>IFERROR(__xludf.DUMMYFUNCTION("""COMPUTED_VALUE"""),113.0)</f>
        <v>113</v>
      </c>
      <c r="G131" s="1" t="str">
        <f>IFERROR(__xludf.DUMMYFUNCTION("""COMPUTED_VALUE"""),"Box Score")</f>
        <v>Box Score</v>
      </c>
      <c r="H131" s="1"/>
      <c r="I131" s="3">
        <f>IFERROR(__xludf.DUMMYFUNCTION("""COMPUTED_VALUE"""),15769.0)</f>
        <v>15769</v>
      </c>
      <c r="J131" s="1"/>
    </row>
    <row r="132" ht="15.75" customHeight="1">
      <c r="A132" s="2">
        <f>IFERROR(__xludf.DUMMYFUNCTION("""COMPUTED_VALUE"""),43423.0)</f>
        <v>43423</v>
      </c>
      <c r="B132" s="1" t="str">
        <f>IFERROR(__xludf.DUMMYFUNCTION("""COMPUTED_VALUE"""),"7:00p")</f>
        <v>7:00p</v>
      </c>
      <c r="C132" s="1" t="str">
        <f>IFERROR(__xludf.DUMMYFUNCTION("""COMPUTED_VALUE"""),"Utah Jazz")</f>
        <v>Utah Jazz</v>
      </c>
      <c r="D132" s="1">
        <f>IFERROR(__xludf.DUMMYFUNCTION("""COMPUTED_VALUE"""),94.0)</f>
        <v>94</v>
      </c>
      <c r="E132" s="1" t="str">
        <f>IFERROR(__xludf.DUMMYFUNCTION("""COMPUTED_VALUE"""),"Indiana Pacers")</f>
        <v>Indiana Pacers</v>
      </c>
      <c r="F132" s="1">
        <f>IFERROR(__xludf.DUMMYFUNCTION("""COMPUTED_VALUE"""),121.0)</f>
        <v>121</v>
      </c>
      <c r="G132" s="1" t="str">
        <f>IFERROR(__xludf.DUMMYFUNCTION("""COMPUTED_VALUE"""),"Box Score")</f>
        <v>Box Score</v>
      </c>
      <c r="H132" s="1"/>
      <c r="I132" s="3">
        <f>IFERROR(__xludf.DUMMYFUNCTION("""COMPUTED_VALUE"""),17000.0)</f>
        <v>17000</v>
      </c>
      <c r="J132" s="1"/>
    </row>
    <row r="133" ht="15.75" customHeight="1">
      <c r="A133" s="2">
        <f>IFERROR(__xludf.DUMMYFUNCTION("""COMPUTED_VALUE"""),43423.0)</f>
        <v>43423</v>
      </c>
      <c r="B133" s="1" t="str">
        <f>IFERROR(__xludf.DUMMYFUNCTION("""COMPUTED_VALUE"""),"7:00p")</f>
        <v>7:00p</v>
      </c>
      <c r="C133" s="1" t="str">
        <f>IFERROR(__xludf.DUMMYFUNCTION("""COMPUTED_VALUE"""),"Phoenix Suns")</f>
        <v>Phoenix Suns</v>
      </c>
      <c r="D133" s="1">
        <f>IFERROR(__xludf.DUMMYFUNCTION("""COMPUTED_VALUE"""),114.0)</f>
        <v>114</v>
      </c>
      <c r="E133" s="1" t="str">
        <f>IFERROR(__xludf.DUMMYFUNCTION("""COMPUTED_VALUE"""),"Philadelphia 76ers")</f>
        <v>Philadelphia 76ers</v>
      </c>
      <c r="F133" s="1">
        <f>IFERROR(__xludf.DUMMYFUNCTION("""COMPUTED_VALUE"""),119.0)</f>
        <v>119</v>
      </c>
      <c r="G133" s="1" t="str">
        <f>IFERROR(__xludf.DUMMYFUNCTION("""COMPUTED_VALUE"""),"Box Score")</f>
        <v>Box Score</v>
      </c>
      <c r="H133" s="1"/>
      <c r="I133" s="3">
        <f>IFERROR(__xludf.DUMMYFUNCTION("""COMPUTED_VALUE"""),20459.0)</f>
        <v>20459</v>
      </c>
      <c r="J133" s="1"/>
    </row>
    <row r="134" ht="15.75" customHeight="1">
      <c r="A134" s="2">
        <f>IFERROR(__xludf.DUMMYFUNCTION("""COMPUTED_VALUE"""),43423.0)</f>
        <v>43423</v>
      </c>
      <c r="B134" s="1" t="str">
        <f>IFERROR(__xludf.DUMMYFUNCTION("""COMPUTED_VALUE"""),"7:30p")</f>
        <v>7:30p</v>
      </c>
      <c r="C134" s="1" t="str">
        <f>IFERROR(__xludf.DUMMYFUNCTION("""COMPUTED_VALUE"""),"Los Angeles Clippers")</f>
        <v>Los Angeles Clippers</v>
      </c>
      <c r="D134" s="1">
        <f>IFERROR(__xludf.DUMMYFUNCTION("""COMPUTED_VALUE"""),127.0)</f>
        <v>127</v>
      </c>
      <c r="E134" s="1" t="str">
        <f>IFERROR(__xludf.DUMMYFUNCTION("""COMPUTED_VALUE"""),"Atlanta Hawks")</f>
        <v>Atlanta Hawks</v>
      </c>
      <c r="F134" s="1">
        <f>IFERROR(__xludf.DUMMYFUNCTION("""COMPUTED_VALUE"""),119.0)</f>
        <v>119</v>
      </c>
      <c r="G134" s="1" t="str">
        <f>IFERROR(__xludf.DUMMYFUNCTION("""COMPUTED_VALUE"""),"Box Score")</f>
        <v>Box Score</v>
      </c>
      <c r="H134" s="1"/>
      <c r="I134" s="3">
        <f>IFERROR(__xludf.DUMMYFUNCTION("""COMPUTED_VALUE"""),14323.0)</f>
        <v>14323</v>
      </c>
      <c r="J134" s="1"/>
    </row>
    <row r="135" ht="15.75" customHeight="1">
      <c r="A135" s="2">
        <f>IFERROR(__xludf.DUMMYFUNCTION("""COMPUTED_VALUE"""),43423.0)</f>
        <v>43423</v>
      </c>
      <c r="B135" s="1" t="str">
        <f>IFERROR(__xludf.DUMMYFUNCTION("""COMPUTED_VALUE"""),"8:00p")</f>
        <v>8:00p</v>
      </c>
      <c r="C135" s="1" t="str">
        <f>IFERROR(__xludf.DUMMYFUNCTION("""COMPUTED_VALUE"""),"Dallas Mavericks")</f>
        <v>Dallas Mavericks</v>
      </c>
      <c r="D135" s="1">
        <f>IFERROR(__xludf.DUMMYFUNCTION("""COMPUTED_VALUE"""),88.0)</f>
        <v>88</v>
      </c>
      <c r="E135" s="1" t="str">
        <f>IFERROR(__xludf.DUMMYFUNCTION("""COMPUTED_VALUE"""),"Memphis Grizzlies")</f>
        <v>Memphis Grizzlies</v>
      </c>
      <c r="F135" s="1">
        <f>IFERROR(__xludf.DUMMYFUNCTION("""COMPUTED_VALUE"""),98.0)</f>
        <v>98</v>
      </c>
      <c r="G135" s="1" t="str">
        <f>IFERROR(__xludf.DUMMYFUNCTION("""COMPUTED_VALUE"""),"Box Score")</f>
        <v>Box Score</v>
      </c>
      <c r="H135" s="1"/>
      <c r="I135" s="3">
        <f>IFERROR(__xludf.DUMMYFUNCTION("""COMPUTED_VALUE"""),15997.0)</f>
        <v>15997</v>
      </c>
      <c r="J135" s="1"/>
    </row>
    <row r="136" ht="15.75" customHeight="1">
      <c r="A136" s="2">
        <f>IFERROR(__xludf.DUMMYFUNCTION("""COMPUTED_VALUE"""),43423.0)</f>
        <v>43423</v>
      </c>
      <c r="B136" s="1" t="str">
        <f>IFERROR(__xludf.DUMMYFUNCTION("""COMPUTED_VALUE"""),"8:00p")</f>
        <v>8:00p</v>
      </c>
      <c r="C136" s="1" t="str">
        <f>IFERROR(__xludf.DUMMYFUNCTION("""COMPUTED_VALUE"""),"Denver Nuggets")</f>
        <v>Denver Nuggets</v>
      </c>
      <c r="D136" s="1">
        <f>IFERROR(__xludf.DUMMYFUNCTION("""COMPUTED_VALUE"""),98.0)</f>
        <v>98</v>
      </c>
      <c r="E136" s="1" t="str">
        <f>IFERROR(__xludf.DUMMYFUNCTION("""COMPUTED_VALUE"""),"Milwaukee Bucks")</f>
        <v>Milwaukee Bucks</v>
      </c>
      <c r="F136" s="1">
        <f>IFERROR(__xludf.DUMMYFUNCTION("""COMPUTED_VALUE"""),104.0)</f>
        <v>104</v>
      </c>
      <c r="G136" s="1" t="str">
        <f>IFERROR(__xludf.DUMMYFUNCTION("""COMPUTED_VALUE"""),"Box Score")</f>
        <v>Box Score</v>
      </c>
      <c r="H136" s="1"/>
      <c r="I136" s="3">
        <f>IFERROR(__xludf.DUMMYFUNCTION("""COMPUTED_VALUE"""),17341.0)</f>
        <v>17341</v>
      </c>
      <c r="J136" s="1"/>
    </row>
    <row r="137" ht="15.75" customHeight="1">
      <c r="A137" s="2">
        <f>IFERROR(__xludf.DUMMYFUNCTION("""COMPUTED_VALUE"""),43423.0)</f>
        <v>43423</v>
      </c>
      <c r="B137" s="1" t="str">
        <f>IFERROR(__xludf.DUMMYFUNCTION("""COMPUTED_VALUE"""),"8:00p")</f>
        <v>8:00p</v>
      </c>
      <c r="C137" s="1" t="str">
        <f>IFERROR(__xludf.DUMMYFUNCTION("""COMPUTED_VALUE"""),"San Antonio Spurs")</f>
        <v>San Antonio Spurs</v>
      </c>
      <c r="D137" s="1">
        <f>IFERROR(__xludf.DUMMYFUNCTION("""COMPUTED_VALUE"""),126.0)</f>
        <v>126</v>
      </c>
      <c r="E137" s="1" t="str">
        <f>IFERROR(__xludf.DUMMYFUNCTION("""COMPUTED_VALUE"""),"New Orleans Pelicans")</f>
        <v>New Orleans Pelicans</v>
      </c>
      <c r="F137" s="1">
        <f>IFERROR(__xludf.DUMMYFUNCTION("""COMPUTED_VALUE"""),140.0)</f>
        <v>140</v>
      </c>
      <c r="G137" s="1" t="str">
        <f>IFERROR(__xludf.DUMMYFUNCTION("""COMPUTED_VALUE"""),"Box Score")</f>
        <v>Box Score</v>
      </c>
      <c r="H137" s="1"/>
      <c r="I137" s="3">
        <f>IFERROR(__xludf.DUMMYFUNCTION("""COMPUTED_VALUE"""),14675.0)</f>
        <v>14675</v>
      </c>
      <c r="J137" s="1"/>
    </row>
    <row r="138" ht="15.75" customHeight="1">
      <c r="A138" s="2">
        <f>IFERROR(__xludf.DUMMYFUNCTION("""COMPUTED_VALUE"""),43423.0)</f>
        <v>43423</v>
      </c>
      <c r="B138" s="1" t="str">
        <f>IFERROR(__xludf.DUMMYFUNCTION("""COMPUTED_VALUE"""),"10:00p")</f>
        <v>10:00p</v>
      </c>
      <c r="C138" s="1" t="str">
        <f>IFERROR(__xludf.DUMMYFUNCTION("""COMPUTED_VALUE"""),"Oklahoma City Thunder")</f>
        <v>Oklahoma City Thunder</v>
      </c>
      <c r="D138" s="1">
        <f>IFERROR(__xludf.DUMMYFUNCTION("""COMPUTED_VALUE"""),113.0)</f>
        <v>113</v>
      </c>
      <c r="E138" s="1" t="str">
        <f>IFERROR(__xludf.DUMMYFUNCTION("""COMPUTED_VALUE"""),"Sacramento Kings")</f>
        <v>Sacramento Kings</v>
      </c>
      <c r="F138" s="1">
        <f>IFERROR(__xludf.DUMMYFUNCTION("""COMPUTED_VALUE"""),117.0)</f>
        <v>117</v>
      </c>
      <c r="G138" s="1" t="str">
        <f>IFERROR(__xludf.DUMMYFUNCTION("""COMPUTED_VALUE"""),"Box Score")</f>
        <v>Box Score</v>
      </c>
      <c r="H138" s="1"/>
      <c r="I138" s="3">
        <f>IFERROR(__xludf.DUMMYFUNCTION("""COMPUTED_VALUE"""),16250.0)</f>
        <v>16250</v>
      </c>
      <c r="J138" s="1"/>
    </row>
    <row r="139" ht="15.75" customHeight="1">
      <c r="A139" s="2">
        <f>IFERROR(__xludf.DUMMYFUNCTION("""COMPUTED_VALUE"""),43424.0)</f>
        <v>43424</v>
      </c>
      <c r="B139" s="1" t="str">
        <f>IFERROR(__xludf.DUMMYFUNCTION("""COMPUTED_VALUE"""),"7:00p")</f>
        <v>7:00p</v>
      </c>
      <c r="C139" s="1" t="str">
        <f>IFERROR(__xludf.DUMMYFUNCTION("""COMPUTED_VALUE"""),"Toronto Raptors")</f>
        <v>Toronto Raptors</v>
      </c>
      <c r="D139" s="1">
        <f>IFERROR(__xludf.DUMMYFUNCTION("""COMPUTED_VALUE"""),93.0)</f>
        <v>93</v>
      </c>
      <c r="E139" s="1" t="str">
        <f>IFERROR(__xludf.DUMMYFUNCTION("""COMPUTED_VALUE"""),"Orlando Magic")</f>
        <v>Orlando Magic</v>
      </c>
      <c r="F139" s="1">
        <f>IFERROR(__xludf.DUMMYFUNCTION("""COMPUTED_VALUE"""),91.0)</f>
        <v>91</v>
      </c>
      <c r="G139" s="1" t="str">
        <f>IFERROR(__xludf.DUMMYFUNCTION("""COMPUTED_VALUE"""),"Box Score")</f>
        <v>Box Score</v>
      </c>
      <c r="H139" s="1"/>
      <c r="I139" s="3">
        <f>IFERROR(__xludf.DUMMYFUNCTION("""COMPUTED_VALUE"""),16016.0)</f>
        <v>16016</v>
      </c>
      <c r="J139" s="1"/>
    </row>
    <row r="140" ht="15.75" customHeight="1">
      <c r="A140" s="2">
        <f>IFERROR(__xludf.DUMMYFUNCTION("""COMPUTED_VALUE"""),43424.0)</f>
        <v>43424</v>
      </c>
      <c r="B140" s="1" t="str">
        <f>IFERROR(__xludf.DUMMYFUNCTION("""COMPUTED_VALUE"""),"7:00p")</f>
        <v>7:00p</v>
      </c>
      <c r="C140" s="1" t="str">
        <f>IFERROR(__xludf.DUMMYFUNCTION("""COMPUTED_VALUE"""),"Los Angeles Clippers")</f>
        <v>Los Angeles Clippers</v>
      </c>
      <c r="D140" s="1">
        <f>IFERROR(__xludf.DUMMYFUNCTION("""COMPUTED_VALUE"""),118.0)</f>
        <v>118</v>
      </c>
      <c r="E140" s="1" t="str">
        <f>IFERROR(__xludf.DUMMYFUNCTION("""COMPUTED_VALUE"""),"Washington Wizards")</f>
        <v>Washington Wizards</v>
      </c>
      <c r="F140" s="1">
        <f>IFERROR(__xludf.DUMMYFUNCTION("""COMPUTED_VALUE"""),125.0)</f>
        <v>125</v>
      </c>
      <c r="G140" s="1" t="str">
        <f>IFERROR(__xludf.DUMMYFUNCTION("""COMPUTED_VALUE"""),"Box Score")</f>
        <v>Box Score</v>
      </c>
      <c r="H140" s="1"/>
      <c r="I140" s="3">
        <f>IFERROR(__xludf.DUMMYFUNCTION("""COMPUTED_VALUE"""),14499.0)</f>
        <v>14499</v>
      </c>
      <c r="J140" s="1"/>
    </row>
    <row r="141" ht="15.75" customHeight="1">
      <c r="A141" s="2">
        <f>IFERROR(__xludf.DUMMYFUNCTION("""COMPUTED_VALUE"""),43424.0)</f>
        <v>43424</v>
      </c>
      <c r="B141" s="1" t="str">
        <f>IFERROR(__xludf.DUMMYFUNCTION("""COMPUTED_VALUE"""),"7:30p")</f>
        <v>7:30p</v>
      </c>
      <c r="C141" s="1" t="str">
        <f>IFERROR(__xludf.DUMMYFUNCTION("""COMPUTED_VALUE"""),"Brooklyn Nets")</f>
        <v>Brooklyn Nets</v>
      </c>
      <c r="D141" s="1">
        <f>IFERROR(__xludf.DUMMYFUNCTION("""COMPUTED_VALUE"""),104.0)</f>
        <v>104</v>
      </c>
      <c r="E141" s="1" t="str">
        <f>IFERROR(__xludf.DUMMYFUNCTION("""COMPUTED_VALUE"""),"Miami Heat")</f>
        <v>Miami Heat</v>
      </c>
      <c r="F141" s="1">
        <f>IFERROR(__xludf.DUMMYFUNCTION("""COMPUTED_VALUE"""),92.0)</f>
        <v>92</v>
      </c>
      <c r="G141" s="1" t="str">
        <f>IFERROR(__xludf.DUMMYFUNCTION("""COMPUTED_VALUE"""),"Box Score")</f>
        <v>Box Score</v>
      </c>
      <c r="H141" s="1"/>
      <c r="I141" s="3">
        <f>IFERROR(__xludf.DUMMYFUNCTION("""COMPUTED_VALUE"""),19600.0)</f>
        <v>19600</v>
      </c>
      <c r="J141" s="1"/>
    </row>
    <row r="142" ht="15.75" customHeight="1">
      <c r="A142" s="2">
        <f>IFERROR(__xludf.DUMMYFUNCTION("""COMPUTED_VALUE"""),43424.0)</f>
        <v>43424</v>
      </c>
      <c r="B142" s="1" t="str">
        <f>IFERROR(__xludf.DUMMYFUNCTION("""COMPUTED_VALUE"""),"7:30p")</f>
        <v>7:30p</v>
      </c>
      <c r="C142" s="1" t="str">
        <f>IFERROR(__xludf.DUMMYFUNCTION("""COMPUTED_VALUE"""),"Portland Trail Blazers")</f>
        <v>Portland Trail Blazers</v>
      </c>
      <c r="D142" s="1">
        <f>IFERROR(__xludf.DUMMYFUNCTION("""COMPUTED_VALUE"""),118.0)</f>
        <v>118</v>
      </c>
      <c r="E142" s="1" t="str">
        <f>IFERROR(__xludf.DUMMYFUNCTION("""COMPUTED_VALUE"""),"New York Knicks")</f>
        <v>New York Knicks</v>
      </c>
      <c r="F142" s="1">
        <f>IFERROR(__xludf.DUMMYFUNCTION("""COMPUTED_VALUE"""),114.0)</f>
        <v>114</v>
      </c>
      <c r="G142" s="1" t="str">
        <f>IFERROR(__xludf.DUMMYFUNCTION("""COMPUTED_VALUE"""),"Box Score")</f>
        <v>Box Score</v>
      </c>
      <c r="H142" s="1"/>
      <c r="I142" s="3">
        <f>IFERROR(__xludf.DUMMYFUNCTION("""COMPUTED_VALUE"""),19812.0)</f>
        <v>19812</v>
      </c>
      <c r="J142" s="1"/>
    </row>
    <row r="143" ht="15.75" customHeight="1">
      <c r="A143" s="2">
        <f>IFERROR(__xludf.DUMMYFUNCTION("""COMPUTED_VALUE"""),43425.0)</f>
        <v>43425</v>
      </c>
      <c r="B143" s="1" t="str">
        <f>IFERROR(__xludf.DUMMYFUNCTION("""COMPUTED_VALUE"""),"7:00p")</f>
        <v>7:00p</v>
      </c>
      <c r="C143" s="1" t="str">
        <f>IFERROR(__xludf.DUMMYFUNCTION("""COMPUTED_VALUE"""),"Indiana Pacers")</f>
        <v>Indiana Pacers</v>
      </c>
      <c r="D143" s="1">
        <f>IFERROR(__xludf.DUMMYFUNCTION("""COMPUTED_VALUE"""),109.0)</f>
        <v>109</v>
      </c>
      <c r="E143" s="1" t="str">
        <f>IFERROR(__xludf.DUMMYFUNCTION("""COMPUTED_VALUE"""),"Charlotte Hornets")</f>
        <v>Charlotte Hornets</v>
      </c>
      <c r="F143" s="1">
        <f>IFERROR(__xludf.DUMMYFUNCTION("""COMPUTED_VALUE"""),127.0)</f>
        <v>127</v>
      </c>
      <c r="G143" s="1" t="str">
        <f>IFERROR(__xludf.DUMMYFUNCTION("""COMPUTED_VALUE"""),"Box Score")</f>
        <v>Box Score</v>
      </c>
      <c r="H143" s="1"/>
      <c r="I143" s="3">
        <f>IFERROR(__xludf.DUMMYFUNCTION("""COMPUTED_VALUE"""),15913.0)</f>
        <v>15913</v>
      </c>
      <c r="J143" s="1"/>
    </row>
    <row r="144" ht="15.75" customHeight="1">
      <c r="A144" s="2">
        <f>IFERROR(__xludf.DUMMYFUNCTION("""COMPUTED_VALUE"""),43425.0)</f>
        <v>43425</v>
      </c>
      <c r="B144" s="1" t="str">
        <f>IFERROR(__xludf.DUMMYFUNCTION("""COMPUTED_VALUE"""),"7:00p")</f>
        <v>7:00p</v>
      </c>
      <c r="C144" s="1" t="str">
        <f>IFERROR(__xludf.DUMMYFUNCTION("""COMPUTED_VALUE"""),"New Orleans Pelicans")</f>
        <v>New Orleans Pelicans</v>
      </c>
      <c r="D144" s="1">
        <f>IFERROR(__xludf.DUMMYFUNCTION("""COMPUTED_VALUE"""),120.0)</f>
        <v>120</v>
      </c>
      <c r="E144" s="1" t="str">
        <f>IFERROR(__xludf.DUMMYFUNCTION("""COMPUTED_VALUE"""),"Philadelphia 76ers")</f>
        <v>Philadelphia 76ers</v>
      </c>
      <c r="F144" s="1">
        <f>IFERROR(__xludf.DUMMYFUNCTION("""COMPUTED_VALUE"""),121.0)</f>
        <v>121</v>
      </c>
      <c r="G144" s="1" t="str">
        <f>IFERROR(__xludf.DUMMYFUNCTION("""COMPUTED_VALUE"""),"Box Score")</f>
        <v>Box Score</v>
      </c>
      <c r="H144" s="1"/>
      <c r="I144" s="3">
        <f>IFERROR(__xludf.DUMMYFUNCTION("""COMPUTED_VALUE"""),20352.0)</f>
        <v>20352</v>
      </c>
      <c r="J144" s="1"/>
    </row>
    <row r="145" ht="15.75" customHeight="1">
      <c r="A145" s="2">
        <f>IFERROR(__xludf.DUMMYFUNCTION("""COMPUTED_VALUE"""),43425.0)</f>
        <v>43425</v>
      </c>
      <c r="B145" s="1" t="str">
        <f>IFERROR(__xludf.DUMMYFUNCTION("""COMPUTED_VALUE"""),"7:30p")</f>
        <v>7:30p</v>
      </c>
      <c r="C145" s="1" t="str">
        <f>IFERROR(__xludf.DUMMYFUNCTION("""COMPUTED_VALUE"""),"Toronto Raptors")</f>
        <v>Toronto Raptors</v>
      </c>
      <c r="D145" s="1">
        <f>IFERROR(__xludf.DUMMYFUNCTION("""COMPUTED_VALUE"""),124.0)</f>
        <v>124</v>
      </c>
      <c r="E145" s="1" t="str">
        <f>IFERROR(__xludf.DUMMYFUNCTION("""COMPUTED_VALUE"""),"Atlanta Hawks")</f>
        <v>Atlanta Hawks</v>
      </c>
      <c r="F145" s="1">
        <f>IFERROR(__xludf.DUMMYFUNCTION("""COMPUTED_VALUE"""),108.0)</f>
        <v>108</v>
      </c>
      <c r="G145" s="1" t="str">
        <f>IFERROR(__xludf.DUMMYFUNCTION("""COMPUTED_VALUE"""),"Box Score")</f>
        <v>Box Score</v>
      </c>
      <c r="H145" s="1"/>
      <c r="I145" s="3">
        <f>IFERROR(__xludf.DUMMYFUNCTION("""COMPUTED_VALUE"""),15058.0)</f>
        <v>15058</v>
      </c>
      <c r="J145" s="1"/>
    </row>
    <row r="146" ht="15.75" customHeight="1">
      <c r="A146" s="2">
        <f>IFERROR(__xludf.DUMMYFUNCTION("""COMPUTED_VALUE"""),43425.0)</f>
        <v>43425</v>
      </c>
      <c r="B146" s="1" t="str">
        <f>IFERROR(__xludf.DUMMYFUNCTION("""COMPUTED_VALUE"""),"7:30p")</f>
        <v>7:30p</v>
      </c>
      <c r="C146" s="1" t="str">
        <f>IFERROR(__xludf.DUMMYFUNCTION("""COMPUTED_VALUE"""),"New York Knicks")</f>
        <v>New York Knicks</v>
      </c>
      <c r="D146" s="1">
        <f>IFERROR(__xludf.DUMMYFUNCTION("""COMPUTED_VALUE"""),117.0)</f>
        <v>117</v>
      </c>
      <c r="E146" s="1" t="str">
        <f>IFERROR(__xludf.DUMMYFUNCTION("""COMPUTED_VALUE"""),"Boston Celtics")</f>
        <v>Boston Celtics</v>
      </c>
      <c r="F146" s="1">
        <f>IFERROR(__xludf.DUMMYFUNCTION("""COMPUTED_VALUE"""),109.0)</f>
        <v>109</v>
      </c>
      <c r="G146" s="1" t="str">
        <f>IFERROR(__xludf.DUMMYFUNCTION("""COMPUTED_VALUE"""),"Box Score")</f>
        <v>Box Score</v>
      </c>
      <c r="H146" s="1"/>
      <c r="I146" s="3">
        <f>IFERROR(__xludf.DUMMYFUNCTION("""COMPUTED_VALUE"""),18624.0)</f>
        <v>18624</v>
      </c>
      <c r="J146" s="1"/>
    </row>
    <row r="147" ht="15.75" customHeight="1">
      <c r="A147" s="2">
        <f>IFERROR(__xludf.DUMMYFUNCTION("""COMPUTED_VALUE"""),43425.0)</f>
        <v>43425</v>
      </c>
      <c r="B147" s="1" t="str">
        <f>IFERROR(__xludf.DUMMYFUNCTION("""COMPUTED_VALUE"""),"8:00p")</f>
        <v>8:00p</v>
      </c>
      <c r="C147" s="1" t="str">
        <f>IFERROR(__xludf.DUMMYFUNCTION("""COMPUTED_VALUE"""),"Phoenix Suns")</f>
        <v>Phoenix Suns</v>
      </c>
      <c r="D147" s="1">
        <f>IFERROR(__xludf.DUMMYFUNCTION("""COMPUTED_VALUE"""),116.0)</f>
        <v>116</v>
      </c>
      <c r="E147" s="1" t="str">
        <f>IFERROR(__xludf.DUMMYFUNCTION("""COMPUTED_VALUE"""),"Chicago Bulls")</f>
        <v>Chicago Bulls</v>
      </c>
      <c r="F147" s="1">
        <f>IFERROR(__xludf.DUMMYFUNCTION("""COMPUTED_VALUE"""),124.0)</f>
        <v>124</v>
      </c>
      <c r="G147" s="1" t="str">
        <f>IFERROR(__xludf.DUMMYFUNCTION("""COMPUTED_VALUE"""),"Box Score")</f>
        <v>Box Score</v>
      </c>
      <c r="H147" s="1"/>
      <c r="I147" s="3">
        <f>IFERROR(__xludf.DUMMYFUNCTION("""COMPUTED_VALUE"""),19014.0)</f>
        <v>19014</v>
      </c>
      <c r="J147" s="1"/>
    </row>
    <row r="148" ht="15.75" customHeight="1">
      <c r="A148" s="2">
        <f>IFERROR(__xludf.DUMMYFUNCTION("""COMPUTED_VALUE"""),43425.0)</f>
        <v>43425</v>
      </c>
      <c r="B148" s="1" t="str">
        <f>IFERROR(__xludf.DUMMYFUNCTION("""COMPUTED_VALUE"""),"8:00p")</f>
        <v>8:00p</v>
      </c>
      <c r="C148" s="1" t="str">
        <f>IFERROR(__xludf.DUMMYFUNCTION("""COMPUTED_VALUE"""),"Los Angeles Lakers")</f>
        <v>Los Angeles Lakers</v>
      </c>
      <c r="D148" s="1">
        <f>IFERROR(__xludf.DUMMYFUNCTION("""COMPUTED_VALUE"""),109.0)</f>
        <v>109</v>
      </c>
      <c r="E148" s="1" t="str">
        <f>IFERROR(__xludf.DUMMYFUNCTION("""COMPUTED_VALUE"""),"Cleveland Cavaliers")</f>
        <v>Cleveland Cavaliers</v>
      </c>
      <c r="F148" s="1">
        <f>IFERROR(__xludf.DUMMYFUNCTION("""COMPUTED_VALUE"""),105.0)</f>
        <v>105</v>
      </c>
      <c r="G148" s="1" t="str">
        <f>IFERROR(__xludf.DUMMYFUNCTION("""COMPUTED_VALUE"""),"Box Score")</f>
        <v>Box Score</v>
      </c>
      <c r="H148" s="1"/>
      <c r="I148" s="3">
        <f>IFERROR(__xludf.DUMMYFUNCTION("""COMPUTED_VALUE"""),19432.0)</f>
        <v>19432</v>
      </c>
      <c r="J148" s="1"/>
    </row>
    <row r="149" ht="15.75" customHeight="1">
      <c r="A149" s="2">
        <f>IFERROR(__xludf.DUMMYFUNCTION("""COMPUTED_VALUE"""),43425.0)</f>
        <v>43425</v>
      </c>
      <c r="B149" s="1" t="str">
        <f>IFERROR(__xludf.DUMMYFUNCTION("""COMPUTED_VALUE"""),"8:00p")</f>
        <v>8:00p</v>
      </c>
      <c r="C149" s="1" t="str">
        <f>IFERROR(__xludf.DUMMYFUNCTION("""COMPUTED_VALUE"""),"Detroit Pistons")</f>
        <v>Detroit Pistons</v>
      </c>
      <c r="D149" s="1">
        <f>IFERROR(__xludf.DUMMYFUNCTION("""COMPUTED_VALUE"""),124.0)</f>
        <v>124</v>
      </c>
      <c r="E149" s="1" t="str">
        <f>IFERROR(__xludf.DUMMYFUNCTION("""COMPUTED_VALUE"""),"Houston Rockets")</f>
        <v>Houston Rockets</v>
      </c>
      <c r="F149" s="1">
        <f>IFERROR(__xludf.DUMMYFUNCTION("""COMPUTED_VALUE"""),126.0)</f>
        <v>126</v>
      </c>
      <c r="G149" s="1" t="str">
        <f>IFERROR(__xludf.DUMMYFUNCTION("""COMPUTED_VALUE"""),"Box Score")</f>
        <v>Box Score</v>
      </c>
      <c r="H149" s="1"/>
      <c r="I149" s="3">
        <f>IFERROR(__xludf.DUMMYFUNCTION("""COMPUTED_VALUE"""),18055.0)</f>
        <v>18055</v>
      </c>
      <c r="J149" s="1"/>
    </row>
    <row r="150" ht="15.75" customHeight="1">
      <c r="A150" s="2">
        <f>IFERROR(__xludf.DUMMYFUNCTION("""COMPUTED_VALUE"""),43425.0)</f>
        <v>43425</v>
      </c>
      <c r="B150" s="1" t="str">
        <f>IFERROR(__xludf.DUMMYFUNCTION("""COMPUTED_VALUE"""),"8:00p")</f>
        <v>8:00p</v>
      </c>
      <c r="C150" s="1" t="str">
        <f>IFERROR(__xludf.DUMMYFUNCTION("""COMPUTED_VALUE"""),"Portland Trail Blazers")</f>
        <v>Portland Trail Blazers</v>
      </c>
      <c r="D150" s="1">
        <f>IFERROR(__xludf.DUMMYFUNCTION("""COMPUTED_VALUE"""),100.0)</f>
        <v>100</v>
      </c>
      <c r="E150" s="1" t="str">
        <f>IFERROR(__xludf.DUMMYFUNCTION("""COMPUTED_VALUE"""),"Milwaukee Bucks")</f>
        <v>Milwaukee Bucks</v>
      </c>
      <c r="F150" s="1">
        <f>IFERROR(__xludf.DUMMYFUNCTION("""COMPUTED_VALUE"""),143.0)</f>
        <v>143</v>
      </c>
      <c r="G150" s="1" t="str">
        <f>IFERROR(__xludf.DUMMYFUNCTION("""COMPUTED_VALUE"""),"Box Score")</f>
        <v>Box Score</v>
      </c>
      <c r="H150" s="1"/>
      <c r="I150" s="3">
        <f>IFERROR(__xludf.DUMMYFUNCTION("""COMPUTED_VALUE"""),17591.0)</f>
        <v>17591</v>
      </c>
      <c r="J150" s="1"/>
    </row>
    <row r="151" ht="15.75" customHeight="1">
      <c r="A151" s="2">
        <f>IFERROR(__xludf.DUMMYFUNCTION("""COMPUTED_VALUE"""),43425.0)</f>
        <v>43425</v>
      </c>
      <c r="B151" s="1" t="str">
        <f>IFERROR(__xludf.DUMMYFUNCTION("""COMPUTED_VALUE"""),"8:00p")</f>
        <v>8:00p</v>
      </c>
      <c r="C151" s="1" t="str">
        <f>IFERROR(__xludf.DUMMYFUNCTION("""COMPUTED_VALUE"""),"Denver Nuggets")</f>
        <v>Denver Nuggets</v>
      </c>
      <c r="D151" s="1">
        <f>IFERROR(__xludf.DUMMYFUNCTION("""COMPUTED_VALUE"""),103.0)</f>
        <v>103</v>
      </c>
      <c r="E151" s="1" t="str">
        <f>IFERROR(__xludf.DUMMYFUNCTION("""COMPUTED_VALUE"""),"Minnesota Timberwolves")</f>
        <v>Minnesota Timberwolves</v>
      </c>
      <c r="F151" s="1">
        <f>IFERROR(__xludf.DUMMYFUNCTION("""COMPUTED_VALUE"""),101.0)</f>
        <v>101</v>
      </c>
      <c r="G151" s="1" t="str">
        <f>IFERROR(__xludf.DUMMYFUNCTION("""COMPUTED_VALUE"""),"Box Score")</f>
        <v>Box Score</v>
      </c>
      <c r="H151" s="1"/>
      <c r="I151" s="3">
        <f>IFERROR(__xludf.DUMMYFUNCTION("""COMPUTED_VALUE"""),15086.0)</f>
        <v>15086</v>
      </c>
      <c r="J151" s="1"/>
    </row>
    <row r="152" ht="15.75" customHeight="1">
      <c r="A152" s="2">
        <f>IFERROR(__xludf.DUMMYFUNCTION("""COMPUTED_VALUE"""),43425.0)</f>
        <v>43425</v>
      </c>
      <c r="B152" s="1" t="str">
        <f>IFERROR(__xludf.DUMMYFUNCTION("""COMPUTED_VALUE"""),"8:30p")</f>
        <v>8:30p</v>
      </c>
      <c r="C152" s="1" t="str">
        <f>IFERROR(__xludf.DUMMYFUNCTION("""COMPUTED_VALUE"""),"Brooklyn Nets")</f>
        <v>Brooklyn Nets</v>
      </c>
      <c r="D152" s="1">
        <f>IFERROR(__xludf.DUMMYFUNCTION("""COMPUTED_VALUE"""),113.0)</f>
        <v>113</v>
      </c>
      <c r="E152" s="1" t="str">
        <f>IFERROR(__xludf.DUMMYFUNCTION("""COMPUTED_VALUE"""),"Dallas Mavericks")</f>
        <v>Dallas Mavericks</v>
      </c>
      <c r="F152" s="1">
        <f>IFERROR(__xludf.DUMMYFUNCTION("""COMPUTED_VALUE"""),119.0)</f>
        <v>119</v>
      </c>
      <c r="G152" s="1" t="str">
        <f>IFERROR(__xludf.DUMMYFUNCTION("""COMPUTED_VALUE"""),"Box Score")</f>
        <v>Box Score</v>
      </c>
      <c r="H152" s="1"/>
      <c r="I152" s="3">
        <f>IFERROR(__xludf.DUMMYFUNCTION("""COMPUTED_VALUE"""),19926.0)</f>
        <v>19926</v>
      </c>
      <c r="J152" s="1"/>
    </row>
    <row r="153" ht="15.75" customHeight="1">
      <c r="A153" s="2">
        <f>IFERROR(__xludf.DUMMYFUNCTION("""COMPUTED_VALUE"""),43425.0)</f>
        <v>43425</v>
      </c>
      <c r="B153" s="1" t="str">
        <f>IFERROR(__xludf.DUMMYFUNCTION("""COMPUTED_VALUE"""),"8:30p")</f>
        <v>8:30p</v>
      </c>
      <c r="C153" s="1" t="str">
        <f>IFERROR(__xludf.DUMMYFUNCTION("""COMPUTED_VALUE"""),"Memphis Grizzlies")</f>
        <v>Memphis Grizzlies</v>
      </c>
      <c r="D153" s="1">
        <f>IFERROR(__xludf.DUMMYFUNCTION("""COMPUTED_VALUE"""),104.0)</f>
        <v>104</v>
      </c>
      <c r="E153" s="1" t="str">
        <f>IFERROR(__xludf.DUMMYFUNCTION("""COMPUTED_VALUE"""),"San Antonio Spurs")</f>
        <v>San Antonio Spurs</v>
      </c>
      <c r="F153" s="1">
        <f>IFERROR(__xludf.DUMMYFUNCTION("""COMPUTED_VALUE"""),103.0)</f>
        <v>103</v>
      </c>
      <c r="G153" s="1" t="str">
        <f>IFERROR(__xludf.DUMMYFUNCTION("""COMPUTED_VALUE"""),"Box Score")</f>
        <v>Box Score</v>
      </c>
      <c r="H153" s="1"/>
      <c r="I153" s="3">
        <f>IFERROR(__xludf.DUMMYFUNCTION("""COMPUTED_VALUE"""),18354.0)</f>
        <v>18354</v>
      </c>
      <c r="J153" s="1"/>
    </row>
    <row r="154" ht="15.75" customHeight="1">
      <c r="A154" s="2">
        <f>IFERROR(__xludf.DUMMYFUNCTION("""COMPUTED_VALUE"""),43425.0)</f>
        <v>43425</v>
      </c>
      <c r="B154" s="1" t="str">
        <f>IFERROR(__xludf.DUMMYFUNCTION("""COMPUTED_VALUE"""),"9:00p")</f>
        <v>9:00p</v>
      </c>
      <c r="C154" s="1" t="str">
        <f>IFERROR(__xludf.DUMMYFUNCTION("""COMPUTED_VALUE"""),"Sacramento Kings")</f>
        <v>Sacramento Kings</v>
      </c>
      <c r="D154" s="1">
        <f>IFERROR(__xludf.DUMMYFUNCTION("""COMPUTED_VALUE"""),119.0)</f>
        <v>119</v>
      </c>
      <c r="E154" s="1" t="str">
        <f>IFERROR(__xludf.DUMMYFUNCTION("""COMPUTED_VALUE"""),"Utah Jazz")</f>
        <v>Utah Jazz</v>
      </c>
      <c r="F154" s="1">
        <f>IFERROR(__xludf.DUMMYFUNCTION("""COMPUTED_VALUE"""),110.0)</f>
        <v>110</v>
      </c>
      <c r="G154" s="1" t="str">
        <f>IFERROR(__xludf.DUMMYFUNCTION("""COMPUTED_VALUE"""),"Box Score")</f>
        <v>Box Score</v>
      </c>
      <c r="H154" s="1"/>
      <c r="I154" s="3">
        <f>IFERROR(__xludf.DUMMYFUNCTION("""COMPUTED_VALUE"""),18306.0)</f>
        <v>18306</v>
      </c>
      <c r="J154" s="1"/>
    </row>
    <row r="155" ht="15.75" customHeight="1">
      <c r="A155" s="2">
        <f>IFERROR(__xludf.DUMMYFUNCTION("""COMPUTED_VALUE"""),43425.0)</f>
        <v>43425</v>
      </c>
      <c r="B155" s="1" t="str">
        <f>IFERROR(__xludf.DUMMYFUNCTION("""COMPUTED_VALUE"""),"10:30p")</f>
        <v>10:30p</v>
      </c>
      <c r="C155" s="1" t="str">
        <f>IFERROR(__xludf.DUMMYFUNCTION("""COMPUTED_VALUE"""),"Oklahoma City Thunder")</f>
        <v>Oklahoma City Thunder</v>
      </c>
      <c r="D155" s="1">
        <f>IFERROR(__xludf.DUMMYFUNCTION("""COMPUTED_VALUE"""),123.0)</f>
        <v>123</v>
      </c>
      <c r="E155" s="1" t="str">
        <f>IFERROR(__xludf.DUMMYFUNCTION("""COMPUTED_VALUE"""),"Golden State Warriors")</f>
        <v>Golden State Warriors</v>
      </c>
      <c r="F155" s="1">
        <f>IFERROR(__xludf.DUMMYFUNCTION("""COMPUTED_VALUE"""),95.0)</f>
        <v>95</v>
      </c>
      <c r="G155" s="1" t="str">
        <f>IFERROR(__xludf.DUMMYFUNCTION("""COMPUTED_VALUE"""),"Box Score")</f>
        <v>Box Score</v>
      </c>
      <c r="H155" s="1"/>
      <c r="I155" s="3">
        <f>IFERROR(__xludf.DUMMYFUNCTION("""COMPUTED_VALUE"""),19596.0)</f>
        <v>19596</v>
      </c>
      <c r="J155" s="1"/>
    </row>
    <row r="156" ht="15.75" customHeight="1">
      <c r="A156" s="2">
        <f>IFERROR(__xludf.DUMMYFUNCTION("""COMPUTED_VALUE"""),43427.0)</f>
        <v>43427</v>
      </c>
      <c r="B156" s="1" t="str">
        <f>IFERROR(__xludf.DUMMYFUNCTION("""COMPUTED_VALUE"""),"12:00p")</f>
        <v>12:00p</v>
      </c>
      <c r="C156" s="1" t="str">
        <f>IFERROR(__xludf.DUMMYFUNCTION("""COMPUTED_VALUE"""),"Minnesota Timberwolves")</f>
        <v>Minnesota Timberwolves</v>
      </c>
      <c r="D156" s="1">
        <f>IFERROR(__xludf.DUMMYFUNCTION("""COMPUTED_VALUE"""),112.0)</f>
        <v>112</v>
      </c>
      <c r="E156" s="1" t="str">
        <f>IFERROR(__xludf.DUMMYFUNCTION("""COMPUTED_VALUE"""),"Brooklyn Nets")</f>
        <v>Brooklyn Nets</v>
      </c>
      <c r="F156" s="1">
        <f>IFERROR(__xludf.DUMMYFUNCTION("""COMPUTED_VALUE"""),102.0)</f>
        <v>102</v>
      </c>
      <c r="G156" s="1" t="str">
        <f>IFERROR(__xludf.DUMMYFUNCTION("""COMPUTED_VALUE"""),"Box Score")</f>
        <v>Box Score</v>
      </c>
      <c r="H156" s="1"/>
      <c r="I156" s="3">
        <f>IFERROR(__xludf.DUMMYFUNCTION("""COMPUTED_VALUE"""),12814.0)</f>
        <v>12814</v>
      </c>
      <c r="J156" s="1"/>
    </row>
    <row r="157" ht="15.75" customHeight="1">
      <c r="A157" s="2">
        <f>IFERROR(__xludf.DUMMYFUNCTION("""COMPUTED_VALUE"""),43427.0)</f>
        <v>43427</v>
      </c>
      <c r="B157" s="1" t="str">
        <f>IFERROR(__xludf.DUMMYFUNCTION("""COMPUTED_VALUE"""),"3:30p")</f>
        <v>3:30p</v>
      </c>
      <c r="C157" s="1" t="str">
        <f>IFERROR(__xludf.DUMMYFUNCTION("""COMPUTED_VALUE"""),"Memphis Grizzlies")</f>
        <v>Memphis Grizzlies</v>
      </c>
      <c r="D157" s="1">
        <f>IFERROR(__xludf.DUMMYFUNCTION("""COMPUTED_VALUE"""),107.0)</f>
        <v>107</v>
      </c>
      <c r="E157" s="1" t="str">
        <f>IFERROR(__xludf.DUMMYFUNCTION("""COMPUTED_VALUE"""),"Los Angeles Clippers")</f>
        <v>Los Angeles Clippers</v>
      </c>
      <c r="F157" s="1">
        <f>IFERROR(__xludf.DUMMYFUNCTION("""COMPUTED_VALUE"""),112.0)</f>
        <v>112</v>
      </c>
      <c r="G157" s="1" t="str">
        <f>IFERROR(__xludf.DUMMYFUNCTION("""COMPUTED_VALUE"""),"Box Score")</f>
        <v>Box Score</v>
      </c>
      <c r="H157" s="1" t="str">
        <f>IFERROR(__xludf.DUMMYFUNCTION("""COMPUTED_VALUE"""),"OT")</f>
        <v>OT</v>
      </c>
      <c r="I157" s="3">
        <f>IFERROR(__xludf.DUMMYFUNCTION("""COMPUTED_VALUE"""),15418.0)</f>
        <v>15418</v>
      </c>
      <c r="J157" s="1"/>
    </row>
    <row r="158" ht="15.75" customHeight="1">
      <c r="A158" s="2">
        <f>IFERROR(__xludf.DUMMYFUNCTION("""COMPUTED_VALUE"""),43427.0)</f>
        <v>43427</v>
      </c>
      <c r="B158" s="1" t="str">
        <f>IFERROR(__xludf.DUMMYFUNCTION("""COMPUTED_VALUE"""),"7:00p")</f>
        <v>7:00p</v>
      </c>
      <c r="C158" s="1" t="str">
        <f>IFERROR(__xludf.DUMMYFUNCTION("""COMPUTED_VALUE"""),"Houston Rockets")</f>
        <v>Houston Rockets</v>
      </c>
      <c r="D158" s="1">
        <f>IFERROR(__xludf.DUMMYFUNCTION("""COMPUTED_VALUE"""),111.0)</f>
        <v>111</v>
      </c>
      <c r="E158" s="1" t="str">
        <f>IFERROR(__xludf.DUMMYFUNCTION("""COMPUTED_VALUE"""),"Detroit Pistons")</f>
        <v>Detroit Pistons</v>
      </c>
      <c r="F158" s="1">
        <f>IFERROR(__xludf.DUMMYFUNCTION("""COMPUTED_VALUE"""),116.0)</f>
        <v>116</v>
      </c>
      <c r="G158" s="1" t="str">
        <f>IFERROR(__xludf.DUMMYFUNCTION("""COMPUTED_VALUE"""),"Box Score")</f>
        <v>Box Score</v>
      </c>
      <c r="H158" s="1" t="str">
        <f>IFERROR(__xludf.DUMMYFUNCTION("""COMPUTED_VALUE"""),"OT")</f>
        <v>OT</v>
      </c>
      <c r="I158" s="3">
        <f>IFERROR(__xludf.DUMMYFUNCTION("""COMPUTED_VALUE"""),17268.0)</f>
        <v>17268</v>
      </c>
      <c r="J158" s="1"/>
    </row>
    <row r="159" ht="15.75" customHeight="1">
      <c r="A159" s="2">
        <f>IFERROR(__xludf.DUMMYFUNCTION("""COMPUTED_VALUE"""),43427.0)</f>
        <v>43427</v>
      </c>
      <c r="B159" s="1" t="str">
        <f>IFERROR(__xludf.DUMMYFUNCTION("""COMPUTED_VALUE"""),"7:30p")</f>
        <v>7:30p</v>
      </c>
      <c r="C159" s="1" t="str">
        <f>IFERROR(__xludf.DUMMYFUNCTION("""COMPUTED_VALUE"""),"Boston Celtics")</f>
        <v>Boston Celtics</v>
      </c>
      <c r="D159" s="1">
        <f>IFERROR(__xludf.DUMMYFUNCTION("""COMPUTED_VALUE"""),114.0)</f>
        <v>114</v>
      </c>
      <c r="E159" s="1" t="str">
        <f>IFERROR(__xludf.DUMMYFUNCTION("""COMPUTED_VALUE"""),"Atlanta Hawks")</f>
        <v>Atlanta Hawks</v>
      </c>
      <c r="F159" s="1">
        <f>IFERROR(__xludf.DUMMYFUNCTION("""COMPUTED_VALUE"""),96.0)</f>
        <v>96</v>
      </c>
      <c r="G159" s="1" t="str">
        <f>IFERROR(__xludf.DUMMYFUNCTION("""COMPUTED_VALUE"""),"Box Score")</f>
        <v>Box Score</v>
      </c>
      <c r="H159" s="1"/>
      <c r="I159" s="3">
        <f>IFERROR(__xludf.DUMMYFUNCTION("""COMPUTED_VALUE"""),15017.0)</f>
        <v>15017</v>
      </c>
      <c r="J159" s="1"/>
    </row>
    <row r="160" ht="15.75" customHeight="1">
      <c r="A160" s="2">
        <f>IFERROR(__xludf.DUMMYFUNCTION("""COMPUTED_VALUE"""),43427.0)</f>
        <v>43427</v>
      </c>
      <c r="B160" s="1" t="str">
        <f>IFERROR(__xludf.DUMMYFUNCTION("""COMPUTED_VALUE"""),"7:30p")</f>
        <v>7:30p</v>
      </c>
      <c r="C160" s="1" t="str">
        <f>IFERROR(__xludf.DUMMYFUNCTION("""COMPUTED_VALUE"""),"New Orleans Pelicans")</f>
        <v>New Orleans Pelicans</v>
      </c>
      <c r="D160" s="1">
        <f>IFERROR(__xludf.DUMMYFUNCTION("""COMPUTED_VALUE"""),109.0)</f>
        <v>109</v>
      </c>
      <c r="E160" s="1" t="str">
        <f>IFERROR(__xludf.DUMMYFUNCTION("""COMPUTED_VALUE"""),"New York Knicks")</f>
        <v>New York Knicks</v>
      </c>
      <c r="F160" s="1">
        <f>IFERROR(__xludf.DUMMYFUNCTION("""COMPUTED_VALUE"""),114.0)</f>
        <v>114</v>
      </c>
      <c r="G160" s="1" t="str">
        <f>IFERROR(__xludf.DUMMYFUNCTION("""COMPUTED_VALUE"""),"Box Score")</f>
        <v>Box Score</v>
      </c>
      <c r="H160" s="1"/>
      <c r="I160" s="3">
        <f>IFERROR(__xludf.DUMMYFUNCTION("""COMPUTED_VALUE"""),18948.0)</f>
        <v>18948</v>
      </c>
      <c r="J160" s="1"/>
    </row>
    <row r="161" ht="15.75" customHeight="1">
      <c r="A161" s="2">
        <f>IFERROR(__xludf.DUMMYFUNCTION("""COMPUTED_VALUE"""),43427.0)</f>
        <v>43427</v>
      </c>
      <c r="B161" s="1" t="str">
        <f>IFERROR(__xludf.DUMMYFUNCTION("""COMPUTED_VALUE"""),"7:30p")</f>
        <v>7:30p</v>
      </c>
      <c r="C161" s="1" t="str">
        <f>IFERROR(__xludf.DUMMYFUNCTION("""COMPUTED_VALUE"""),"Cleveland Cavaliers")</f>
        <v>Cleveland Cavaliers</v>
      </c>
      <c r="D161" s="1">
        <f>IFERROR(__xludf.DUMMYFUNCTION("""COMPUTED_VALUE"""),121.0)</f>
        <v>121</v>
      </c>
      <c r="E161" s="1" t="str">
        <f>IFERROR(__xludf.DUMMYFUNCTION("""COMPUTED_VALUE"""),"Philadelphia 76ers")</f>
        <v>Philadelphia 76ers</v>
      </c>
      <c r="F161" s="1">
        <f>IFERROR(__xludf.DUMMYFUNCTION("""COMPUTED_VALUE"""),112.0)</f>
        <v>112</v>
      </c>
      <c r="G161" s="1" t="str">
        <f>IFERROR(__xludf.DUMMYFUNCTION("""COMPUTED_VALUE"""),"Box Score")</f>
        <v>Box Score</v>
      </c>
      <c r="H161" s="1"/>
      <c r="I161" s="3">
        <f>IFERROR(__xludf.DUMMYFUNCTION("""COMPUTED_VALUE"""),20524.0)</f>
        <v>20524</v>
      </c>
      <c r="J161" s="1"/>
    </row>
    <row r="162" ht="15.75" customHeight="1">
      <c r="A162" s="2">
        <f>IFERROR(__xludf.DUMMYFUNCTION("""COMPUTED_VALUE"""),43427.0)</f>
        <v>43427</v>
      </c>
      <c r="B162" s="1" t="str">
        <f>IFERROR(__xludf.DUMMYFUNCTION("""COMPUTED_VALUE"""),"7:30p")</f>
        <v>7:30p</v>
      </c>
      <c r="C162" s="1" t="str">
        <f>IFERROR(__xludf.DUMMYFUNCTION("""COMPUTED_VALUE"""),"Washington Wizards")</f>
        <v>Washington Wizards</v>
      </c>
      <c r="D162" s="1">
        <f>IFERROR(__xludf.DUMMYFUNCTION("""COMPUTED_VALUE"""),107.0)</f>
        <v>107</v>
      </c>
      <c r="E162" s="1" t="str">
        <f>IFERROR(__xludf.DUMMYFUNCTION("""COMPUTED_VALUE"""),"Toronto Raptors")</f>
        <v>Toronto Raptors</v>
      </c>
      <c r="F162" s="1">
        <f>IFERROR(__xludf.DUMMYFUNCTION("""COMPUTED_VALUE"""),125.0)</f>
        <v>125</v>
      </c>
      <c r="G162" s="1" t="str">
        <f>IFERROR(__xludf.DUMMYFUNCTION("""COMPUTED_VALUE"""),"Box Score")</f>
        <v>Box Score</v>
      </c>
      <c r="H162" s="1"/>
      <c r="I162" s="3">
        <f>IFERROR(__xludf.DUMMYFUNCTION("""COMPUTED_VALUE"""),19800.0)</f>
        <v>19800</v>
      </c>
      <c r="J162" s="1"/>
    </row>
    <row r="163" ht="15.75" customHeight="1">
      <c r="A163" s="2">
        <f>IFERROR(__xludf.DUMMYFUNCTION("""COMPUTED_VALUE"""),43427.0)</f>
        <v>43427</v>
      </c>
      <c r="B163" s="1" t="str">
        <f>IFERROR(__xludf.DUMMYFUNCTION("""COMPUTED_VALUE"""),"8:00p")</f>
        <v>8:00p</v>
      </c>
      <c r="C163" s="1" t="str">
        <f>IFERROR(__xludf.DUMMYFUNCTION("""COMPUTED_VALUE"""),"Miami Heat")</f>
        <v>Miami Heat</v>
      </c>
      <c r="D163" s="1">
        <f>IFERROR(__xludf.DUMMYFUNCTION("""COMPUTED_VALUE"""),103.0)</f>
        <v>103</v>
      </c>
      <c r="E163" s="1" t="str">
        <f>IFERROR(__xludf.DUMMYFUNCTION("""COMPUTED_VALUE"""),"Chicago Bulls")</f>
        <v>Chicago Bulls</v>
      </c>
      <c r="F163" s="1">
        <f>IFERROR(__xludf.DUMMYFUNCTION("""COMPUTED_VALUE"""),96.0)</f>
        <v>96</v>
      </c>
      <c r="G163" s="1" t="str">
        <f>IFERROR(__xludf.DUMMYFUNCTION("""COMPUTED_VALUE"""),"Box Score")</f>
        <v>Box Score</v>
      </c>
      <c r="H163" s="1"/>
      <c r="I163" s="3">
        <f>IFERROR(__xludf.DUMMYFUNCTION("""COMPUTED_VALUE"""),20935.0)</f>
        <v>20935</v>
      </c>
      <c r="J163" s="1"/>
    </row>
    <row r="164" ht="15.75" customHeight="1">
      <c r="A164" s="2">
        <f>IFERROR(__xludf.DUMMYFUNCTION("""COMPUTED_VALUE"""),43427.0)</f>
        <v>43427</v>
      </c>
      <c r="B164" s="1" t="str">
        <f>IFERROR(__xludf.DUMMYFUNCTION("""COMPUTED_VALUE"""),"8:00p")</f>
        <v>8:00p</v>
      </c>
      <c r="C164" s="1" t="str">
        <f>IFERROR(__xludf.DUMMYFUNCTION("""COMPUTED_VALUE"""),"San Antonio Spurs")</f>
        <v>San Antonio Spurs</v>
      </c>
      <c r="D164" s="1">
        <f>IFERROR(__xludf.DUMMYFUNCTION("""COMPUTED_VALUE"""),111.0)</f>
        <v>111</v>
      </c>
      <c r="E164" s="1" t="str">
        <f>IFERROR(__xludf.DUMMYFUNCTION("""COMPUTED_VALUE"""),"Indiana Pacers")</f>
        <v>Indiana Pacers</v>
      </c>
      <c r="F164" s="1">
        <f>IFERROR(__xludf.DUMMYFUNCTION("""COMPUTED_VALUE"""),100.0)</f>
        <v>100</v>
      </c>
      <c r="G164" s="1" t="str">
        <f>IFERROR(__xludf.DUMMYFUNCTION("""COMPUTED_VALUE"""),"Box Score")</f>
        <v>Box Score</v>
      </c>
      <c r="H164" s="1"/>
      <c r="I164" s="3">
        <f>IFERROR(__xludf.DUMMYFUNCTION("""COMPUTED_VALUE"""),17262.0)</f>
        <v>17262</v>
      </c>
      <c r="J164" s="1"/>
    </row>
    <row r="165" ht="15.75" customHeight="1">
      <c r="A165" s="2">
        <f>IFERROR(__xludf.DUMMYFUNCTION("""COMPUTED_VALUE"""),43427.0)</f>
        <v>43427</v>
      </c>
      <c r="B165" s="1" t="str">
        <f>IFERROR(__xludf.DUMMYFUNCTION("""COMPUTED_VALUE"""),"8:00p")</f>
        <v>8:00p</v>
      </c>
      <c r="C165" s="1" t="str">
        <f>IFERROR(__xludf.DUMMYFUNCTION("""COMPUTED_VALUE"""),"Charlotte Hornets")</f>
        <v>Charlotte Hornets</v>
      </c>
      <c r="D165" s="1">
        <f>IFERROR(__xludf.DUMMYFUNCTION("""COMPUTED_VALUE"""),104.0)</f>
        <v>104</v>
      </c>
      <c r="E165" s="1" t="str">
        <f>IFERROR(__xludf.DUMMYFUNCTION("""COMPUTED_VALUE"""),"Oklahoma City Thunder")</f>
        <v>Oklahoma City Thunder</v>
      </c>
      <c r="F165" s="1">
        <f>IFERROR(__xludf.DUMMYFUNCTION("""COMPUTED_VALUE"""),109.0)</f>
        <v>109</v>
      </c>
      <c r="G165" s="1" t="str">
        <f>IFERROR(__xludf.DUMMYFUNCTION("""COMPUTED_VALUE"""),"Box Score")</f>
        <v>Box Score</v>
      </c>
      <c r="H165" s="1"/>
      <c r="I165" s="3">
        <f>IFERROR(__xludf.DUMMYFUNCTION("""COMPUTED_VALUE"""),18203.0)</f>
        <v>18203</v>
      </c>
      <c r="J165" s="1"/>
    </row>
    <row r="166" ht="15.75" customHeight="1">
      <c r="A166" s="2">
        <f>IFERROR(__xludf.DUMMYFUNCTION("""COMPUTED_VALUE"""),43427.0)</f>
        <v>43427</v>
      </c>
      <c r="B166" s="1" t="str">
        <f>IFERROR(__xludf.DUMMYFUNCTION("""COMPUTED_VALUE"""),"8:30p")</f>
        <v>8:30p</v>
      </c>
      <c r="C166" s="1" t="str">
        <f>IFERROR(__xludf.DUMMYFUNCTION("""COMPUTED_VALUE"""),"Phoenix Suns")</f>
        <v>Phoenix Suns</v>
      </c>
      <c r="D166" s="1">
        <f>IFERROR(__xludf.DUMMYFUNCTION("""COMPUTED_VALUE"""),116.0)</f>
        <v>116</v>
      </c>
      <c r="E166" s="1" t="str">
        <f>IFERROR(__xludf.DUMMYFUNCTION("""COMPUTED_VALUE"""),"Milwaukee Bucks")</f>
        <v>Milwaukee Bucks</v>
      </c>
      <c r="F166" s="1">
        <f>IFERROR(__xludf.DUMMYFUNCTION("""COMPUTED_VALUE"""),114.0)</f>
        <v>114</v>
      </c>
      <c r="G166" s="1" t="str">
        <f>IFERROR(__xludf.DUMMYFUNCTION("""COMPUTED_VALUE"""),"Box Score")</f>
        <v>Box Score</v>
      </c>
      <c r="H166" s="1"/>
      <c r="I166" s="3">
        <f>IFERROR(__xludf.DUMMYFUNCTION("""COMPUTED_VALUE"""),17852.0)</f>
        <v>17852</v>
      </c>
      <c r="J166" s="1"/>
    </row>
    <row r="167" ht="15.75" customHeight="1">
      <c r="A167" s="2">
        <f>IFERROR(__xludf.DUMMYFUNCTION("""COMPUTED_VALUE"""),43427.0)</f>
        <v>43427</v>
      </c>
      <c r="B167" s="1" t="str">
        <f>IFERROR(__xludf.DUMMYFUNCTION("""COMPUTED_VALUE"""),"9:00p")</f>
        <v>9:00p</v>
      </c>
      <c r="C167" s="1" t="str">
        <f>IFERROR(__xludf.DUMMYFUNCTION("""COMPUTED_VALUE"""),"Orlando Magic")</f>
        <v>Orlando Magic</v>
      </c>
      <c r="D167" s="1">
        <f>IFERROR(__xludf.DUMMYFUNCTION("""COMPUTED_VALUE"""),87.0)</f>
        <v>87</v>
      </c>
      <c r="E167" s="1" t="str">
        <f>IFERROR(__xludf.DUMMYFUNCTION("""COMPUTED_VALUE"""),"Denver Nuggets")</f>
        <v>Denver Nuggets</v>
      </c>
      <c r="F167" s="1">
        <f>IFERROR(__xludf.DUMMYFUNCTION("""COMPUTED_VALUE"""),112.0)</f>
        <v>112</v>
      </c>
      <c r="G167" s="1" t="str">
        <f>IFERROR(__xludf.DUMMYFUNCTION("""COMPUTED_VALUE"""),"Box Score")</f>
        <v>Box Score</v>
      </c>
      <c r="H167" s="1"/>
      <c r="I167" s="3">
        <f>IFERROR(__xludf.DUMMYFUNCTION("""COMPUTED_VALUE"""),19520.0)</f>
        <v>19520</v>
      </c>
      <c r="J167" s="1"/>
    </row>
    <row r="168" ht="15.75" customHeight="1">
      <c r="A168" s="2">
        <f>IFERROR(__xludf.DUMMYFUNCTION("""COMPUTED_VALUE"""),43427.0)</f>
        <v>43427</v>
      </c>
      <c r="B168" s="1" t="str">
        <f>IFERROR(__xludf.DUMMYFUNCTION("""COMPUTED_VALUE"""),"10:30p")</f>
        <v>10:30p</v>
      </c>
      <c r="C168" s="1" t="str">
        <f>IFERROR(__xludf.DUMMYFUNCTION("""COMPUTED_VALUE"""),"Portland Trail Blazers")</f>
        <v>Portland Trail Blazers</v>
      </c>
      <c r="D168" s="1">
        <f>IFERROR(__xludf.DUMMYFUNCTION("""COMPUTED_VALUE"""),97.0)</f>
        <v>97</v>
      </c>
      <c r="E168" s="1" t="str">
        <f>IFERROR(__xludf.DUMMYFUNCTION("""COMPUTED_VALUE"""),"Golden State Warriors")</f>
        <v>Golden State Warriors</v>
      </c>
      <c r="F168" s="1">
        <f>IFERROR(__xludf.DUMMYFUNCTION("""COMPUTED_VALUE"""),125.0)</f>
        <v>125</v>
      </c>
      <c r="G168" s="1" t="str">
        <f>IFERROR(__xludf.DUMMYFUNCTION("""COMPUTED_VALUE"""),"Box Score")</f>
        <v>Box Score</v>
      </c>
      <c r="H168" s="1"/>
      <c r="I168" s="3">
        <f>IFERROR(__xludf.DUMMYFUNCTION("""COMPUTED_VALUE"""),19596.0)</f>
        <v>19596</v>
      </c>
      <c r="J168" s="1"/>
    </row>
    <row r="169" ht="15.75" customHeight="1">
      <c r="A169" s="2">
        <f>IFERROR(__xludf.DUMMYFUNCTION("""COMPUTED_VALUE"""),43427.0)</f>
        <v>43427</v>
      </c>
      <c r="B169" s="1" t="str">
        <f>IFERROR(__xludf.DUMMYFUNCTION("""COMPUTED_VALUE"""),"10:30p")</f>
        <v>10:30p</v>
      </c>
      <c r="C169" s="1" t="str">
        <f>IFERROR(__xludf.DUMMYFUNCTION("""COMPUTED_VALUE"""),"Utah Jazz")</f>
        <v>Utah Jazz</v>
      </c>
      <c r="D169" s="1">
        <f>IFERROR(__xludf.DUMMYFUNCTION("""COMPUTED_VALUE"""),83.0)</f>
        <v>83</v>
      </c>
      <c r="E169" s="1" t="str">
        <f>IFERROR(__xludf.DUMMYFUNCTION("""COMPUTED_VALUE"""),"Los Angeles Lakers")</f>
        <v>Los Angeles Lakers</v>
      </c>
      <c r="F169" s="1">
        <f>IFERROR(__xludf.DUMMYFUNCTION("""COMPUTED_VALUE"""),90.0)</f>
        <v>90</v>
      </c>
      <c r="G169" s="1" t="str">
        <f>IFERROR(__xludf.DUMMYFUNCTION("""COMPUTED_VALUE"""),"Box Score")</f>
        <v>Box Score</v>
      </c>
      <c r="H169" s="1"/>
      <c r="I169" s="3">
        <f>IFERROR(__xludf.DUMMYFUNCTION("""COMPUTED_VALUE"""),18997.0)</f>
        <v>18997</v>
      </c>
      <c r="J169" s="1"/>
    </row>
    <row r="170" ht="15.75" customHeight="1">
      <c r="A170" s="2">
        <f>IFERROR(__xludf.DUMMYFUNCTION("""COMPUTED_VALUE"""),43428.0)</f>
        <v>43428</v>
      </c>
      <c r="B170" s="1" t="str">
        <f>IFERROR(__xludf.DUMMYFUNCTION("""COMPUTED_VALUE"""),"7:30p")</f>
        <v>7:30p</v>
      </c>
      <c r="C170" s="1" t="str">
        <f>IFERROR(__xludf.DUMMYFUNCTION("""COMPUTED_VALUE"""),"Houston Rockets")</f>
        <v>Houston Rockets</v>
      </c>
      <c r="D170" s="1">
        <f>IFERROR(__xludf.DUMMYFUNCTION("""COMPUTED_VALUE"""),108.0)</f>
        <v>108</v>
      </c>
      <c r="E170" s="1" t="str">
        <f>IFERROR(__xludf.DUMMYFUNCTION("""COMPUTED_VALUE"""),"Cleveland Cavaliers")</f>
        <v>Cleveland Cavaliers</v>
      </c>
      <c r="F170" s="1">
        <f>IFERROR(__xludf.DUMMYFUNCTION("""COMPUTED_VALUE"""),117.0)</f>
        <v>117</v>
      </c>
      <c r="G170" s="1" t="str">
        <f>IFERROR(__xludf.DUMMYFUNCTION("""COMPUTED_VALUE"""),"Box Score")</f>
        <v>Box Score</v>
      </c>
      <c r="H170" s="1"/>
      <c r="I170" s="3">
        <f>IFERROR(__xludf.DUMMYFUNCTION("""COMPUTED_VALUE"""),19432.0)</f>
        <v>19432</v>
      </c>
      <c r="J170" s="1"/>
    </row>
    <row r="171" ht="15.75" customHeight="1">
      <c r="A171" s="2">
        <f>IFERROR(__xludf.DUMMYFUNCTION("""COMPUTED_VALUE"""),43428.0)</f>
        <v>43428</v>
      </c>
      <c r="B171" s="1" t="str">
        <f>IFERROR(__xludf.DUMMYFUNCTION("""COMPUTED_VALUE"""),"8:00p")</f>
        <v>8:00p</v>
      </c>
      <c r="C171" s="1" t="str">
        <f>IFERROR(__xludf.DUMMYFUNCTION("""COMPUTED_VALUE"""),"Chicago Bulls")</f>
        <v>Chicago Bulls</v>
      </c>
      <c r="D171" s="1">
        <f>IFERROR(__xludf.DUMMYFUNCTION("""COMPUTED_VALUE"""),96.0)</f>
        <v>96</v>
      </c>
      <c r="E171" s="1" t="str">
        <f>IFERROR(__xludf.DUMMYFUNCTION("""COMPUTED_VALUE"""),"Minnesota Timberwolves")</f>
        <v>Minnesota Timberwolves</v>
      </c>
      <c r="F171" s="1">
        <f>IFERROR(__xludf.DUMMYFUNCTION("""COMPUTED_VALUE"""),111.0)</f>
        <v>111</v>
      </c>
      <c r="G171" s="1" t="str">
        <f>IFERROR(__xludf.DUMMYFUNCTION("""COMPUTED_VALUE"""),"Box Score")</f>
        <v>Box Score</v>
      </c>
      <c r="H171" s="1"/>
      <c r="I171" s="3">
        <f>IFERROR(__xludf.DUMMYFUNCTION("""COMPUTED_VALUE"""),17119.0)</f>
        <v>17119</v>
      </c>
      <c r="J171" s="1"/>
    </row>
    <row r="172" ht="15.75" customHeight="1">
      <c r="A172" s="2">
        <f>IFERROR(__xludf.DUMMYFUNCTION("""COMPUTED_VALUE"""),43428.0)</f>
        <v>43428</v>
      </c>
      <c r="B172" s="1" t="str">
        <f>IFERROR(__xludf.DUMMYFUNCTION("""COMPUTED_VALUE"""),"8:00p")</f>
        <v>8:00p</v>
      </c>
      <c r="C172" s="1" t="str">
        <f>IFERROR(__xludf.DUMMYFUNCTION("""COMPUTED_VALUE"""),"Denver Nuggets")</f>
        <v>Denver Nuggets</v>
      </c>
      <c r="D172" s="1">
        <f>IFERROR(__xludf.DUMMYFUNCTION("""COMPUTED_VALUE"""),105.0)</f>
        <v>105</v>
      </c>
      <c r="E172" s="1" t="str">
        <f>IFERROR(__xludf.DUMMYFUNCTION("""COMPUTED_VALUE"""),"Oklahoma City Thunder")</f>
        <v>Oklahoma City Thunder</v>
      </c>
      <c r="F172" s="1">
        <f>IFERROR(__xludf.DUMMYFUNCTION("""COMPUTED_VALUE"""),98.0)</f>
        <v>98</v>
      </c>
      <c r="G172" s="1" t="str">
        <f>IFERROR(__xludf.DUMMYFUNCTION("""COMPUTED_VALUE"""),"Box Score")</f>
        <v>Box Score</v>
      </c>
      <c r="H172" s="1"/>
      <c r="I172" s="3">
        <f>IFERROR(__xludf.DUMMYFUNCTION("""COMPUTED_VALUE"""),18203.0)</f>
        <v>18203</v>
      </c>
      <c r="J172" s="1"/>
    </row>
    <row r="173" ht="15.75" customHeight="1">
      <c r="A173" s="2">
        <f>IFERROR(__xludf.DUMMYFUNCTION("""COMPUTED_VALUE"""),43428.0)</f>
        <v>43428</v>
      </c>
      <c r="B173" s="1" t="str">
        <f>IFERROR(__xludf.DUMMYFUNCTION("""COMPUTED_VALUE"""),"8:00p")</f>
        <v>8:00p</v>
      </c>
      <c r="C173" s="1" t="str">
        <f>IFERROR(__xludf.DUMMYFUNCTION("""COMPUTED_VALUE"""),"New Orleans Pelicans")</f>
        <v>New Orleans Pelicans</v>
      </c>
      <c r="D173" s="1">
        <f>IFERROR(__xludf.DUMMYFUNCTION("""COMPUTED_VALUE"""),114.0)</f>
        <v>114</v>
      </c>
      <c r="E173" s="1" t="str">
        <f>IFERROR(__xludf.DUMMYFUNCTION("""COMPUTED_VALUE"""),"Washington Wizards")</f>
        <v>Washington Wizards</v>
      </c>
      <c r="F173" s="1">
        <f>IFERROR(__xludf.DUMMYFUNCTION("""COMPUTED_VALUE"""),124.0)</f>
        <v>124</v>
      </c>
      <c r="G173" s="1" t="str">
        <f>IFERROR(__xludf.DUMMYFUNCTION("""COMPUTED_VALUE"""),"Box Score")</f>
        <v>Box Score</v>
      </c>
      <c r="H173" s="1"/>
      <c r="I173" s="3">
        <f>IFERROR(__xludf.DUMMYFUNCTION("""COMPUTED_VALUE"""),15165.0)</f>
        <v>15165</v>
      </c>
      <c r="J173" s="1"/>
    </row>
    <row r="174" ht="15.75" customHeight="1">
      <c r="A174" s="2">
        <f>IFERROR(__xludf.DUMMYFUNCTION("""COMPUTED_VALUE"""),43428.0)</f>
        <v>43428</v>
      </c>
      <c r="B174" s="1" t="str">
        <f>IFERROR(__xludf.DUMMYFUNCTION("""COMPUTED_VALUE"""),"8:30p")</f>
        <v>8:30p</v>
      </c>
      <c r="C174" s="1" t="str">
        <f>IFERROR(__xludf.DUMMYFUNCTION("""COMPUTED_VALUE"""),"Boston Celtics")</f>
        <v>Boston Celtics</v>
      </c>
      <c r="D174" s="1">
        <f>IFERROR(__xludf.DUMMYFUNCTION("""COMPUTED_VALUE"""),104.0)</f>
        <v>104</v>
      </c>
      <c r="E174" s="1" t="str">
        <f>IFERROR(__xludf.DUMMYFUNCTION("""COMPUTED_VALUE"""),"Dallas Mavericks")</f>
        <v>Dallas Mavericks</v>
      </c>
      <c r="F174" s="1">
        <f>IFERROR(__xludf.DUMMYFUNCTION("""COMPUTED_VALUE"""),113.0)</f>
        <v>113</v>
      </c>
      <c r="G174" s="1" t="str">
        <f>IFERROR(__xludf.DUMMYFUNCTION("""COMPUTED_VALUE"""),"Box Score")</f>
        <v>Box Score</v>
      </c>
      <c r="H174" s="1"/>
      <c r="I174" s="3">
        <f>IFERROR(__xludf.DUMMYFUNCTION("""COMPUTED_VALUE"""),20226.0)</f>
        <v>20226</v>
      </c>
      <c r="J174" s="1"/>
    </row>
    <row r="175" ht="15.75" customHeight="1">
      <c r="A175" s="2">
        <f>IFERROR(__xludf.DUMMYFUNCTION("""COMPUTED_VALUE"""),43428.0)</f>
        <v>43428</v>
      </c>
      <c r="B175" s="1" t="str">
        <f>IFERROR(__xludf.DUMMYFUNCTION("""COMPUTED_VALUE"""),"8:30p")</f>
        <v>8:30p</v>
      </c>
      <c r="C175" s="1" t="str">
        <f>IFERROR(__xludf.DUMMYFUNCTION("""COMPUTED_VALUE"""),"Sacramento Kings")</f>
        <v>Sacramento Kings</v>
      </c>
      <c r="D175" s="1">
        <f>IFERROR(__xludf.DUMMYFUNCTION("""COMPUTED_VALUE"""),116.0)</f>
        <v>116</v>
      </c>
      <c r="E175" s="1" t="str">
        <f>IFERROR(__xludf.DUMMYFUNCTION("""COMPUTED_VALUE"""),"Golden State Warriors")</f>
        <v>Golden State Warriors</v>
      </c>
      <c r="F175" s="1">
        <f>IFERROR(__xludf.DUMMYFUNCTION("""COMPUTED_VALUE"""),117.0)</f>
        <v>117</v>
      </c>
      <c r="G175" s="1" t="str">
        <f>IFERROR(__xludf.DUMMYFUNCTION("""COMPUTED_VALUE"""),"Box Score")</f>
        <v>Box Score</v>
      </c>
      <c r="H175" s="1"/>
      <c r="I175" s="3">
        <f>IFERROR(__xludf.DUMMYFUNCTION("""COMPUTED_VALUE"""),19596.0)</f>
        <v>19596</v>
      </c>
      <c r="J175" s="1"/>
    </row>
    <row r="176" ht="15.75" customHeight="1">
      <c r="A176" s="2">
        <f>IFERROR(__xludf.DUMMYFUNCTION("""COMPUTED_VALUE"""),43428.0)</f>
        <v>43428</v>
      </c>
      <c r="B176" s="1" t="str">
        <f>IFERROR(__xludf.DUMMYFUNCTION("""COMPUTED_VALUE"""),"8:30p")</f>
        <v>8:30p</v>
      </c>
      <c r="C176" s="1" t="str">
        <f>IFERROR(__xludf.DUMMYFUNCTION("""COMPUTED_VALUE"""),"San Antonio Spurs")</f>
        <v>San Antonio Spurs</v>
      </c>
      <c r="D176" s="1">
        <f>IFERROR(__xludf.DUMMYFUNCTION("""COMPUTED_VALUE"""),129.0)</f>
        <v>129</v>
      </c>
      <c r="E176" s="1" t="str">
        <f>IFERROR(__xludf.DUMMYFUNCTION("""COMPUTED_VALUE"""),"Milwaukee Bucks")</f>
        <v>Milwaukee Bucks</v>
      </c>
      <c r="F176" s="1">
        <f>IFERROR(__xludf.DUMMYFUNCTION("""COMPUTED_VALUE"""),135.0)</f>
        <v>135</v>
      </c>
      <c r="G176" s="1" t="str">
        <f>IFERROR(__xludf.DUMMYFUNCTION("""COMPUTED_VALUE"""),"Box Score")</f>
        <v>Box Score</v>
      </c>
      <c r="H176" s="1"/>
      <c r="I176" s="3">
        <f>IFERROR(__xludf.DUMMYFUNCTION("""COMPUTED_VALUE"""),17559.0)</f>
        <v>17559</v>
      </c>
      <c r="J176" s="1"/>
    </row>
    <row r="177" ht="15.75" customHeight="1">
      <c r="A177" s="2">
        <f>IFERROR(__xludf.DUMMYFUNCTION("""COMPUTED_VALUE"""),43429.0)</f>
        <v>43429</v>
      </c>
      <c r="B177" s="1" t="str">
        <f>IFERROR(__xludf.DUMMYFUNCTION("""COMPUTED_VALUE"""),"3:30p")</f>
        <v>3:30p</v>
      </c>
      <c r="C177" s="1" t="str">
        <f>IFERROR(__xludf.DUMMYFUNCTION("""COMPUTED_VALUE"""),"Orlando Magic")</f>
        <v>Orlando Magic</v>
      </c>
      <c r="D177" s="1">
        <f>IFERROR(__xludf.DUMMYFUNCTION("""COMPUTED_VALUE"""),108.0)</f>
        <v>108</v>
      </c>
      <c r="E177" s="1" t="str">
        <f>IFERROR(__xludf.DUMMYFUNCTION("""COMPUTED_VALUE"""),"Los Angeles Lakers")</f>
        <v>Los Angeles Lakers</v>
      </c>
      <c r="F177" s="1">
        <f>IFERROR(__xludf.DUMMYFUNCTION("""COMPUTED_VALUE"""),104.0)</f>
        <v>104</v>
      </c>
      <c r="G177" s="1" t="str">
        <f>IFERROR(__xludf.DUMMYFUNCTION("""COMPUTED_VALUE"""),"Box Score")</f>
        <v>Box Score</v>
      </c>
      <c r="H177" s="1"/>
      <c r="I177" s="3">
        <f>IFERROR(__xludf.DUMMYFUNCTION("""COMPUTED_VALUE"""),18997.0)</f>
        <v>18997</v>
      </c>
      <c r="J177" s="1"/>
    </row>
    <row r="178" ht="15.75" customHeight="1">
      <c r="A178" s="2">
        <f>IFERROR(__xludf.DUMMYFUNCTION("""COMPUTED_VALUE"""),43429.0)</f>
        <v>43429</v>
      </c>
      <c r="B178" s="1" t="str">
        <f>IFERROR(__xludf.DUMMYFUNCTION("""COMPUTED_VALUE"""),"4:00p")</f>
        <v>4:00p</v>
      </c>
      <c r="C178" s="1" t="str">
        <f>IFERROR(__xludf.DUMMYFUNCTION("""COMPUTED_VALUE"""),"Phoenix Suns")</f>
        <v>Phoenix Suns</v>
      </c>
      <c r="D178" s="1">
        <f>IFERROR(__xludf.DUMMYFUNCTION("""COMPUTED_VALUE"""),107.0)</f>
        <v>107</v>
      </c>
      <c r="E178" s="1" t="str">
        <f>IFERROR(__xludf.DUMMYFUNCTION("""COMPUTED_VALUE"""),"Detroit Pistons")</f>
        <v>Detroit Pistons</v>
      </c>
      <c r="F178" s="1">
        <f>IFERROR(__xludf.DUMMYFUNCTION("""COMPUTED_VALUE"""),118.0)</f>
        <v>118</v>
      </c>
      <c r="G178" s="1" t="str">
        <f>IFERROR(__xludf.DUMMYFUNCTION("""COMPUTED_VALUE"""),"Box Score")</f>
        <v>Box Score</v>
      </c>
      <c r="H178" s="1"/>
      <c r="I178" s="3">
        <f>IFERROR(__xludf.DUMMYFUNCTION("""COMPUTED_VALUE"""),14413.0)</f>
        <v>14413</v>
      </c>
      <c r="J178" s="1"/>
    </row>
    <row r="179" ht="15.75" customHeight="1">
      <c r="A179" s="2">
        <f>IFERROR(__xludf.DUMMYFUNCTION("""COMPUTED_VALUE"""),43429.0)</f>
        <v>43429</v>
      </c>
      <c r="B179" s="1" t="str">
        <f>IFERROR(__xludf.DUMMYFUNCTION("""COMPUTED_VALUE"""),"6:00p")</f>
        <v>6:00p</v>
      </c>
      <c r="C179" s="1" t="str">
        <f>IFERROR(__xludf.DUMMYFUNCTION("""COMPUTED_VALUE"""),"Charlotte Hornets")</f>
        <v>Charlotte Hornets</v>
      </c>
      <c r="D179" s="1">
        <f>IFERROR(__xludf.DUMMYFUNCTION("""COMPUTED_VALUE"""),123.0)</f>
        <v>123</v>
      </c>
      <c r="E179" s="1" t="str">
        <f>IFERROR(__xludf.DUMMYFUNCTION("""COMPUTED_VALUE"""),"Atlanta Hawks")</f>
        <v>Atlanta Hawks</v>
      </c>
      <c r="F179" s="1">
        <f>IFERROR(__xludf.DUMMYFUNCTION("""COMPUTED_VALUE"""),124.0)</f>
        <v>124</v>
      </c>
      <c r="G179" s="1" t="str">
        <f>IFERROR(__xludf.DUMMYFUNCTION("""COMPUTED_VALUE"""),"Box Score")</f>
        <v>Box Score</v>
      </c>
      <c r="H179" s="1"/>
      <c r="I179" s="3">
        <f>IFERROR(__xludf.DUMMYFUNCTION("""COMPUTED_VALUE"""),12977.0)</f>
        <v>12977</v>
      </c>
      <c r="J179" s="1"/>
    </row>
    <row r="180" ht="15.75" customHeight="1">
      <c r="A180" s="2">
        <f>IFERROR(__xludf.DUMMYFUNCTION("""COMPUTED_VALUE"""),43429.0)</f>
        <v>43429</v>
      </c>
      <c r="B180" s="1" t="str">
        <f>IFERROR(__xludf.DUMMYFUNCTION("""COMPUTED_VALUE"""),"6:00p")</f>
        <v>6:00p</v>
      </c>
      <c r="C180" s="1" t="str">
        <f>IFERROR(__xludf.DUMMYFUNCTION("""COMPUTED_VALUE"""),"Philadelphia 76ers")</f>
        <v>Philadelphia 76ers</v>
      </c>
      <c r="D180" s="1">
        <f>IFERROR(__xludf.DUMMYFUNCTION("""COMPUTED_VALUE"""),127.0)</f>
        <v>127</v>
      </c>
      <c r="E180" s="1" t="str">
        <f>IFERROR(__xludf.DUMMYFUNCTION("""COMPUTED_VALUE"""),"Brooklyn Nets")</f>
        <v>Brooklyn Nets</v>
      </c>
      <c r="F180" s="1">
        <f>IFERROR(__xludf.DUMMYFUNCTION("""COMPUTED_VALUE"""),125.0)</f>
        <v>125</v>
      </c>
      <c r="G180" s="1" t="str">
        <f>IFERROR(__xludf.DUMMYFUNCTION("""COMPUTED_VALUE"""),"Box Score")</f>
        <v>Box Score</v>
      </c>
      <c r="H180" s="1"/>
      <c r="I180" s="3">
        <f>IFERROR(__xludf.DUMMYFUNCTION("""COMPUTED_VALUE"""),15217.0)</f>
        <v>15217</v>
      </c>
      <c r="J180" s="1"/>
    </row>
    <row r="181" ht="15.75" customHeight="1">
      <c r="A181" s="2">
        <f>IFERROR(__xludf.DUMMYFUNCTION("""COMPUTED_VALUE"""),43429.0)</f>
        <v>43429</v>
      </c>
      <c r="B181" s="1" t="str">
        <f>IFERROR(__xludf.DUMMYFUNCTION("""COMPUTED_VALUE"""),"6:00p")</f>
        <v>6:00p</v>
      </c>
      <c r="C181" s="1" t="str">
        <f>IFERROR(__xludf.DUMMYFUNCTION("""COMPUTED_VALUE"""),"New York Knicks")</f>
        <v>New York Knicks</v>
      </c>
      <c r="D181" s="1">
        <f>IFERROR(__xludf.DUMMYFUNCTION("""COMPUTED_VALUE"""),103.0)</f>
        <v>103</v>
      </c>
      <c r="E181" s="1" t="str">
        <f>IFERROR(__xludf.DUMMYFUNCTION("""COMPUTED_VALUE"""),"Memphis Grizzlies")</f>
        <v>Memphis Grizzlies</v>
      </c>
      <c r="F181" s="1">
        <f>IFERROR(__xludf.DUMMYFUNCTION("""COMPUTED_VALUE"""),98.0)</f>
        <v>98</v>
      </c>
      <c r="G181" s="1" t="str">
        <f>IFERROR(__xludf.DUMMYFUNCTION("""COMPUTED_VALUE"""),"Box Score")</f>
        <v>Box Score</v>
      </c>
      <c r="H181" s="1"/>
      <c r="I181" s="3">
        <f>IFERROR(__xludf.DUMMYFUNCTION("""COMPUTED_VALUE"""),14331.0)</f>
        <v>14331</v>
      </c>
      <c r="J181" s="1"/>
    </row>
    <row r="182" ht="15.75" customHeight="1">
      <c r="A182" s="2">
        <f>IFERROR(__xludf.DUMMYFUNCTION("""COMPUTED_VALUE"""),43429.0)</f>
        <v>43429</v>
      </c>
      <c r="B182" s="1" t="str">
        <f>IFERROR(__xludf.DUMMYFUNCTION("""COMPUTED_VALUE"""),"6:00p")</f>
        <v>6:00p</v>
      </c>
      <c r="C182" s="1" t="str">
        <f>IFERROR(__xludf.DUMMYFUNCTION("""COMPUTED_VALUE"""),"Miami Heat")</f>
        <v>Miami Heat</v>
      </c>
      <c r="D182" s="1">
        <f>IFERROR(__xludf.DUMMYFUNCTION("""COMPUTED_VALUE"""),115.0)</f>
        <v>115</v>
      </c>
      <c r="E182" s="1" t="str">
        <f>IFERROR(__xludf.DUMMYFUNCTION("""COMPUTED_VALUE"""),"Toronto Raptors")</f>
        <v>Toronto Raptors</v>
      </c>
      <c r="F182" s="1">
        <f>IFERROR(__xludf.DUMMYFUNCTION("""COMPUTED_VALUE"""),125.0)</f>
        <v>125</v>
      </c>
      <c r="G182" s="1" t="str">
        <f>IFERROR(__xludf.DUMMYFUNCTION("""COMPUTED_VALUE"""),"Box Score")</f>
        <v>Box Score</v>
      </c>
      <c r="H182" s="1"/>
      <c r="I182" s="3">
        <f>IFERROR(__xludf.DUMMYFUNCTION("""COMPUTED_VALUE"""),19800.0)</f>
        <v>19800</v>
      </c>
      <c r="J182" s="1"/>
    </row>
    <row r="183" ht="15.75" customHeight="1">
      <c r="A183" s="2">
        <f>IFERROR(__xludf.DUMMYFUNCTION("""COMPUTED_VALUE"""),43429.0)</f>
        <v>43429</v>
      </c>
      <c r="B183" s="1" t="str">
        <f>IFERROR(__xludf.DUMMYFUNCTION("""COMPUTED_VALUE"""),"8:00p")</f>
        <v>8:00p</v>
      </c>
      <c r="C183" s="1" t="str">
        <f>IFERROR(__xludf.DUMMYFUNCTION("""COMPUTED_VALUE"""),"Utah Jazz")</f>
        <v>Utah Jazz</v>
      </c>
      <c r="D183" s="1">
        <f>IFERROR(__xludf.DUMMYFUNCTION("""COMPUTED_VALUE"""),133.0)</f>
        <v>133</v>
      </c>
      <c r="E183" s="1" t="str">
        <f>IFERROR(__xludf.DUMMYFUNCTION("""COMPUTED_VALUE"""),"Sacramento Kings")</f>
        <v>Sacramento Kings</v>
      </c>
      <c r="F183" s="1">
        <f>IFERROR(__xludf.DUMMYFUNCTION("""COMPUTED_VALUE"""),112.0)</f>
        <v>112</v>
      </c>
      <c r="G183" s="1" t="str">
        <f>IFERROR(__xludf.DUMMYFUNCTION("""COMPUTED_VALUE"""),"Box Score")</f>
        <v>Box Score</v>
      </c>
      <c r="H183" s="1"/>
      <c r="I183" s="3">
        <f>IFERROR(__xludf.DUMMYFUNCTION("""COMPUTED_VALUE"""),16048.0)</f>
        <v>16048</v>
      </c>
      <c r="J183" s="1"/>
    </row>
    <row r="184" ht="15.75" customHeight="1">
      <c r="A184" s="2">
        <f>IFERROR(__xludf.DUMMYFUNCTION("""COMPUTED_VALUE"""),43429.0)</f>
        <v>43429</v>
      </c>
      <c r="B184" s="1" t="str">
        <f>IFERROR(__xludf.DUMMYFUNCTION("""COMPUTED_VALUE"""),"9:00p")</f>
        <v>9:00p</v>
      </c>
      <c r="C184" s="1" t="str">
        <f>IFERROR(__xludf.DUMMYFUNCTION("""COMPUTED_VALUE"""),"Los Angeles Clippers")</f>
        <v>Los Angeles Clippers</v>
      </c>
      <c r="D184" s="1">
        <f>IFERROR(__xludf.DUMMYFUNCTION("""COMPUTED_VALUE"""),104.0)</f>
        <v>104</v>
      </c>
      <c r="E184" s="1" t="str">
        <f>IFERROR(__xludf.DUMMYFUNCTION("""COMPUTED_VALUE"""),"Portland Trail Blazers")</f>
        <v>Portland Trail Blazers</v>
      </c>
      <c r="F184" s="1">
        <f>IFERROR(__xludf.DUMMYFUNCTION("""COMPUTED_VALUE"""),100.0)</f>
        <v>100</v>
      </c>
      <c r="G184" s="1" t="str">
        <f>IFERROR(__xludf.DUMMYFUNCTION("""COMPUTED_VALUE"""),"Box Score")</f>
        <v>Box Score</v>
      </c>
      <c r="H184" s="1"/>
      <c r="I184" s="3">
        <f>IFERROR(__xludf.DUMMYFUNCTION("""COMPUTED_VALUE"""),19138.0)</f>
        <v>19138</v>
      </c>
      <c r="J184" s="1"/>
    </row>
    <row r="185" ht="15.75" customHeight="1">
      <c r="A185" s="2">
        <f>IFERROR(__xludf.DUMMYFUNCTION("""COMPUTED_VALUE"""),43430.0)</f>
        <v>43430</v>
      </c>
      <c r="B185" s="1" t="str">
        <f>IFERROR(__xludf.DUMMYFUNCTION("""COMPUTED_VALUE"""),"7:00p")</f>
        <v>7:00p</v>
      </c>
      <c r="C185" s="1" t="str">
        <f>IFERROR(__xludf.DUMMYFUNCTION("""COMPUTED_VALUE"""),"Milwaukee Bucks")</f>
        <v>Milwaukee Bucks</v>
      </c>
      <c r="D185" s="1">
        <f>IFERROR(__xludf.DUMMYFUNCTION("""COMPUTED_VALUE"""),107.0)</f>
        <v>107</v>
      </c>
      <c r="E185" s="1" t="str">
        <f>IFERROR(__xludf.DUMMYFUNCTION("""COMPUTED_VALUE"""),"Charlotte Hornets")</f>
        <v>Charlotte Hornets</v>
      </c>
      <c r="F185" s="1">
        <f>IFERROR(__xludf.DUMMYFUNCTION("""COMPUTED_VALUE"""),110.0)</f>
        <v>110</v>
      </c>
      <c r="G185" s="1" t="str">
        <f>IFERROR(__xludf.DUMMYFUNCTION("""COMPUTED_VALUE"""),"Box Score")</f>
        <v>Box Score</v>
      </c>
      <c r="H185" s="1"/>
      <c r="I185" s="3">
        <f>IFERROR(__xludf.DUMMYFUNCTION("""COMPUTED_VALUE"""),13805.0)</f>
        <v>13805</v>
      </c>
      <c r="J185" s="1"/>
    </row>
    <row r="186" ht="15.75" customHeight="1">
      <c r="A186" s="2">
        <f>IFERROR(__xludf.DUMMYFUNCTION("""COMPUTED_VALUE"""),43430.0)</f>
        <v>43430</v>
      </c>
      <c r="B186" s="1" t="str">
        <f>IFERROR(__xludf.DUMMYFUNCTION("""COMPUTED_VALUE"""),"7:00p")</f>
        <v>7:00p</v>
      </c>
      <c r="C186" s="1" t="str">
        <f>IFERROR(__xludf.DUMMYFUNCTION("""COMPUTED_VALUE"""),"Minnesota Timberwolves")</f>
        <v>Minnesota Timberwolves</v>
      </c>
      <c r="D186" s="1">
        <f>IFERROR(__xludf.DUMMYFUNCTION("""COMPUTED_VALUE"""),102.0)</f>
        <v>102</v>
      </c>
      <c r="E186" s="1" t="str">
        <f>IFERROR(__xludf.DUMMYFUNCTION("""COMPUTED_VALUE"""),"Cleveland Cavaliers")</f>
        <v>Cleveland Cavaliers</v>
      </c>
      <c r="F186" s="1">
        <f>IFERROR(__xludf.DUMMYFUNCTION("""COMPUTED_VALUE"""),95.0)</f>
        <v>95</v>
      </c>
      <c r="G186" s="1" t="str">
        <f>IFERROR(__xludf.DUMMYFUNCTION("""COMPUTED_VALUE"""),"Box Score")</f>
        <v>Box Score</v>
      </c>
      <c r="H186" s="1"/>
      <c r="I186" s="3">
        <f>IFERROR(__xludf.DUMMYFUNCTION("""COMPUTED_VALUE"""),19432.0)</f>
        <v>19432</v>
      </c>
      <c r="J186" s="1"/>
    </row>
    <row r="187" ht="15.75" customHeight="1">
      <c r="A187" s="2">
        <f>IFERROR(__xludf.DUMMYFUNCTION("""COMPUTED_VALUE"""),43430.0)</f>
        <v>43430</v>
      </c>
      <c r="B187" s="1" t="str">
        <f>IFERROR(__xludf.DUMMYFUNCTION("""COMPUTED_VALUE"""),"7:00p")</f>
        <v>7:00p</v>
      </c>
      <c r="C187" s="1" t="str">
        <f>IFERROR(__xludf.DUMMYFUNCTION("""COMPUTED_VALUE"""),"Houston Rockets")</f>
        <v>Houston Rockets</v>
      </c>
      <c r="D187" s="1">
        <f>IFERROR(__xludf.DUMMYFUNCTION("""COMPUTED_VALUE"""),131.0)</f>
        <v>131</v>
      </c>
      <c r="E187" s="1" t="str">
        <f>IFERROR(__xludf.DUMMYFUNCTION("""COMPUTED_VALUE"""),"Washington Wizards")</f>
        <v>Washington Wizards</v>
      </c>
      <c r="F187" s="1">
        <f>IFERROR(__xludf.DUMMYFUNCTION("""COMPUTED_VALUE"""),135.0)</f>
        <v>135</v>
      </c>
      <c r="G187" s="1" t="str">
        <f>IFERROR(__xludf.DUMMYFUNCTION("""COMPUTED_VALUE"""),"Box Score")</f>
        <v>Box Score</v>
      </c>
      <c r="H187" s="1" t="str">
        <f>IFERROR(__xludf.DUMMYFUNCTION("""COMPUTED_VALUE"""),"OT")</f>
        <v>OT</v>
      </c>
      <c r="I187" s="3">
        <f>IFERROR(__xludf.DUMMYFUNCTION("""COMPUTED_VALUE"""),16872.0)</f>
        <v>16872</v>
      </c>
      <c r="J187" s="1"/>
    </row>
    <row r="188" ht="15.75" customHeight="1">
      <c r="A188" s="2">
        <f>IFERROR(__xludf.DUMMYFUNCTION("""COMPUTED_VALUE"""),43430.0)</f>
        <v>43430</v>
      </c>
      <c r="B188" s="1" t="str">
        <f>IFERROR(__xludf.DUMMYFUNCTION("""COMPUTED_VALUE"""),"8:00p")</f>
        <v>8:00p</v>
      </c>
      <c r="C188" s="1" t="str">
        <f>IFERROR(__xludf.DUMMYFUNCTION("""COMPUTED_VALUE"""),"San Antonio Spurs")</f>
        <v>San Antonio Spurs</v>
      </c>
      <c r="D188" s="1">
        <f>IFERROR(__xludf.DUMMYFUNCTION("""COMPUTED_VALUE"""),108.0)</f>
        <v>108</v>
      </c>
      <c r="E188" s="1" t="str">
        <f>IFERROR(__xludf.DUMMYFUNCTION("""COMPUTED_VALUE"""),"Chicago Bulls")</f>
        <v>Chicago Bulls</v>
      </c>
      <c r="F188" s="1">
        <f>IFERROR(__xludf.DUMMYFUNCTION("""COMPUTED_VALUE"""),107.0)</f>
        <v>107</v>
      </c>
      <c r="G188" s="1" t="str">
        <f>IFERROR(__xludf.DUMMYFUNCTION("""COMPUTED_VALUE"""),"Box Score")</f>
        <v>Box Score</v>
      </c>
      <c r="H188" s="1"/>
      <c r="I188" s="3">
        <f>IFERROR(__xludf.DUMMYFUNCTION("""COMPUTED_VALUE"""),19006.0)</f>
        <v>19006</v>
      </c>
      <c r="J188" s="1"/>
    </row>
    <row r="189" ht="15.75" customHeight="1">
      <c r="A189" s="2">
        <f>IFERROR(__xludf.DUMMYFUNCTION("""COMPUTED_VALUE"""),43430.0)</f>
        <v>43430</v>
      </c>
      <c r="B189" s="1" t="str">
        <f>IFERROR(__xludf.DUMMYFUNCTION("""COMPUTED_VALUE"""),"8:00p")</f>
        <v>8:00p</v>
      </c>
      <c r="C189" s="1" t="str">
        <f>IFERROR(__xludf.DUMMYFUNCTION("""COMPUTED_VALUE"""),"Boston Celtics")</f>
        <v>Boston Celtics</v>
      </c>
      <c r="D189" s="1">
        <f>IFERROR(__xludf.DUMMYFUNCTION("""COMPUTED_VALUE"""),124.0)</f>
        <v>124</v>
      </c>
      <c r="E189" s="1" t="str">
        <f>IFERROR(__xludf.DUMMYFUNCTION("""COMPUTED_VALUE"""),"New Orleans Pelicans")</f>
        <v>New Orleans Pelicans</v>
      </c>
      <c r="F189" s="1">
        <f>IFERROR(__xludf.DUMMYFUNCTION("""COMPUTED_VALUE"""),107.0)</f>
        <v>107</v>
      </c>
      <c r="G189" s="1" t="str">
        <f>IFERROR(__xludf.DUMMYFUNCTION("""COMPUTED_VALUE"""),"Box Score")</f>
        <v>Box Score</v>
      </c>
      <c r="H189" s="1"/>
      <c r="I189" s="3">
        <f>IFERROR(__xludf.DUMMYFUNCTION("""COMPUTED_VALUE"""),15189.0)</f>
        <v>15189</v>
      </c>
      <c r="J189" s="1"/>
    </row>
    <row r="190" ht="15.75" customHeight="1">
      <c r="A190" s="2">
        <f>IFERROR(__xludf.DUMMYFUNCTION("""COMPUTED_VALUE"""),43430.0)</f>
        <v>43430</v>
      </c>
      <c r="B190" s="1" t="str">
        <f>IFERROR(__xludf.DUMMYFUNCTION("""COMPUTED_VALUE"""),"9:00p")</f>
        <v>9:00p</v>
      </c>
      <c r="C190" s="1" t="str">
        <f>IFERROR(__xludf.DUMMYFUNCTION("""COMPUTED_VALUE"""),"Indiana Pacers")</f>
        <v>Indiana Pacers</v>
      </c>
      <c r="D190" s="1">
        <f>IFERROR(__xludf.DUMMYFUNCTION("""COMPUTED_VALUE"""),121.0)</f>
        <v>121</v>
      </c>
      <c r="E190" s="1" t="str">
        <f>IFERROR(__xludf.DUMMYFUNCTION("""COMPUTED_VALUE"""),"Utah Jazz")</f>
        <v>Utah Jazz</v>
      </c>
      <c r="F190" s="1">
        <f>IFERROR(__xludf.DUMMYFUNCTION("""COMPUTED_VALUE"""),88.0)</f>
        <v>88</v>
      </c>
      <c r="G190" s="1" t="str">
        <f>IFERROR(__xludf.DUMMYFUNCTION("""COMPUTED_VALUE"""),"Box Score")</f>
        <v>Box Score</v>
      </c>
      <c r="H190" s="1"/>
      <c r="I190" s="3">
        <f>IFERROR(__xludf.DUMMYFUNCTION("""COMPUTED_VALUE"""),18306.0)</f>
        <v>18306</v>
      </c>
      <c r="J190" s="1"/>
    </row>
    <row r="191" ht="15.75" customHeight="1">
      <c r="A191" s="2">
        <f>IFERROR(__xludf.DUMMYFUNCTION("""COMPUTED_VALUE"""),43430.0)</f>
        <v>43430</v>
      </c>
      <c r="B191" s="1" t="str">
        <f>IFERROR(__xludf.DUMMYFUNCTION("""COMPUTED_VALUE"""),"10:30p")</f>
        <v>10:30p</v>
      </c>
      <c r="C191" s="1" t="str">
        <f>IFERROR(__xludf.DUMMYFUNCTION("""COMPUTED_VALUE"""),"Orlando Magic")</f>
        <v>Orlando Magic</v>
      </c>
      <c r="D191" s="1">
        <f>IFERROR(__xludf.DUMMYFUNCTION("""COMPUTED_VALUE"""),110.0)</f>
        <v>110</v>
      </c>
      <c r="E191" s="1" t="str">
        <f>IFERROR(__xludf.DUMMYFUNCTION("""COMPUTED_VALUE"""),"Golden State Warriors")</f>
        <v>Golden State Warriors</v>
      </c>
      <c r="F191" s="1">
        <f>IFERROR(__xludf.DUMMYFUNCTION("""COMPUTED_VALUE"""),116.0)</f>
        <v>116</v>
      </c>
      <c r="G191" s="1" t="str">
        <f>IFERROR(__xludf.DUMMYFUNCTION("""COMPUTED_VALUE"""),"Box Score")</f>
        <v>Box Score</v>
      </c>
      <c r="H191" s="1"/>
      <c r="I191" s="3">
        <f>IFERROR(__xludf.DUMMYFUNCTION("""COMPUTED_VALUE"""),19596.0)</f>
        <v>19596</v>
      </c>
      <c r="J191" s="1"/>
    </row>
    <row r="192" ht="15.75" customHeight="1">
      <c r="A192" s="2">
        <f>IFERROR(__xludf.DUMMYFUNCTION("""COMPUTED_VALUE"""),43431.0)</f>
        <v>43431</v>
      </c>
      <c r="B192" s="1" t="str">
        <f>IFERROR(__xludf.DUMMYFUNCTION("""COMPUTED_VALUE"""),"7:00p")</f>
        <v>7:00p</v>
      </c>
      <c r="C192" s="1" t="str">
        <f>IFERROR(__xludf.DUMMYFUNCTION("""COMPUTED_VALUE"""),"New York Knicks")</f>
        <v>New York Knicks</v>
      </c>
      <c r="D192" s="1">
        <f>IFERROR(__xludf.DUMMYFUNCTION("""COMPUTED_VALUE"""),108.0)</f>
        <v>108</v>
      </c>
      <c r="E192" s="1" t="str">
        <f>IFERROR(__xludf.DUMMYFUNCTION("""COMPUTED_VALUE"""),"Detroit Pistons")</f>
        <v>Detroit Pistons</v>
      </c>
      <c r="F192" s="1">
        <f>IFERROR(__xludf.DUMMYFUNCTION("""COMPUTED_VALUE"""),115.0)</f>
        <v>115</v>
      </c>
      <c r="G192" s="1" t="str">
        <f>IFERROR(__xludf.DUMMYFUNCTION("""COMPUTED_VALUE"""),"Box Score")</f>
        <v>Box Score</v>
      </c>
      <c r="H192" s="1"/>
      <c r="I192" s="3">
        <f>IFERROR(__xludf.DUMMYFUNCTION("""COMPUTED_VALUE"""),13935.0)</f>
        <v>13935</v>
      </c>
      <c r="J192" s="1"/>
    </row>
    <row r="193" ht="15.75" customHeight="1">
      <c r="A193" s="2">
        <f>IFERROR(__xludf.DUMMYFUNCTION("""COMPUTED_VALUE"""),43431.0)</f>
        <v>43431</v>
      </c>
      <c r="B193" s="1" t="str">
        <f>IFERROR(__xludf.DUMMYFUNCTION("""COMPUTED_VALUE"""),"7:30p")</f>
        <v>7:30p</v>
      </c>
      <c r="C193" s="1" t="str">
        <f>IFERROR(__xludf.DUMMYFUNCTION("""COMPUTED_VALUE"""),"Atlanta Hawks")</f>
        <v>Atlanta Hawks</v>
      </c>
      <c r="D193" s="1">
        <f>IFERROR(__xludf.DUMMYFUNCTION("""COMPUTED_VALUE"""),115.0)</f>
        <v>115</v>
      </c>
      <c r="E193" s="1" t="str">
        <f>IFERROR(__xludf.DUMMYFUNCTION("""COMPUTED_VALUE"""),"Miami Heat")</f>
        <v>Miami Heat</v>
      </c>
      <c r="F193" s="1">
        <f>IFERROR(__xludf.DUMMYFUNCTION("""COMPUTED_VALUE"""),113.0)</f>
        <v>113</v>
      </c>
      <c r="G193" s="1" t="str">
        <f>IFERROR(__xludf.DUMMYFUNCTION("""COMPUTED_VALUE"""),"Box Score")</f>
        <v>Box Score</v>
      </c>
      <c r="H193" s="1"/>
      <c r="I193" s="3">
        <f>IFERROR(__xludf.DUMMYFUNCTION("""COMPUTED_VALUE"""),19600.0)</f>
        <v>19600</v>
      </c>
      <c r="J193" s="1"/>
    </row>
    <row r="194" ht="15.75" customHeight="1">
      <c r="A194" s="2">
        <f>IFERROR(__xludf.DUMMYFUNCTION("""COMPUTED_VALUE"""),43431.0)</f>
        <v>43431</v>
      </c>
      <c r="B194" s="1" t="str">
        <f>IFERROR(__xludf.DUMMYFUNCTION("""COMPUTED_VALUE"""),"8:00p")</f>
        <v>8:00p</v>
      </c>
      <c r="C194" s="1" t="str">
        <f>IFERROR(__xludf.DUMMYFUNCTION("""COMPUTED_VALUE"""),"Toronto Raptors")</f>
        <v>Toronto Raptors</v>
      </c>
      <c r="D194" s="1">
        <f>IFERROR(__xludf.DUMMYFUNCTION("""COMPUTED_VALUE"""),122.0)</f>
        <v>122</v>
      </c>
      <c r="E194" s="1" t="str">
        <f>IFERROR(__xludf.DUMMYFUNCTION("""COMPUTED_VALUE"""),"Memphis Grizzlies")</f>
        <v>Memphis Grizzlies</v>
      </c>
      <c r="F194" s="1">
        <f>IFERROR(__xludf.DUMMYFUNCTION("""COMPUTED_VALUE"""),114.0)</f>
        <v>114</v>
      </c>
      <c r="G194" s="1" t="str">
        <f>IFERROR(__xludf.DUMMYFUNCTION("""COMPUTED_VALUE"""),"Box Score")</f>
        <v>Box Score</v>
      </c>
      <c r="H194" s="1"/>
      <c r="I194" s="3">
        <f>IFERROR(__xludf.DUMMYFUNCTION("""COMPUTED_VALUE"""),14187.0)</f>
        <v>14187</v>
      </c>
      <c r="J194" s="1"/>
    </row>
    <row r="195" ht="15.75" customHeight="1">
      <c r="A195" s="2">
        <f>IFERROR(__xludf.DUMMYFUNCTION("""COMPUTED_VALUE"""),43431.0)</f>
        <v>43431</v>
      </c>
      <c r="B195" s="1" t="str">
        <f>IFERROR(__xludf.DUMMYFUNCTION("""COMPUTED_VALUE"""),"9:00p")</f>
        <v>9:00p</v>
      </c>
      <c r="C195" s="1" t="str">
        <f>IFERROR(__xludf.DUMMYFUNCTION("""COMPUTED_VALUE"""),"Los Angeles Lakers")</f>
        <v>Los Angeles Lakers</v>
      </c>
      <c r="D195" s="1">
        <f>IFERROR(__xludf.DUMMYFUNCTION("""COMPUTED_VALUE"""),85.0)</f>
        <v>85</v>
      </c>
      <c r="E195" s="1" t="str">
        <f>IFERROR(__xludf.DUMMYFUNCTION("""COMPUTED_VALUE"""),"Denver Nuggets")</f>
        <v>Denver Nuggets</v>
      </c>
      <c r="F195" s="1">
        <f>IFERROR(__xludf.DUMMYFUNCTION("""COMPUTED_VALUE"""),117.0)</f>
        <v>117</v>
      </c>
      <c r="G195" s="1" t="str">
        <f>IFERROR(__xludf.DUMMYFUNCTION("""COMPUTED_VALUE"""),"Box Score")</f>
        <v>Box Score</v>
      </c>
      <c r="H195" s="1"/>
      <c r="I195" s="3">
        <f>IFERROR(__xludf.DUMMYFUNCTION("""COMPUTED_VALUE"""),19583.0)</f>
        <v>19583</v>
      </c>
      <c r="J195" s="1"/>
    </row>
    <row r="196" ht="15.75" customHeight="1">
      <c r="A196" s="2">
        <f>IFERROR(__xludf.DUMMYFUNCTION("""COMPUTED_VALUE"""),43431.0)</f>
        <v>43431</v>
      </c>
      <c r="B196" s="1" t="str">
        <f>IFERROR(__xludf.DUMMYFUNCTION("""COMPUTED_VALUE"""),"9:00p")</f>
        <v>9:00p</v>
      </c>
      <c r="C196" s="1" t="str">
        <f>IFERROR(__xludf.DUMMYFUNCTION("""COMPUTED_VALUE"""),"Indiana Pacers")</f>
        <v>Indiana Pacers</v>
      </c>
      <c r="D196" s="1">
        <f>IFERROR(__xludf.DUMMYFUNCTION("""COMPUTED_VALUE"""),109.0)</f>
        <v>109</v>
      </c>
      <c r="E196" s="1" t="str">
        <f>IFERROR(__xludf.DUMMYFUNCTION("""COMPUTED_VALUE"""),"Phoenix Suns")</f>
        <v>Phoenix Suns</v>
      </c>
      <c r="F196" s="1">
        <f>IFERROR(__xludf.DUMMYFUNCTION("""COMPUTED_VALUE"""),104.0)</f>
        <v>104</v>
      </c>
      <c r="G196" s="1" t="str">
        <f>IFERROR(__xludf.DUMMYFUNCTION("""COMPUTED_VALUE"""),"Box Score")</f>
        <v>Box Score</v>
      </c>
      <c r="H196" s="1"/>
      <c r="I196" s="3">
        <f>IFERROR(__xludf.DUMMYFUNCTION("""COMPUTED_VALUE"""),13038.0)</f>
        <v>13038</v>
      </c>
      <c r="J196" s="1"/>
    </row>
    <row r="197" ht="15.75" customHeight="1">
      <c r="A197" s="2">
        <f>IFERROR(__xludf.DUMMYFUNCTION("""COMPUTED_VALUE"""),43432.0)</f>
        <v>43432</v>
      </c>
      <c r="B197" s="1" t="str">
        <f>IFERROR(__xludf.DUMMYFUNCTION("""COMPUTED_VALUE"""),"7:00p")</f>
        <v>7:00p</v>
      </c>
      <c r="C197" s="1" t="str">
        <f>IFERROR(__xludf.DUMMYFUNCTION("""COMPUTED_VALUE"""),"Atlanta Hawks")</f>
        <v>Atlanta Hawks</v>
      </c>
      <c r="D197" s="1">
        <f>IFERROR(__xludf.DUMMYFUNCTION("""COMPUTED_VALUE"""),94.0)</f>
        <v>94</v>
      </c>
      <c r="E197" s="1" t="str">
        <f>IFERROR(__xludf.DUMMYFUNCTION("""COMPUTED_VALUE"""),"Charlotte Hornets")</f>
        <v>Charlotte Hornets</v>
      </c>
      <c r="F197" s="1">
        <f>IFERROR(__xludf.DUMMYFUNCTION("""COMPUTED_VALUE"""),108.0)</f>
        <v>108</v>
      </c>
      <c r="G197" s="1" t="str">
        <f>IFERROR(__xludf.DUMMYFUNCTION("""COMPUTED_VALUE"""),"Box Score")</f>
        <v>Box Score</v>
      </c>
      <c r="H197" s="1"/>
      <c r="I197" s="3">
        <f>IFERROR(__xludf.DUMMYFUNCTION("""COMPUTED_VALUE"""),12971.0)</f>
        <v>12971</v>
      </c>
      <c r="J197" s="1"/>
    </row>
    <row r="198" ht="15.75" customHeight="1">
      <c r="A198" s="2">
        <f>IFERROR(__xludf.DUMMYFUNCTION("""COMPUTED_VALUE"""),43432.0)</f>
        <v>43432</v>
      </c>
      <c r="B198" s="1" t="str">
        <f>IFERROR(__xludf.DUMMYFUNCTION("""COMPUTED_VALUE"""),"7:00p")</f>
        <v>7:00p</v>
      </c>
      <c r="C198" s="1" t="str">
        <f>IFERROR(__xludf.DUMMYFUNCTION("""COMPUTED_VALUE"""),"New York Knicks")</f>
        <v>New York Knicks</v>
      </c>
      <c r="D198" s="1">
        <f>IFERROR(__xludf.DUMMYFUNCTION("""COMPUTED_VALUE"""),91.0)</f>
        <v>91</v>
      </c>
      <c r="E198" s="1" t="str">
        <f>IFERROR(__xludf.DUMMYFUNCTION("""COMPUTED_VALUE"""),"Philadelphia 76ers")</f>
        <v>Philadelphia 76ers</v>
      </c>
      <c r="F198" s="1">
        <f>IFERROR(__xludf.DUMMYFUNCTION("""COMPUTED_VALUE"""),117.0)</f>
        <v>117</v>
      </c>
      <c r="G198" s="1" t="str">
        <f>IFERROR(__xludf.DUMMYFUNCTION("""COMPUTED_VALUE"""),"Box Score")</f>
        <v>Box Score</v>
      </c>
      <c r="H198" s="1"/>
      <c r="I198" s="3">
        <f>IFERROR(__xludf.DUMMYFUNCTION("""COMPUTED_VALUE"""),20274.0)</f>
        <v>20274</v>
      </c>
      <c r="J198" s="1"/>
    </row>
    <row r="199" ht="15.75" customHeight="1">
      <c r="A199" s="2">
        <f>IFERROR(__xludf.DUMMYFUNCTION("""COMPUTED_VALUE"""),43432.0)</f>
        <v>43432</v>
      </c>
      <c r="B199" s="1" t="str">
        <f>IFERROR(__xludf.DUMMYFUNCTION("""COMPUTED_VALUE"""),"7:30p")</f>
        <v>7:30p</v>
      </c>
      <c r="C199" s="1" t="str">
        <f>IFERROR(__xludf.DUMMYFUNCTION("""COMPUTED_VALUE"""),"Utah Jazz")</f>
        <v>Utah Jazz</v>
      </c>
      <c r="D199" s="1">
        <f>IFERROR(__xludf.DUMMYFUNCTION("""COMPUTED_VALUE"""),101.0)</f>
        <v>101</v>
      </c>
      <c r="E199" s="1" t="str">
        <f>IFERROR(__xludf.DUMMYFUNCTION("""COMPUTED_VALUE"""),"Brooklyn Nets")</f>
        <v>Brooklyn Nets</v>
      </c>
      <c r="F199" s="1">
        <f>IFERROR(__xludf.DUMMYFUNCTION("""COMPUTED_VALUE"""),91.0)</f>
        <v>91</v>
      </c>
      <c r="G199" s="1" t="str">
        <f>IFERROR(__xludf.DUMMYFUNCTION("""COMPUTED_VALUE"""),"Box Score")</f>
        <v>Box Score</v>
      </c>
      <c r="H199" s="1"/>
      <c r="I199" s="3">
        <f>IFERROR(__xludf.DUMMYFUNCTION("""COMPUTED_VALUE"""),12928.0)</f>
        <v>12928</v>
      </c>
      <c r="J199" s="1"/>
    </row>
    <row r="200" ht="15.75" customHeight="1">
      <c r="A200" s="2">
        <f>IFERROR(__xludf.DUMMYFUNCTION("""COMPUTED_VALUE"""),43432.0)</f>
        <v>43432</v>
      </c>
      <c r="B200" s="1" t="str">
        <f>IFERROR(__xludf.DUMMYFUNCTION("""COMPUTED_VALUE"""),"8:00p")</f>
        <v>8:00p</v>
      </c>
      <c r="C200" s="1" t="str">
        <f>IFERROR(__xludf.DUMMYFUNCTION("""COMPUTED_VALUE"""),"Dallas Mavericks")</f>
        <v>Dallas Mavericks</v>
      </c>
      <c r="D200" s="1">
        <f>IFERROR(__xludf.DUMMYFUNCTION("""COMPUTED_VALUE"""),128.0)</f>
        <v>128</v>
      </c>
      <c r="E200" s="1" t="str">
        <f>IFERROR(__xludf.DUMMYFUNCTION("""COMPUTED_VALUE"""),"Houston Rockets")</f>
        <v>Houston Rockets</v>
      </c>
      <c r="F200" s="1">
        <f>IFERROR(__xludf.DUMMYFUNCTION("""COMPUTED_VALUE"""),108.0)</f>
        <v>108</v>
      </c>
      <c r="G200" s="1" t="str">
        <f>IFERROR(__xludf.DUMMYFUNCTION("""COMPUTED_VALUE"""),"Box Score")</f>
        <v>Box Score</v>
      </c>
      <c r="H200" s="1"/>
      <c r="I200" s="3">
        <f>IFERROR(__xludf.DUMMYFUNCTION("""COMPUTED_VALUE"""),18055.0)</f>
        <v>18055</v>
      </c>
      <c r="J200" s="1"/>
    </row>
    <row r="201" ht="15.75" customHeight="1">
      <c r="A201" s="2">
        <f>IFERROR(__xludf.DUMMYFUNCTION("""COMPUTED_VALUE"""),43432.0)</f>
        <v>43432</v>
      </c>
      <c r="B201" s="1" t="str">
        <f>IFERROR(__xludf.DUMMYFUNCTION("""COMPUTED_VALUE"""),"8:00p")</f>
        <v>8:00p</v>
      </c>
      <c r="C201" s="1" t="str">
        <f>IFERROR(__xludf.DUMMYFUNCTION("""COMPUTED_VALUE"""),"Chicago Bulls")</f>
        <v>Chicago Bulls</v>
      </c>
      <c r="D201" s="1">
        <f>IFERROR(__xludf.DUMMYFUNCTION("""COMPUTED_VALUE"""),113.0)</f>
        <v>113</v>
      </c>
      <c r="E201" s="1" t="str">
        <f>IFERROR(__xludf.DUMMYFUNCTION("""COMPUTED_VALUE"""),"Milwaukee Bucks")</f>
        <v>Milwaukee Bucks</v>
      </c>
      <c r="F201" s="1">
        <f>IFERROR(__xludf.DUMMYFUNCTION("""COMPUTED_VALUE"""),116.0)</f>
        <v>116</v>
      </c>
      <c r="G201" s="1" t="str">
        <f>IFERROR(__xludf.DUMMYFUNCTION("""COMPUTED_VALUE"""),"Box Score")</f>
        <v>Box Score</v>
      </c>
      <c r="H201" s="1"/>
      <c r="I201" s="3">
        <f>IFERROR(__xludf.DUMMYFUNCTION("""COMPUTED_VALUE"""),16660.0)</f>
        <v>16660</v>
      </c>
      <c r="J201" s="1"/>
    </row>
    <row r="202" ht="15.75" customHeight="1">
      <c r="A202" s="2">
        <f>IFERROR(__xludf.DUMMYFUNCTION("""COMPUTED_VALUE"""),43432.0)</f>
        <v>43432</v>
      </c>
      <c r="B202" s="1" t="str">
        <f>IFERROR(__xludf.DUMMYFUNCTION("""COMPUTED_VALUE"""),"8:00p")</f>
        <v>8:00p</v>
      </c>
      <c r="C202" s="1" t="str">
        <f>IFERROR(__xludf.DUMMYFUNCTION("""COMPUTED_VALUE"""),"San Antonio Spurs")</f>
        <v>San Antonio Spurs</v>
      </c>
      <c r="D202" s="1">
        <f>IFERROR(__xludf.DUMMYFUNCTION("""COMPUTED_VALUE"""),89.0)</f>
        <v>89</v>
      </c>
      <c r="E202" s="1" t="str">
        <f>IFERROR(__xludf.DUMMYFUNCTION("""COMPUTED_VALUE"""),"Minnesota Timberwolves")</f>
        <v>Minnesota Timberwolves</v>
      </c>
      <c r="F202" s="1">
        <f>IFERROR(__xludf.DUMMYFUNCTION("""COMPUTED_VALUE"""),128.0)</f>
        <v>128</v>
      </c>
      <c r="G202" s="1" t="str">
        <f>IFERROR(__xludf.DUMMYFUNCTION("""COMPUTED_VALUE"""),"Box Score")</f>
        <v>Box Score</v>
      </c>
      <c r="H202" s="1"/>
      <c r="I202" s="3">
        <f>IFERROR(__xludf.DUMMYFUNCTION("""COMPUTED_VALUE"""),11023.0)</f>
        <v>11023</v>
      </c>
      <c r="J202" s="1"/>
    </row>
    <row r="203" ht="15.75" customHeight="1">
      <c r="A203" s="2">
        <f>IFERROR(__xludf.DUMMYFUNCTION("""COMPUTED_VALUE"""),43432.0)</f>
        <v>43432</v>
      </c>
      <c r="B203" s="1" t="str">
        <f>IFERROR(__xludf.DUMMYFUNCTION("""COMPUTED_VALUE"""),"8:00p")</f>
        <v>8:00p</v>
      </c>
      <c r="C203" s="1" t="str">
        <f>IFERROR(__xludf.DUMMYFUNCTION("""COMPUTED_VALUE"""),"Washington Wizards")</f>
        <v>Washington Wizards</v>
      </c>
      <c r="D203" s="1">
        <f>IFERROR(__xludf.DUMMYFUNCTION("""COMPUTED_VALUE"""),104.0)</f>
        <v>104</v>
      </c>
      <c r="E203" s="1" t="str">
        <f>IFERROR(__xludf.DUMMYFUNCTION("""COMPUTED_VALUE"""),"New Orleans Pelicans")</f>
        <v>New Orleans Pelicans</v>
      </c>
      <c r="F203" s="1">
        <f>IFERROR(__xludf.DUMMYFUNCTION("""COMPUTED_VALUE"""),125.0)</f>
        <v>125</v>
      </c>
      <c r="G203" s="1" t="str">
        <f>IFERROR(__xludf.DUMMYFUNCTION("""COMPUTED_VALUE"""),"Box Score")</f>
        <v>Box Score</v>
      </c>
      <c r="H203" s="1"/>
      <c r="I203" s="3">
        <f>IFERROR(__xludf.DUMMYFUNCTION("""COMPUTED_VALUE"""),13570.0)</f>
        <v>13570</v>
      </c>
      <c r="J203" s="1"/>
    </row>
    <row r="204" ht="15.75" customHeight="1">
      <c r="A204" s="2">
        <f>IFERROR(__xludf.DUMMYFUNCTION("""COMPUTED_VALUE"""),43432.0)</f>
        <v>43432</v>
      </c>
      <c r="B204" s="1" t="str">
        <f>IFERROR(__xludf.DUMMYFUNCTION("""COMPUTED_VALUE"""),"8:00p")</f>
        <v>8:00p</v>
      </c>
      <c r="C204" s="1" t="str">
        <f>IFERROR(__xludf.DUMMYFUNCTION("""COMPUTED_VALUE"""),"Cleveland Cavaliers")</f>
        <v>Cleveland Cavaliers</v>
      </c>
      <c r="D204" s="1">
        <f>IFERROR(__xludf.DUMMYFUNCTION("""COMPUTED_VALUE"""),83.0)</f>
        <v>83</v>
      </c>
      <c r="E204" s="1" t="str">
        <f>IFERROR(__xludf.DUMMYFUNCTION("""COMPUTED_VALUE"""),"Oklahoma City Thunder")</f>
        <v>Oklahoma City Thunder</v>
      </c>
      <c r="F204" s="1">
        <f>IFERROR(__xludf.DUMMYFUNCTION("""COMPUTED_VALUE"""),100.0)</f>
        <v>100</v>
      </c>
      <c r="G204" s="1" t="str">
        <f>IFERROR(__xludf.DUMMYFUNCTION("""COMPUTED_VALUE"""),"Box Score")</f>
        <v>Box Score</v>
      </c>
      <c r="H204" s="1"/>
      <c r="I204" s="3">
        <f>IFERROR(__xludf.DUMMYFUNCTION("""COMPUTED_VALUE"""),18203.0)</f>
        <v>18203</v>
      </c>
      <c r="J204" s="1"/>
    </row>
    <row r="205" ht="15.75" customHeight="1">
      <c r="A205" s="2">
        <f>IFERROR(__xludf.DUMMYFUNCTION("""COMPUTED_VALUE"""),43432.0)</f>
        <v>43432</v>
      </c>
      <c r="B205" s="1" t="str">
        <f>IFERROR(__xludf.DUMMYFUNCTION("""COMPUTED_VALUE"""),"10:00p")</f>
        <v>10:00p</v>
      </c>
      <c r="C205" s="1" t="str">
        <f>IFERROR(__xludf.DUMMYFUNCTION("""COMPUTED_VALUE"""),"Orlando Magic")</f>
        <v>Orlando Magic</v>
      </c>
      <c r="D205" s="1">
        <f>IFERROR(__xludf.DUMMYFUNCTION("""COMPUTED_VALUE"""),112.0)</f>
        <v>112</v>
      </c>
      <c r="E205" s="1" t="str">
        <f>IFERROR(__xludf.DUMMYFUNCTION("""COMPUTED_VALUE"""),"Portland Trail Blazers")</f>
        <v>Portland Trail Blazers</v>
      </c>
      <c r="F205" s="1">
        <f>IFERROR(__xludf.DUMMYFUNCTION("""COMPUTED_VALUE"""),115.0)</f>
        <v>115</v>
      </c>
      <c r="G205" s="1" t="str">
        <f>IFERROR(__xludf.DUMMYFUNCTION("""COMPUTED_VALUE"""),"Box Score")</f>
        <v>Box Score</v>
      </c>
      <c r="H205" s="1"/>
      <c r="I205" s="3">
        <f>IFERROR(__xludf.DUMMYFUNCTION("""COMPUTED_VALUE"""),18865.0)</f>
        <v>18865</v>
      </c>
      <c r="J205" s="1"/>
    </row>
    <row r="206" ht="15.75" customHeight="1">
      <c r="A206" s="2">
        <f>IFERROR(__xludf.DUMMYFUNCTION("""COMPUTED_VALUE"""),43432.0)</f>
        <v>43432</v>
      </c>
      <c r="B206" s="1" t="str">
        <f>IFERROR(__xludf.DUMMYFUNCTION("""COMPUTED_VALUE"""),"10:30p")</f>
        <v>10:30p</v>
      </c>
      <c r="C206" s="1" t="str">
        <f>IFERROR(__xludf.DUMMYFUNCTION("""COMPUTED_VALUE"""),"Phoenix Suns")</f>
        <v>Phoenix Suns</v>
      </c>
      <c r="D206" s="1">
        <f>IFERROR(__xludf.DUMMYFUNCTION("""COMPUTED_VALUE"""),99.0)</f>
        <v>99</v>
      </c>
      <c r="E206" s="1" t="str">
        <f>IFERROR(__xludf.DUMMYFUNCTION("""COMPUTED_VALUE"""),"Los Angeles Clippers")</f>
        <v>Los Angeles Clippers</v>
      </c>
      <c r="F206" s="1">
        <f>IFERROR(__xludf.DUMMYFUNCTION("""COMPUTED_VALUE"""),115.0)</f>
        <v>115</v>
      </c>
      <c r="G206" s="1" t="str">
        <f>IFERROR(__xludf.DUMMYFUNCTION("""COMPUTED_VALUE"""),"Box Score")</f>
        <v>Box Score</v>
      </c>
      <c r="H206" s="1"/>
      <c r="I206" s="3">
        <f>IFERROR(__xludf.DUMMYFUNCTION("""COMPUTED_VALUE"""),16372.0)</f>
        <v>16372</v>
      </c>
      <c r="J206" s="1"/>
    </row>
    <row r="207" ht="15.75" customHeight="1">
      <c r="A207" s="2">
        <f>IFERROR(__xludf.DUMMYFUNCTION("""COMPUTED_VALUE"""),43433.0)</f>
        <v>43433</v>
      </c>
      <c r="B207" s="1" t="str">
        <f>IFERROR(__xludf.DUMMYFUNCTION("""COMPUTED_VALUE"""),"8:00p")</f>
        <v>8:00p</v>
      </c>
      <c r="C207" s="1" t="str">
        <f>IFERROR(__xludf.DUMMYFUNCTION("""COMPUTED_VALUE"""),"Golden State Warriors")</f>
        <v>Golden State Warriors</v>
      </c>
      <c r="D207" s="1">
        <f>IFERROR(__xludf.DUMMYFUNCTION("""COMPUTED_VALUE"""),128.0)</f>
        <v>128</v>
      </c>
      <c r="E207" s="1" t="str">
        <f>IFERROR(__xludf.DUMMYFUNCTION("""COMPUTED_VALUE"""),"Toronto Raptors")</f>
        <v>Toronto Raptors</v>
      </c>
      <c r="F207" s="1">
        <f>IFERROR(__xludf.DUMMYFUNCTION("""COMPUTED_VALUE"""),131.0)</f>
        <v>131</v>
      </c>
      <c r="G207" s="1" t="str">
        <f>IFERROR(__xludf.DUMMYFUNCTION("""COMPUTED_VALUE"""),"Box Score")</f>
        <v>Box Score</v>
      </c>
      <c r="H207" s="1" t="str">
        <f>IFERROR(__xludf.DUMMYFUNCTION("""COMPUTED_VALUE"""),"OT")</f>
        <v>OT</v>
      </c>
      <c r="I207" s="3">
        <f>IFERROR(__xludf.DUMMYFUNCTION("""COMPUTED_VALUE"""),20073.0)</f>
        <v>20073</v>
      </c>
      <c r="J207" s="1"/>
    </row>
    <row r="208" ht="15.75" customHeight="1">
      <c r="A208" s="2">
        <f>IFERROR(__xludf.DUMMYFUNCTION("""COMPUTED_VALUE"""),43433.0)</f>
        <v>43433</v>
      </c>
      <c r="B208" s="1" t="str">
        <f>IFERROR(__xludf.DUMMYFUNCTION("""COMPUTED_VALUE"""),"10:30p")</f>
        <v>10:30p</v>
      </c>
      <c r="C208" s="1" t="str">
        <f>IFERROR(__xludf.DUMMYFUNCTION("""COMPUTED_VALUE"""),"Indiana Pacers")</f>
        <v>Indiana Pacers</v>
      </c>
      <c r="D208" s="1">
        <f>IFERROR(__xludf.DUMMYFUNCTION("""COMPUTED_VALUE"""),96.0)</f>
        <v>96</v>
      </c>
      <c r="E208" s="1" t="str">
        <f>IFERROR(__xludf.DUMMYFUNCTION("""COMPUTED_VALUE"""),"Los Angeles Lakers")</f>
        <v>Los Angeles Lakers</v>
      </c>
      <c r="F208" s="1">
        <f>IFERROR(__xludf.DUMMYFUNCTION("""COMPUTED_VALUE"""),104.0)</f>
        <v>104</v>
      </c>
      <c r="G208" s="1" t="str">
        <f>IFERROR(__xludf.DUMMYFUNCTION("""COMPUTED_VALUE"""),"Box Score")</f>
        <v>Box Score</v>
      </c>
      <c r="H208" s="1"/>
      <c r="I208" s="3">
        <f>IFERROR(__xludf.DUMMYFUNCTION("""COMPUTED_VALUE"""),18997.0)</f>
        <v>18997</v>
      </c>
      <c r="J208" s="1"/>
    </row>
    <row r="209" ht="15.75" customHeight="1">
      <c r="A209" s="2">
        <f>IFERROR(__xludf.DUMMYFUNCTION("""COMPUTED_VALUE"""),43433.0)</f>
        <v>43433</v>
      </c>
      <c r="B209" s="1" t="str">
        <f>IFERROR(__xludf.DUMMYFUNCTION("""COMPUTED_VALUE"""),"10:30p")</f>
        <v>10:30p</v>
      </c>
      <c r="C209" s="1" t="str">
        <f>IFERROR(__xludf.DUMMYFUNCTION("""COMPUTED_VALUE"""),"Los Angeles Clippers")</f>
        <v>Los Angeles Clippers</v>
      </c>
      <c r="D209" s="1">
        <f>IFERROR(__xludf.DUMMYFUNCTION("""COMPUTED_VALUE"""),133.0)</f>
        <v>133</v>
      </c>
      <c r="E209" s="1" t="str">
        <f>IFERROR(__xludf.DUMMYFUNCTION("""COMPUTED_VALUE"""),"Sacramento Kings")</f>
        <v>Sacramento Kings</v>
      </c>
      <c r="F209" s="1">
        <f>IFERROR(__xludf.DUMMYFUNCTION("""COMPUTED_VALUE"""),121.0)</f>
        <v>121</v>
      </c>
      <c r="G209" s="1" t="str">
        <f>IFERROR(__xludf.DUMMYFUNCTION("""COMPUTED_VALUE"""),"Box Score")</f>
        <v>Box Score</v>
      </c>
      <c r="H209" s="1"/>
      <c r="I209" s="3">
        <f>IFERROR(__xludf.DUMMYFUNCTION("""COMPUTED_VALUE"""),17583.0)</f>
        <v>17583</v>
      </c>
      <c r="J209" s="1"/>
    </row>
    <row r="210" ht="15.75" customHeight="1">
      <c r="A210" s="2">
        <f>IFERROR(__xludf.DUMMYFUNCTION("""COMPUTED_VALUE"""),43434.0)</f>
        <v>43434</v>
      </c>
      <c r="B210" s="1" t="str">
        <f>IFERROR(__xludf.DUMMYFUNCTION("""COMPUTED_VALUE"""),"7:00p")</f>
        <v>7:00p</v>
      </c>
      <c r="C210" s="1" t="str">
        <f>IFERROR(__xludf.DUMMYFUNCTION("""COMPUTED_VALUE"""),"Cleveland Cavaliers")</f>
        <v>Cleveland Cavaliers</v>
      </c>
      <c r="D210" s="1">
        <f>IFERROR(__xludf.DUMMYFUNCTION("""COMPUTED_VALUE"""),95.0)</f>
        <v>95</v>
      </c>
      <c r="E210" s="1" t="str">
        <f>IFERROR(__xludf.DUMMYFUNCTION("""COMPUTED_VALUE"""),"Boston Celtics")</f>
        <v>Boston Celtics</v>
      </c>
      <c r="F210" s="1">
        <f>IFERROR(__xludf.DUMMYFUNCTION("""COMPUTED_VALUE"""),128.0)</f>
        <v>128</v>
      </c>
      <c r="G210" s="1" t="str">
        <f>IFERROR(__xludf.DUMMYFUNCTION("""COMPUTED_VALUE"""),"Box Score")</f>
        <v>Box Score</v>
      </c>
      <c r="H210" s="1"/>
      <c r="I210" s="3">
        <f>IFERROR(__xludf.DUMMYFUNCTION("""COMPUTED_VALUE"""),18624.0)</f>
        <v>18624</v>
      </c>
      <c r="J210" s="1"/>
    </row>
    <row r="211" ht="15.75" customHeight="1">
      <c r="A211" s="2">
        <f>IFERROR(__xludf.DUMMYFUNCTION("""COMPUTED_VALUE"""),43434.0)</f>
        <v>43434</v>
      </c>
      <c r="B211" s="1" t="str">
        <f>IFERROR(__xludf.DUMMYFUNCTION("""COMPUTED_VALUE"""),"7:00p")</f>
        <v>7:00p</v>
      </c>
      <c r="C211" s="1" t="str">
        <f>IFERROR(__xludf.DUMMYFUNCTION("""COMPUTED_VALUE"""),"Utah Jazz")</f>
        <v>Utah Jazz</v>
      </c>
      <c r="D211" s="1">
        <f>IFERROR(__xludf.DUMMYFUNCTION("""COMPUTED_VALUE"""),119.0)</f>
        <v>119</v>
      </c>
      <c r="E211" s="1" t="str">
        <f>IFERROR(__xludf.DUMMYFUNCTION("""COMPUTED_VALUE"""),"Charlotte Hornets")</f>
        <v>Charlotte Hornets</v>
      </c>
      <c r="F211" s="1">
        <f>IFERROR(__xludf.DUMMYFUNCTION("""COMPUTED_VALUE"""),111.0)</f>
        <v>111</v>
      </c>
      <c r="G211" s="1" t="str">
        <f>IFERROR(__xludf.DUMMYFUNCTION("""COMPUTED_VALUE"""),"Box Score")</f>
        <v>Box Score</v>
      </c>
      <c r="H211" s="1"/>
      <c r="I211" s="3">
        <f>IFERROR(__xludf.DUMMYFUNCTION("""COMPUTED_VALUE"""),15812.0)</f>
        <v>15812</v>
      </c>
      <c r="J211" s="1"/>
    </row>
    <row r="212" ht="15.75" customHeight="1">
      <c r="A212" s="2">
        <f>IFERROR(__xludf.DUMMYFUNCTION("""COMPUTED_VALUE"""),43434.0)</f>
        <v>43434</v>
      </c>
      <c r="B212" s="1" t="str">
        <f>IFERROR(__xludf.DUMMYFUNCTION("""COMPUTED_VALUE"""),"7:00p")</f>
        <v>7:00p</v>
      </c>
      <c r="C212" s="1" t="str">
        <f>IFERROR(__xludf.DUMMYFUNCTION("""COMPUTED_VALUE"""),"Chicago Bulls")</f>
        <v>Chicago Bulls</v>
      </c>
      <c r="D212" s="1">
        <f>IFERROR(__xludf.DUMMYFUNCTION("""COMPUTED_VALUE"""),88.0)</f>
        <v>88</v>
      </c>
      <c r="E212" s="1" t="str">
        <f>IFERROR(__xludf.DUMMYFUNCTION("""COMPUTED_VALUE"""),"Detroit Pistons")</f>
        <v>Detroit Pistons</v>
      </c>
      <c r="F212" s="1">
        <f>IFERROR(__xludf.DUMMYFUNCTION("""COMPUTED_VALUE"""),107.0)</f>
        <v>107</v>
      </c>
      <c r="G212" s="1" t="str">
        <f>IFERROR(__xludf.DUMMYFUNCTION("""COMPUTED_VALUE"""),"Box Score")</f>
        <v>Box Score</v>
      </c>
      <c r="H212" s="1"/>
      <c r="I212" s="3">
        <f>IFERROR(__xludf.DUMMYFUNCTION("""COMPUTED_VALUE"""),15372.0)</f>
        <v>15372</v>
      </c>
      <c r="J212" s="1"/>
    </row>
    <row r="213" ht="15.75" customHeight="1">
      <c r="A213" s="2">
        <f>IFERROR(__xludf.DUMMYFUNCTION("""COMPUTED_VALUE"""),43434.0)</f>
        <v>43434</v>
      </c>
      <c r="B213" s="1" t="str">
        <f>IFERROR(__xludf.DUMMYFUNCTION("""COMPUTED_VALUE"""),"7:00p")</f>
        <v>7:00p</v>
      </c>
      <c r="C213" s="1" t="str">
        <f>IFERROR(__xludf.DUMMYFUNCTION("""COMPUTED_VALUE"""),"Washington Wizards")</f>
        <v>Washington Wizards</v>
      </c>
      <c r="D213" s="1">
        <f>IFERROR(__xludf.DUMMYFUNCTION("""COMPUTED_VALUE"""),98.0)</f>
        <v>98</v>
      </c>
      <c r="E213" s="1" t="str">
        <f>IFERROR(__xludf.DUMMYFUNCTION("""COMPUTED_VALUE"""),"Philadelphia 76ers")</f>
        <v>Philadelphia 76ers</v>
      </c>
      <c r="F213" s="1">
        <f>IFERROR(__xludf.DUMMYFUNCTION("""COMPUTED_VALUE"""),123.0)</f>
        <v>123</v>
      </c>
      <c r="G213" s="1" t="str">
        <f>IFERROR(__xludf.DUMMYFUNCTION("""COMPUTED_VALUE"""),"Box Score")</f>
        <v>Box Score</v>
      </c>
      <c r="H213" s="1"/>
      <c r="I213" s="3">
        <f>IFERROR(__xludf.DUMMYFUNCTION("""COMPUTED_VALUE"""),20400.0)</f>
        <v>20400</v>
      </c>
      <c r="J213" s="1"/>
    </row>
    <row r="214" ht="15.75" customHeight="1">
      <c r="A214" s="2">
        <f>IFERROR(__xludf.DUMMYFUNCTION("""COMPUTED_VALUE"""),43434.0)</f>
        <v>43434</v>
      </c>
      <c r="B214" s="1" t="str">
        <f>IFERROR(__xludf.DUMMYFUNCTION("""COMPUTED_VALUE"""),"7:30p")</f>
        <v>7:30p</v>
      </c>
      <c r="C214" s="1" t="str">
        <f>IFERROR(__xludf.DUMMYFUNCTION("""COMPUTED_VALUE"""),"Memphis Grizzlies")</f>
        <v>Memphis Grizzlies</v>
      </c>
      <c r="D214" s="1">
        <f>IFERROR(__xludf.DUMMYFUNCTION("""COMPUTED_VALUE"""),131.0)</f>
        <v>131</v>
      </c>
      <c r="E214" s="1" t="str">
        <f>IFERROR(__xludf.DUMMYFUNCTION("""COMPUTED_VALUE"""),"Brooklyn Nets")</f>
        <v>Brooklyn Nets</v>
      </c>
      <c r="F214" s="1">
        <f>IFERROR(__xludf.DUMMYFUNCTION("""COMPUTED_VALUE"""),125.0)</f>
        <v>125</v>
      </c>
      <c r="G214" s="1" t="str">
        <f>IFERROR(__xludf.DUMMYFUNCTION("""COMPUTED_VALUE"""),"Box Score")</f>
        <v>Box Score</v>
      </c>
      <c r="H214" s="1" t="str">
        <f>IFERROR(__xludf.DUMMYFUNCTION("""COMPUTED_VALUE"""),"2OT")</f>
        <v>2OT</v>
      </c>
      <c r="I214" s="3">
        <f>IFERROR(__xludf.DUMMYFUNCTION("""COMPUTED_VALUE"""),12983.0)</f>
        <v>12983</v>
      </c>
      <c r="J214" s="1"/>
    </row>
    <row r="215" ht="15.75" customHeight="1">
      <c r="A215" s="2">
        <f>IFERROR(__xludf.DUMMYFUNCTION("""COMPUTED_VALUE"""),43434.0)</f>
        <v>43434</v>
      </c>
      <c r="B215" s="1" t="str">
        <f>IFERROR(__xludf.DUMMYFUNCTION("""COMPUTED_VALUE"""),"8:00p")</f>
        <v>8:00p</v>
      </c>
      <c r="C215" s="1" t="str">
        <f>IFERROR(__xludf.DUMMYFUNCTION("""COMPUTED_VALUE"""),"New Orleans Pelicans")</f>
        <v>New Orleans Pelicans</v>
      </c>
      <c r="D215" s="1">
        <f>IFERROR(__xludf.DUMMYFUNCTION("""COMPUTED_VALUE"""),101.0)</f>
        <v>101</v>
      </c>
      <c r="E215" s="1" t="str">
        <f>IFERROR(__xludf.DUMMYFUNCTION("""COMPUTED_VALUE"""),"Miami Heat")</f>
        <v>Miami Heat</v>
      </c>
      <c r="F215" s="1">
        <f>IFERROR(__xludf.DUMMYFUNCTION("""COMPUTED_VALUE"""),106.0)</f>
        <v>106</v>
      </c>
      <c r="G215" s="1" t="str">
        <f>IFERROR(__xludf.DUMMYFUNCTION("""COMPUTED_VALUE"""),"Box Score")</f>
        <v>Box Score</v>
      </c>
      <c r="H215" s="1"/>
      <c r="I215" s="3">
        <f>IFERROR(__xludf.DUMMYFUNCTION("""COMPUTED_VALUE"""),19600.0)</f>
        <v>19600</v>
      </c>
      <c r="J215" s="1"/>
    </row>
    <row r="216" ht="15.75" customHeight="1">
      <c r="A216" s="2">
        <f>IFERROR(__xludf.DUMMYFUNCTION("""COMPUTED_VALUE"""),43434.0)</f>
        <v>43434</v>
      </c>
      <c r="B216" s="1" t="str">
        <f>IFERROR(__xludf.DUMMYFUNCTION("""COMPUTED_VALUE"""),"8:00p")</f>
        <v>8:00p</v>
      </c>
      <c r="C216" s="1" t="str">
        <f>IFERROR(__xludf.DUMMYFUNCTION("""COMPUTED_VALUE"""),"Atlanta Hawks")</f>
        <v>Atlanta Hawks</v>
      </c>
      <c r="D216" s="1">
        <f>IFERROR(__xludf.DUMMYFUNCTION("""COMPUTED_VALUE"""),109.0)</f>
        <v>109</v>
      </c>
      <c r="E216" s="1" t="str">
        <f>IFERROR(__xludf.DUMMYFUNCTION("""COMPUTED_VALUE"""),"Oklahoma City Thunder")</f>
        <v>Oklahoma City Thunder</v>
      </c>
      <c r="F216" s="1">
        <f>IFERROR(__xludf.DUMMYFUNCTION("""COMPUTED_VALUE"""),124.0)</f>
        <v>124</v>
      </c>
      <c r="G216" s="1" t="str">
        <f>IFERROR(__xludf.DUMMYFUNCTION("""COMPUTED_VALUE"""),"Box Score")</f>
        <v>Box Score</v>
      </c>
      <c r="H216" s="1"/>
      <c r="I216" s="3">
        <f>IFERROR(__xludf.DUMMYFUNCTION("""COMPUTED_VALUE"""),18203.0)</f>
        <v>18203</v>
      </c>
      <c r="J216" s="1"/>
    </row>
    <row r="217" ht="15.75" customHeight="1">
      <c r="A217" s="2">
        <f>IFERROR(__xludf.DUMMYFUNCTION("""COMPUTED_VALUE"""),43434.0)</f>
        <v>43434</v>
      </c>
      <c r="B217" s="1" t="str">
        <f>IFERROR(__xludf.DUMMYFUNCTION("""COMPUTED_VALUE"""),"8:00p")</f>
        <v>8:00p</v>
      </c>
      <c r="C217" s="1" t="str">
        <f>IFERROR(__xludf.DUMMYFUNCTION("""COMPUTED_VALUE"""),"Houston Rockets")</f>
        <v>Houston Rockets</v>
      </c>
      <c r="D217" s="1">
        <f>IFERROR(__xludf.DUMMYFUNCTION("""COMPUTED_VALUE"""),136.0)</f>
        <v>136</v>
      </c>
      <c r="E217" s="1" t="str">
        <f>IFERROR(__xludf.DUMMYFUNCTION("""COMPUTED_VALUE"""),"San Antonio Spurs")</f>
        <v>San Antonio Spurs</v>
      </c>
      <c r="F217" s="1">
        <f>IFERROR(__xludf.DUMMYFUNCTION("""COMPUTED_VALUE"""),105.0)</f>
        <v>105</v>
      </c>
      <c r="G217" s="1" t="str">
        <f>IFERROR(__xludf.DUMMYFUNCTION("""COMPUTED_VALUE"""),"Box Score")</f>
        <v>Box Score</v>
      </c>
      <c r="H217" s="1"/>
      <c r="I217" s="3">
        <f>IFERROR(__xludf.DUMMYFUNCTION("""COMPUTED_VALUE"""),18354.0)</f>
        <v>18354</v>
      </c>
      <c r="J217" s="1"/>
    </row>
    <row r="218" ht="15.75" customHeight="1">
      <c r="A218" s="2">
        <f>IFERROR(__xludf.DUMMYFUNCTION("""COMPUTED_VALUE"""),43434.0)</f>
        <v>43434</v>
      </c>
      <c r="B218" s="1" t="str">
        <f>IFERROR(__xludf.DUMMYFUNCTION("""COMPUTED_VALUE"""),"9:00p")</f>
        <v>9:00p</v>
      </c>
      <c r="C218" s="1" t="str">
        <f>IFERROR(__xludf.DUMMYFUNCTION("""COMPUTED_VALUE"""),"Orlando Magic")</f>
        <v>Orlando Magic</v>
      </c>
      <c r="D218" s="1">
        <f>IFERROR(__xludf.DUMMYFUNCTION("""COMPUTED_VALUE"""),99.0)</f>
        <v>99</v>
      </c>
      <c r="E218" s="1" t="str">
        <f>IFERROR(__xludf.DUMMYFUNCTION("""COMPUTED_VALUE"""),"Phoenix Suns")</f>
        <v>Phoenix Suns</v>
      </c>
      <c r="F218" s="1">
        <f>IFERROR(__xludf.DUMMYFUNCTION("""COMPUTED_VALUE"""),85.0)</f>
        <v>85</v>
      </c>
      <c r="G218" s="1" t="str">
        <f>IFERROR(__xludf.DUMMYFUNCTION("""COMPUTED_VALUE"""),"Box Score")</f>
        <v>Box Score</v>
      </c>
      <c r="H218" s="1"/>
      <c r="I218" s="3">
        <f>IFERROR(__xludf.DUMMYFUNCTION("""COMPUTED_VALUE"""),13228.0)</f>
        <v>13228</v>
      </c>
      <c r="J218" s="1"/>
    </row>
    <row r="219" ht="15.75" customHeight="1">
      <c r="A219" s="2">
        <f>IFERROR(__xludf.DUMMYFUNCTION("""COMPUTED_VALUE"""),43434.0)</f>
        <v>43434</v>
      </c>
      <c r="B219" s="1" t="str">
        <f>IFERROR(__xludf.DUMMYFUNCTION("""COMPUTED_VALUE"""),"10:30p")</f>
        <v>10:30p</v>
      </c>
      <c r="C219" s="1" t="str">
        <f>IFERROR(__xludf.DUMMYFUNCTION("""COMPUTED_VALUE"""),"Dallas Mavericks")</f>
        <v>Dallas Mavericks</v>
      </c>
      <c r="D219" s="1">
        <f>IFERROR(__xludf.DUMMYFUNCTION("""COMPUTED_VALUE"""),103.0)</f>
        <v>103</v>
      </c>
      <c r="E219" s="1" t="str">
        <f>IFERROR(__xludf.DUMMYFUNCTION("""COMPUTED_VALUE"""),"Los Angeles Lakers")</f>
        <v>Los Angeles Lakers</v>
      </c>
      <c r="F219" s="1">
        <f>IFERROR(__xludf.DUMMYFUNCTION("""COMPUTED_VALUE"""),114.0)</f>
        <v>114</v>
      </c>
      <c r="G219" s="1" t="str">
        <f>IFERROR(__xludf.DUMMYFUNCTION("""COMPUTED_VALUE"""),"Box Score")</f>
        <v>Box Score</v>
      </c>
      <c r="H219" s="1"/>
      <c r="I219" s="3">
        <f>IFERROR(__xludf.DUMMYFUNCTION("""COMPUTED_VALUE"""),18997.0)</f>
        <v>18997</v>
      </c>
      <c r="J219" s="1"/>
    </row>
    <row r="220" ht="15.75" customHeight="1">
      <c r="A220" s="2">
        <f>IFERROR(__xludf.DUMMYFUNCTION("""COMPUTED_VALUE"""),43434.0)</f>
        <v>43434</v>
      </c>
      <c r="B220" s="1" t="str">
        <f>IFERROR(__xludf.DUMMYFUNCTION("""COMPUTED_VALUE"""),"10:30p")</f>
        <v>10:30p</v>
      </c>
      <c r="C220" s="1" t="str">
        <f>IFERROR(__xludf.DUMMYFUNCTION("""COMPUTED_VALUE"""),"Denver Nuggets")</f>
        <v>Denver Nuggets</v>
      </c>
      <c r="D220" s="1">
        <f>IFERROR(__xludf.DUMMYFUNCTION("""COMPUTED_VALUE"""),113.0)</f>
        <v>113</v>
      </c>
      <c r="E220" s="1" t="str">
        <f>IFERROR(__xludf.DUMMYFUNCTION("""COMPUTED_VALUE"""),"Portland Trail Blazers")</f>
        <v>Portland Trail Blazers</v>
      </c>
      <c r="F220" s="1">
        <f>IFERROR(__xludf.DUMMYFUNCTION("""COMPUTED_VALUE"""),112.0)</f>
        <v>112</v>
      </c>
      <c r="G220" s="1" t="str">
        <f>IFERROR(__xludf.DUMMYFUNCTION("""COMPUTED_VALUE"""),"Box Score")</f>
        <v>Box Score</v>
      </c>
      <c r="H220" s="1"/>
      <c r="I220" s="3">
        <f>IFERROR(__xludf.DUMMYFUNCTION("""COMPUTED_VALUE"""),19459.0)</f>
        <v>19459</v>
      </c>
      <c r="J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tr">
        <f>IFERROR(__xludf.DUMMYFUNCTION("IMPORTHTML(""https://www.basketball-reference.com/leagues/NBA_2019_games-december.html"",""table"",1)"),"Date")</f>
        <v>Date</v>
      </c>
      <c r="B1" s="1" t="str">
        <f>IFERROR(__xludf.DUMMYFUNCTION("""COMPUTED_VALUE"""),"Start (ET)")</f>
        <v>Start (ET)</v>
      </c>
      <c r="C1" s="1" t="str">
        <f>IFERROR(__xludf.DUMMYFUNCTION("""COMPUTED_VALUE"""),"Visitor/Neutral")</f>
        <v>Visitor/Neutral</v>
      </c>
      <c r="D1" s="1" t="str">
        <f>IFERROR(__xludf.DUMMYFUNCTION("""COMPUTED_VALUE"""),"PTS")</f>
        <v>PTS</v>
      </c>
      <c r="E1" s="1" t="str">
        <f>IFERROR(__xludf.DUMMYFUNCTION("""COMPUTED_VALUE"""),"Home/Neutral")</f>
        <v>Home/Neutral</v>
      </c>
      <c r="F1" s="1" t="str">
        <f>IFERROR(__xludf.DUMMYFUNCTION("""COMPUTED_VALUE"""),"PTS")</f>
        <v>PTS</v>
      </c>
      <c r="G1" s="1"/>
      <c r="H1" s="1"/>
      <c r="I1" s="1" t="str">
        <f>IFERROR(__xludf.DUMMYFUNCTION("""COMPUTED_VALUE"""),"Attend.")</f>
        <v>Attend.</v>
      </c>
      <c r="J1" s="1" t="str">
        <f>IFERROR(__xludf.DUMMYFUNCTION("""COMPUTED_VALUE"""),"Notes")</f>
        <v>Notes</v>
      </c>
    </row>
    <row r="2" ht="15.75" customHeight="1">
      <c r="A2" s="2">
        <f>IFERROR(__xludf.DUMMYFUNCTION("""COMPUTED_VALUE"""),43435.0)</f>
        <v>43435</v>
      </c>
      <c r="B2" s="1" t="str">
        <f>IFERROR(__xludf.DUMMYFUNCTION("""COMPUTED_VALUE"""),"5:00p")</f>
        <v>5:00p</v>
      </c>
      <c r="C2" s="1" t="str">
        <f>IFERROR(__xludf.DUMMYFUNCTION("""COMPUTED_VALUE"""),"Milwaukee Bucks")</f>
        <v>Milwaukee Bucks</v>
      </c>
      <c r="D2" s="1">
        <f>IFERROR(__xludf.DUMMYFUNCTION("""COMPUTED_VALUE"""),134.0)</f>
        <v>134</v>
      </c>
      <c r="E2" s="1" t="str">
        <f>IFERROR(__xludf.DUMMYFUNCTION("""COMPUTED_VALUE"""),"New York Knicks")</f>
        <v>New York Knicks</v>
      </c>
      <c r="F2" s="1">
        <f>IFERROR(__xludf.DUMMYFUNCTION("""COMPUTED_VALUE"""),136.0)</f>
        <v>136</v>
      </c>
      <c r="G2" s="1" t="str">
        <f>IFERROR(__xludf.DUMMYFUNCTION("""COMPUTED_VALUE"""),"Box Score")</f>
        <v>Box Score</v>
      </c>
      <c r="H2" s="1" t="str">
        <f>IFERROR(__xludf.DUMMYFUNCTION("""COMPUTED_VALUE"""),"OT")</f>
        <v>OT</v>
      </c>
      <c r="I2" s="3">
        <f>IFERROR(__xludf.DUMMYFUNCTION("""COMPUTED_VALUE"""),19812.0)</f>
        <v>19812</v>
      </c>
      <c r="J2" s="1"/>
    </row>
    <row r="3" ht="15.75" customHeight="1">
      <c r="A3" s="2">
        <f>IFERROR(__xludf.DUMMYFUNCTION("""COMPUTED_VALUE"""),43435.0)</f>
        <v>43435</v>
      </c>
      <c r="B3" s="1" t="str">
        <f>IFERROR(__xludf.DUMMYFUNCTION("""COMPUTED_VALUE"""),"7:00p")</f>
        <v>7:00p</v>
      </c>
      <c r="C3" s="1" t="str">
        <f>IFERROR(__xludf.DUMMYFUNCTION("""COMPUTED_VALUE"""),"Golden State Warriors")</f>
        <v>Golden State Warriors</v>
      </c>
      <c r="D3" s="1">
        <f>IFERROR(__xludf.DUMMYFUNCTION("""COMPUTED_VALUE"""),102.0)</f>
        <v>102</v>
      </c>
      <c r="E3" s="1" t="str">
        <f>IFERROR(__xludf.DUMMYFUNCTION("""COMPUTED_VALUE"""),"Detroit Pistons")</f>
        <v>Detroit Pistons</v>
      </c>
      <c r="F3" s="1">
        <f>IFERROR(__xludf.DUMMYFUNCTION("""COMPUTED_VALUE"""),111.0)</f>
        <v>111</v>
      </c>
      <c r="G3" s="1" t="str">
        <f>IFERROR(__xludf.DUMMYFUNCTION("""COMPUTED_VALUE"""),"Box Score")</f>
        <v>Box Score</v>
      </c>
      <c r="H3" s="1"/>
      <c r="I3" s="3">
        <f>IFERROR(__xludf.DUMMYFUNCTION("""COMPUTED_VALUE"""),20332.0)</f>
        <v>20332</v>
      </c>
      <c r="J3" s="1"/>
    </row>
    <row r="4" ht="15.75" customHeight="1">
      <c r="A4" s="2">
        <f>IFERROR(__xludf.DUMMYFUNCTION("""COMPUTED_VALUE"""),43435.0)</f>
        <v>43435</v>
      </c>
      <c r="B4" s="1" t="str">
        <f>IFERROR(__xludf.DUMMYFUNCTION("""COMPUTED_VALUE"""),"7:00p")</f>
        <v>7:00p</v>
      </c>
      <c r="C4" s="1" t="str">
        <f>IFERROR(__xludf.DUMMYFUNCTION("""COMPUTED_VALUE"""),"Brooklyn Nets")</f>
        <v>Brooklyn Nets</v>
      </c>
      <c r="D4" s="1">
        <f>IFERROR(__xludf.DUMMYFUNCTION("""COMPUTED_VALUE"""),88.0)</f>
        <v>88</v>
      </c>
      <c r="E4" s="1" t="str">
        <f>IFERROR(__xludf.DUMMYFUNCTION("""COMPUTED_VALUE"""),"Washington Wizards")</f>
        <v>Washington Wizards</v>
      </c>
      <c r="F4" s="1">
        <f>IFERROR(__xludf.DUMMYFUNCTION("""COMPUTED_VALUE"""),102.0)</f>
        <v>102</v>
      </c>
      <c r="G4" s="1" t="str">
        <f>IFERROR(__xludf.DUMMYFUNCTION("""COMPUTED_VALUE"""),"Box Score")</f>
        <v>Box Score</v>
      </c>
      <c r="H4" s="1"/>
      <c r="I4" s="3">
        <f>IFERROR(__xludf.DUMMYFUNCTION("""COMPUTED_VALUE"""),15448.0)</f>
        <v>15448</v>
      </c>
      <c r="J4" s="1"/>
    </row>
    <row r="5" ht="15.75" customHeight="1">
      <c r="A5" s="2">
        <f>IFERROR(__xludf.DUMMYFUNCTION("""COMPUTED_VALUE"""),43435.0)</f>
        <v>43435</v>
      </c>
      <c r="B5" s="1" t="str">
        <f>IFERROR(__xludf.DUMMYFUNCTION("""COMPUTED_VALUE"""),"8:00p")</f>
        <v>8:00p</v>
      </c>
      <c r="C5" s="1" t="str">
        <f>IFERROR(__xludf.DUMMYFUNCTION("""COMPUTED_VALUE"""),"Toronto Raptors")</f>
        <v>Toronto Raptors</v>
      </c>
      <c r="D5" s="1">
        <f>IFERROR(__xludf.DUMMYFUNCTION("""COMPUTED_VALUE"""),106.0)</f>
        <v>106</v>
      </c>
      <c r="E5" s="1" t="str">
        <f>IFERROR(__xludf.DUMMYFUNCTION("""COMPUTED_VALUE"""),"Cleveland Cavaliers")</f>
        <v>Cleveland Cavaliers</v>
      </c>
      <c r="F5" s="1">
        <f>IFERROR(__xludf.DUMMYFUNCTION("""COMPUTED_VALUE"""),95.0)</f>
        <v>95</v>
      </c>
      <c r="G5" s="1" t="str">
        <f>IFERROR(__xludf.DUMMYFUNCTION("""COMPUTED_VALUE"""),"Box Score")</f>
        <v>Box Score</v>
      </c>
      <c r="H5" s="1"/>
      <c r="I5" s="3">
        <f>IFERROR(__xludf.DUMMYFUNCTION("""COMPUTED_VALUE"""),19432.0)</f>
        <v>19432</v>
      </c>
      <c r="J5" s="1"/>
    </row>
    <row r="6" ht="15.75" customHeight="1">
      <c r="A6" s="2">
        <f>IFERROR(__xludf.DUMMYFUNCTION("""COMPUTED_VALUE"""),43435.0)</f>
        <v>43435</v>
      </c>
      <c r="B6" s="1" t="str">
        <f>IFERROR(__xludf.DUMMYFUNCTION("""COMPUTED_VALUE"""),"8:00p")</f>
        <v>8:00p</v>
      </c>
      <c r="C6" s="1" t="str">
        <f>IFERROR(__xludf.DUMMYFUNCTION("""COMPUTED_VALUE"""),"Chicago Bulls")</f>
        <v>Chicago Bulls</v>
      </c>
      <c r="D6" s="1">
        <f>IFERROR(__xludf.DUMMYFUNCTION("""COMPUTED_VALUE"""),105.0)</f>
        <v>105</v>
      </c>
      <c r="E6" s="1" t="str">
        <f>IFERROR(__xludf.DUMMYFUNCTION("""COMPUTED_VALUE"""),"Houston Rockets")</f>
        <v>Houston Rockets</v>
      </c>
      <c r="F6" s="1">
        <f>IFERROR(__xludf.DUMMYFUNCTION("""COMPUTED_VALUE"""),121.0)</f>
        <v>121</v>
      </c>
      <c r="G6" s="1" t="str">
        <f>IFERROR(__xludf.DUMMYFUNCTION("""COMPUTED_VALUE"""),"Box Score")</f>
        <v>Box Score</v>
      </c>
      <c r="H6" s="1"/>
      <c r="I6" s="3">
        <f>IFERROR(__xludf.DUMMYFUNCTION("""COMPUTED_VALUE"""),18055.0)</f>
        <v>18055</v>
      </c>
      <c r="J6" s="1"/>
    </row>
    <row r="7" ht="15.75" customHeight="1">
      <c r="A7" s="2">
        <f>IFERROR(__xludf.DUMMYFUNCTION("""COMPUTED_VALUE"""),43435.0)</f>
        <v>43435</v>
      </c>
      <c r="B7" s="1" t="str">
        <f>IFERROR(__xludf.DUMMYFUNCTION("""COMPUTED_VALUE"""),"8:00p")</f>
        <v>8:00p</v>
      </c>
      <c r="C7" s="1" t="str">
        <f>IFERROR(__xludf.DUMMYFUNCTION("""COMPUTED_VALUE"""),"Boston Celtics")</f>
        <v>Boston Celtics</v>
      </c>
      <c r="D7" s="1">
        <f>IFERROR(__xludf.DUMMYFUNCTION("""COMPUTED_VALUE"""),118.0)</f>
        <v>118</v>
      </c>
      <c r="E7" s="1" t="str">
        <f>IFERROR(__xludf.DUMMYFUNCTION("""COMPUTED_VALUE"""),"Minnesota Timberwolves")</f>
        <v>Minnesota Timberwolves</v>
      </c>
      <c r="F7" s="1">
        <f>IFERROR(__xludf.DUMMYFUNCTION("""COMPUTED_VALUE"""),109.0)</f>
        <v>109</v>
      </c>
      <c r="G7" s="1" t="str">
        <f>IFERROR(__xludf.DUMMYFUNCTION("""COMPUTED_VALUE"""),"Box Score")</f>
        <v>Box Score</v>
      </c>
      <c r="H7" s="1"/>
      <c r="I7" s="3">
        <f>IFERROR(__xludf.DUMMYFUNCTION("""COMPUTED_VALUE"""),17663.0)</f>
        <v>17663</v>
      </c>
      <c r="J7" s="1"/>
    </row>
    <row r="8" ht="15.75" customHeight="1">
      <c r="A8" s="2">
        <f>IFERROR(__xludf.DUMMYFUNCTION("""COMPUTED_VALUE"""),43435.0)</f>
        <v>43435</v>
      </c>
      <c r="B8" s="1" t="str">
        <f>IFERROR(__xludf.DUMMYFUNCTION("""COMPUTED_VALUE"""),"10:00p")</f>
        <v>10:00p</v>
      </c>
      <c r="C8" s="1" t="str">
        <f>IFERROR(__xludf.DUMMYFUNCTION("""COMPUTED_VALUE"""),"Indiana Pacers")</f>
        <v>Indiana Pacers</v>
      </c>
      <c r="D8" s="1">
        <f>IFERROR(__xludf.DUMMYFUNCTION("""COMPUTED_VALUE"""),110.0)</f>
        <v>110</v>
      </c>
      <c r="E8" s="1" t="str">
        <f>IFERROR(__xludf.DUMMYFUNCTION("""COMPUTED_VALUE"""),"Sacramento Kings")</f>
        <v>Sacramento Kings</v>
      </c>
      <c r="F8" s="1">
        <f>IFERROR(__xludf.DUMMYFUNCTION("""COMPUTED_VALUE"""),111.0)</f>
        <v>111</v>
      </c>
      <c r="G8" s="1" t="str">
        <f>IFERROR(__xludf.DUMMYFUNCTION("""COMPUTED_VALUE"""),"Box Score")</f>
        <v>Box Score</v>
      </c>
      <c r="H8" s="1"/>
      <c r="I8" s="3">
        <f>IFERROR(__xludf.DUMMYFUNCTION("""COMPUTED_VALUE"""),17583.0)</f>
        <v>17583</v>
      </c>
      <c r="J8" s="1"/>
    </row>
    <row r="9" ht="15.75" customHeight="1">
      <c r="A9" s="2">
        <f>IFERROR(__xludf.DUMMYFUNCTION("""COMPUTED_VALUE"""),43436.0)</f>
        <v>43436</v>
      </c>
      <c r="B9" s="1" t="str">
        <f>IFERROR(__xludf.DUMMYFUNCTION("""COMPUTED_VALUE"""),"3:30p")</f>
        <v>3:30p</v>
      </c>
      <c r="C9" s="1" t="str">
        <f>IFERROR(__xludf.DUMMYFUNCTION("""COMPUTED_VALUE"""),"Phoenix Suns")</f>
        <v>Phoenix Suns</v>
      </c>
      <c r="D9" s="1">
        <f>IFERROR(__xludf.DUMMYFUNCTION("""COMPUTED_VALUE"""),96.0)</f>
        <v>96</v>
      </c>
      <c r="E9" s="1" t="str">
        <f>IFERROR(__xludf.DUMMYFUNCTION("""COMPUTED_VALUE"""),"Los Angeles Lakers")</f>
        <v>Los Angeles Lakers</v>
      </c>
      <c r="F9" s="1">
        <f>IFERROR(__xludf.DUMMYFUNCTION("""COMPUTED_VALUE"""),120.0)</f>
        <v>120</v>
      </c>
      <c r="G9" s="1" t="str">
        <f>IFERROR(__xludf.DUMMYFUNCTION("""COMPUTED_VALUE"""),"Box Score")</f>
        <v>Box Score</v>
      </c>
      <c r="H9" s="1"/>
      <c r="I9" s="3">
        <f>IFERROR(__xludf.DUMMYFUNCTION("""COMPUTED_VALUE"""),18997.0)</f>
        <v>18997</v>
      </c>
      <c r="J9" s="1"/>
    </row>
    <row r="10" ht="15.75" customHeight="1">
      <c r="A10" s="2">
        <f>IFERROR(__xludf.DUMMYFUNCTION("""COMPUTED_VALUE"""),43436.0)</f>
        <v>43436</v>
      </c>
      <c r="B10" s="1" t="str">
        <f>IFERROR(__xludf.DUMMYFUNCTION("""COMPUTED_VALUE"""),"5:00p")</f>
        <v>5:00p</v>
      </c>
      <c r="C10" s="1" t="str">
        <f>IFERROR(__xludf.DUMMYFUNCTION("""COMPUTED_VALUE"""),"New Orleans Pelicans")</f>
        <v>New Orleans Pelicans</v>
      </c>
      <c r="D10" s="1">
        <f>IFERROR(__xludf.DUMMYFUNCTION("""COMPUTED_VALUE"""),119.0)</f>
        <v>119</v>
      </c>
      <c r="E10" s="1" t="str">
        <f>IFERROR(__xludf.DUMMYFUNCTION("""COMPUTED_VALUE"""),"Charlotte Hornets")</f>
        <v>Charlotte Hornets</v>
      </c>
      <c r="F10" s="1">
        <f>IFERROR(__xludf.DUMMYFUNCTION("""COMPUTED_VALUE"""),109.0)</f>
        <v>109</v>
      </c>
      <c r="G10" s="1" t="str">
        <f>IFERROR(__xludf.DUMMYFUNCTION("""COMPUTED_VALUE"""),"Box Score")</f>
        <v>Box Score</v>
      </c>
      <c r="H10" s="1"/>
      <c r="I10" s="3">
        <f>IFERROR(__xludf.DUMMYFUNCTION("""COMPUTED_VALUE"""),15336.0)</f>
        <v>15336</v>
      </c>
      <c r="J10" s="1"/>
    </row>
    <row r="11" ht="15.75" customHeight="1">
      <c r="A11" s="2">
        <f>IFERROR(__xludf.DUMMYFUNCTION("""COMPUTED_VALUE"""),43436.0)</f>
        <v>43436</v>
      </c>
      <c r="B11" s="1" t="str">
        <f>IFERROR(__xludf.DUMMYFUNCTION("""COMPUTED_VALUE"""),"6:00p")</f>
        <v>6:00p</v>
      </c>
      <c r="C11" s="1" t="str">
        <f>IFERROR(__xludf.DUMMYFUNCTION("""COMPUTED_VALUE"""),"Utah Jazz")</f>
        <v>Utah Jazz</v>
      </c>
      <c r="D11" s="1">
        <f>IFERROR(__xludf.DUMMYFUNCTION("""COMPUTED_VALUE"""),100.0)</f>
        <v>100</v>
      </c>
      <c r="E11" s="1" t="str">
        <f>IFERROR(__xludf.DUMMYFUNCTION("""COMPUTED_VALUE"""),"Miami Heat")</f>
        <v>Miami Heat</v>
      </c>
      <c r="F11" s="1">
        <f>IFERROR(__xludf.DUMMYFUNCTION("""COMPUTED_VALUE"""),102.0)</f>
        <v>102</v>
      </c>
      <c r="G11" s="1" t="str">
        <f>IFERROR(__xludf.DUMMYFUNCTION("""COMPUTED_VALUE"""),"Box Score")</f>
        <v>Box Score</v>
      </c>
      <c r="H11" s="1"/>
      <c r="I11" s="3">
        <f>IFERROR(__xludf.DUMMYFUNCTION("""COMPUTED_VALUE"""),19600.0)</f>
        <v>19600</v>
      </c>
      <c r="J11" s="1"/>
    </row>
    <row r="12" ht="15.75" customHeight="1">
      <c r="A12" s="2">
        <f>IFERROR(__xludf.DUMMYFUNCTION("""COMPUTED_VALUE"""),43436.0)</f>
        <v>43436</v>
      </c>
      <c r="B12" s="1" t="str">
        <f>IFERROR(__xludf.DUMMYFUNCTION("""COMPUTED_VALUE"""),"6:00p")</f>
        <v>6:00p</v>
      </c>
      <c r="C12" s="1" t="str">
        <f>IFERROR(__xludf.DUMMYFUNCTION("""COMPUTED_VALUE"""),"Memphis Grizzlies")</f>
        <v>Memphis Grizzlies</v>
      </c>
      <c r="D12" s="1">
        <f>IFERROR(__xludf.DUMMYFUNCTION("""COMPUTED_VALUE"""),95.0)</f>
        <v>95</v>
      </c>
      <c r="E12" s="1" t="str">
        <f>IFERROR(__xludf.DUMMYFUNCTION("""COMPUTED_VALUE"""),"Philadelphia 76ers")</f>
        <v>Philadelphia 76ers</v>
      </c>
      <c r="F12" s="1">
        <f>IFERROR(__xludf.DUMMYFUNCTION("""COMPUTED_VALUE"""),103.0)</f>
        <v>103</v>
      </c>
      <c r="G12" s="1" t="str">
        <f>IFERROR(__xludf.DUMMYFUNCTION("""COMPUTED_VALUE"""),"Box Score")</f>
        <v>Box Score</v>
      </c>
      <c r="H12" s="1"/>
      <c r="I12" s="3">
        <f>IFERROR(__xludf.DUMMYFUNCTION("""COMPUTED_VALUE"""),20334.0)</f>
        <v>20334</v>
      </c>
      <c r="J12" s="1"/>
    </row>
    <row r="13" ht="15.75" customHeight="1">
      <c r="A13" s="2">
        <f>IFERROR(__xludf.DUMMYFUNCTION("""COMPUTED_VALUE"""),43436.0)</f>
        <v>43436</v>
      </c>
      <c r="B13" s="1" t="str">
        <f>IFERROR(__xludf.DUMMYFUNCTION("""COMPUTED_VALUE"""),"7:00p")</f>
        <v>7:00p</v>
      </c>
      <c r="C13" s="1" t="str">
        <f>IFERROR(__xludf.DUMMYFUNCTION("""COMPUTED_VALUE"""),"Los Angeles Clippers")</f>
        <v>Los Angeles Clippers</v>
      </c>
      <c r="D13" s="1">
        <f>IFERROR(__xludf.DUMMYFUNCTION("""COMPUTED_VALUE"""),110.0)</f>
        <v>110</v>
      </c>
      <c r="E13" s="1" t="str">
        <f>IFERROR(__xludf.DUMMYFUNCTION("""COMPUTED_VALUE"""),"Dallas Mavericks")</f>
        <v>Dallas Mavericks</v>
      </c>
      <c r="F13" s="1">
        <f>IFERROR(__xludf.DUMMYFUNCTION("""COMPUTED_VALUE"""),114.0)</f>
        <v>114</v>
      </c>
      <c r="G13" s="1" t="str">
        <f>IFERROR(__xludf.DUMMYFUNCTION("""COMPUTED_VALUE"""),"Box Score")</f>
        <v>Box Score</v>
      </c>
      <c r="H13" s="1"/>
      <c r="I13" s="3">
        <f>IFERROR(__xludf.DUMMYFUNCTION("""COMPUTED_VALUE"""),19551.0)</f>
        <v>19551</v>
      </c>
      <c r="J13" s="1"/>
    </row>
    <row r="14" ht="15.75" customHeight="1">
      <c r="A14" s="2">
        <f>IFERROR(__xludf.DUMMYFUNCTION("""COMPUTED_VALUE"""),43436.0)</f>
        <v>43436</v>
      </c>
      <c r="B14" s="1" t="str">
        <f>IFERROR(__xludf.DUMMYFUNCTION("""COMPUTED_VALUE"""),"7:00p")</f>
        <v>7:00p</v>
      </c>
      <c r="C14" s="1" t="str">
        <f>IFERROR(__xludf.DUMMYFUNCTION("""COMPUTED_VALUE"""),"Portland Trail Blazers")</f>
        <v>Portland Trail Blazers</v>
      </c>
      <c r="D14" s="1">
        <f>IFERROR(__xludf.DUMMYFUNCTION("""COMPUTED_VALUE"""),118.0)</f>
        <v>118</v>
      </c>
      <c r="E14" s="1" t="str">
        <f>IFERROR(__xludf.DUMMYFUNCTION("""COMPUTED_VALUE"""),"San Antonio Spurs")</f>
        <v>San Antonio Spurs</v>
      </c>
      <c r="F14" s="1">
        <f>IFERROR(__xludf.DUMMYFUNCTION("""COMPUTED_VALUE"""),131.0)</f>
        <v>131</v>
      </c>
      <c r="G14" s="1" t="str">
        <f>IFERROR(__xludf.DUMMYFUNCTION("""COMPUTED_VALUE"""),"Box Score")</f>
        <v>Box Score</v>
      </c>
      <c r="H14" s="1"/>
      <c r="I14" s="3">
        <f>IFERROR(__xludf.DUMMYFUNCTION("""COMPUTED_VALUE"""),18354.0)</f>
        <v>18354</v>
      </c>
      <c r="J14" s="1"/>
    </row>
    <row r="15" ht="15.75" customHeight="1">
      <c r="A15" s="2">
        <f>IFERROR(__xludf.DUMMYFUNCTION("""COMPUTED_VALUE"""),43437.0)</f>
        <v>43437</v>
      </c>
      <c r="B15" s="1" t="str">
        <f>IFERROR(__xludf.DUMMYFUNCTION("""COMPUTED_VALUE"""),"7:00p")</f>
        <v>7:00p</v>
      </c>
      <c r="C15" s="1" t="str">
        <f>IFERROR(__xludf.DUMMYFUNCTION("""COMPUTED_VALUE"""),"Oklahoma City Thunder")</f>
        <v>Oklahoma City Thunder</v>
      </c>
      <c r="D15" s="1">
        <f>IFERROR(__xludf.DUMMYFUNCTION("""COMPUTED_VALUE"""),110.0)</f>
        <v>110</v>
      </c>
      <c r="E15" s="1" t="str">
        <f>IFERROR(__xludf.DUMMYFUNCTION("""COMPUTED_VALUE"""),"Detroit Pistons")</f>
        <v>Detroit Pistons</v>
      </c>
      <c r="F15" s="1">
        <f>IFERROR(__xludf.DUMMYFUNCTION("""COMPUTED_VALUE"""),83.0)</f>
        <v>83</v>
      </c>
      <c r="G15" s="1" t="str">
        <f>IFERROR(__xludf.DUMMYFUNCTION("""COMPUTED_VALUE"""),"Box Score")</f>
        <v>Box Score</v>
      </c>
      <c r="H15" s="1"/>
      <c r="I15" s="3">
        <f>IFERROR(__xludf.DUMMYFUNCTION("""COMPUTED_VALUE"""),14372.0)</f>
        <v>14372</v>
      </c>
      <c r="J15" s="1"/>
    </row>
    <row r="16" ht="15.75" customHeight="1">
      <c r="A16" s="2">
        <f>IFERROR(__xludf.DUMMYFUNCTION("""COMPUTED_VALUE"""),43437.0)</f>
        <v>43437</v>
      </c>
      <c r="B16" s="1" t="str">
        <f>IFERROR(__xludf.DUMMYFUNCTION("""COMPUTED_VALUE"""),"7:30p")</f>
        <v>7:30p</v>
      </c>
      <c r="C16" s="1" t="str">
        <f>IFERROR(__xludf.DUMMYFUNCTION("""COMPUTED_VALUE"""),"Golden State Warriors")</f>
        <v>Golden State Warriors</v>
      </c>
      <c r="D16" s="1">
        <f>IFERROR(__xludf.DUMMYFUNCTION("""COMPUTED_VALUE"""),128.0)</f>
        <v>128</v>
      </c>
      <c r="E16" s="1" t="str">
        <f>IFERROR(__xludf.DUMMYFUNCTION("""COMPUTED_VALUE"""),"Atlanta Hawks")</f>
        <v>Atlanta Hawks</v>
      </c>
      <c r="F16" s="1">
        <f>IFERROR(__xludf.DUMMYFUNCTION("""COMPUTED_VALUE"""),111.0)</f>
        <v>111</v>
      </c>
      <c r="G16" s="1" t="str">
        <f>IFERROR(__xludf.DUMMYFUNCTION("""COMPUTED_VALUE"""),"Box Score")</f>
        <v>Box Score</v>
      </c>
      <c r="H16" s="1"/>
      <c r="I16" s="3">
        <f>IFERROR(__xludf.DUMMYFUNCTION("""COMPUTED_VALUE"""),16631.0)</f>
        <v>16631</v>
      </c>
      <c r="J16" s="1"/>
    </row>
    <row r="17" ht="15.75" customHeight="1">
      <c r="A17" s="2">
        <f>IFERROR(__xludf.DUMMYFUNCTION("""COMPUTED_VALUE"""),43437.0)</f>
        <v>43437</v>
      </c>
      <c r="B17" s="1" t="str">
        <f>IFERROR(__xludf.DUMMYFUNCTION("""COMPUTED_VALUE"""),"7:30p")</f>
        <v>7:30p</v>
      </c>
      <c r="C17" s="1" t="str">
        <f>IFERROR(__xludf.DUMMYFUNCTION("""COMPUTED_VALUE"""),"Cleveland Cavaliers")</f>
        <v>Cleveland Cavaliers</v>
      </c>
      <c r="D17" s="1">
        <f>IFERROR(__xludf.DUMMYFUNCTION("""COMPUTED_VALUE"""),99.0)</f>
        <v>99</v>
      </c>
      <c r="E17" s="1" t="str">
        <f>IFERROR(__xludf.DUMMYFUNCTION("""COMPUTED_VALUE"""),"Brooklyn Nets")</f>
        <v>Brooklyn Nets</v>
      </c>
      <c r="F17" s="1">
        <f>IFERROR(__xludf.DUMMYFUNCTION("""COMPUTED_VALUE"""),97.0)</f>
        <v>97</v>
      </c>
      <c r="G17" s="1" t="str">
        <f>IFERROR(__xludf.DUMMYFUNCTION("""COMPUTED_VALUE"""),"Box Score")</f>
        <v>Box Score</v>
      </c>
      <c r="H17" s="1"/>
      <c r="I17" s="3">
        <f>IFERROR(__xludf.DUMMYFUNCTION("""COMPUTED_VALUE"""),10983.0)</f>
        <v>10983</v>
      </c>
      <c r="J17" s="1"/>
    </row>
    <row r="18" ht="15.75" customHeight="1">
      <c r="A18" s="2">
        <f>IFERROR(__xludf.DUMMYFUNCTION("""COMPUTED_VALUE"""),43437.0)</f>
        <v>43437</v>
      </c>
      <c r="B18" s="1" t="str">
        <f>IFERROR(__xludf.DUMMYFUNCTION("""COMPUTED_VALUE"""),"7:30p")</f>
        <v>7:30p</v>
      </c>
      <c r="C18" s="1" t="str">
        <f>IFERROR(__xludf.DUMMYFUNCTION("""COMPUTED_VALUE"""),"Washington Wizards")</f>
        <v>Washington Wizards</v>
      </c>
      <c r="D18" s="1">
        <f>IFERROR(__xludf.DUMMYFUNCTION("""COMPUTED_VALUE"""),110.0)</f>
        <v>110</v>
      </c>
      <c r="E18" s="1" t="str">
        <f>IFERROR(__xludf.DUMMYFUNCTION("""COMPUTED_VALUE"""),"New York Knicks")</f>
        <v>New York Knicks</v>
      </c>
      <c r="F18" s="1">
        <f>IFERROR(__xludf.DUMMYFUNCTION("""COMPUTED_VALUE"""),107.0)</f>
        <v>107</v>
      </c>
      <c r="G18" s="1" t="str">
        <f>IFERROR(__xludf.DUMMYFUNCTION("""COMPUTED_VALUE"""),"Box Score")</f>
        <v>Box Score</v>
      </c>
      <c r="H18" s="1"/>
      <c r="I18" s="3">
        <f>IFERROR(__xludf.DUMMYFUNCTION("""COMPUTED_VALUE"""),19440.0)</f>
        <v>19440</v>
      </c>
      <c r="J18" s="1"/>
    </row>
    <row r="19" ht="15.75" customHeight="1">
      <c r="A19" s="2">
        <f>IFERROR(__xludf.DUMMYFUNCTION("""COMPUTED_VALUE"""),43437.0)</f>
        <v>43437</v>
      </c>
      <c r="B19" s="1" t="str">
        <f>IFERROR(__xludf.DUMMYFUNCTION("""COMPUTED_VALUE"""),"7:30p")</f>
        <v>7:30p</v>
      </c>
      <c r="C19" s="1" t="str">
        <f>IFERROR(__xludf.DUMMYFUNCTION("""COMPUTED_VALUE"""),"Denver Nuggets")</f>
        <v>Denver Nuggets</v>
      </c>
      <c r="D19" s="1">
        <f>IFERROR(__xludf.DUMMYFUNCTION("""COMPUTED_VALUE"""),106.0)</f>
        <v>106</v>
      </c>
      <c r="E19" s="1" t="str">
        <f>IFERROR(__xludf.DUMMYFUNCTION("""COMPUTED_VALUE"""),"Toronto Raptors")</f>
        <v>Toronto Raptors</v>
      </c>
      <c r="F19" s="1">
        <f>IFERROR(__xludf.DUMMYFUNCTION("""COMPUTED_VALUE"""),103.0)</f>
        <v>103</v>
      </c>
      <c r="G19" s="1" t="str">
        <f>IFERROR(__xludf.DUMMYFUNCTION("""COMPUTED_VALUE"""),"Box Score")</f>
        <v>Box Score</v>
      </c>
      <c r="H19" s="1"/>
      <c r="I19" s="3">
        <f>IFERROR(__xludf.DUMMYFUNCTION("""COMPUTED_VALUE"""),19800.0)</f>
        <v>19800</v>
      </c>
      <c r="J19" s="1"/>
    </row>
    <row r="20" ht="15.75" customHeight="1">
      <c r="A20" s="2">
        <f>IFERROR(__xludf.DUMMYFUNCTION("""COMPUTED_VALUE"""),43437.0)</f>
        <v>43437</v>
      </c>
      <c r="B20" s="1" t="str">
        <f>IFERROR(__xludf.DUMMYFUNCTION("""COMPUTED_VALUE"""),"8:00p")</f>
        <v>8:00p</v>
      </c>
      <c r="C20" s="1" t="str">
        <f>IFERROR(__xludf.DUMMYFUNCTION("""COMPUTED_VALUE"""),"Houston Rockets")</f>
        <v>Houston Rockets</v>
      </c>
      <c r="D20" s="1">
        <f>IFERROR(__xludf.DUMMYFUNCTION("""COMPUTED_VALUE"""),91.0)</f>
        <v>91</v>
      </c>
      <c r="E20" s="1" t="str">
        <f>IFERROR(__xludf.DUMMYFUNCTION("""COMPUTED_VALUE"""),"Minnesota Timberwolves")</f>
        <v>Minnesota Timberwolves</v>
      </c>
      <c r="F20" s="1">
        <f>IFERROR(__xludf.DUMMYFUNCTION("""COMPUTED_VALUE"""),103.0)</f>
        <v>103</v>
      </c>
      <c r="G20" s="1" t="str">
        <f>IFERROR(__xludf.DUMMYFUNCTION("""COMPUTED_VALUE"""),"Box Score")</f>
        <v>Box Score</v>
      </c>
      <c r="H20" s="1"/>
      <c r="I20" s="3">
        <f>IFERROR(__xludf.DUMMYFUNCTION("""COMPUTED_VALUE"""),13834.0)</f>
        <v>13834</v>
      </c>
      <c r="J20" s="1"/>
    </row>
    <row r="21" ht="15.75" customHeight="1">
      <c r="A21" s="2">
        <f>IFERROR(__xludf.DUMMYFUNCTION("""COMPUTED_VALUE"""),43437.0)</f>
        <v>43437</v>
      </c>
      <c r="B21" s="1" t="str">
        <f>IFERROR(__xludf.DUMMYFUNCTION("""COMPUTED_VALUE"""),"8:00p")</f>
        <v>8:00p</v>
      </c>
      <c r="C21" s="1" t="str">
        <f>IFERROR(__xludf.DUMMYFUNCTION("""COMPUTED_VALUE"""),"Los Angeles Clippers")</f>
        <v>Los Angeles Clippers</v>
      </c>
      <c r="D21" s="1">
        <f>IFERROR(__xludf.DUMMYFUNCTION("""COMPUTED_VALUE"""),129.0)</f>
        <v>129</v>
      </c>
      <c r="E21" s="1" t="str">
        <f>IFERROR(__xludf.DUMMYFUNCTION("""COMPUTED_VALUE"""),"New Orleans Pelicans")</f>
        <v>New Orleans Pelicans</v>
      </c>
      <c r="F21" s="1">
        <f>IFERROR(__xludf.DUMMYFUNCTION("""COMPUTED_VALUE"""),126.0)</f>
        <v>126</v>
      </c>
      <c r="G21" s="1" t="str">
        <f>IFERROR(__xludf.DUMMYFUNCTION("""COMPUTED_VALUE"""),"Box Score")</f>
        <v>Box Score</v>
      </c>
      <c r="H21" s="1"/>
      <c r="I21" s="3">
        <f>IFERROR(__xludf.DUMMYFUNCTION("""COMPUTED_VALUE"""),13822.0)</f>
        <v>13822</v>
      </c>
      <c r="J21" s="1"/>
    </row>
    <row r="22" ht="15.75" customHeight="1">
      <c r="A22" s="2">
        <f>IFERROR(__xludf.DUMMYFUNCTION("""COMPUTED_VALUE"""),43438.0)</f>
        <v>43438</v>
      </c>
      <c r="B22" s="1" t="str">
        <f>IFERROR(__xludf.DUMMYFUNCTION("""COMPUTED_VALUE"""),"7:00p")</f>
        <v>7:00p</v>
      </c>
      <c r="C22" s="1" t="str">
        <f>IFERROR(__xludf.DUMMYFUNCTION("""COMPUTED_VALUE"""),"Chicago Bulls")</f>
        <v>Chicago Bulls</v>
      </c>
      <c r="D22" s="1">
        <f>IFERROR(__xludf.DUMMYFUNCTION("""COMPUTED_VALUE"""),90.0)</f>
        <v>90</v>
      </c>
      <c r="E22" s="1" t="str">
        <f>IFERROR(__xludf.DUMMYFUNCTION("""COMPUTED_VALUE"""),"Indiana Pacers")</f>
        <v>Indiana Pacers</v>
      </c>
      <c r="F22" s="1">
        <f>IFERROR(__xludf.DUMMYFUNCTION("""COMPUTED_VALUE"""),96.0)</f>
        <v>96</v>
      </c>
      <c r="G22" s="1" t="str">
        <f>IFERROR(__xludf.DUMMYFUNCTION("""COMPUTED_VALUE"""),"Box Score")</f>
        <v>Box Score</v>
      </c>
      <c r="H22" s="1"/>
      <c r="I22" s="3">
        <f>IFERROR(__xludf.DUMMYFUNCTION("""COMPUTED_VALUE"""),16446.0)</f>
        <v>16446</v>
      </c>
      <c r="J22" s="1"/>
    </row>
    <row r="23" ht="15.75" customHeight="1">
      <c r="A23" s="2">
        <f>IFERROR(__xludf.DUMMYFUNCTION("""COMPUTED_VALUE"""),43438.0)</f>
        <v>43438</v>
      </c>
      <c r="B23" s="1" t="str">
        <f>IFERROR(__xludf.DUMMYFUNCTION("""COMPUTED_VALUE"""),"7:30p")</f>
        <v>7:30p</v>
      </c>
      <c r="C23" s="1" t="str">
        <f>IFERROR(__xludf.DUMMYFUNCTION("""COMPUTED_VALUE"""),"Orlando Magic")</f>
        <v>Orlando Magic</v>
      </c>
      <c r="D23" s="1">
        <f>IFERROR(__xludf.DUMMYFUNCTION("""COMPUTED_VALUE"""),105.0)</f>
        <v>105</v>
      </c>
      <c r="E23" s="1" t="str">
        <f>IFERROR(__xludf.DUMMYFUNCTION("""COMPUTED_VALUE"""),"Miami Heat")</f>
        <v>Miami Heat</v>
      </c>
      <c r="F23" s="1">
        <f>IFERROR(__xludf.DUMMYFUNCTION("""COMPUTED_VALUE"""),90.0)</f>
        <v>90</v>
      </c>
      <c r="G23" s="1" t="str">
        <f>IFERROR(__xludf.DUMMYFUNCTION("""COMPUTED_VALUE"""),"Box Score")</f>
        <v>Box Score</v>
      </c>
      <c r="H23" s="1"/>
      <c r="I23" s="3">
        <f>IFERROR(__xludf.DUMMYFUNCTION("""COMPUTED_VALUE"""),19600.0)</f>
        <v>19600</v>
      </c>
      <c r="J23" s="1"/>
    </row>
    <row r="24" ht="15.75" customHeight="1">
      <c r="A24" s="2">
        <f>IFERROR(__xludf.DUMMYFUNCTION("""COMPUTED_VALUE"""),43438.0)</f>
        <v>43438</v>
      </c>
      <c r="B24" s="1" t="str">
        <f>IFERROR(__xludf.DUMMYFUNCTION("""COMPUTED_VALUE"""),"8:30p")</f>
        <v>8:30p</v>
      </c>
      <c r="C24" s="1" t="str">
        <f>IFERROR(__xludf.DUMMYFUNCTION("""COMPUTED_VALUE"""),"Portland Trail Blazers")</f>
        <v>Portland Trail Blazers</v>
      </c>
      <c r="D24" s="1">
        <f>IFERROR(__xludf.DUMMYFUNCTION("""COMPUTED_VALUE"""),102.0)</f>
        <v>102</v>
      </c>
      <c r="E24" s="1" t="str">
        <f>IFERROR(__xludf.DUMMYFUNCTION("""COMPUTED_VALUE"""),"Dallas Mavericks")</f>
        <v>Dallas Mavericks</v>
      </c>
      <c r="F24" s="1">
        <f>IFERROR(__xludf.DUMMYFUNCTION("""COMPUTED_VALUE"""),111.0)</f>
        <v>111</v>
      </c>
      <c r="G24" s="1" t="str">
        <f>IFERROR(__xludf.DUMMYFUNCTION("""COMPUTED_VALUE"""),"Box Score")</f>
        <v>Box Score</v>
      </c>
      <c r="H24" s="1"/>
      <c r="I24" s="3">
        <f>IFERROR(__xludf.DUMMYFUNCTION("""COMPUTED_VALUE"""),19341.0)</f>
        <v>19341</v>
      </c>
      <c r="J24" s="1"/>
    </row>
    <row r="25" ht="15.75" customHeight="1">
      <c r="A25" s="2">
        <f>IFERROR(__xludf.DUMMYFUNCTION("""COMPUTED_VALUE"""),43438.0)</f>
        <v>43438</v>
      </c>
      <c r="B25" s="1" t="str">
        <f>IFERROR(__xludf.DUMMYFUNCTION("""COMPUTED_VALUE"""),"9:00p")</f>
        <v>9:00p</v>
      </c>
      <c r="C25" s="1" t="str">
        <f>IFERROR(__xludf.DUMMYFUNCTION("""COMPUTED_VALUE"""),"Sacramento Kings")</f>
        <v>Sacramento Kings</v>
      </c>
      <c r="D25" s="1">
        <f>IFERROR(__xludf.DUMMYFUNCTION("""COMPUTED_VALUE"""),122.0)</f>
        <v>122</v>
      </c>
      <c r="E25" s="1" t="str">
        <f>IFERROR(__xludf.DUMMYFUNCTION("""COMPUTED_VALUE"""),"Phoenix Suns")</f>
        <v>Phoenix Suns</v>
      </c>
      <c r="F25" s="1">
        <f>IFERROR(__xludf.DUMMYFUNCTION("""COMPUTED_VALUE"""),105.0)</f>
        <v>105</v>
      </c>
      <c r="G25" s="1" t="str">
        <f>IFERROR(__xludf.DUMMYFUNCTION("""COMPUTED_VALUE"""),"Box Score")</f>
        <v>Box Score</v>
      </c>
      <c r="H25" s="1"/>
      <c r="I25" s="3">
        <f>IFERROR(__xludf.DUMMYFUNCTION("""COMPUTED_VALUE"""),12977.0)</f>
        <v>12977</v>
      </c>
      <c r="J25" s="1"/>
    </row>
    <row r="26" ht="15.75" customHeight="1">
      <c r="A26" s="2">
        <f>IFERROR(__xludf.DUMMYFUNCTION("""COMPUTED_VALUE"""),43438.0)</f>
        <v>43438</v>
      </c>
      <c r="B26" s="1" t="str">
        <f>IFERROR(__xludf.DUMMYFUNCTION("""COMPUTED_VALUE"""),"9:00p")</f>
        <v>9:00p</v>
      </c>
      <c r="C26" s="1" t="str">
        <f>IFERROR(__xludf.DUMMYFUNCTION("""COMPUTED_VALUE"""),"San Antonio Spurs")</f>
        <v>San Antonio Spurs</v>
      </c>
      <c r="D26" s="1">
        <f>IFERROR(__xludf.DUMMYFUNCTION("""COMPUTED_VALUE"""),105.0)</f>
        <v>105</v>
      </c>
      <c r="E26" s="1" t="str">
        <f>IFERROR(__xludf.DUMMYFUNCTION("""COMPUTED_VALUE"""),"Utah Jazz")</f>
        <v>Utah Jazz</v>
      </c>
      <c r="F26" s="1">
        <f>IFERROR(__xludf.DUMMYFUNCTION("""COMPUTED_VALUE"""),139.0)</f>
        <v>139</v>
      </c>
      <c r="G26" s="1" t="str">
        <f>IFERROR(__xludf.DUMMYFUNCTION("""COMPUTED_VALUE"""),"Box Score")</f>
        <v>Box Score</v>
      </c>
      <c r="H26" s="1"/>
      <c r="I26" s="3">
        <f>IFERROR(__xludf.DUMMYFUNCTION("""COMPUTED_VALUE"""),18306.0)</f>
        <v>18306</v>
      </c>
      <c r="J26" s="1"/>
    </row>
    <row r="27" ht="15.75" customHeight="1">
      <c r="A27" s="2">
        <f>IFERROR(__xludf.DUMMYFUNCTION("""COMPUTED_VALUE"""),43439.0)</f>
        <v>43439</v>
      </c>
      <c r="B27" s="1" t="str">
        <f>IFERROR(__xludf.DUMMYFUNCTION("""COMPUTED_VALUE"""),"7:00p")</f>
        <v>7:00p</v>
      </c>
      <c r="C27" s="1" t="str">
        <f>IFERROR(__xludf.DUMMYFUNCTION("""COMPUTED_VALUE"""),"Golden State Warriors")</f>
        <v>Golden State Warriors</v>
      </c>
      <c r="D27" s="1">
        <f>IFERROR(__xludf.DUMMYFUNCTION("""COMPUTED_VALUE"""),129.0)</f>
        <v>129</v>
      </c>
      <c r="E27" s="1" t="str">
        <f>IFERROR(__xludf.DUMMYFUNCTION("""COMPUTED_VALUE"""),"Cleveland Cavaliers")</f>
        <v>Cleveland Cavaliers</v>
      </c>
      <c r="F27" s="1">
        <f>IFERROR(__xludf.DUMMYFUNCTION("""COMPUTED_VALUE"""),105.0)</f>
        <v>105</v>
      </c>
      <c r="G27" s="1" t="str">
        <f>IFERROR(__xludf.DUMMYFUNCTION("""COMPUTED_VALUE"""),"Box Score")</f>
        <v>Box Score</v>
      </c>
      <c r="H27" s="1"/>
      <c r="I27" s="3">
        <f>IFERROR(__xludf.DUMMYFUNCTION("""COMPUTED_VALUE"""),19432.0)</f>
        <v>19432</v>
      </c>
      <c r="J27" s="1"/>
    </row>
    <row r="28" ht="15.75" customHeight="1">
      <c r="A28" s="2">
        <f>IFERROR(__xludf.DUMMYFUNCTION("""COMPUTED_VALUE"""),43439.0)</f>
        <v>43439</v>
      </c>
      <c r="B28" s="1" t="str">
        <f>IFERROR(__xludf.DUMMYFUNCTION("""COMPUTED_VALUE"""),"7:00p")</f>
        <v>7:00p</v>
      </c>
      <c r="C28" s="1" t="str">
        <f>IFERROR(__xludf.DUMMYFUNCTION("""COMPUTED_VALUE"""),"Denver Nuggets")</f>
        <v>Denver Nuggets</v>
      </c>
      <c r="D28" s="1">
        <f>IFERROR(__xludf.DUMMYFUNCTION("""COMPUTED_VALUE"""),124.0)</f>
        <v>124</v>
      </c>
      <c r="E28" s="1" t="str">
        <f>IFERROR(__xludf.DUMMYFUNCTION("""COMPUTED_VALUE"""),"Orlando Magic")</f>
        <v>Orlando Magic</v>
      </c>
      <c r="F28" s="1">
        <f>IFERROR(__xludf.DUMMYFUNCTION("""COMPUTED_VALUE"""),118.0)</f>
        <v>118</v>
      </c>
      <c r="G28" s="1" t="str">
        <f>IFERROR(__xludf.DUMMYFUNCTION("""COMPUTED_VALUE"""),"Box Score")</f>
        <v>Box Score</v>
      </c>
      <c r="H28" s="1" t="str">
        <f>IFERROR(__xludf.DUMMYFUNCTION("""COMPUTED_VALUE"""),"OT")</f>
        <v>OT</v>
      </c>
      <c r="I28" s="3">
        <f>IFERROR(__xludf.DUMMYFUNCTION("""COMPUTED_VALUE"""),16636.0)</f>
        <v>16636</v>
      </c>
      <c r="J28" s="1"/>
    </row>
    <row r="29" ht="15.75" customHeight="1">
      <c r="A29" s="2">
        <f>IFERROR(__xludf.DUMMYFUNCTION("""COMPUTED_VALUE"""),43439.0)</f>
        <v>43439</v>
      </c>
      <c r="B29" s="1" t="str">
        <f>IFERROR(__xludf.DUMMYFUNCTION("""COMPUTED_VALUE"""),"7:30p")</f>
        <v>7:30p</v>
      </c>
      <c r="C29" s="1" t="str">
        <f>IFERROR(__xludf.DUMMYFUNCTION("""COMPUTED_VALUE"""),"Washington Wizards")</f>
        <v>Washington Wizards</v>
      </c>
      <c r="D29" s="1">
        <f>IFERROR(__xludf.DUMMYFUNCTION("""COMPUTED_VALUE"""),131.0)</f>
        <v>131</v>
      </c>
      <c r="E29" s="1" t="str">
        <f>IFERROR(__xludf.DUMMYFUNCTION("""COMPUTED_VALUE"""),"Atlanta Hawks")</f>
        <v>Atlanta Hawks</v>
      </c>
      <c r="F29" s="1">
        <f>IFERROR(__xludf.DUMMYFUNCTION("""COMPUTED_VALUE"""),117.0)</f>
        <v>117</v>
      </c>
      <c r="G29" s="1" t="str">
        <f>IFERROR(__xludf.DUMMYFUNCTION("""COMPUTED_VALUE"""),"Box Score")</f>
        <v>Box Score</v>
      </c>
      <c r="H29" s="1"/>
      <c r="I29" s="3">
        <f>IFERROR(__xludf.DUMMYFUNCTION("""COMPUTED_VALUE"""),12551.0)</f>
        <v>12551</v>
      </c>
      <c r="J29" s="1"/>
    </row>
    <row r="30" ht="15.75" customHeight="1">
      <c r="A30" s="2">
        <f>IFERROR(__xludf.DUMMYFUNCTION("""COMPUTED_VALUE"""),43439.0)</f>
        <v>43439</v>
      </c>
      <c r="B30" s="1" t="str">
        <f>IFERROR(__xludf.DUMMYFUNCTION("""COMPUTED_VALUE"""),"7:30p")</f>
        <v>7:30p</v>
      </c>
      <c r="C30" s="1" t="str">
        <f>IFERROR(__xludf.DUMMYFUNCTION("""COMPUTED_VALUE"""),"Oklahoma City Thunder")</f>
        <v>Oklahoma City Thunder</v>
      </c>
      <c r="D30" s="1">
        <f>IFERROR(__xludf.DUMMYFUNCTION("""COMPUTED_VALUE"""),114.0)</f>
        <v>114</v>
      </c>
      <c r="E30" s="1" t="str">
        <f>IFERROR(__xludf.DUMMYFUNCTION("""COMPUTED_VALUE"""),"Brooklyn Nets")</f>
        <v>Brooklyn Nets</v>
      </c>
      <c r="F30" s="1">
        <f>IFERROR(__xludf.DUMMYFUNCTION("""COMPUTED_VALUE"""),112.0)</f>
        <v>112</v>
      </c>
      <c r="G30" s="1" t="str">
        <f>IFERROR(__xludf.DUMMYFUNCTION("""COMPUTED_VALUE"""),"Box Score")</f>
        <v>Box Score</v>
      </c>
      <c r="H30" s="1"/>
      <c r="I30" s="3">
        <f>IFERROR(__xludf.DUMMYFUNCTION("""COMPUTED_VALUE"""),13161.0)</f>
        <v>13161</v>
      </c>
      <c r="J30" s="1"/>
    </row>
    <row r="31" ht="15.75" customHeight="1">
      <c r="A31" s="2">
        <f>IFERROR(__xludf.DUMMYFUNCTION("""COMPUTED_VALUE"""),43439.0)</f>
        <v>43439</v>
      </c>
      <c r="B31" s="1" t="str">
        <f>IFERROR(__xludf.DUMMYFUNCTION("""COMPUTED_VALUE"""),"8:00p")</f>
        <v>8:00p</v>
      </c>
      <c r="C31" s="1" t="str">
        <f>IFERROR(__xludf.DUMMYFUNCTION("""COMPUTED_VALUE"""),"Los Angeles Clippers")</f>
        <v>Los Angeles Clippers</v>
      </c>
      <c r="D31" s="1">
        <f>IFERROR(__xludf.DUMMYFUNCTION("""COMPUTED_VALUE"""),86.0)</f>
        <v>86</v>
      </c>
      <c r="E31" s="1" t="str">
        <f>IFERROR(__xludf.DUMMYFUNCTION("""COMPUTED_VALUE"""),"Memphis Grizzlies")</f>
        <v>Memphis Grizzlies</v>
      </c>
      <c r="F31" s="1">
        <f>IFERROR(__xludf.DUMMYFUNCTION("""COMPUTED_VALUE"""),96.0)</f>
        <v>96</v>
      </c>
      <c r="G31" s="1" t="str">
        <f>IFERROR(__xludf.DUMMYFUNCTION("""COMPUTED_VALUE"""),"Box Score")</f>
        <v>Box Score</v>
      </c>
      <c r="H31" s="1"/>
      <c r="I31" s="3">
        <f>IFERROR(__xludf.DUMMYFUNCTION("""COMPUTED_VALUE"""),14144.0)</f>
        <v>14144</v>
      </c>
      <c r="J31" s="1"/>
    </row>
    <row r="32" ht="15.75" customHeight="1">
      <c r="A32" s="2">
        <f>IFERROR(__xludf.DUMMYFUNCTION("""COMPUTED_VALUE"""),43439.0)</f>
        <v>43439</v>
      </c>
      <c r="B32" s="1" t="str">
        <f>IFERROR(__xludf.DUMMYFUNCTION("""COMPUTED_VALUE"""),"8:00p")</f>
        <v>8:00p</v>
      </c>
      <c r="C32" s="1" t="str">
        <f>IFERROR(__xludf.DUMMYFUNCTION("""COMPUTED_VALUE"""),"Detroit Pistons")</f>
        <v>Detroit Pistons</v>
      </c>
      <c r="D32" s="1">
        <f>IFERROR(__xludf.DUMMYFUNCTION("""COMPUTED_VALUE"""),92.0)</f>
        <v>92</v>
      </c>
      <c r="E32" s="1" t="str">
        <f>IFERROR(__xludf.DUMMYFUNCTION("""COMPUTED_VALUE"""),"Milwaukee Bucks")</f>
        <v>Milwaukee Bucks</v>
      </c>
      <c r="F32" s="1">
        <f>IFERROR(__xludf.DUMMYFUNCTION("""COMPUTED_VALUE"""),115.0)</f>
        <v>115</v>
      </c>
      <c r="G32" s="1" t="str">
        <f>IFERROR(__xludf.DUMMYFUNCTION("""COMPUTED_VALUE"""),"Box Score")</f>
        <v>Box Score</v>
      </c>
      <c r="H32" s="1"/>
      <c r="I32" s="3">
        <f>IFERROR(__xludf.DUMMYFUNCTION("""COMPUTED_VALUE"""),16541.0)</f>
        <v>16541</v>
      </c>
      <c r="J32" s="1"/>
    </row>
    <row r="33" ht="15.75" customHeight="1">
      <c r="A33" s="2">
        <f>IFERROR(__xludf.DUMMYFUNCTION("""COMPUTED_VALUE"""),43439.0)</f>
        <v>43439</v>
      </c>
      <c r="B33" s="1" t="str">
        <f>IFERROR(__xludf.DUMMYFUNCTION("""COMPUTED_VALUE"""),"8:00p")</f>
        <v>8:00p</v>
      </c>
      <c r="C33" s="1" t="str">
        <f>IFERROR(__xludf.DUMMYFUNCTION("""COMPUTED_VALUE"""),"Charlotte Hornets")</f>
        <v>Charlotte Hornets</v>
      </c>
      <c r="D33" s="1">
        <f>IFERROR(__xludf.DUMMYFUNCTION("""COMPUTED_VALUE"""),104.0)</f>
        <v>104</v>
      </c>
      <c r="E33" s="1" t="str">
        <f>IFERROR(__xludf.DUMMYFUNCTION("""COMPUTED_VALUE"""),"Minnesota Timberwolves")</f>
        <v>Minnesota Timberwolves</v>
      </c>
      <c r="F33" s="1">
        <f>IFERROR(__xludf.DUMMYFUNCTION("""COMPUTED_VALUE"""),121.0)</f>
        <v>121</v>
      </c>
      <c r="G33" s="1" t="str">
        <f>IFERROR(__xludf.DUMMYFUNCTION("""COMPUTED_VALUE"""),"Box Score")</f>
        <v>Box Score</v>
      </c>
      <c r="H33" s="1"/>
      <c r="I33" s="3">
        <f>IFERROR(__xludf.DUMMYFUNCTION("""COMPUTED_VALUE"""),11248.0)</f>
        <v>11248</v>
      </c>
      <c r="J33" s="1"/>
    </row>
    <row r="34" ht="15.75" customHeight="1">
      <c r="A34" s="2">
        <f>IFERROR(__xludf.DUMMYFUNCTION("""COMPUTED_VALUE"""),43439.0)</f>
        <v>43439</v>
      </c>
      <c r="B34" s="1" t="str">
        <f>IFERROR(__xludf.DUMMYFUNCTION("""COMPUTED_VALUE"""),"8:00p")</f>
        <v>8:00p</v>
      </c>
      <c r="C34" s="1" t="str">
        <f>IFERROR(__xludf.DUMMYFUNCTION("""COMPUTED_VALUE"""),"Dallas Mavericks")</f>
        <v>Dallas Mavericks</v>
      </c>
      <c r="D34" s="1">
        <f>IFERROR(__xludf.DUMMYFUNCTION("""COMPUTED_VALUE"""),106.0)</f>
        <v>106</v>
      </c>
      <c r="E34" s="1" t="str">
        <f>IFERROR(__xludf.DUMMYFUNCTION("""COMPUTED_VALUE"""),"New Orleans Pelicans")</f>
        <v>New Orleans Pelicans</v>
      </c>
      <c r="F34" s="1">
        <f>IFERROR(__xludf.DUMMYFUNCTION("""COMPUTED_VALUE"""),132.0)</f>
        <v>132</v>
      </c>
      <c r="G34" s="1" t="str">
        <f>IFERROR(__xludf.DUMMYFUNCTION("""COMPUTED_VALUE"""),"Box Score")</f>
        <v>Box Score</v>
      </c>
      <c r="H34" s="1"/>
      <c r="I34" s="3">
        <f>IFERROR(__xludf.DUMMYFUNCTION("""COMPUTED_VALUE"""),14810.0)</f>
        <v>14810</v>
      </c>
      <c r="J34" s="1"/>
    </row>
    <row r="35" ht="15.75" customHeight="1">
      <c r="A35" s="2">
        <f>IFERROR(__xludf.DUMMYFUNCTION("""COMPUTED_VALUE"""),43439.0)</f>
        <v>43439</v>
      </c>
      <c r="B35" s="1" t="str">
        <f>IFERROR(__xludf.DUMMYFUNCTION("""COMPUTED_VALUE"""),"8:00p")</f>
        <v>8:00p</v>
      </c>
      <c r="C35" s="1" t="str">
        <f>IFERROR(__xludf.DUMMYFUNCTION("""COMPUTED_VALUE"""),"Philadelphia 76ers")</f>
        <v>Philadelphia 76ers</v>
      </c>
      <c r="D35" s="1">
        <f>IFERROR(__xludf.DUMMYFUNCTION("""COMPUTED_VALUE"""),102.0)</f>
        <v>102</v>
      </c>
      <c r="E35" s="1" t="str">
        <f>IFERROR(__xludf.DUMMYFUNCTION("""COMPUTED_VALUE"""),"Toronto Raptors")</f>
        <v>Toronto Raptors</v>
      </c>
      <c r="F35" s="1">
        <f>IFERROR(__xludf.DUMMYFUNCTION("""COMPUTED_VALUE"""),113.0)</f>
        <v>113</v>
      </c>
      <c r="G35" s="1" t="str">
        <f>IFERROR(__xludf.DUMMYFUNCTION("""COMPUTED_VALUE"""),"Box Score")</f>
        <v>Box Score</v>
      </c>
      <c r="H35" s="1"/>
      <c r="I35" s="3">
        <f>IFERROR(__xludf.DUMMYFUNCTION("""COMPUTED_VALUE"""),19800.0)</f>
        <v>19800</v>
      </c>
      <c r="J35" s="1"/>
    </row>
    <row r="36" ht="15.75" customHeight="1">
      <c r="A36" s="2">
        <f>IFERROR(__xludf.DUMMYFUNCTION("""COMPUTED_VALUE"""),43439.0)</f>
        <v>43439</v>
      </c>
      <c r="B36" s="1" t="str">
        <f>IFERROR(__xludf.DUMMYFUNCTION("""COMPUTED_VALUE"""),"10:30p")</f>
        <v>10:30p</v>
      </c>
      <c r="C36" s="1" t="str">
        <f>IFERROR(__xludf.DUMMYFUNCTION("""COMPUTED_VALUE"""),"San Antonio Spurs")</f>
        <v>San Antonio Spurs</v>
      </c>
      <c r="D36" s="1">
        <f>IFERROR(__xludf.DUMMYFUNCTION("""COMPUTED_VALUE"""),113.0)</f>
        <v>113</v>
      </c>
      <c r="E36" s="1" t="str">
        <f>IFERROR(__xludf.DUMMYFUNCTION("""COMPUTED_VALUE"""),"Los Angeles Lakers")</f>
        <v>Los Angeles Lakers</v>
      </c>
      <c r="F36" s="1">
        <f>IFERROR(__xludf.DUMMYFUNCTION("""COMPUTED_VALUE"""),121.0)</f>
        <v>121</v>
      </c>
      <c r="G36" s="1" t="str">
        <f>IFERROR(__xludf.DUMMYFUNCTION("""COMPUTED_VALUE"""),"Box Score")</f>
        <v>Box Score</v>
      </c>
      <c r="H36" s="1"/>
      <c r="I36" s="3">
        <f>IFERROR(__xludf.DUMMYFUNCTION("""COMPUTED_VALUE"""),18997.0)</f>
        <v>18997</v>
      </c>
      <c r="J36" s="1"/>
    </row>
    <row r="37" ht="15.75" customHeight="1">
      <c r="A37" s="2">
        <f>IFERROR(__xludf.DUMMYFUNCTION("""COMPUTED_VALUE"""),43440.0)</f>
        <v>43440</v>
      </c>
      <c r="B37" s="1" t="str">
        <f>IFERROR(__xludf.DUMMYFUNCTION("""COMPUTED_VALUE"""),"8:00p")</f>
        <v>8:00p</v>
      </c>
      <c r="C37" s="1" t="str">
        <f>IFERROR(__xludf.DUMMYFUNCTION("""COMPUTED_VALUE"""),"New York Knicks")</f>
        <v>New York Knicks</v>
      </c>
      <c r="D37" s="1">
        <f>IFERROR(__xludf.DUMMYFUNCTION("""COMPUTED_VALUE"""),100.0)</f>
        <v>100</v>
      </c>
      <c r="E37" s="1" t="str">
        <f>IFERROR(__xludf.DUMMYFUNCTION("""COMPUTED_VALUE"""),"Boston Celtics")</f>
        <v>Boston Celtics</v>
      </c>
      <c r="F37" s="1">
        <f>IFERROR(__xludf.DUMMYFUNCTION("""COMPUTED_VALUE"""),128.0)</f>
        <v>128</v>
      </c>
      <c r="G37" s="1" t="str">
        <f>IFERROR(__xludf.DUMMYFUNCTION("""COMPUTED_VALUE"""),"Box Score")</f>
        <v>Box Score</v>
      </c>
      <c r="H37" s="1"/>
      <c r="I37" s="3">
        <f>IFERROR(__xludf.DUMMYFUNCTION("""COMPUTED_VALUE"""),18624.0)</f>
        <v>18624</v>
      </c>
      <c r="J37" s="1"/>
    </row>
    <row r="38" ht="15.75" customHeight="1">
      <c r="A38" s="2">
        <f>IFERROR(__xludf.DUMMYFUNCTION("""COMPUTED_VALUE"""),43440.0)</f>
        <v>43440</v>
      </c>
      <c r="B38" s="1" t="str">
        <f>IFERROR(__xludf.DUMMYFUNCTION("""COMPUTED_VALUE"""),"10:00p")</f>
        <v>10:00p</v>
      </c>
      <c r="C38" s="1" t="str">
        <f>IFERROR(__xludf.DUMMYFUNCTION("""COMPUTED_VALUE"""),"Phoenix Suns")</f>
        <v>Phoenix Suns</v>
      </c>
      <c r="D38" s="1">
        <f>IFERROR(__xludf.DUMMYFUNCTION("""COMPUTED_VALUE"""),86.0)</f>
        <v>86</v>
      </c>
      <c r="E38" s="1" t="str">
        <f>IFERROR(__xludf.DUMMYFUNCTION("""COMPUTED_VALUE"""),"Portland Trail Blazers")</f>
        <v>Portland Trail Blazers</v>
      </c>
      <c r="F38" s="1">
        <f>IFERROR(__xludf.DUMMYFUNCTION("""COMPUTED_VALUE"""),108.0)</f>
        <v>108</v>
      </c>
      <c r="G38" s="1" t="str">
        <f>IFERROR(__xludf.DUMMYFUNCTION("""COMPUTED_VALUE"""),"Box Score")</f>
        <v>Box Score</v>
      </c>
      <c r="H38" s="1"/>
      <c r="I38" s="3">
        <f>IFERROR(__xludf.DUMMYFUNCTION("""COMPUTED_VALUE"""),19001.0)</f>
        <v>19001</v>
      </c>
      <c r="J38" s="1"/>
    </row>
    <row r="39" ht="15.75" customHeight="1">
      <c r="A39" s="2">
        <f>IFERROR(__xludf.DUMMYFUNCTION("""COMPUTED_VALUE"""),43440.0)</f>
        <v>43440</v>
      </c>
      <c r="B39" s="1" t="str">
        <f>IFERROR(__xludf.DUMMYFUNCTION("""COMPUTED_VALUE"""),"10:30p")</f>
        <v>10:30p</v>
      </c>
      <c r="C39" s="1" t="str">
        <f>IFERROR(__xludf.DUMMYFUNCTION("""COMPUTED_VALUE"""),"Houston Rockets")</f>
        <v>Houston Rockets</v>
      </c>
      <c r="D39" s="1">
        <f>IFERROR(__xludf.DUMMYFUNCTION("""COMPUTED_VALUE"""),91.0)</f>
        <v>91</v>
      </c>
      <c r="E39" s="1" t="str">
        <f>IFERROR(__xludf.DUMMYFUNCTION("""COMPUTED_VALUE"""),"Utah Jazz")</f>
        <v>Utah Jazz</v>
      </c>
      <c r="F39" s="1">
        <f>IFERROR(__xludf.DUMMYFUNCTION("""COMPUTED_VALUE"""),118.0)</f>
        <v>118</v>
      </c>
      <c r="G39" s="1" t="str">
        <f>IFERROR(__xludf.DUMMYFUNCTION("""COMPUTED_VALUE"""),"Box Score")</f>
        <v>Box Score</v>
      </c>
      <c r="H39" s="1"/>
      <c r="I39" s="3">
        <f>IFERROR(__xludf.DUMMYFUNCTION("""COMPUTED_VALUE"""),18306.0)</f>
        <v>18306</v>
      </c>
      <c r="J39" s="1"/>
    </row>
    <row r="40" ht="15.75" customHeight="1">
      <c r="A40" s="2">
        <f>IFERROR(__xludf.DUMMYFUNCTION("""COMPUTED_VALUE"""),43441.0)</f>
        <v>43441</v>
      </c>
      <c r="B40" s="1" t="str">
        <f>IFERROR(__xludf.DUMMYFUNCTION("""COMPUTED_VALUE"""),"7:00p")</f>
        <v>7:00p</v>
      </c>
      <c r="C40" s="1" t="str">
        <f>IFERROR(__xludf.DUMMYFUNCTION("""COMPUTED_VALUE"""),"Denver Nuggets")</f>
        <v>Denver Nuggets</v>
      </c>
      <c r="D40" s="1">
        <f>IFERROR(__xludf.DUMMYFUNCTION("""COMPUTED_VALUE"""),107.0)</f>
        <v>107</v>
      </c>
      <c r="E40" s="1" t="str">
        <f>IFERROR(__xludf.DUMMYFUNCTION("""COMPUTED_VALUE"""),"Charlotte Hornets")</f>
        <v>Charlotte Hornets</v>
      </c>
      <c r="F40" s="1">
        <f>IFERROR(__xludf.DUMMYFUNCTION("""COMPUTED_VALUE"""),113.0)</f>
        <v>113</v>
      </c>
      <c r="G40" s="1" t="str">
        <f>IFERROR(__xludf.DUMMYFUNCTION("""COMPUTED_VALUE"""),"Box Score")</f>
        <v>Box Score</v>
      </c>
      <c r="H40" s="1"/>
      <c r="I40" s="3">
        <f>IFERROR(__xludf.DUMMYFUNCTION("""COMPUTED_VALUE"""),13755.0)</f>
        <v>13755</v>
      </c>
      <c r="J40" s="1"/>
    </row>
    <row r="41" ht="15.75" customHeight="1">
      <c r="A41" s="2">
        <f>IFERROR(__xludf.DUMMYFUNCTION("""COMPUTED_VALUE"""),43441.0)</f>
        <v>43441</v>
      </c>
      <c r="B41" s="1" t="str">
        <f>IFERROR(__xludf.DUMMYFUNCTION("""COMPUTED_VALUE"""),"7:00p")</f>
        <v>7:00p</v>
      </c>
      <c r="C41" s="1" t="str">
        <f>IFERROR(__xludf.DUMMYFUNCTION("""COMPUTED_VALUE"""),"Philadelphia 76ers")</f>
        <v>Philadelphia 76ers</v>
      </c>
      <c r="D41" s="1">
        <f>IFERROR(__xludf.DUMMYFUNCTION("""COMPUTED_VALUE"""),117.0)</f>
        <v>117</v>
      </c>
      <c r="E41" s="1" t="str">
        <f>IFERROR(__xludf.DUMMYFUNCTION("""COMPUTED_VALUE"""),"Detroit Pistons")</f>
        <v>Detroit Pistons</v>
      </c>
      <c r="F41" s="1">
        <f>IFERROR(__xludf.DUMMYFUNCTION("""COMPUTED_VALUE"""),111.0)</f>
        <v>111</v>
      </c>
      <c r="G41" s="1" t="str">
        <f>IFERROR(__xludf.DUMMYFUNCTION("""COMPUTED_VALUE"""),"Box Score")</f>
        <v>Box Score</v>
      </c>
      <c r="H41" s="1"/>
      <c r="I41" s="3">
        <f>IFERROR(__xludf.DUMMYFUNCTION("""COMPUTED_VALUE"""),15680.0)</f>
        <v>15680</v>
      </c>
      <c r="J41" s="1"/>
    </row>
    <row r="42" ht="15.75" customHeight="1">
      <c r="A42" s="2">
        <f>IFERROR(__xludf.DUMMYFUNCTION("""COMPUTED_VALUE"""),43441.0)</f>
        <v>43441</v>
      </c>
      <c r="B42" s="1" t="str">
        <f>IFERROR(__xludf.DUMMYFUNCTION("""COMPUTED_VALUE"""),"7:00p")</f>
        <v>7:00p</v>
      </c>
      <c r="C42" s="1" t="str">
        <f>IFERROR(__xludf.DUMMYFUNCTION("""COMPUTED_VALUE"""),"Indiana Pacers")</f>
        <v>Indiana Pacers</v>
      </c>
      <c r="D42" s="1">
        <f>IFERROR(__xludf.DUMMYFUNCTION("""COMPUTED_VALUE"""),112.0)</f>
        <v>112</v>
      </c>
      <c r="E42" s="1" t="str">
        <f>IFERROR(__xludf.DUMMYFUNCTION("""COMPUTED_VALUE"""),"Orlando Magic")</f>
        <v>Orlando Magic</v>
      </c>
      <c r="F42" s="1">
        <f>IFERROR(__xludf.DUMMYFUNCTION("""COMPUTED_VALUE"""),90.0)</f>
        <v>90</v>
      </c>
      <c r="G42" s="1" t="str">
        <f>IFERROR(__xludf.DUMMYFUNCTION("""COMPUTED_VALUE"""),"Box Score")</f>
        <v>Box Score</v>
      </c>
      <c r="H42" s="1"/>
      <c r="I42" s="3">
        <f>IFERROR(__xludf.DUMMYFUNCTION("""COMPUTED_VALUE"""),17214.0)</f>
        <v>17214</v>
      </c>
      <c r="J42" s="1"/>
    </row>
    <row r="43" ht="15.75" customHeight="1">
      <c r="A43" s="2">
        <f>IFERROR(__xludf.DUMMYFUNCTION("""COMPUTED_VALUE"""),43441.0)</f>
        <v>43441</v>
      </c>
      <c r="B43" s="1" t="str">
        <f>IFERROR(__xludf.DUMMYFUNCTION("""COMPUTED_VALUE"""),"7:30p")</f>
        <v>7:30p</v>
      </c>
      <c r="C43" s="1" t="str">
        <f>IFERROR(__xludf.DUMMYFUNCTION("""COMPUTED_VALUE"""),"Toronto Raptors")</f>
        <v>Toronto Raptors</v>
      </c>
      <c r="D43" s="1">
        <f>IFERROR(__xludf.DUMMYFUNCTION("""COMPUTED_VALUE"""),105.0)</f>
        <v>105</v>
      </c>
      <c r="E43" s="1" t="str">
        <f>IFERROR(__xludf.DUMMYFUNCTION("""COMPUTED_VALUE"""),"Brooklyn Nets")</f>
        <v>Brooklyn Nets</v>
      </c>
      <c r="F43" s="1">
        <f>IFERROR(__xludf.DUMMYFUNCTION("""COMPUTED_VALUE"""),106.0)</f>
        <v>106</v>
      </c>
      <c r="G43" s="1" t="str">
        <f>IFERROR(__xludf.DUMMYFUNCTION("""COMPUTED_VALUE"""),"Box Score")</f>
        <v>Box Score</v>
      </c>
      <c r="H43" s="1" t="str">
        <f>IFERROR(__xludf.DUMMYFUNCTION("""COMPUTED_VALUE"""),"OT")</f>
        <v>OT</v>
      </c>
      <c r="I43" s="3">
        <f>IFERROR(__xludf.DUMMYFUNCTION("""COMPUTED_VALUE"""),14035.0)</f>
        <v>14035</v>
      </c>
      <c r="J43" s="1"/>
    </row>
    <row r="44" ht="15.75" customHeight="1">
      <c r="A44" s="2">
        <f>IFERROR(__xludf.DUMMYFUNCTION("""COMPUTED_VALUE"""),43441.0)</f>
        <v>43441</v>
      </c>
      <c r="B44" s="1" t="str">
        <f>IFERROR(__xludf.DUMMYFUNCTION("""COMPUTED_VALUE"""),"7:30p")</f>
        <v>7:30p</v>
      </c>
      <c r="C44" s="1" t="str">
        <f>IFERROR(__xludf.DUMMYFUNCTION("""COMPUTED_VALUE"""),"Sacramento Kings")</f>
        <v>Sacramento Kings</v>
      </c>
      <c r="D44" s="1">
        <f>IFERROR(__xludf.DUMMYFUNCTION("""COMPUTED_VALUE"""),129.0)</f>
        <v>129</v>
      </c>
      <c r="E44" s="1" t="str">
        <f>IFERROR(__xludf.DUMMYFUNCTION("""COMPUTED_VALUE"""),"Cleveland Cavaliers")</f>
        <v>Cleveland Cavaliers</v>
      </c>
      <c r="F44" s="1">
        <f>IFERROR(__xludf.DUMMYFUNCTION("""COMPUTED_VALUE"""),110.0)</f>
        <v>110</v>
      </c>
      <c r="G44" s="1" t="str">
        <f>IFERROR(__xludf.DUMMYFUNCTION("""COMPUTED_VALUE"""),"Box Score")</f>
        <v>Box Score</v>
      </c>
      <c r="H44" s="1"/>
      <c r="I44" s="3">
        <f>IFERROR(__xludf.DUMMYFUNCTION("""COMPUTED_VALUE"""),19432.0)</f>
        <v>19432</v>
      </c>
      <c r="J44" s="1"/>
    </row>
    <row r="45" ht="15.75" customHeight="1">
      <c r="A45" s="2">
        <f>IFERROR(__xludf.DUMMYFUNCTION("""COMPUTED_VALUE"""),43441.0)</f>
        <v>43441</v>
      </c>
      <c r="B45" s="1" t="str">
        <f>IFERROR(__xludf.DUMMYFUNCTION("""COMPUTED_VALUE"""),"8:00p")</f>
        <v>8:00p</v>
      </c>
      <c r="C45" s="1" t="str">
        <f>IFERROR(__xludf.DUMMYFUNCTION("""COMPUTED_VALUE"""),"Oklahoma City Thunder")</f>
        <v>Oklahoma City Thunder</v>
      </c>
      <c r="D45" s="1">
        <f>IFERROR(__xludf.DUMMYFUNCTION("""COMPUTED_VALUE"""),112.0)</f>
        <v>112</v>
      </c>
      <c r="E45" s="1" t="str">
        <f>IFERROR(__xludf.DUMMYFUNCTION("""COMPUTED_VALUE"""),"Chicago Bulls")</f>
        <v>Chicago Bulls</v>
      </c>
      <c r="F45" s="1">
        <f>IFERROR(__xludf.DUMMYFUNCTION("""COMPUTED_VALUE"""),114.0)</f>
        <v>114</v>
      </c>
      <c r="G45" s="1" t="str">
        <f>IFERROR(__xludf.DUMMYFUNCTION("""COMPUTED_VALUE"""),"Box Score")</f>
        <v>Box Score</v>
      </c>
      <c r="H45" s="1"/>
      <c r="I45" s="3">
        <f>IFERROR(__xludf.DUMMYFUNCTION("""COMPUTED_VALUE"""),19842.0)</f>
        <v>19842</v>
      </c>
      <c r="J45" s="1"/>
    </row>
    <row r="46" ht="15.75" customHeight="1">
      <c r="A46" s="2">
        <f>IFERROR(__xludf.DUMMYFUNCTION("""COMPUTED_VALUE"""),43441.0)</f>
        <v>43441</v>
      </c>
      <c r="B46" s="1" t="str">
        <f>IFERROR(__xludf.DUMMYFUNCTION("""COMPUTED_VALUE"""),"8:00p")</f>
        <v>8:00p</v>
      </c>
      <c r="C46" s="1" t="str">
        <f>IFERROR(__xludf.DUMMYFUNCTION("""COMPUTED_VALUE"""),"Memphis Grizzlies")</f>
        <v>Memphis Grizzlies</v>
      </c>
      <c r="D46" s="1">
        <f>IFERROR(__xludf.DUMMYFUNCTION("""COMPUTED_VALUE"""),107.0)</f>
        <v>107</v>
      </c>
      <c r="E46" s="1" t="str">
        <f>IFERROR(__xludf.DUMMYFUNCTION("""COMPUTED_VALUE"""),"New Orleans Pelicans")</f>
        <v>New Orleans Pelicans</v>
      </c>
      <c r="F46" s="1">
        <f>IFERROR(__xludf.DUMMYFUNCTION("""COMPUTED_VALUE"""),103.0)</f>
        <v>103</v>
      </c>
      <c r="G46" s="1" t="str">
        <f>IFERROR(__xludf.DUMMYFUNCTION("""COMPUTED_VALUE"""),"Box Score")</f>
        <v>Box Score</v>
      </c>
      <c r="H46" s="1"/>
      <c r="I46" s="3">
        <f>IFERROR(__xludf.DUMMYFUNCTION("""COMPUTED_VALUE"""),18447.0)</f>
        <v>18447</v>
      </c>
      <c r="J46" s="1"/>
    </row>
    <row r="47" ht="15.75" customHeight="1">
      <c r="A47" s="2">
        <f>IFERROR(__xludf.DUMMYFUNCTION("""COMPUTED_VALUE"""),43441.0)</f>
        <v>43441</v>
      </c>
      <c r="B47" s="1" t="str">
        <f>IFERROR(__xludf.DUMMYFUNCTION("""COMPUTED_VALUE"""),"8:30p")</f>
        <v>8:30p</v>
      </c>
      <c r="C47" s="1" t="str">
        <f>IFERROR(__xludf.DUMMYFUNCTION("""COMPUTED_VALUE"""),"Los Angeles Lakers")</f>
        <v>Los Angeles Lakers</v>
      </c>
      <c r="D47" s="1">
        <f>IFERROR(__xludf.DUMMYFUNCTION("""COMPUTED_VALUE"""),120.0)</f>
        <v>120</v>
      </c>
      <c r="E47" s="1" t="str">
        <f>IFERROR(__xludf.DUMMYFUNCTION("""COMPUTED_VALUE"""),"San Antonio Spurs")</f>
        <v>San Antonio Spurs</v>
      </c>
      <c r="F47" s="1">
        <f>IFERROR(__xludf.DUMMYFUNCTION("""COMPUTED_VALUE"""),133.0)</f>
        <v>133</v>
      </c>
      <c r="G47" s="1" t="str">
        <f>IFERROR(__xludf.DUMMYFUNCTION("""COMPUTED_VALUE"""),"Box Score")</f>
        <v>Box Score</v>
      </c>
      <c r="H47" s="1"/>
      <c r="I47" s="3">
        <f>IFERROR(__xludf.DUMMYFUNCTION("""COMPUTED_VALUE"""),18354.0)</f>
        <v>18354</v>
      </c>
      <c r="J47" s="1"/>
    </row>
    <row r="48" ht="15.75" customHeight="1">
      <c r="A48" s="2">
        <f>IFERROR(__xludf.DUMMYFUNCTION("""COMPUTED_VALUE"""),43441.0)</f>
        <v>43441</v>
      </c>
      <c r="B48" s="1" t="str">
        <f>IFERROR(__xludf.DUMMYFUNCTION("""COMPUTED_VALUE"""),"9:00p")</f>
        <v>9:00p</v>
      </c>
      <c r="C48" s="1" t="str">
        <f>IFERROR(__xludf.DUMMYFUNCTION("""COMPUTED_VALUE"""),"Miami Heat")</f>
        <v>Miami Heat</v>
      </c>
      <c r="D48" s="1">
        <f>IFERROR(__xludf.DUMMYFUNCTION("""COMPUTED_VALUE"""),115.0)</f>
        <v>115</v>
      </c>
      <c r="E48" s="1" t="str">
        <f>IFERROR(__xludf.DUMMYFUNCTION("""COMPUTED_VALUE"""),"Phoenix Suns")</f>
        <v>Phoenix Suns</v>
      </c>
      <c r="F48" s="1">
        <f>IFERROR(__xludf.DUMMYFUNCTION("""COMPUTED_VALUE"""),98.0)</f>
        <v>98</v>
      </c>
      <c r="G48" s="1" t="str">
        <f>IFERROR(__xludf.DUMMYFUNCTION("""COMPUTED_VALUE"""),"Box Score")</f>
        <v>Box Score</v>
      </c>
      <c r="H48" s="1"/>
      <c r="I48" s="3">
        <f>IFERROR(__xludf.DUMMYFUNCTION("""COMPUTED_VALUE"""),14273.0)</f>
        <v>14273</v>
      </c>
      <c r="J48" s="1"/>
    </row>
    <row r="49" ht="15.75" customHeight="1">
      <c r="A49" s="2">
        <f>IFERROR(__xludf.DUMMYFUNCTION("""COMPUTED_VALUE"""),43441.0)</f>
        <v>43441</v>
      </c>
      <c r="B49" s="1" t="str">
        <f>IFERROR(__xludf.DUMMYFUNCTION("""COMPUTED_VALUE"""),"9:30p")</f>
        <v>9:30p</v>
      </c>
      <c r="C49" s="1" t="str">
        <f>IFERROR(__xludf.DUMMYFUNCTION("""COMPUTED_VALUE"""),"Golden State Warriors")</f>
        <v>Golden State Warriors</v>
      </c>
      <c r="D49" s="1">
        <f>IFERROR(__xludf.DUMMYFUNCTION("""COMPUTED_VALUE"""),105.0)</f>
        <v>105</v>
      </c>
      <c r="E49" s="1" t="str">
        <f>IFERROR(__xludf.DUMMYFUNCTION("""COMPUTED_VALUE"""),"Milwaukee Bucks")</f>
        <v>Milwaukee Bucks</v>
      </c>
      <c r="F49" s="1">
        <f>IFERROR(__xludf.DUMMYFUNCTION("""COMPUTED_VALUE"""),95.0)</f>
        <v>95</v>
      </c>
      <c r="G49" s="1" t="str">
        <f>IFERROR(__xludf.DUMMYFUNCTION("""COMPUTED_VALUE"""),"Box Score")</f>
        <v>Box Score</v>
      </c>
      <c r="H49" s="1"/>
      <c r="I49" s="3">
        <f>IFERROR(__xludf.DUMMYFUNCTION("""COMPUTED_VALUE"""),17852.0)</f>
        <v>17852</v>
      </c>
      <c r="J49" s="1"/>
    </row>
    <row r="50" ht="15.75" customHeight="1">
      <c r="A50" s="2">
        <f>IFERROR(__xludf.DUMMYFUNCTION("""COMPUTED_VALUE"""),43442.0)</f>
        <v>43442</v>
      </c>
      <c r="B50" s="1" t="str">
        <f>IFERROR(__xludf.DUMMYFUNCTION("""COMPUTED_VALUE"""),"6:00p")</f>
        <v>6:00p</v>
      </c>
      <c r="C50" s="1" t="str">
        <f>IFERROR(__xludf.DUMMYFUNCTION("""COMPUTED_VALUE"""),"Houston Rockets")</f>
        <v>Houston Rockets</v>
      </c>
      <c r="D50" s="1">
        <f>IFERROR(__xludf.DUMMYFUNCTION("""COMPUTED_VALUE"""),104.0)</f>
        <v>104</v>
      </c>
      <c r="E50" s="1" t="str">
        <f>IFERROR(__xludf.DUMMYFUNCTION("""COMPUTED_VALUE"""),"Dallas Mavericks")</f>
        <v>Dallas Mavericks</v>
      </c>
      <c r="F50" s="1">
        <f>IFERROR(__xludf.DUMMYFUNCTION("""COMPUTED_VALUE"""),107.0)</f>
        <v>107</v>
      </c>
      <c r="G50" s="1" t="str">
        <f>IFERROR(__xludf.DUMMYFUNCTION("""COMPUTED_VALUE"""),"Box Score")</f>
        <v>Box Score</v>
      </c>
      <c r="H50" s="1"/>
      <c r="I50" s="3">
        <f>IFERROR(__xludf.DUMMYFUNCTION("""COMPUTED_VALUE"""),20254.0)</f>
        <v>20254</v>
      </c>
      <c r="J50" s="1"/>
    </row>
    <row r="51" ht="15.75" customHeight="1">
      <c r="A51" s="2">
        <f>IFERROR(__xludf.DUMMYFUNCTION("""COMPUTED_VALUE"""),43442.0)</f>
        <v>43442</v>
      </c>
      <c r="B51" s="1" t="str">
        <f>IFERROR(__xludf.DUMMYFUNCTION("""COMPUTED_VALUE"""),"7:00p")</f>
        <v>7:00p</v>
      </c>
      <c r="C51" s="1" t="str">
        <f>IFERROR(__xludf.DUMMYFUNCTION("""COMPUTED_VALUE"""),"Sacramento Kings")</f>
        <v>Sacramento Kings</v>
      </c>
      <c r="D51" s="1">
        <f>IFERROR(__xludf.DUMMYFUNCTION("""COMPUTED_VALUE"""),97.0)</f>
        <v>97</v>
      </c>
      <c r="E51" s="1" t="str">
        <f>IFERROR(__xludf.DUMMYFUNCTION("""COMPUTED_VALUE"""),"Indiana Pacers")</f>
        <v>Indiana Pacers</v>
      </c>
      <c r="F51" s="1">
        <f>IFERROR(__xludf.DUMMYFUNCTION("""COMPUTED_VALUE"""),107.0)</f>
        <v>107</v>
      </c>
      <c r="G51" s="1" t="str">
        <f>IFERROR(__xludf.DUMMYFUNCTION("""COMPUTED_VALUE"""),"Box Score")</f>
        <v>Box Score</v>
      </c>
      <c r="H51" s="1"/>
      <c r="I51" s="3">
        <f>IFERROR(__xludf.DUMMYFUNCTION("""COMPUTED_VALUE"""),16867.0)</f>
        <v>16867</v>
      </c>
      <c r="J51" s="1"/>
    </row>
    <row r="52" ht="15.75" customHeight="1">
      <c r="A52" s="2">
        <f>IFERROR(__xludf.DUMMYFUNCTION("""COMPUTED_VALUE"""),43442.0)</f>
        <v>43442</v>
      </c>
      <c r="B52" s="1" t="str">
        <f>IFERROR(__xludf.DUMMYFUNCTION("""COMPUTED_VALUE"""),"7:30p")</f>
        <v>7:30p</v>
      </c>
      <c r="C52" s="1" t="str">
        <f>IFERROR(__xludf.DUMMYFUNCTION("""COMPUTED_VALUE"""),"Denver Nuggets")</f>
        <v>Denver Nuggets</v>
      </c>
      <c r="D52" s="1">
        <f>IFERROR(__xludf.DUMMYFUNCTION("""COMPUTED_VALUE"""),98.0)</f>
        <v>98</v>
      </c>
      <c r="E52" s="1" t="str">
        <f>IFERROR(__xludf.DUMMYFUNCTION("""COMPUTED_VALUE"""),"Atlanta Hawks")</f>
        <v>Atlanta Hawks</v>
      </c>
      <c r="F52" s="1">
        <f>IFERROR(__xludf.DUMMYFUNCTION("""COMPUTED_VALUE"""),106.0)</f>
        <v>106</v>
      </c>
      <c r="G52" s="1" t="str">
        <f>IFERROR(__xludf.DUMMYFUNCTION("""COMPUTED_VALUE"""),"Box Score")</f>
        <v>Box Score</v>
      </c>
      <c r="H52" s="1"/>
      <c r="I52" s="3">
        <f>IFERROR(__xludf.DUMMYFUNCTION("""COMPUTED_VALUE"""),14409.0)</f>
        <v>14409</v>
      </c>
      <c r="J52" s="1"/>
    </row>
    <row r="53" ht="15.75" customHeight="1">
      <c r="A53" s="2">
        <f>IFERROR(__xludf.DUMMYFUNCTION("""COMPUTED_VALUE"""),43442.0)</f>
        <v>43442</v>
      </c>
      <c r="B53" s="1" t="str">
        <f>IFERROR(__xludf.DUMMYFUNCTION("""COMPUTED_VALUE"""),"7:30p")</f>
        <v>7:30p</v>
      </c>
      <c r="C53" s="1" t="str">
        <f>IFERROR(__xludf.DUMMYFUNCTION("""COMPUTED_VALUE"""),"Washington Wizards")</f>
        <v>Washington Wizards</v>
      </c>
      <c r="D53" s="1">
        <f>IFERROR(__xludf.DUMMYFUNCTION("""COMPUTED_VALUE"""),101.0)</f>
        <v>101</v>
      </c>
      <c r="E53" s="1" t="str">
        <f>IFERROR(__xludf.DUMMYFUNCTION("""COMPUTED_VALUE"""),"Cleveland Cavaliers")</f>
        <v>Cleveland Cavaliers</v>
      </c>
      <c r="F53" s="1">
        <f>IFERROR(__xludf.DUMMYFUNCTION("""COMPUTED_VALUE"""),116.0)</f>
        <v>116</v>
      </c>
      <c r="G53" s="1" t="str">
        <f>IFERROR(__xludf.DUMMYFUNCTION("""COMPUTED_VALUE"""),"Box Score")</f>
        <v>Box Score</v>
      </c>
      <c r="H53" s="1"/>
      <c r="I53" s="3">
        <f>IFERROR(__xludf.DUMMYFUNCTION("""COMPUTED_VALUE"""),19432.0)</f>
        <v>19432</v>
      </c>
      <c r="J53" s="1"/>
    </row>
    <row r="54" ht="15.75" customHeight="1">
      <c r="A54" s="2">
        <f>IFERROR(__xludf.DUMMYFUNCTION("""COMPUTED_VALUE"""),43442.0)</f>
        <v>43442</v>
      </c>
      <c r="B54" s="1" t="str">
        <f>IFERROR(__xludf.DUMMYFUNCTION("""COMPUTED_VALUE"""),"7:30p")</f>
        <v>7:30p</v>
      </c>
      <c r="C54" s="1" t="str">
        <f>IFERROR(__xludf.DUMMYFUNCTION("""COMPUTED_VALUE"""),"Brooklyn Nets")</f>
        <v>Brooklyn Nets</v>
      </c>
      <c r="D54" s="1">
        <f>IFERROR(__xludf.DUMMYFUNCTION("""COMPUTED_VALUE"""),112.0)</f>
        <v>112</v>
      </c>
      <c r="E54" s="1" t="str">
        <f>IFERROR(__xludf.DUMMYFUNCTION("""COMPUTED_VALUE"""),"New York Knicks")</f>
        <v>New York Knicks</v>
      </c>
      <c r="F54" s="1">
        <f>IFERROR(__xludf.DUMMYFUNCTION("""COMPUTED_VALUE"""),104.0)</f>
        <v>104</v>
      </c>
      <c r="G54" s="1" t="str">
        <f>IFERROR(__xludf.DUMMYFUNCTION("""COMPUTED_VALUE"""),"Box Score")</f>
        <v>Box Score</v>
      </c>
      <c r="H54" s="1"/>
      <c r="I54" s="3">
        <f>IFERROR(__xludf.DUMMYFUNCTION("""COMPUTED_VALUE"""),18662.0)</f>
        <v>18662</v>
      </c>
      <c r="J54" s="1"/>
    </row>
    <row r="55" ht="15.75" customHeight="1">
      <c r="A55" s="2">
        <f>IFERROR(__xludf.DUMMYFUNCTION("""COMPUTED_VALUE"""),43442.0)</f>
        <v>43442</v>
      </c>
      <c r="B55" s="1" t="str">
        <f>IFERROR(__xludf.DUMMYFUNCTION("""COMPUTED_VALUE"""),"8:00p")</f>
        <v>8:00p</v>
      </c>
      <c r="C55" s="1" t="str">
        <f>IFERROR(__xludf.DUMMYFUNCTION("""COMPUTED_VALUE"""),"Boston Celtics")</f>
        <v>Boston Celtics</v>
      </c>
      <c r="D55" s="1">
        <f>IFERROR(__xludf.DUMMYFUNCTION("""COMPUTED_VALUE"""),133.0)</f>
        <v>133</v>
      </c>
      <c r="E55" s="1" t="str">
        <f>IFERROR(__xludf.DUMMYFUNCTION("""COMPUTED_VALUE"""),"Chicago Bulls")</f>
        <v>Chicago Bulls</v>
      </c>
      <c r="F55" s="1">
        <f>IFERROR(__xludf.DUMMYFUNCTION("""COMPUTED_VALUE"""),77.0)</f>
        <v>77</v>
      </c>
      <c r="G55" s="1" t="str">
        <f>IFERROR(__xludf.DUMMYFUNCTION("""COMPUTED_VALUE"""),"Box Score")</f>
        <v>Box Score</v>
      </c>
      <c r="H55" s="1"/>
      <c r="I55" s="3">
        <f>IFERROR(__xludf.DUMMYFUNCTION("""COMPUTED_VALUE"""),20923.0)</f>
        <v>20923</v>
      </c>
      <c r="J55" s="1"/>
    </row>
    <row r="56" ht="15.75" customHeight="1">
      <c r="A56" s="2">
        <f>IFERROR(__xludf.DUMMYFUNCTION("""COMPUTED_VALUE"""),43442.0)</f>
        <v>43442</v>
      </c>
      <c r="B56" s="1" t="str">
        <f>IFERROR(__xludf.DUMMYFUNCTION("""COMPUTED_VALUE"""),"8:00p")</f>
        <v>8:00p</v>
      </c>
      <c r="C56" s="1" t="str">
        <f>IFERROR(__xludf.DUMMYFUNCTION("""COMPUTED_VALUE"""),"Los Angeles Lakers")</f>
        <v>Los Angeles Lakers</v>
      </c>
      <c r="D56" s="1">
        <f>IFERROR(__xludf.DUMMYFUNCTION("""COMPUTED_VALUE"""),111.0)</f>
        <v>111</v>
      </c>
      <c r="E56" s="1" t="str">
        <f>IFERROR(__xludf.DUMMYFUNCTION("""COMPUTED_VALUE"""),"Memphis Grizzlies")</f>
        <v>Memphis Grizzlies</v>
      </c>
      <c r="F56" s="1">
        <f>IFERROR(__xludf.DUMMYFUNCTION("""COMPUTED_VALUE"""),88.0)</f>
        <v>88</v>
      </c>
      <c r="G56" s="1" t="str">
        <f>IFERROR(__xludf.DUMMYFUNCTION("""COMPUTED_VALUE"""),"Box Score")</f>
        <v>Box Score</v>
      </c>
      <c r="H56" s="1"/>
      <c r="I56" s="3">
        <f>IFERROR(__xludf.DUMMYFUNCTION("""COMPUTED_VALUE"""),17794.0)</f>
        <v>17794</v>
      </c>
      <c r="J56" s="1"/>
    </row>
    <row r="57" ht="15.75" customHeight="1">
      <c r="A57" s="2">
        <f>IFERROR(__xludf.DUMMYFUNCTION("""COMPUTED_VALUE"""),43442.0)</f>
        <v>43442</v>
      </c>
      <c r="B57" s="1" t="str">
        <f>IFERROR(__xludf.DUMMYFUNCTION("""COMPUTED_VALUE"""),"10:00p")</f>
        <v>10:00p</v>
      </c>
      <c r="C57" s="1" t="str">
        <f>IFERROR(__xludf.DUMMYFUNCTION("""COMPUTED_VALUE"""),"Minnesota Timberwolves")</f>
        <v>Minnesota Timberwolves</v>
      </c>
      <c r="D57" s="1">
        <f>IFERROR(__xludf.DUMMYFUNCTION("""COMPUTED_VALUE"""),105.0)</f>
        <v>105</v>
      </c>
      <c r="E57" s="1" t="str">
        <f>IFERROR(__xludf.DUMMYFUNCTION("""COMPUTED_VALUE"""),"Portland Trail Blazers")</f>
        <v>Portland Trail Blazers</v>
      </c>
      <c r="F57" s="1">
        <f>IFERROR(__xludf.DUMMYFUNCTION("""COMPUTED_VALUE"""),113.0)</f>
        <v>113</v>
      </c>
      <c r="G57" s="1" t="str">
        <f>IFERROR(__xludf.DUMMYFUNCTION("""COMPUTED_VALUE"""),"Box Score")</f>
        <v>Box Score</v>
      </c>
      <c r="H57" s="1"/>
      <c r="I57" s="3">
        <f>IFERROR(__xludf.DUMMYFUNCTION("""COMPUTED_VALUE"""),19359.0)</f>
        <v>19359</v>
      </c>
      <c r="J57" s="1"/>
    </row>
    <row r="58" ht="15.75" customHeight="1">
      <c r="A58" s="2">
        <f>IFERROR(__xludf.DUMMYFUNCTION("""COMPUTED_VALUE"""),43442.0)</f>
        <v>43442</v>
      </c>
      <c r="B58" s="1" t="str">
        <f>IFERROR(__xludf.DUMMYFUNCTION("""COMPUTED_VALUE"""),"10:30p")</f>
        <v>10:30p</v>
      </c>
      <c r="C58" s="1" t="str">
        <f>IFERROR(__xludf.DUMMYFUNCTION("""COMPUTED_VALUE"""),"Miami Heat")</f>
        <v>Miami Heat</v>
      </c>
      <c r="D58" s="1">
        <f>IFERROR(__xludf.DUMMYFUNCTION("""COMPUTED_VALUE"""),121.0)</f>
        <v>121</v>
      </c>
      <c r="E58" s="1" t="str">
        <f>IFERROR(__xludf.DUMMYFUNCTION("""COMPUTED_VALUE"""),"Los Angeles Clippers")</f>
        <v>Los Angeles Clippers</v>
      </c>
      <c r="F58" s="1">
        <f>IFERROR(__xludf.DUMMYFUNCTION("""COMPUTED_VALUE"""),98.0)</f>
        <v>98</v>
      </c>
      <c r="G58" s="1" t="str">
        <f>IFERROR(__xludf.DUMMYFUNCTION("""COMPUTED_VALUE"""),"Box Score")</f>
        <v>Box Score</v>
      </c>
      <c r="H58" s="1"/>
      <c r="I58" s="3">
        <f>IFERROR(__xludf.DUMMYFUNCTION("""COMPUTED_VALUE"""),17113.0)</f>
        <v>17113</v>
      </c>
      <c r="J58" s="1"/>
    </row>
    <row r="59" ht="15.75" customHeight="1">
      <c r="A59" s="2">
        <f>IFERROR(__xludf.DUMMYFUNCTION("""COMPUTED_VALUE"""),43443.0)</f>
        <v>43443</v>
      </c>
      <c r="B59" s="1" t="str">
        <f>IFERROR(__xludf.DUMMYFUNCTION("""COMPUTED_VALUE"""),"3:30p")</f>
        <v>3:30p</v>
      </c>
      <c r="C59" s="1" t="str">
        <f>IFERROR(__xludf.DUMMYFUNCTION("""COMPUTED_VALUE"""),"New Orleans Pelicans")</f>
        <v>New Orleans Pelicans</v>
      </c>
      <c r="D59" s="1">
        <f>IFERROR(__xludf.DUMMYFUNCTION("""COMPUTED_VALUE"""),116.0)</f>
        <v>116</v>
      </c>
      <c r="E59" s="1" t="str">
        <f>IFERROR(__xludf.DUMMYFUNCTION("""COMPUTED_VALUE"""),"Detroit Pistons")</f>
        <v>Detroit Pistons</v>
      </c>
      <c r="F59" s="1">
        <f>IFERROR(__xludf.DUMMYFUNCTION("""COMPUTED_VALUE"""),108.0)</f>
        <v>108</v>
      </c>
      <c r="G59" s="1" t="str">
        <f>IFERROR(__xludf.DUMMYFUNCTION("""COMPUTED_VALUE"""),"Box Score")</f>
        <v>Box Score</v>
      </c>
      <c r="H59" s="1"/>
      <c r="I59" s="3">
        <f>IFERROR(__xludf.DUMMYFUNCTION("""COMPUTED_VALUE"""),14705.0)</f>
        <v>14705</v>
      </c>
      <c r="J59" s="1"/>
    </row>
    <row r="60" ht="15.75" customHeight="1">
      <c r="A60" s="2">
        <f>IFERROR(__xludf.DUMMYFUNCTION("""COMPUTED_VALUE"""),43443.0)</f>
        <v>43443</v>
      </c>
      <c r="B60" s="1" t="str">
        <f>IFERROR(__xludf.DUMMYFUNCTION("""COMPUTED_VALUE"""),"6:00p")</f>
        <v>6:00p</v>
      </c>
      <c r="C60" s="1" t="str">
        <f>IFERROR(__xludf.DUMMYFUNCTION("""COMPUTED_VALUE"""),"Milwaukee Bucks")</f>
        <v>Milwaukee Bucks</v>
      </c>
      <c r="D60" s="1">
        <f>IFERROR(__xludf.DUMMYFUNCTION("""COMPUTED_VALUE"""),104.0)</f>
        <v>104</v>
      </c>
      <c r="E60" s="1" t="str">
        <f>IFERROR(__xludf.DUMMYFUNCTION("""COMPUTED_VALUE"""),"Toronto Raptors")</f>
        <v>Toronto Raptors</v>
      </c>
      <c r="F60" s="1">
        <f>IFERROR(__xludf.DUMMYFUNCTION("""COMPUTED_VALUE"""),99.0)</f>
        <v>99</v>
      </c>
      <c r="G60" s="1" t="str">
        <f>IFERROR(__xludf.DUMMYFUNCTION("""COMPUTED_VALUE"""),"Box Score")</f>
        <v>Box Score</v>
      </c>
      <c r="H60" s="1"/>
      <c r="I60" s="3">
        <f>IFERROR(__xludf.DUMMYFUNCTION("""COMPUTED_VALUE"""),19800.0)</f>
        <v>19800</v>
      </c>
      <c r="J60" s="1"/>
    </row>
    <row r="61" ht="15.75" customHeight="1">
      <c r="A61" s="2">
        <f>IFERROR(__xludf.DUMMYFUNCTION("""COMPUTED_VALUE"""),43443.0)</f>
        <v>43443</v>
      </c>
      <c r="B61" s="1" t="str">
        <f>IFERROR(__xludf.DUMMYFUNCTION("""COMPUTED_VALUE"""),"7:00p")</f>
        <v>7:00p</v>
      </c>
      <c r="C61" s="1" t="str">
        <f>IFERROR(__xludf.DUMMYFUNCTION("""COMPUTED_VALUE"""),"Utah Jazz")</f>
        <v>Utah Jazz</v>
      </c>
      <c r="D61" s="1">
        <f>IFERROR(__xludf.DUMMYFUNCTION("""COMPUTED_VALUE"""),97.0)</f>
        <v>97</v>
      </c>
      <c r="E61" s="1" t="str">
        <f>IFERROR(__xludf.DUMMYFUNCTION("""COMPUTED_VALUE"""),"San Antonio Spurs")</f>
        <v>San Antonio Spurs</v>
      </c>
      <c r="F61" s="1">
        <f>IFERROR(__xludf.DUMMYFUNCTION("""COMPUTED_VALUE"""),110.0)</f>
        <v>110</v>
      </c>
      <c r="G61" s="1" t="str">
        <f>IFERROR(__xludf.DUMMYFUNCTION("""COMPUTED_VALUE"""),"Box Score")</f>
        <v>Box Score</v>
      </c>
      <c r="H61" s="1"/>
      <c r="I61" s="3">
        <f>IFERROR(__xludf.DUMMYFUNCTION("""COMPUTED_VALUE"""),17834.0)</f>
        <v>17834</v>
      </c>
      <c r="J61" s="1"/>
    </row>
    <row r="62" ht="15.75" customHeight="1">
      <c r="A62" s="2">
        <f>IFERROR(__xludf.DUMMYFUNCTION("""COMPUTED_VALUE"""),43443.0)</f>
        <v>43443</v>
      </c>
      <c r="B62" s="1" t="str">
        <f>IFERROR(__xludf.DUMMYFUNCTION("""COMPUTED_VALUE"""),"7:30p")</f>
        <v>7:30p</v>
      </c>
      <c r="C62" s="1" t="str">
        <f>IFERROR(__xludf.DUMMYFUNCTION("""COMPUTED_VALUE"""),"Charlotte Hornets")</f>
        <v>Charlotte Hornets</v>
      </c>
      <c r="D62" s="1">
        <f>IFERROR(__xludf.DUMMYFUNCTION("""COMPUTED_VALUE"""),119.0)</f>
        <v>119</v>
      </c>
      <c r="E62" s="1" t="str">
        <f>IFERROR(__xludf.DUMMYFUNCTION("""COMPUTED_VALUE"""),"New York Knicks")</f>
        <v>New York Knicks</v>
      </c>
      <c r="F62" s="1">
        <f>IFERROR(__xludf.DUMMYFUNCTION("""COMPUTED_VALUE"""),107.0)</f>
        <v>107</v>
      </c>
      <c r="G62" s="1" t="str">
        <f>IFERROR(__xludf.DUMMYFUNCTION("""COMPUTED_VALUE"""),"Box Score")</f>
        <v>Box Score</v>
      </c>
      <c r="H62" s="1"/>
      <c r="I62" s="3">
        <f>IFERROR(__xludf.DUMMYFUNCTION("""COMPUTED_VALUE"""),18602.0)</f>
        <v>18602</v>
      </c>
      <c r="J62" s="1"/>
    </row>
    <row r="63" ht="15.75" customHeight="1">
      <c r="A63" s="2">
        <f>IFERROR(__xludf.DUMMYFUNCTION("""COMPUTED_VALUE"""),43444.0)</f>
        <v>43444</v>
      </c>
      <c r="B63" s="1" t="str">
        <f>IFERROR(__xludf.DUMMYFUNCTION("""COMPUTED_VALUE"""),"7:00p")</f>
        <v>7:00p</v>
      </c>
      <c r="C63" s="1" t="str">
        <f>IFERROR(__xludf.DUMMYFUNCTION("""COMPUTED_VALUE"""),"Washington Wizards")</f>
        <v>Washington Wizards</v>
      </c>
      <c r="D63" s="1">
        <f>IFERROR(__xludf.DUMMYFUNCTION("""COMPUTED_VALUE"""),101.0)</f>
        <v>101</v>
      </c>
      <c r="E63" s="1" t="str">
        <f>IFERROR(__xludf.DUMMYFUNCTION("""COMPUTED_VALUE"""),"Indiana Pacers")</f>
        <v>Indiana Pacers</v>
      </c>
      <c r="F63" s="1">
        <f>IFERROR(__xludf.DUMMYFUNCTION("""COMPUTED_VALUE"""),109.0)</f>
        <v>109</v>
      </c>
      <c r="G63" s="1" t="str">
        <f>IFERROR(__xludf.DUMMYFUNCTION("""COMPUTED_VALUE"""),"Box Score")</f>
        <v>Box Score</v>
      </c>
      <c r="H63" s="1"/>
      <c r="I63" s="3">
        <f>IFERROR(__xludf.DUMMYFUNCTION("""COMPUTED_VALUE"""),14645.0)</f>
        <v>14645</v>
      </c>
      <c r="J63" s="1"/>
    </row>
    <row r="64" ht="15.75" customHeight="1">
      <c r="A64" s="2">
        <f>IFERROR(__xludf.DUMMYFUNCTION("""COMPUTED_VALUE"""),43444.0)</f>
        <v>43444</v>
      </c>
      <c r="B64" s="1" t="str">
        <f>IFERROR(__xludf.DUMMYFUNCTION("""COMPUTED_VALUE"""),"7:00p")</f>
        <v>7:00p</v>
      </c>
      <c r="C64" s="1" t="str">
        <f>IFERROR(__xludf.DUMMYFUNCTION("""COMPUTED_VALUE"""),"Detroit Pistons")</f>
        <v>Detroit Pistons</v>
      </c>
      <c r="D64" s="1">
        <f>IFERROR(__xludf.DUMMYFUNCTION("""COMPUTED_VALUE"""),102.0)</f>
        <v>102</v>
      </c>
      <c r="E64" s="1" t="str">
        <f>IFERROR(__xludf.DUMMYFUNCTION("""COMPUTED_VALUE"""),"Philadelphia 76ers")</f>
        <v>Philadelphia 76ers</v>
      </c>
      <c r="F64" s="1">
        <f>IFERROR(__xludf.DUMMYFUNCTION("""COMPUTED_VALUE"""),116.0)</f>
        <v>116</v>
      </c>
      <c r="G64" s="1" t="str">
        <f>IFERROR(__xludf.DUMMYFUNCTION("""COMPUTED_VALUE"""),"Box Score")</f>
        <v>Box Score</v>
      </c>
      <c r="H64" s="1"/>
      <c r="I64" s="3">
        <f>IFERROR(__xludf.DUMMYFUNCTION("""COMPUTED_VALUE"""),20199.0)</f>
        <v>20199</v>
      </c>
      <c r="J64" s="1"/>
    </row>
    <row r="65" ht="15.75" customHeight="1">
      <c r="A65" s="2">
        <f>IFERROR(__xludf.DUMMYFUNCTION("""COMPUTED_VALUE"""),43444.0)</f>
        <v>43444</v>
      </c>
      <c r="B65" s="1" t="str">
        <f>IFERROR(__xludf.DUMMYFUNCTION("""COMPUTED_VALUE"""),"7:30p")</f>
        <v>7:30p</v>
      </c>
      <c r="C65" s="1" t="str">
        <f>IFERROR(__xludf.DUMMYFUNCTION("""COMPUTED_VALUE"""),"New Orleans Pelicans")</f>
        <v>New Orleans Pelicans</v>
      </c>
      <c r="D65" s="1">
        <f>IFERROR(__xludf.DUMMYFUNCTION("""COMPUTED_VALUE"""),100.0)</f>
        <v>100</v>
      </c>
      <c r="E65" s="1" t="str">
        <f>IFERROR(__xludf.DUMMYFUNCTION("""COMPUTED_VALUE"""),"Boston Celtics")</f>
        <v>Boston Celtics</v>
      </c>
      <c r="F65" s="1">
        <f>IFERROR(__xludf.DUMMYFUNCTION("""COMPUTED_VALUE"""),113.0)</f>
        <v>113</v>
      </c>
      <c r="G65" s="1" t="str">
        <f>IFERROR(__xludf.DUMMYFUNCTION("""COMPUTED_VALUE"""),"Box Score")</f>
        <v>Box Score</v>
      </c>
      <c r="H65" s="1"/>
      <c r="I65" s="3">
        <f>IFERROR(__xludf.DUMMYFUNCTION("""COMPUTED_VALUE"""),18624.0)</f>
        <v>18624</v>
      </c>
      <c r="J65" s="1"/>
    </row>
    <row r="66" ht="15.75" customHeight="1">
      <c r="A66" s="2">
        <f>IFERROR(__xludf.DUMMYFUNCTION("""COMPUTED_VALUE"""),43444.0)</f>
        <v>43444</v>
      </c>
      <c r="B66" s="1" t="str">
        <f>IFERROR(__xludf.DUMMYFUNCTION("""COMPUTED_VALUE"""),"8:00p")</f>
        <v>8:00p</v>
      </c>
      <c r="C66" s="1" t="str">
        <f>IFERROR(__xludf.DUMMYFUNCTION("""COMPUTED_VALUE"""),"Sacramento Kings")</f>
        <v>Sacramento Kings</v>
      </c>
      <c r="D66" s="1">
        <f>IFERROR(__xludf.DUMMYFUNCTION("""COMPUTED_VALUE"""),108.0)</f>
        <v>108</v>
      </c>
      <c r="E66" s="1" t="str">
        <f>IFERROR(__xludf.DUMMYFUNCTION("""COMPUTED_VALUE"""),"Chicago Bulls")</f>
        <v>Chicago Bulls</v>
      </c>
      <c r="F66" s="1">
        <f>IFERROR(__xludf.DUMMYFUNCTION("""COMPUTED_VALUE"""),89.0)</f>
        <v>89</v>
      </c>
      <c r="G66" s="1" t="str">
        <f>IFERROR(__xludf.DUMMYFUNCTION("""COMPUTED_VALUE"""),"Box Score")</f>
        <v>Box Score</v>
      </c>
      <c r="H66" s="1"/>
      <c r="I66" s="3">
        <f>IFERROR(__xludf.DUMMYFUNCTION("""COMPUTED_VALUE"""),18164.0)</f>
        <v>18164</v>
      </c>
      <c r="J66" s="1"/>
    </row>
    <row r="67" ht="15.75" customHeight="1">
      <c r="A67" s="2">
        <f>IFERROR(__xludf.DUMMYFUNCTION("""COMPUTED_VALUE"""),43444.0)</f>
        <v>43444</v>
      </c>
      <c r="B67" s="1" t="str">
        <f>IFERROR(__xludf.DUMMYFUNCTION("""COMPUTED_VALUE"""),"8:00p")</f>
        <v>8:00p</v>
      </c>
      <c r="C67" s="1" t="str">
        <f>IFERROR(__xludf.DUMMYFUNCTION("""COMPUTED_VALUE"""),"Cleveland Cavaliers")</f>
        <v>Cleveland Cavaliers</v>
      </c>
      <c r="D67" s="1">
        <f>IFERROR(__xludf.DUMMYFUNCTION("""COMPUTED_VALUE"""),92.0)</f>
        <v>92</v>
      </c>
      <c r="E67" s="1" t="str">
        <f>IFERROR(__xludf.DUMMYFUNCTION("""COMPUTED_VALUE"""),"Milwaukee Bucks")</f>
        <v>Milwaukee Bucks</v>
      </c>
      <c r="F67" s="1">
        <f>IFERROR(__xludf.DUMMYFUNCTION("""COMPUTED_VALUE"""),108.0)</f>
        <v>108</v>
      </c>
      <c r="G67" s="1" t="str">
        <f>IFERROR(__xludf.DUMMYFUNCTION("""COMPUTED_VALUE"""),"Box Score")</f>
        <v>Box Score</v>
      </c>
      <c r="H67" s="1"/>
      <c r="I67" s="3">
        <f>IFERROR(__xludf.DUMMYFUNCTION("""COMPUTED_VALUE"""),17155.0)</f>
        <v>17155</v>
      </c>
      <c r="J67" s="1"/>
    </row>
    <row r="68" ht="15.75" customHeight="1">
      <c r="A68" s="2">
        <f>IFERROR(__xludf.DUMMYFUNCTION("""COMPUTED_VALUE"""),43444.0)</f>
        <v>43444</v>
      </c>
      <c r="B68" s="1" t="str">
        <f>IFERROR(__xludf.DUMMYFUNCTION("""COMPUTED_VALUE"""),"8:00p")</f>
        <v>8:00p</v>
      </c>
      <c r="C68" s="1" t="str">
        <f>IFERROR(__xludf.DUMMYFUNCTION("""COMPUTED_VALUE"""),"Utah Jazz")</f>
        <v>Utah Jazz</v>
      </c>
      <c r="D68" s="1">
        <f>IFERROR(__xludf.DUMMYFUNCTION("""COMPUTED_VALUE"""),113.0)</f>
        <v>113</v>
      </c>
      <c r="E68" s="1" t="str">
        <f>IFERROR(__xludf.DUMMYFUNCTION("""COMPUTED_VALUE"""),"Oklahoma City Thunder")</f>
        <v>Oklahoma City Thunder</v>
      </c>
      <c r="F68" s="1">
        <f>IFERROR(__xludf.DUMMYFUNCTION("""COMPUTED_VALUE"""),122.0)</f>
        <v>122</v>
      </c>
      <c r="G68" s="1" t="str">
        <f>IFERROR(__xludf.DUMMYFUNCTION("""COMPUTED_VALUE"""),"Box Score")</f>
        <v>Box Score</v>
      </c>
      <c r="H68" s="1"/>
      <c r="I68" s="3">
        <f>IFERROR(__xludf.DUMMYFUNCTION("""COMPUTED_VALUE"""),18203.0)</f>
        <v>18203</v>
      </c>
      <c r="J68" s="1"/>
    </row>
    <row r="69" ht="15.75" customHeight="1">
      <c r="A69" s="2">
        <f>IFERROR(__xludf.DUMMYFUNCTION("""COMPUTED_VALUE"""),43444.0)</f>
        <v>43444</v>
      </c>
      <c r="B69" s="1" t="str">
        <f>IFERROR(__xludf.DUMMYFUNCTION("""COMPUTED_VALUE"""),"8:30p")</f>
        <v>8:30p</v>
      </c>
      <c r="C69" s="1" t="str">
        <f>IFERROR(__xludf.DUMMYFUNCTION("""COMPUTED_VALUE"""),"Orlando Magic")</f>
        <v>Orlando Magic</v>
      </c>
      <c r="D69" s="1">
        <f>IFERROR(__xludf.DUMMYFUNCTION("""COMPUTED_VALUE"""),76.0)</f>
        <v>76</v>
      </c>
      <c r="E69" s="1" t="str">
        <f>IFERROR(__xludf.DUMMYFUNCTION("""COMPUTED_VALUE"""),"Dallas Mavericks")</f>
        <v>Dallas Mavericks</v>
      </c>
      <c r="F69" s="1">
        <f>IFERROR(__xludf.DUMMYFUNCTION("""COMPUTED_VALUE"""),101.0)</f>
        <v>101</v>
      </c>
      <c r="G69" s="1" t="str">
        <f>IFERROR(__xludf.DUMMYFUNCTION("""COMPUTED_VALUE"""),"Box Score")</f>
        <v>Box Score</v>
      </c>
      <c r="H69" s="1"/>
      <c r="I69" s="3">
        <f>IFERROR(__xludf.DUMMYFUNCTION("""COMPUTED_VALUE"""),19334.0)</f>
        <v>19334</v>
      </c>
      <c r="J69" s="1"/>
    </row>
    <row r="70" ht="15.75" customHeight="1">
      <c r="A70" s="2">
        <f>IFERROR(__xludf.DUMMYFUNCTION("""COMPUTED_VALUE"""),43444.0)</f>
        <v>43444</v>
      </c>
      <c r="B70" s="1" t="str">
        <f>IFERROR(__xludf.DUMMYFUNCTION("""COMPUTED_VALUE"""),"9:00p")</f>
        <v>9:00p</v>
      </c>
      <c r="C70" s="1" t="str">
        <f>IFERROR(__xludf.DUMMYFUNCTION("""COMPUTED_VALUE"""),"Memphis Grizzlies")</f>
        <v>Memphis Grizzlies</v>
      </c>
      <c r="D70" s="1">
        <f>IFERROR(__xludf.DUMMYFUNCTION("""COMPUTED_VALUE"""),99.0)</f>
        <v>99</v>
      </c>
      <c r="E70" s="1" t="str">
        <f>IFERROR(__xludf.DUMMYFUNCTION("""COMPUTED_VALUE"""),"Denver Nuggets")</f>
        <v>Denver Nuggets</v>
      </c>
      <c r="F70" s="1">
        <f>IFERROR(__xludf.DUMMYFUNCTION("""COMPUTED_VALUE"""),105.0)</f>
        <v>105</v>
      </c>
      <c r="G70" s="1" t="str">
        <f>IFERROR(__xludf.DUMMYFUNCTION("""COMPUTED_VALUE"""),"Box Score")</f>
        <v>Box Score</v>
      </c>
      <c r="H70" s="1"/>
      <c r="I70" s="3">
        <f>IFERROR(__xludf.DUMMYFUNCTION("""COMPUTED_VALUE"""),15278.0)</f>
        <v>15278</v>
      </c>
      <c r="J70" s="1"/>
    </row>
    <row r="71" ht="15.75" customHeight="1">
      <c r="A71" s="2">
        <f>IFERROR(__xludf.DUMMYFUNCTION("""COMPUTED_VALUE"""),43444.0)</f>
        <v>43444</v>
      </c>
      <c r="B71" s="1" t="str">
        <f>IFERROR(__xludf.DUMMYFUNCTION("""COMPUTED_VALUE"""),"9:00p")</f>
        <v>9:00p</v>
      </c>
      <c r="C71" s="1" t="str">
        <f>IFERROR(__xludf.DUMMYFUNCTION("""COMPUTED_VALUE"""),"Los Angeles Clippers")</f>
        <v>Los Angeles Clippers</v>
      </c>
      <c r="D71" s="1">
        <f>IFERROR(__xludf.DUMMYFUNCTION("""COMPUTED_VALUE"""),123.0)</f>
        <v>123</v>
      </c>
      <c r="E71" s="1" t="str">
        <f>IFERROR(__xludf.DUMMYFUNCTION("""COMPUTED_VALUE"""),"Phoenix Suns")</f>
        <v>Phoenix Suns</v>
      </c>
      <c r="F71" s="1">
        <f>IFERROR(__xludf.DUMMYFUNCTION("""COMPUTED_VALUE"""),119.0)</f>
        <v>119</v>
      </c>
      <c r="G71" s="1" t="str">
        <f>IFERROR(__xludf.DUMMYFUNCTION("""COMPUTED_VALUE"""),"Box Score")</f>
        <v>Box Score</v>
      </c>
      <c r="H71" s="1" t="str">
        <f>IFERROR(__xludf.DUMMYFUNCTION("""COMPUTED_VALUE"""),"OT")</f>
        <v>OT</v>
      </c>
      <c r="I71" s="3">
        <f>IFERROR(__xludf.DUMMYFUNCTION("""COMPUTED_VALUE"""),12088.0)</f>
        <v>12088</v>
      </c>
      <c r="J71" s="1"/>
    </row>
    <row r="72" ht="15.75" customHeight="1">
      <c r="A72" s="2">
        <f>IFERROR(__xludf.DUMMYFUNCTION("""COMPUTED_VALUE"""),43444.0)</f>
        <v>43444</v>
      </c>
      <c r="B72" s="1" t="str">
        <f>IFERROR(__xludf.DUMMYFUNCTION("""COMPUTED_VALUE"""),"10:30p")</f>
        <v>10:30p</v>
      </c>
      <c r="C72" s="1" t="str">
        <f>IFERROR(__xludf.DUMMYFUNCTION("""COMPUTED_VALUE"""),"Minnesota Timberwolves")</f>
        <v>Minnesota Timberwolves</v>
      </c>
      <c r="D72" s="1">
        <f>IFERROR(__xludf.DUMMYFUNCTION("""COMPUTED_VALUE"""),108.0)</f>
        <v>108</v>
      </c>
      <c r="E72" s="1" t="str">
        <f>IFERROR(__xludf.DUMMYFUNCTION("""COMPUTED_VALUE"""),"Golden State Warriors")</f>
        <v>Golden State Warriors</v>
      </c>
      <c r="F72" s="1">
        <f>IFERROR(__xludf.DUMMYFUNCTION("""COMPUTED_VALUE"""),116.0)</f>
        <v>116</v>
      </c>
      <c r="G72" s="1" t="str">
        <f>IFERROR(__xludf.DUMMYFUNCTION("""COMPUTED_VALUE"""),"Box Score")</f>
        <v>Box Score</v>
      </c>
      <c r="H72" s="1"/>
      <c r="I72" s="3">
        <f>IFERROR(__xludf.DUMMYFUNCTION("""COMPUTED_VALUE"""),19596.0)</f>
        <v>19596</v>
      </c>
      <c r="J72" s="1"/>
    </row>
    <row r="73" ht="15.75" customHeight="1">
      <c r="A73" s="2">
        <f>IFERROR(__xludf.DUMMYFUNCTION("""COMPUTED_VALUE"""),43444.0)</f>
        <v>43444</v>
      </c>
      <c r="B73" s="1" t="str">
        <f>IFERROR(__xludf.DUMMYFUNCTION("""COMPUTED_VALUE"""),"10:30p")</f>
        <v>10:30p</v>
      </c>
      <c r="C73" s="1" t="str">
        <f>IFERROR(__xludf.DUMMYFUNCTION("""COMPUTED_VALUE"""),"Miami Heat")</f>
        <v>Miami Heat</v>
      </c>
      <c r="D73" s="1">
        <f>IFERROR(__xludf.DUMMYFUNCTION("""COMPUTED_VALUE"""),105.0)</f>
        <v>105</v>
      </c>
      <c r="E73" s="1" t="str">
        <f>IFERROR(__xludf.DUMMYFUNCTION("""COMPUTED_VALUE"""),"Los Angeles Lakers")</f>
        <v>Los Angeles Lakers</v>
      </c>
      <c r="F73" s="1">
        <f>IFERROR(__xludf.DUMMYFUNCTION("""COMPUTED_VALUE"""),108.0)</f>
        <v>108</v>
      </c>
      <c r="G73" s="1" t="str">
        <f>IFERROR(__xludf.DUMMYFUNCTION("""COMPUTED_VALUE"""),"Box Score")</f>
        <v>Box Score</v>
      </c>
      <c r="H73" s="1"/>
      <c r="I73" s="3">
        <f>IFERROR(__xludf.DUMMYFUNCTION("""COMPUTED_VALUE"""),18997.0)</f>
        <v>18997</v>
      </c>
      <c r="J73" s="1"/>
    </row>
    <row r="74" ht="15.75" customHeight="1">
      <c r="A74" s="2">
        <f>IFERROR(__xludf.DUMMYFUNCTION("""COMPUTED_VALUE"""),43445.0)</f>
        <v>43445</v>
      </c>
      <c r="B74" s="1" t="str">
        <f>IFERROR(__xludf.DUMMYFUNCTION("""COMPUTED_VALUE"""),"8:00p")</f>
        <v>8:00p</v>
      </c>
      <c r="C74" s="1" t="str">
        <f>IFERROR(__xludf.DUMMYFUNCTION("""COMPUTED_VALUE"""),"Portland Trail Blazers")</f>
        <v>Portland Trail Blazers</v>
      </c>
      <c r="D74" s="1">
        <f>IFERROR(__xludf.DUMMYFUNCTION("""COMPUTED_VALUE"""),104.0)</f>
        <v>104</v>
      </c>
      <c r="E74" s="1" t="str">
        <f>IFERROR(__xludf.DUMMYFUNCTION("""COMPUTED_VALUE"""),"Houston Rockets")</f>
        <v>Houston Rockets</v>
      </c>
      <c r="F74" s="1">
        <f>IFERROR(__xludf.DUMMYFUNCTION("""COMPUTED_VALUE"""),111.0)</f>
        <v>111</v>
      </c>
      <c r="G74" s="1" t="str">
        <f>IFERROR(__xludf.DUMMYFUNCTION("""COMPUTED_VALUE"""),"Box Score")</f>
        <v>Box Score</v>
      </c>
      <c r="H74" s="1"/>
      <c r="I74" s="3">
        <f>IFERROR(__xludf.DUMMYFUNCTION("""COMPUTED_VALUE"""),18055.0)</f>
        <v>18055</v>
      </c>
      <c r="J74" s="1"/>
    </row>
    <row r="75" ht="15.75" customHeight="1">
      <c r="A75" s="2">
        <f>IFERROR(__xludf.DUMMYFUNCTION("""COMPUTED_VALUE"""),43445.0)</f>
        <v>43445</v>
      </c>
      <c r="B75" s="1" t="str">
        <f>IFERROR(__xludf.DUMMYFUNCTION("""COMPUTED_VALUE"""),"8:30p")</f>
        <v>8:30p</v>
      </c>
      <c r="C75" s="1" t="str">
        <f>IFERROR(__xludf.DUMMYFUNCTION("""COMPUTED_VALUE"""),"Phoenix Suns")</f>
        <v>Phoenix Suns</v>
      </c>
      <c r="D75" s="1">
        <f>IFERROR(__xludf.DUMMYFUNCTION("""COMPUTED_VALUE"""),86.0)</f>
        <v>86</v>
      </c>
      <c r="E75" s="1" t="str">
        <f>IFERROR(__xludf.DUMMYFUNCTION("""COMPUTED_VALUE"""),"San Antonio Spurs")</f>
        <v>San Antonio Spurs</v>
      </c>
      <c r="F75" s="1">
        <f>IFERROR(__xludf.DUMMYFUNCTION("""COMPUTED_VALUE"""),111.0)</f>
        <v>111</v>
      </c>
      <c r="G75" s="1" t="str">
        <f>IFERROR(__xludf.DUMMYFUNCTION("""COMPUTED_VALUE"""),"Box Score")</f>
        <v>Box Score</v>
      </c>
      <c r="H75" s="1"/>
      <c r="I75" s="3">
        <f>IFERROR(__xludf.DUMMYFUNCTION("""COMPUTED_VALUE"""),17676.0)</f>
        <v>17676</v>
      </c>
      <c r="J75" s="1"/>
    </row>
    <row r="76" ht="15.75" customHeight="1">
      <c r="A76" s="2">
        <f>IFERROR(__xludf.DUMMYFUNCTION("""COMPUTED_VALUE"""),43445.0)</f>
        <v>43445</v>
      </c>
      <c r="B76" s="1" t="str">
        <f>IFERROR(__xludf.DUMMYFUNCTION("""COMPUTED_VALUE"""),"10:30p")</f>
        <v>10:30p</v>
      </c>
      <c r="C76" s="1" t="str">
        <f>IFERROR(__xludf.DUMMYFUNCTION("""COMPUTED_VALUE"""),"Toronto Raptors")</f>
        <v>Toronto Raptors</v>
      </c>
      <c r="D76" s="1">
        <f>IFERROR(__xludf.DUMMYFUNCTION("""COMPUTED_VALUE"""),123.0)</f>
        <v>123</v>
      </c>
      <c r="E76" s="1" t="str">
        <f>IFERROR(__xludf.DUMMYFUNCTION("""COMPUTED_VALUE"""),"Los Angeles Clippers")</f>
        <v>Los Angeles Clippers</v>
      </c>
      <c r="F76" s="1">
        <f>IFERROR(__xludf.DUMMYFUNCTION("""COMPUTED_VALUE"""),99.0)</f>
        <v>99</v>
      </c>
      <c r="G76" s="1" t="str">
        <f>IFERROR(__xludf.DUMMYFUNCTION("""COMPUTED_VALUE"""),"Box Score")</f>
        <v>Box Score</v>
      </c>
      <c r="H76" s="1"/>
      <c r="I76" s="3">
        <f>IFERROR(__xludf.DUMMYFUNCTION("""COMPUTED_VALUE"""),17812.0)</f>
        <v>17812</v>
      </c>
      <c r="J76" s="1"/>
    </row>
    <row r="77" ht="15.75" customHeight="1">
      <c r="A77" s="2">
        <f>IFERROR(__xludf.DUMMYFUNCTION("""COMPUTED_VALUE"""),43446.0)</f>
        <v>43446</v>
      </c>
      <c r="B77" s="1" t="str">
        <f>IFERROR(__xludf.DUMMYFUNCTION("""COMPUTED_VALUE"""),"7:00p")</f>
        <v>7:00p</v>
      </c>
      <c r="C77" s="1" t="str">
        <f>IFERROR(__xludf.DUMMYFUNCTION("""COMPUTED_VALUE"""),"Detroit Pistons")</f>
        <v>Detroit Pistons</v>
      </c>
      <c r="D77" s="1">
        <f>IFERROR(__xludf.DUMMYFUNCTION("""COMPUTED_VALUE"""),107.0)</f>
        <v>107</v>
      </c>
      <c r="E77" s="1" t="str">
        <f>IFERROR(__xludf.DUMMYFUNCTION("""COMPUTED_VALUE"""),"Charlotte Hornets")</f>
        <v>Charlotte Hornets</v>
      </c>
      <c r="F77" s="1">
        <f>IFERROR(__xludf.DUMMYFUNCTION("""COMPUTED_VALUE"""),108.0)</f>
        <v>108</v>
      </c>
      <c r="G77" s="1" t="str">
        <f>IFERROR(__xludf.DUMMYFUNCTION("""COMPUTED_VALUE"""),"Box Score")</f>
        <v>Box Score</v>
      </c>
      <c r="H77" s="1"/>
      <c r="I77" s="3">
        <f>IFERROR(__xludf.DUMMYFUNCTION("""COMPUTED_VALUE"""),13997.0)</f>
        <v>13997</v>
      </c>
      <c r="J77" s="1"/>
    </row>
    <row r="78" ht="15.75" customHeight="1">
      <c r="A78" s="2">
        <f>IFERROR(__xludf.DUMMYFUNCTION("""COMPUTED_VALUE"""),43446.0)</f>
        <v>43446</v>
      </c>
      <c r="B78" s="1" t="str">
        <f>IFERROR(__xludf.DUMMYFUNCTION("""COMPUTED_VALUE"""),"7:00p")</f>
        <v>7:00p</v>
      </c>
      <c r="C78" s="1" t="str">
        <f>IFERROR(__xludf.DUMMYFUNCTION("""COMPUTED_VALUE"""),"New York Knicks")</f>
        <v>New York Knicks</v>
      </c>
      <c r="D78" s="1">
        <f>IFERROR(__xludf.DUMMYFUNCTION("""COMPUTED_VALUE"""),106.0)</f>
        <v>106</v>
      </c>
      <c r="E78" s="1" t="str">
        <f>IFERROR(__xludf.DUMMYFUNCTION("""COMPUTED_VALUE"""),"Cleveland Cavaliers")</f>
        <v>Cleveland Cavaliers</v>
      </c>
      <c r="F78" s="1">
        <f>IFERROR(__xludf.DUMMYFUNCTION("""COMPUTED_VALUE"""),113.0)</f>
        <v>113</v>
      </c>
      <c r="G78" s="1" t="str">
        <f>IFERROR(__xludf.DUMMYFUNCTION("""COMPUTED_VALUE"""),"Box Score")</f>
        <v>Box Score</v>
      </c>
      <c r="H78" s="1"/>
      <c r="I78" s="3">
        <f>IFERROR(__xludf.DUMMYFUNCTION("""COMPUTED_VALUE"""),19432.0)</f>
        <v>19432</v>
      </c>
      <c r="J78" s="1"/>
    </row>
    <row r="79" ht="15.75" customHeight="1">
      <c r="A79" s="2">
        <f>IFERROR(__xludf.DUMMYFUNCTION("""COMPUTED_VALUE"""),43446.0)</f>
        <v>43446</v>
      </c>
      <c r="B79" s="1" t="str">
        <f>IFERROR(__xludf.DUMMYFUNCTION("""COMPUTED_VALUE"""),"7:00p")</f>
        <v>7:00p</v>
      </c>
      <c r="C79" s="1" t="str">
        <f>IFERROR(__xludf.DUMMYFUNCTION("""COMPUTED_VALUE"""),"Milwaukee Bucks")</f>
        <v>Milwaukee Bucks</v>
      </c>
      <c r="D79" s="1">
        <f>IFERROR(__xludf.DUMMYFUNCTION("""COMPUTED_VALUE"""),97.0)</f>
        <v>97</v>
      </c>
      <c r="E79" s="1" t="str">
        <f>IFERROR(__xludf.DUMMYFUNCTION("""COMPUTED_VALUE"""),"Indiana Pacers")</f>
        <v>Indiana Pacers</v>
      </c>
      <c r="F79" s="1">
        <f>IFERROR(__xludf.DUMMYFUNCTION("""COMPUTED_VALUE"""),113.0)</f>
        <v>113</v>
      </c>
      <c r="G79" s="1" t="str">
        <f>IFERROR(__xludf.DUMMYFUNCTION("""COMPUTED_VALUE"""),"Box Score")</f>
        <v>Box Score</v>
      </c>
      <c r="H79" s="1"/>
      <c r="I79" s="3">
        <f>IFERROR(__xludf.DUMMYFUNCTION("""COMPUTED_VALUE"""),17070.0)</f>
        <v>17070</v>
      </c>
      <c r="J79" s="1"/>
    </row>
    <row r="80" ht="15.75" customHeight="1">
      <c r="A80" s="2">
        <f>IFERROR(__xludf.DUMMYFUNCTION("""COMPUTED_VALUE"""),43446.0)</f>
        <v>43446</v>
      </c>
      <c r="B80" s="1" t="str">
        <f>IFERROR(__xludf.DUMMYFUNCTION("""COMPUTED_VALUE"""),"7:00p")</f>
        <v>7:00p</v>
      </c>
      <c r="C80" s="1" t="str">
        <f>IFERROR(__xludf.DUMMYFUNCTION("""COMPUTED_VALUE"""),"Brooklyn Nets")</f>
        <v>Brooklyn Nets</v>
      </c>
      <c r="D80" s="1">
        <f>IFERROR(__xludf.DUMMYFUNCTION("""COMPUTED_VALUE"""),127.0)</f>
        <v>127</v>
      </c>
      <c r="E80" s="1" t="str">
        <f>IFERROR(__xludf.DUMMYFUNCTION("""COMPUTED_VALUE"""),"Philadelphia 76ers")</f>
        <v>Philadelphia 76ers</v>
      </c>
      <c r="F80" s="1">
        <f>IFERROR(__xludf.DUMMYFUNCTION("""COMPUTED_VALUE"""),124.0)</f>
        <v>124</v>
      </c>
      <c r="G80" s="1" t="str">
        <f>IFERROR(__xludf.DUMMYFUNCTION("""COMPUTED_VALUE"""),"Box Score")</f>
        <v>Box Score</v>
      </c>
      <c r="H80" s="1"/>
      <c r="I80" s="3">
        <f>IFERROR(__xludf.DUMMYFUNCTION("""COMPUTED_VALUE"""),20376.0)</f>
        <v>20376</v>
      </c>
      <c r="J80" s="1"/>
    </row>
    <row r="81" ht="15.75" customHeight="1">
      <c r="A81" s="2">
        <f>IFERROR(__xludf.DUMMYFUNCTION("""COMPUTED_VALUE"""),43446.0)</f>
        <v>43446</v>
      </c>
      <c r="B81" s="1" t="str">
        <f>IFERROR(__xludf.DUMMYFUNCTION("""COMPUTED_VALUE"""),"7:00p")</f>
        <v>7:00p</v>
      </c>
      <c r="C81" s="1" t="str">
        <f>IFERROR(__xludf.DUMMYFUNCTION("""COMPUTED_VALUE"""),"Boston Celtics")</f>
        <v>Boston Celtics</v>
      </c>
      <c r="D81" s="1">
        <f>IFERROR(__xludf.DUMMYFUNCTION("""COMPUTED_VALUE"""),130.0)</f>
        <v>130</v>
      </c>
      <c r="E81" s="1" t="str">
        <f>IFERROR(__xludf.DUMMYFUNCTION("""COMPUTED_VALUE"""),"Washington Wizards")</f>
        <v>Washington Wizards</v>
      </c>
      <c r="F81" s="1">
        <f>IFERROR(__xludf.DUMMYFUNCTION("""COMPUTED_VALUE"""),125.0)</f>
        <v>125</v>
      </c>
      <c r="G81" s="1" t="str">
        <f>IFERROR(__xludf.DUMMYFUNCTION("""COMPUTED_VALUE"""),"Box Score")</f>
        <v>Box Score</v>
      </c>
      <c r="H81" s="1" t="str">
        <f>IFERROR(__xludf.DUMMYFUNCTION("""COMPUTED_VALUE"""),"OT")</f>
        <v>OT</v>
      </c>
      <c r="I81" s="3">
        <f>IFERROR(__xludf.DUMMYFUNCTION("""COMPUTED_VALUE"""),20409.0)</f>
        <v>20409</v>
      </c>
      <c r="J81" s="1"/>
    </row>
    <row r="82" ht="15.75" customHeight="1">
      <c r="A82" s="2">
        <f>IFERROR(__xludf.DUMMYFUNCTION("""COMPUTED_VALUE"""),43446.0)</f>
        <v>43446</v>
      </c>
      <c r="B82" s="1" t="str">
        <f>IFERROR(__xludf.DUMMYFUNCTION("""COMPUTED_VALUE"""),"8:00p")</f>
        <v>8:00p</v>
      </c>
      <c r="C82" s="1" t="str">
        <f>IFERROR(__xludf.DUMMYFUNCTION("""COMPUTED_VALUE"""),"Portland Trail Blazers")</f>
        <v>Portland Trail Blazers</v>
      </c>
      <c r="D82" s="1">
        <f>IFERROR(__xludf.DUMMYFUNCTION("""COMPUTED_VALUE"""),83.0)</f>
        <v>83</v>
      </c>
      <c r="E82" s="1" t="str">
        <f>IFERROR(__xludf.DUMMYFUNCTION("""COMPUTED_VALUE"""),"Memphis Grizzlies")</f>
        <v>Memphis Grizzlies</v>
      </c>
      <c r="F82" s="1">
        <f>IFERROR(__xludf.DUMMYFUNCTION("""COMPUTED_VALUE"""),92.0)</f>
        <v>92</v>
      </c>
      <c r="G82" s="1" t="str">
        <f>IFERROR(__xludf.DUMMYFUNCTION("""COMPUTED_VALUE"""),"Box Score")</f>
        <v>Box Score</v>
      </c>
      <c r="H82" s="1"/>
      <c r="I82" s="3">
        <f>IFERROR(__xludf.DUMMYFUNCTION("""COMPUTED_VALUE"""),16282.0)</f>
        <v>16282</v>
      </c>
      <c r="J82" s="1"/>
    </row>
    <row r="83" ht="15.75" customHeight="1">
      <c r="A83" s="2">
        <f>IFERROR(__xludf.DUMMYFUNCTION("""COMPUTED_VALUE"""),43446.0)</f>
        <v>43446</v>
      </c>
      <c r="B83" s="1" t="str">
        <f>IFERROR(__xludf.DUMMYFUNCTION("""COMPUTED_VALUE"""),"8:00p")</f>
        <v>8:00p</v>
      </c>
      <c r="C83" s="1" t="str">
        <f>IFERROR(__xludf.DUMMYFUNCTION("""COMPUTED_VALUE"""),"Oklahoma City Thunder")</f>
        <v>Oklahoma City Thunder</v>
      </c>
      <c r="D83" s="1">
        <f>IFERROR(__xludf.DUMMYFUNCTION("""COMPUTED_VALUE"""),114.0)</f>
        <v>114</v>
      </c>
      <c r="E83" s="1" t="str">
        <f>IFERROR(__xludf.DUMMYFUNCTION("""COMPUTED_VALUE"""),"New Orleans Pelicans")</f>
        <v>New Orleans Pelicans</v>
      </c>
      <c r="F83" s="1">
        <f>IFERROR(__xludf.DUMMYFUNCTION("""COMPUTED_VALUE"""),118.0)</f>
        <v>118</v>
      </c>
      <c r="G83" s="1" t="str">
        <f>IFERROR(__xludf.DUMMYFUNCTION("""COMPUTED_VALUE"""),"Box Score")</f>
        <v>Box Score</v>
      </c>
      <c r="H83" s="1"/>
      <c r="I83" s="3">
        <f>IFERROR(__xludf.DUMMYFUNCTION("""COMPUTED_VALUE"""),14450.0)</f>
        <v>14450</v>
      </c>
      <c r="J83" s="1"/>
    </row>
    <row r="84" ht="15.75" customHeight="1">
      <c r="A84" s="2">
        <f>IFERROR(__xludf.DUMMYFUNCTION("""COMPUTED_VALUE"""),43446.0)</f>
        <v>43446</v>
      </c>
      <c r="B84" s="1" t="str">
        <f>IFERROR(__xludf.DUMMYFUNCTION("""COMPUTED_VALUE"""),"8:30p")</f>
        <v>8:30p</v>
      </c>
      <c r="C84" s="1" t="str">
        <f>IFERROR(__xludf.DUMMYFUNCTION("""COMPUTED_VALUE"""),"Atlanta Hawks")</f>
        <v>Atlanta Hawks</v>
      </c>
      <c r="D84" s="1">
        <f>IFERROR(__xludf.DUMMYFUNCTION("""COMPUTED_VALUE"""),107.0)</f>
        <v>107</v>
      </c>
      <c r="E84" s="1" t="str">
        <f>IFERROR(__xludf.DUMMYFUNCTION("""COMPUTED_VALUE"""),"Dallas Mavericks")</f>
        <v>Dallas Mavericks</v>
      </c>
      <c r="F84" s="1">
        <f>IFERROR(__xludf.DUMMYFUNCTION("""COMPUTED_VALUE"""),114.0)</f>
        <v>114</v>
      </c>
      <c r="G84" s="1" t="str">
        <f>IFERROR(__xludf.DUMMYFUNCTION("""COMPUTED_VALUE"""),"Box Score")</f>
        <v>Box Score</v>
      </c>
      <c r="H84" s="1"/>
      <c r="I84" s="3">
        <f>IFERROR(__xludf.DUMMYFUNCTION("""COMPUTED_VALUE"""),19643.0)</f>
        <v>19643</v>
      </c>
      <c r="J84" s="1"/>
    </row>
    <row r="85" ht="15.75" customHeight="1">
      <c r="A85" s="2">
        <f>IFERROR(__xludf.DUMMYFUNCTION("""COMPUTED_VALUE"""),43446.0)</f>
        <v>43446</v>
      </c>
      <c r="B85" s="1" t="str">
        <f>IFERROR(__xludf.DUMMYFUNCTION("""COMPUTED_VALUE"""),"9:00p")</f>
        <v>9:00p</v>
      </c>
      <c r="C85" s="1" t="str">
        <f>IFERROR(__xludf.DUMMYFUNCTION("""COMPUTED_VALUE"""),"Miami Heat")</f>
        <v>Miami Heat</v>
      </c>
      <c r="D85" s="1">
        <f>IFERROR(__xludf.DUMMYFUNCTION("""COMPUTED_VALUE"""),84.0)</f>
        <v>84</v>
      </c>
      <c r="E85" s="1" t="str">
        <f>IFERROR(__xludf.DUMMYFUNCTION("""COMPUTED_VALUE"""),"Utah Jazz")</f>
        <v>Utah Jazz</v>
      </c>
      <c r="F85" s="1">
        <f>IFERROR(__xludf.DUMMYFUNCTION("""COMPUTED_VALUE"""),111.0)</f>
        <v>111</v>
      </c>
      <c r="G85" s="1" t="str">
        <f>IFERROR(__xludf.DUMMYFUNCTION("""COMPUTED_VALUE"""),"Box Score")</f>
        <v>Box Score</v>
      </c>
      <c r="H85" s="1"/>
      <c r="I85" s="3">
        <f>IFERROR(__xludf.DUMMYFUNCTION("""COMPUTED_VALUE"""),18306.0)</f>
        <v>18306</v>
      </c>
      <c r="J85" s="1"/>
    </row>
    <row r="86" ht="15.75" customHeight="1">
      <c r="A86" s="2">
        <f>IFERROR(__xludf.DUMMYFUNCTION("""COMPUTED_VALUE"""),43446.0)</f>
        <v>43446</v>
      </c>
      <c r="B86" s="1" t="str">
        <f>IFERROR(__xludf.DUMMYFUNCTION("""COMPUTED_VALUE"""),"10:00p")</f>
        <v>10:00p</v>
      </c>
      <c r="C86" s="1" t="str">
        <f>IFERROR(__xludf.DUMMYFUNCTION("""COMPUTED_VALUE"""),"Minnesota Timberwolves")</f>
        <v>Minnesota Timberwolves</v>
      </c>
      <c r="D86" s="1">
        <f>IFERROR(__xludf.DUMMYFUNCTION("""COMPUTED_VALUE"""),130.0)</f>
        <v>130</v>
      </c>
      <c r="E86" s="1" t="str">
        <f>IFERROR(__xludf.DUMMYFUNCTION("""COMPUTED_VALUE"""),"Sacramento Kings")</f>
        <v>Sacramento Kings</v>
      </c>
      <c r="F86" s="1">
        <f>IFERROR(__xludf.DUMMYFUNCTION("""COMPUTED_VALUE"""),141.0)</f>
        <v>141</v>
      </c>
      <c r="G86" s="1" t="str">
        <f>IFERROR(__xludf.DUMMYFUNCTION("""COMPUTED_VALUE"""),"Box Score")</f>
        <v>Box Score</v>
      </c>
      <c r="H86" s="1"/>
      <c r="I86" s="3">
        <f>IFERROR(__xludf.DUMMYFUNCTION("""COMPUTED_VALUE"""),15770.0)</f>
        <v>15770</v>
      </c>
      <c r="J86" s="1"/>
    </row>
    <row r="87" ht="15.75" customHeight="1">
      <c r="A87" s="2">
        <f>IFERROR(__xludf.DUMMYFUNCTION("""COMPUTED_VALUE"""),43446.0)</f>
        <v>43446</v>
      </c>
      <c r="B87" s="1" t="str">
        <f>IFERROR(__xludf.DUMMYFUNCTION("""COMPUTED_VALUE"""),"10:30p")</f>
        <v>10:30p</v>
      </c>
      <c r="C87" s="1" t="str">
        <f>IFERROR(__xludf.DUMMYFUNCTION("""COMPUTED_VALUE"""),"Toronto Raptors")</f>
        <v>Toronto Raptors</v>
      </c>
      <c r="D87" s="1">
        <f>IFERROR(__xludf.DUMMYFUNCTION("""COMPUTED_VALUE"""),113.0)</f>
        <v>113</v>
      </c>
      <c r="E87" s="1" t="str">
        <f>IFERROR(__xludf.DUMMYFUNCTION("""COMPUTED_VALUE"""),"Golden State Warriors")</f>
        <v>Golden State Warriors</v>
      </c>
      <c r="F87" s="1">
        <f>IFERROR(__xludf.DUMMYFUNCTION("""COMPUTED_VALUE"""),93.0)</f>
        <v>93</v>
      </c>
      <c r="G87" s="1" t="str">
        <f>IFERROR(__xludf.DUMMYFUNCTION("""COMPUTED_VALUE"""),"Box Score")</f>
        <v>Box Score</v>
      </c>
      <c r="H87" s="1"/>
      <c r="I87" s="3">
        <f>IFERROR(__xludf.DUMMYFUNCTION("""COMPUTED_VALUE"""),19596.0)</f>
        <v>19596</v>
      </c>
      <c r="J87" s="1"/>
    </row>
    <row r="88" ht="15.75" customHeight="1">
      <c r="A88" s="2">
        <f>IFERROR(__xludf.DUMMYFUNCTION("""COMPUTED_VALUE"""),43447.0)</f>
        <v>43447</v>
      </c>
      <c r="B88" s="1" t="str">
        <f>IFERROR(__xludf.DUMMYFUNCTION("""COMPUTED_VALUE"""),"8:00p")</f>
        <v>8:00p</v>
      </c>
      <c r="C88" s="1" t="str">
        <f>IFERROR(__xludf.DUMMYFUNCTION("""COMPUTED_VALUE"""),"Los Angeles Lakers")</f>
        <v>Los Angeles Lakers</v>
      </c>
      <c r="D88" s="1">
        <f>IFERROR(__xludf.DUMMYFUNCTION("""COMPUTED_VALUE"""),111.0)</f>
        <v>111</v>
      </c>
      <c r="E88" s="1" t="str">
        <f>IFERROR(__xludf.DUMMYFUNCTION("""COMPUTED_VALUE"""),"Houston Rockets")</f>
        <v>Houston Rockets</v>
      </c>
      <c r="F88" s="1">
        <f>IFERROR(__xludf.DUMMYFUNCTION("""COMPUTED_VALUE"""),126.0)</f>
        <v>126</v>
      </c>
      <c r="G88" s="1" t="str">
        <f>IFERROR(__xludf.DUMMYFUNCTION("""COMPUTED_VALUE"""),"Box Score")</f>
        <v>Box Score</v>
      </c>
      <c r="H88" s="1"/>
      <c r="I88" s="3">
        <f>IFERROR(__xludf.DUMMYFUNCTION("""COMPUTED_VALUE"""),18055.0)</f>
        <v>18055</v>
      </c>
      <c r="J88" s="1"/>
    </row>
    <row r="89" ht="15.75" customHeight="1">
      <c r="A89" s="2">
        <f>IFERROR(__xludf.DUMMYFUNCTION("""COMPUTED_VALUE"""),43447.0)</f>
        <v>43447</v>
      </c>
      <c r="B89" s="1" t="str">
        <f>IFERROR(__xludf.DUMMYFUNCTION("""COMPUTED_VALUE"""),"8:30p")</f>
        <v>8:30p</v>
      </c>
      <c r="C89" s="1" t="str">
        <f>IFERROR(__xludf.DUMMYFUNCTION("""COMPUTED_VALUE"""),"Los Angeles Clippers")</f>
        <v>Los Angeles Clippers</v>
      </c>
      <c r="D89" s="1">
        <f>IFERROR(__xludf.DUMMYFUNCTION("""COMPUTED_VALUE"""),87.0)</f>
        <v>87</v>
      </c>
      <c r="E89" s="1" t="str">
        <f>IFERROR(__xludf.DUMMYFUNCTION("""COMPUTED_VALUE"""),"San Antonio Spurs")</f>
        <v>San Antonio Spurs</v>
      </c>
      <c r="F89" s="1">
        <f>IFERROR(__xludf.DUMMYFUNCTION("""COMPUTED_VALUE"""),125.0)</f>
        <v>125</v>
      </c>
      <c r="G89" s="1" t="str">
        <f>IFERROR(__xludf.DUMMYFUNCTION("""COMPUTED_VALUE"""),"Box Score")</f>
        <v>Box Score</v>
      </c>
      <c r="H89" s="1"/>
      <c r="I89" s="3">
        <f>IFERROR(__xludf.DUMMYFUNCTION("""COMPUTED_VALUE"""),18354.0)</f>
        <v>18354</v>
      </c>
      <c r="J89" s="1"/>
    </row>
    <row r="90" ht="15.75" customHeight="1">
      <c r="A90" s="2">
        <f>IFERROR(__xludf.DUMMYFUNCTION("""COMPUTED_VALUE"""),43447.0)</f>
        <v>43447</v>
      </c>
      <c r="B90" s="1" t="str">
        <f>IFERROR(__xludf.DUMMYFUNCTION("""COMPUTED_VALUE"""),"9:30p")</f>
        <v>9:30p</v>
      </c>
      <c r="C90" s="1" t="str">
        <f>IFERROR(__xludf.DUMMYFUNCTION("""COMPUTED_VALUE"""),"Chicago Bulls")</f>
        <v>Chicago Bulls</v>
      </c>
      <c r="D90" s="1">
        <f>IFERROR(__xludf.DUMMYFUNCTION("""COMPUTED_VALUE"""),91.0)</f>
        <v>91</v>
      </c>
      <c r="E90" s="1" t="str">
        <f>IFERROR(__xludf.DUMMYFUNCTION("""COMPUTED_VALUE"""),"Orlando Magic")</f>
        <v>Orlando Magic</v>
      </c>
      <c r="F90" s="1">
        <f>IFERROR(__xludf.DUMMYFUNCTION("""COMPUTED_VALUE"""),97.0)</f>
        <v>97</v>
      </c>
      <c r="G90" s="1" t="str">
        <f>IFERROR(__xludf.DUMMYFUNCTION("""COMPUTED_VALUE"""),"Box Score")</f>
        <v>Box Score</v>
      </c>
      <c r="H90" s="1"/>
      <c r="I90" s="3">
        <f>IFERROR(__xludf.DUMMYFUNCTION("""COMPUTED_VALUE"""),20201.0)</f>
        <v>20201</v>
      </c>
      <c r="J90" s="1" t="str">
        <f>IFERROR(__xludf.DUMMYFUNCTION("""COMPUTED_VALUE"""),"at Mexico City, Mexico")</f>
        <v>at Mexico City, Mexico</v>
      </c>
    </row>
    <row r="91" ht="15.75" customHeight="1">
      <c r="A91" s="2">
        <f>IFERROR(__xludf.DUMMYFUNCTION("""COMPUTED_VALUE"""),43447.0)</f>
        <v>43447</v>
      </c>
      <c r="B91" s="1" t="str">
        <f>IFERROR(__xludf.DUMMYFUNCTION("""COMPUTED_VALUE"""),"10:30p")</f>
        <v>10:30p</v>
      </c>
      <c r="C91" s="1" t="str">
        <f>IFERROR(__xludf.DUMMYFUNCTION("""COMPUTED_VALUE"""),"Dallas Mavericks")</f>
        <v>Dallas Mavericks</v>
      </c>
      <c r="D91" s="1">
        <f>IFERROR(__xludf.DUMMYFUNCTION("""COMPUTED_VALUE"""),89.0)</f>
        <v>89</v>
      </c>
      <c r="E91" s="1" t="str">
        <f>IFERROR(__xludf.DUMMYFUNCTION("""COMPUTED_VALUE"""),"Phoenix Suns")</f>
        <v>Phoenix Suns</v>
      </c>
      <c r="F91" s="1">
        <f>IFERROR(__xludf.DUMMYFUNCTION("""COMPUTED_VALUE"""),99.0)</f>
        <v>99</v>
      </c>
      <c r="G91" s="1" t="str">
        <f>IFERROR(__xludf.DUMMYFUNCTION("""COMPUTED_VALUE"""),"Box Score")</f>
        <v>Box Score</v>
      </c>
      <c r="H91" s="1"/>
      <c r="I91" s="3">
        <f>IFERROR(__xludf.DUMMYFUNCTION("""COMPUTED_VALUE"""),13265.0)</f>
        <v>13265</v>
      </c>
      <c r="J91" s="1"/>
    </row>
    <row r="92" ht="15.75" customHeight="1">
      <c r="A92" s="2">
        <f>IFERROR(__xludf.DUMMYFUNCTION("""COMPUTED_VALUE"""),43448.0)</f>
        <v>43448</v>
      </c>
      <c r="B92" s="1" t="str">
        <f>IFERROR(__xludf.DUMMYFUNCTION("""COMPUTED_VALUE"""),"7:00p")</f>
        <v>7:00p</v>
      </c>
      <c r="C92" s="1" t="str">
        <f>IFERROR(__xludf.DUMMYFUNCTION("""COMPUTED_VALUE"""),"Atlanta Hawks")</f>
        <v>Atlanta Hawks</v>
      </c>
      <c r="D92" s="1">
        <f>IFERROR(__xludf.DUMMYFUNCTION("""COMPUTED_VALUE"""),108.0)</f>
        <v>108</v>
      </c>
      <c r="E92" s="1" t="str">
        <f>IFERROR(__xludf.DUMMYFUNCTION("""COMPUTED_VALUE"""),"Boston Celtics")</f>
        <v>Boston Celtics</v>
      </c>
      <c r="F92" s="1">
        <f>IFERROR(__xludf.DUMMYFUNCTION("""COMPUTED_VALUE"""),129.0)</f>
        <v>129</v>
      </c>
      <c r="G92" s="1" t="str">
        <f>IFERROR(__xludf.DUMMYFUNCTION("""COMPUTED_VALUE"""),"Box Score")</f>
        <v>Box Score</v>
      </c>
      <c r="H92" s="1"/>
      <c r="I92" s="3">
        <f>IFERROR(__xludf.DUMMYFUNCTION("""COMPUTED_VALUE"""),18624.0)</f>
        <v>18624</v>
      </c>
      <c r="J92" s="1"/>
    </row>
    <row r="93" ht="15.75" customHeight="1">
      <c r="A93" s="2">
        <f>IFERROR(__xludf.DUMMYFUNCTION("""COMPUTED_VALUE"""),43448.0)</f>
        <v>43448</v>
      </c>
      <c r="B93" s="1" t="str">
        <f>IFERROR(__xludf.DUMMYFUNCTION("""COMPUTED_VALUE"""),"7:00p")</f>
        <v>7:00p</v>
      </c>
      <c r="C93" s="1" t="str">
        <f>IFERROR(__xludf.DUMMYFUNCTION("""COMPUTED_VALUE"""),"New York Knicks")</f>
        <v>New York Knicks</v>
      </c>
      <c r="D93" s="1">
        <f>IFERROR(__xludf.DUMMYFUNCTION("""COMPUTED_VALUE"""),126.0)</f>
        <v>126</v>
      </c>
      <c r="E93" s="1" t="str">
        <f>IFERROR(__xludf.DUMMYFUNCTION("""COMPUTED_VALUE"""),"Charlotte Hornets")</f>
        <v>Charlotte Hornets</v>
      </c>
      <c r="F93" s="1">
        <f>IFERROR(__xludf.DUMMYFUNCTION("""COMPUTED_VALUE"""),124.0)</f>
        <v>124</v>
      </c>
      <c r="G93" s="1" t="str">
        <f>IFERROR(__xludf.DUMMYFUNCTION("""COMPUTED_VALUE"""),"Box Score")</f>
        <v>Box Score</v>
      </c>
      <c r="H93" s="1" t="str">
        <f>IFERROR(__xludf.DUMMYFUNCTION("""COMPUTED_VALUE"""),"OT")</f>
        <v>OT</v>
      </c>
      <c r="I93" s="3">
        <f>IFERROR(__xludf.DUMMYFUNCTION("""COMPUTED_VALUE"""),17622.0)</f>
        <v>17622</v>
      </c>
      <c r="J93" s="1"/>
    </row>
    <row r="94" ht="15.75" customHeight="1">
      <c r="A94" s="2">
        <f>IFERROR(__xludf.DUMMYFUNCTION("""COMPUTED_VALUE"""),43448.0)</f>
        <v>43448</v>
      </c>
      <c r="B94" s="1" t="str">
        <f>IFERROR(__xludf.DUMMYFUNCTION("""COMPUTED_VALUE"""),"7:30p")</f>
        <v>7:30p</v>
      </c>
      <c r="C94" s="1" t="str">
        <f>IFERROR(__xludf.DUMMYFUNCTION("""COMPUTED_VALUE"""),"Washington Wizards")</f>
        <v>Washington Wizards</v>
      </c>
      <c r="D94" s="1">
        <f>IFERROR(__xludf.DUMMYFUNCTION("""COMPUTED_VALUE"""),118.0)</f>
        <v>118</v>
      </c>
      <c r="E94" s="1" t="str">
        <f>IFERROR(__xludf.DUMMYFUNCTION("""COMPUTED_VALUE"""),"Brooklyn Nets")</f>
        <v>Brooklyn Nets</v>
      </c>
      <c r="F94" s="1">
        <f>IFERROR(__xludf.DUMMYFUNCTION("""COMPUTED_VALUE"""),125.0)</f>
        <v>125</v>
      </c>
      <c r="G94" s="1" t="str">
        <f>IFERROR(__xludf.DUMMYFUNCTION("""COMPUTED_VALUE"""),"Box Score")</f>
        <v>Box Score</v>
      </c>
      <c r="H94" s="1"/>
      <c r="I94" s="3">
        <f>IFERROR(__xludf.DUMMYFUNCTION("""COMPUTED_VALUE"""),13232.0)</f>
        <v>13232</v>
      </c>
      <c r="J94" s="1"/>
    </row>
    <row r="95" ht="15.75" customHeight="1">
      <c r="A95" s="2">
        <f>IFERROR(__xludf.DUMMYFUNCTION("""COMPUTED_VALUE"""),43448.0)</f>
        <v>43448</v>
      </c>
      <c r="B95" s="1" t="str">
        <f>IFERROR(__xludf.DUMMYFUNCTION("""COMPUTED_VALUE"""),"7:30p")</f>
        <v>7:30p</v>
      </c>
      <c r="C95" s="1" t="str">
        <f>IFERROR(__xludf.DUMMYFUNCTION("""COMPUTED_VALUE"""),"Milwaukee Bucks")</f>
        <v>Milwaukee Bucks</v>
      </c>
      <c r="D95" s="1">
        <f>IFERROR(__xludf.DUMMYFUNCTION("""COMPUTED_VALUE"""),114.0)</f>
        <v>114</v>
      </c>
      <c r="E95" s="1" t="str">
        <f>IFERROR(__xludf.DUMMYFUNCTION("""COMPUTED_VALUE"""),"Cleveland Cavaliers")</f>
        <v>Cleveland Cavaliers</v>
      </c>
      <c r="F95" s="1">
        <f>IFERROR(__xludf.DUMMYFUNCTION("""COMPUTED_VALUE"""),102.0)</f>
        <v>102</v>
      </c>
      <c r="G95" s="1" t="str">
        <f>IFERROR(__xludf.DUMMYFUNCTION("""COMPUTED_VALUE"""),"Box Score")</f>
        <v>Box Score</v>
      </c>
      <c r="H95" s="1"/>
      <c r="I95" s="3">
        <f>IFERROR(__xludf.DUMMYFUNCTION("""COMPUTED_VALUE"""),19432.0)</f>
        <v>19432</v>
      </c>
      <c r="J95" s="1"/>
    </row>
    <row r="96" ht="15.75" customHeight="1">
      <c r="A96" s="2">
        <f>IFERROR(__xludf.DUMMYFUNCTION("""COMPUTED_VALUE"""),43448.0)</f>
        <v>43448</v>
      </c>
      <c r="B96" s="1" t="str">
        <f>IFERROR(__xludf.DUMMYFUNCTION("""COMPUTED_VALUE"""),"7:30p")</f>
        <v>7:30p</v>
      </c>
      <c r="C96" s="1" t="str">
        <f>IFERROR(__xludf.DUMMYFUNCTION("""COMPUTED_VALUE"""),"Indiana Pacers")</f>
        <v>Indiana Pacers</v>
      </c>
      <c r="D96" s="1">
        <f>IFERROR(__xludf.DUMMYFUNCTION("""COMPUTED_VALUE"""),113.0)</f>
        <v>113</v>
      </c>
      <c r="E96" s="1" t="str">
        <f>IFERROR(__xludf.DUMMYFUNCTION("""COMPUTED_VALUE"""),"Philadelphia 76ers")</f>
        <v>Philadelphia 76ers</v>
      </c>
      <c r="F96" s="1">
        <f>IFERROR(__xludf.DUMMYFUNCTION("""COMPUTED_VALUE"""),101.0)</f>
        <v>101</v>
      </c>
      <c r="G96" s="1" t="str">
        <f>IFERROR(__xludf.DUMMYFUNCTION("""COMPUTED_VALUE"""),"Box Score")</f>
        <v>Box Score</v>
      </c>
      <c r="H96" s="1"/>
      <c r="I96" s="3">
        <f>IFERROR(__xludf.DUMMYFUNCTION("""COMPUTED_VALUE"""),20337.0)</f>
        <v>20337</v>
      </c>
      <c r="J96" s="1"/>
    </row>
    <row r="97" ht="15.75" customHeight="1">
      <c r="A97" s="2">
        <f>IFERROR(__xludf.DUMMYFUNCTION("""COMPUTED_VALUE"""),43448.0)</f>
        <v>43448</v>
      </c>
      <c r="B97" s="1" t="str">
        <f>IFERROR(__xludf.DUMMYFUNCTION("""COMPUTED_VALUE"""),"8:00p")</f>
        <v>8:00p</v>
      </c>
      <c r="C97" s="1" t="str">
        <f>IFERROR(__xludf.DUMMYFUNCTION("""COMPUTED_VALUE"""),"Miami Heat")</f>
        <v>Miami Heat</v>
      </c>
      <c r="D97" s="1">
        <f>IFERROR(__xludf.DUMMYFUNCTION("""COMPUTED_VALUE"""),100.0)</f>
        <v>100</v>
      </c>
      <c r="E97" s="1" t="str">
        <f>IFERROR(__xludf.DUMMYFUNCTION("""COMPUTED_VALUE"""),"Memphis Grizzlies")</f>
        <v>Memphis Grizzlies</v>
      </c>
      <c r="F97" s="1">
        <f>IFERROR(__xludf.DUMMYFUNCTION("""COMPUTED_VALUE"""),97.0)</f>
        <v>97</v>
      </c>
      <c r="G97" s="1" t="str">
        <f>IFERROR(__xludf.DUMMYFUNCTION("""COMPUTED_VALUE"""),"Box Score")</f>
        <v>Box Score</v>
      </c>
      <c r="H97" s="1"/>
      <c r="I97" s="3">
        <f>IFERROR(__xludf.DUMMYFUNCTION("""COMPUTED_VALUE"""),16313.0)</f>
        <v>16313</v>
      </c>
      <c r="J97" s="1"/>
    </row>
    <row r="98" ht="15.75" customHeight="1">
      <c r="A98" s="2">
        <f>IFERROR(__xludf.DUMMYFUNCTION("""COMPUTED_VALUE"""),43448.0)</f>
        <v>43448</v>
      </c>
      <c r="B98" s="1" t="str">
        <f>IFERROR(__xludf.DUMMYFUNCTION("""COMPUTED_VALUE"""),"10:00p")</f>
        <v>10:00p</v>
      </c>
      <c r="C98" s="1" t="str">
        <f>IFERROR(__xludf.DUMMYFUNCTION("""COMPUTED_VALUE"""),"Oklahoma City Thunder")</f>
        <v>Oklahoma City Thunder</v>
      </c>
      <c r="D98" s="1">
        <f>IFERROR(__xludf.DUMMYFUNCTION("""COMPUTED_VALUE"""),98.0)</f>
        <v>98</v>
      </c>
      <c r="E98" s="1" t="str">
        <f>IFERROR(__xludf.DUMMYFUNCTION("""COMPUTED_VALUE"""),"Denver Nuggets")</f>
        <v>Denver Nuggets</v>
      </c>
      <c r="F98" s="1">
        <f>IFERROR(__xludf.DUMMYFUNCTION("""COMPUTED_VALUE"""),109.0)</f>
        <v>109</v>
      </c>
      <c r="G98" s="1" t="str">
        <f>IFERROR(__xludf.DUMMYFUNCTION("""COMPUTED_VALUE"""),"Box Score")</f>
        <v>Box Score</v>
      </c>
      <c r="H98" s="1"/>
      <c r="I98" s="3">
        <f>IFERROR(__xludf.DUMMYFUNCTION("""COMPUTED_VALUE"""),19520.0)</f>
        <v>19520</v>
      </c>
      <c r="J98" s="1"/>
    </row>
    <row r="99" ht="15.75" customHeight="1">
      <c r="A99" s="2">
        <f>IFERROR(__xludf.DUMMYFUNCTION("""COMPUTED_VALUE"""),43448.0)</f>
        <v>43448</v>
      </c>
      <c r="B99" s="1" t="str">
        <f>IFERROR(__xludf.DUMMYFUNCTION("""COMPUTED_VALUE"""),"10:00p")</f>
        <v>10:00p</v>
      </c>
      <c r="C99" s="1" t="str">
        <f>IFERROR(__xludf.DUMMYFUNCTION("""COMPUTED_VALUE"""),"Toronto Raptors")</f>
        <v>Toronto Raptors</v>
      </c>
      <c r="D99" s="1">
        <f>IFERROR(__xludf.DUMMYFUNCTION("""COMPUTED_VALUE"""),122.0)</f>
        <v>122</v>
      </c>
      <c r="E99" s="1" t="str">
        <f>IFERROR(__xludf.DUMMYFUNCTION("""COMPUTED_VALUE"""),"Portland Trail Blazers")</f>
        <v>Portland Trail Blazers</v>
      </c>
      <c r="F99" s="1">
        <f>IFERROR(__xludf.DUMMYFUNCTION("""COMPUTED_VALUE"""),128.0)</f>
        <v>128</v>
      </c>
      <c r="G99" s="1" t="str">
        <f>IFERROR(__xludf.DUMMYFUNCTION("""COMPUTED_VALUE"""),"Box Score")</f>
        <v>Box Score</v>
      </c>
      <c r="H99" s="1"/>
      <c r="I99" s="3">
        <f>IFERROR(__xludf.DUMMYFUNCTION("""COMPUTED_VALUE"""),19458.0)</f>
        <v>19458</v>
      </c>
      <c r="J99" s="1"/>
    </row>
    <row r="100" ht="15.75" customHeight="1">
      <c r="A100" s="2">
        <f>IFERROR(__xludf.DUMMYFUNCTION("""COMPUTED_VALUE"""),43448.0)</f>
        <v>43448</v>
      </c>
      <c r="B100" s="1" t="str">
        <f>IFERROR(__xludf.DUMMYFUNCTION("""COMPUTED_VALUE"""),"10:00p")</f>
        <v>10:00p</v>
      </c>
      <c r="C100" s="1" t="str">
        <f>IFERROR(__xludf.DUMMYFUNCTION("""COMPUTED_VALUE"""),"Golden State Warriors")</f>
        <v>Golden State Warriors</v>
      </c>
      <c r="D100" s="1">
        <f>IFERROR(__xludf.DUMMYFUNCTION("""COMPUTED_VALUE"""),130.0)</f>
        <v>130</v>
      </c>
      <c r="E100" s="1" t="str">
        <f>IFERROR(__xludf.DUMMYFUNCTION("""COMPUTED_VALUE"""),"Sacramento Kings")</f>
        <v>Sacramento Kings</v>
      </c>
      <c r="F100" s="1">
        <f>IFERROR(__xludf.DUMMYFUNCTION("""COMPUTED_VALUE"""),125.0)</f>
        <v>125</v>
      </c>
      <c r="G100" s="1" t="str">
        <f>IFERROR(__xludf.DUMMYFUNCTION("""COMPUTED_VALUE"""),"Box Score")</f>
        <v>Box Score</v>
      </c>
      <c r="H100" s="1"/>
      <c r="I100" s="3">
        <f>IFERROR(__xludf.DUMMYFUNCTION("""COMPUTED_VALUE"""),17583.0)</f>
        <v>17583</v>
      </c>
      <c r="J100" s="1"/>
    </row>
    <row r="101" ht="15.75" customHeight="1">
      <c r="A101" s="2">
        <f>IFERROR(__xludf.DUMMYFUNCTION("""COMPUTED_VALUE"""),43449.0)</f>
        <v>43449</v>
      </c>
      <c r="B101" s="1" t="str">
        <f>IFERROR(__xludf.DUMMYFUNCTION("""COMPUTED_VALUE"""),"5:00p")</f>
        <v>5:00p</v>
      </c>
      <c r="C101" s="1" t="str">
        <f>IFERROR(__xludf.DUMMYFUNCTION("""COMPUTED_VALUE"""),"Utah Jazz")</f>
        <v>Utah Jazz</v>
      </c>
      <c r="D101" s="1">
        <f>IFERROR(__xludf.DUMMYFUNCTION("""COMPUTED_VALUE"""),89.0)</f>
        <v>89</v>
      </c>
      <c r="E101" s="1" t="str">
        <f>IFERROR(__xludf.DUMMYFUNCTION("""COMPUTED_VALUE"""),"Orlando Magic")</f>
        <v>Orlando Magic</v>
      </c>
      <c r="F101" s="1">
        <f>IFERROR(__xludf.DUMMYFUNCTION("""COMPUTED_VALUE"""),96.0)</f>
        <v>96</v>
      </c>
      <c r="G101" s="1" t="str">
        <f>IFERROR(__xludf.DUMMYFUNCTION("""COMPUTED_VALUE"""),"Box Score")</f>
        <v>Box Score</v>
      </c>
      <c r="H101" s="1"/>
      <c r="I101" s="3">
        <f>IFERROR(__xludf.DUMMYFUNCTION("""COMPUTED_VALUE"""),20011.0)</f>
        <v>20011</v>
      </c>
      <c r="J101" s="1" t="str">
        <f>IFERROR(__xludf.DUMMYFUNCTION("""COMPUTED_VALUE"""),"at Mexico City, Mexico")</f>
        <v>at Mexico City, Mexico</v>
      </c>
    </row>
    <row r="102" ht="15.75" customHeight="1">
      <c r="A102" s="2">
        <f>IFERROR(__xludf.DUMMYFUNCTION("""COMPUTED_VALUE"""),43449.0)</f>
        <v>43449</v>
      </c>
      <c r="B102" s="1" t="str">
        <f>IFERROR(__xludf.DUMMYFUNCTION("""COMPUTED_VALUE"""),"7:00p")</f>
        <v>7:00p</v>
      </c>
      <c r="C102" s="1" t="str">
        <f>IFERROR(__xludf.DUMMYFUNCTION("""COMPUTED_VALUE"""),"Los Angeles Lakers")</f>
        <v>Los Angeles Lakers</v>
      </c>
      <c r="D102" s="1">
        <f>IFERROR(__xludf.DUMMYFUNCTION("""COMPUTED_VALUE"""),128.0)</f>
        <v>128</v>
      </c>
      <c r="E102" s="1" t="str">
        <f>IFERROR(__xludf.DUMMYFUNCTION("""COMPUTED_VALUE"""),"Charlotte Hornets")</f>
        <v>Charlotte Hornets</v>
      </c>
      <c r="F102" s="1">
        <f>IFERROR(__xludf.DUMMYFUNCTION("""COMPUTED_VALUE"""),100.0)</f>
        <v>100</v>
      </c>
      <c r="G102" s="1" t="str">
        <f>IFERROR(__xludf.DUMMYFUNCTION("""COMPUTED_VALUE"""),"Box Score")</f>
        <v>Box Score</v>
      </c>
      <c r="H102" s="1"/>
      <c r="I102" s="3">
        <f>IFERROR(__xludf.DUMMYFUNCTION("""COMPUTED_VALUE"""),19641.0)</f>
        <v>19641</v>
      </c>
      <c r="J102" s="1"/>
    </row>
    <row r="103" ht="15.75" customHeight="1">
      <c r="A103" s="2">
        <f>IFERROR(__xludf.DUMMYFUNCTION("""COMPUTED_VALUE"""),43449.0)</f>
        <v>43449</v>
      </c>
      <c r="B103" s="1" t="str">
        <f>IFERROR(__xludf.DUMMYFUNCTION("""COMPUTED_VALUE"""),"7:00p")</f>
        <v>7:00p</v>
      </c>
      <c r="C103" s="1" t="str">
        <f>IFERROR(__xludf.DUMMYFUNCTION("""COMPUTED_VALUE"""),"Boston Celtics")</f>
        <v>Boston Celtics</v>
      </c>
      <c r="D103" s="1">
        <f>IFERROR(__xludf.DUMMYFUNCTION("""COMPUTED_VALUE"""),104.0)</f>
        <v>104</v>
      </c>
      <c r="E103" s="1" t="str">
        <f>IFERROR(__xludf.DUMMYFUNCTION("""COMPUTED_VALUE"""),"Detroit Pistons")</f>
        <v>Detroit Pistons</v>
      </c>
      <c r="F103" s="1">
        <f>IFERROR(__xludf.DUMMYFUNCTION("""COMPUTED_VALUE"""),113.0)</f>
        <v>113</v>
      </c>
      <c r="G103" s="1" t="str">
        <f>IFERROR(__xludf.DUMMYFUNCTION("""COMPUTED_VALUE"""),"Box Score")</f>
        <v>Box Score</v>
      </c>
      <c r="H103" s="1"/>
      <c r="I103" s="3">
        <f>IFERROR(__xludf.DUMMYFUNCTION("""COMPUTED_VALUE"""),17078.0)</f>
        <v>17078</v>
      </c>
      <c r="J103" s="1"/>
    </row>
    <row r="104" ht="15.75" customHeight="1">
      <c r="A104" s="2">
        <f>IFERROR(__xludf.DUMMYFUNCTION("""COMPUTED_VALUE"""),43449.0)</f>
        <v>43449</v>
      </c>
      <c r="B104" s="1" t="str">
        <f>IFERROR(__xludf.DUMMYFUNCTION("""COMPUTED_VALUE"""),"8:00p")</f>
        <v>8:00p</v>
      </c>
      <c r="C104" s="1" t="str">
        <f>IFERROR(__xludf.DUMMYFUNCTION("""COMPUTED_VALUE"""),"Houston Rockets")</f>
        <v>Houston Rockets</v>
      </c>
      <c r="D104" s="1">
        <f>IFERROR(__xludf.DUMMYFUNCTION("""COMPUTED_VALUE"""),105.0)</f>
        <v>105</v>
      </c>
      <c r="E104" s="1" t="str">
        <f>IFERROR(__xludf.DUMMYFUNCTION("""COMPUTED_VALUE"""),"Memphis Grizzlies")</f>
        <v>Memphis Grizzlies</v>
      </c>
      <c r="F104" s="1">
        <f>IFERROR(__xludf.DUMMYFUNCTION("""COMPUTED_VALUE"""),97.0)</f>
        <v>97</v>
      </c>
      <c r="G104" s="1" t="str">
        <f>IFERROR(__xludf.DUMMYFUNCTION("""COMPUTED_VALUE"""),"Box Score")</f>
        <v>Box Score</v>
      </c>
      <c r="H104" s="1"/>
      <c r="I104" s="3">
        <f>IFERROR(__xludf.DUMMYFUNCTION("""COMPUTED_VALUE"""),16777.0)</f>
        <v>16777</v>
      </c>
      <c r="J104" s="1"/>
    </row>
    <row r="105" ht="15.75" customHeight="1">
      <c r="A105" s="2">
        <f>IFERROR(__xludf.DUMMYFUNCTION("""COMPUTED_VALUE"""),43449.0)</f>
        <v>43449</v>
      </c>
      <c r="B105" s="1" t="str">
        <f>IFERROR(__xludf.DUMMYFUNCTION("""COMPUTED_VALUE"""),"8:30p")</f>
        <v>8:30p</v>
      </c>
      <c r="C105" s="1" t="str">
        <f>IFERROR(__xludf.DUMMYFUNCTION("""COMPUTED_VALUE"""),"Chicago Bulls")</f>
        <v>Chicago Bulls</v>
      </c>
      <c r="D105" s="1">
        <f>IFERROR(__xludf.DUMMYFUNCTION("""COMPUTED_VALUE"""),98.0)</f>
        <v>98</v>
      </c>
      <c r="E105" s="1" t="str">
        <f>IFERROR(__xludf.DUMMYFUNCTION("""COMPUTED_VALUE"""),"San Antonio Spurs")</f>
        <v>San Antonio Spurs</v>
      </c>
      <c r="F105" s="1">
        <f>IFERROR(__xludf.DUMMYFUNCTION("""COMPUTED_VALUE"""),93.0)</f>
        <v>93</v>
      </c>
      <c r="G105" s="1" t="str">
        <f>IFERROR(__xludf.DUMMYFUNCTION("""COMPUTED_VALUE"""),"Box Score")</f>
        <v>Box Score</v>
      </c>
      <c r="H105" s="1"/>
      <c r="I105" s="3">
        <f>IFERROR(__xludf.DUMMYFUNCTION("""COMPUTED_VALUE"""),18354.0)</f>
        <v>18354</v>
      </c>
      <c r="J105" s="1"/>
    </row>
    <row r="106" ht="15.75" customHeight="1">
      <c r="A106" s="2">
        <f>IFERROR(__xludf.DUMMYFUNCTION("""COMPUTED_VALUE"""),43449.0)</f>
        <v>43449</v>
      </c>
      <c r="B106" s="1" t="str">
        <f>IFERROR(__xludf.DUMMYFUNCTION("""COMPUTED_VALUE"""),"9:00p")</f>
        <v>9:00p</v>
      </c>
      <c r="C106" s="1" t="str">
        <f>IFERROR(__xludf.DUMMYFUNCTION("""COMPUTED_VALUE"""),"Los Angeles Clippers")</f>
        <v>Los Angeles Clippers</v>
      </c>
      <c r="D106" s="1">
        <f>IFERROR(__xludf.DUMMYFUNCTION("""COMPUTED_VALUE"""),104.0)</f>
        <v>104</v>
      </c>
      <c r="E106" s="1" t="str">
        <f>IFERROR(__xludf.DUMMYFUNCTION("""COMPUTED_VALUE"""),"Oklahoma City Thunder")</f>
        <v>Oklahoma City Thunder</v>
      </c>
      <c r="F106" s="1">
        <f>IFERROR(__xludf.DUMMYFUNCTION("""COMPUTED_VALUE"""),110.0)</f>
        <v>110</v>
      </c>
      <c r="G106" s="1" t="str">
        <f>IFERROR(__xludf.DUMMYFUNCTION("""COMPUTED_VALUE"""),"Box Score")</f>
        <v>Box Score</v>
      </c>
      <c r="H106" s="1"/>
      <c r="I106" s="3">
        <f>IFERROR(__xludf.DUMMYFUNCTION("""COMPUTED_VALUE"""),18203.0)</f>
        <v>18203</v>
      </c>
      <c r="J106" s="1"/>
    </row>
    <row r="107" ht="15.75" customHeight="1">
      <c r="A107" s="2">
        <f>IFERROR(__xludf.DUMMYFUNCTION("""COMPUTED_VALUE"""),43449.0)</f>
        <v>43449</v>
      </c>
      <c r="B107" s="1" t="str">
        <f>IFERROR(__xludf.DUMMYFUNCTION("""COMPUTED_VALUE"""),"9:00p")</f>
        <v>9:00p</v>
      </c>
      <c r="C107" s="1" t="str">
        <f>IFERROR(__xludf.DUMMYFUNCTION("""COMPUTED_VALUE"""),"Minnesota Timberwolves")</f>
        <v>Minnesota Timberwolves</v>
      </c>
      <c r="D107" s="1">
        <f>IFERROR(__xludf.DUMMYFUNCTION("""COMPUTED_VALUE"""),99.0)</f>
        <v>99</v>
      </c>
      <c r="E107" s="1" t="str">
        <f>IFERROR(__xludf.DUMMYFUNCTION("""COMPUTED_VALUE"""),"Phoenix Suns")</f>
        <v>Phoenix Suns</v>
      </c>
      <c r="F107" s="1">
        <f>IFERROR(__xludf.DUMMYFUNCTION("""COMPUTED_VALUE"""),107.0)</f>
        <v>107</v>
      </c>
      <c r="G107" s="1" t="str">
        <f>IFERROR(__xludf.DUMMYFUNCTION("""COMPUTED_VALUE"""),"Box Score")</f>
        <v>Box Score</v>
      </c>
      <c r="H107" s="1"/>
      <c r="I107" s="3">
        <f>IFERROR(__xludf.DUMMYFUNCTION("""COMPUTED_VALUE"""),14244.0)</f>
        <v>14244</v>
      </c>
      <c r="J107" s="1"/>
    </row>
    <row r="108" ht="15.75" customHeight="1">
      <c r="A108" s="2">
        <f>IFERROR(__xludf.DUMMYFUNCTION("""COMPUTED_VALUE"""),43450.0)</f>
        <v>43450</v>
      </c>
      <c r="B108" s="1" t="str">
        <f>IFERROR(__xludf.DUMMYFUNCTION("""COMPUTED_VALUE"""),"3:00p")</f>
        <v>3:00p</v>
      </c>
      <c r="C108" s="1" t="str">
        <f>IFERROR(__xludf.DUMMYFUNCTION("""COMPUTED_VALUE"""),"Atlanta Hawks")</f>
        <v>Atlanta Hawks</v>
      </c>
      <c r="D108" s="1">
        <f>IFERROR(__xludf.DUMMYFUNCTION("""COMPUTED_VALUE"""),127.0)</f>
        <v>127</v>
      </c>
      <c r="E108" s="1" t="str">
        <f>IFERROR(__xludf.DUMMYFUNCTION("""COMPUTED_VALUE"""),"Brooklyn Nets")</f>
        <v>Brooklyn Nets</v>
      </c>
      <c r="F108" s="1">
        <f>IFERROR(__xludf.DUMMYFUNCTION("""COMPUTED_VALUE"""),144.0)</f>
        <v>144</v>
      </c>
      <c r="G108" s="1" t="str">
        <f>IFERROR(__xludf.DUMMYFUNCTION("""COMPUTED_VALUE"""),"Box Score")</f>
        <v>Box Score</v>
      </c>
      <c r="H108" s="1"/>
      <c r="I108" s="3">
        <f>IFERROR(__xludf.DUMMYFUNCTION("""COMPUTED_VALUE"""),13955.0)</f>
        <v>13955</v>
      </c>
      <c r="J108" s="1"/>
    </row>
    <row r="109" ht="15.75" customHeight="1">
      <c r="A109" s="2">
        <f>IFERROR(__xludf.DUMMYFUNCTION("""COMPUTED_VALUE"""),43450.0)</f>
        <v>43450</v>
      </c>
      <c r="B109" s="1" t="str">
        <f>IFERROR(__xludf.DUMMYFUNCTION("""COMPUTED_VALUE"""),"3:30p")</f>
        <v>3:30p</v>
      </c>
      <c r="C109" s="1" t="str">
        <f>IFERROR(__xludf.DUMMYFUNCTION("""COMPUTED_VALUE"""),"Philadelphia 76ers")</f>
        <v>Philadelphia 76ers</v>
      </c>
      <c r="D109" s="1">
        <f>IFERROR(__xludf.DUMMYFUNCTION("""COMPUTED_VALUE"""),128.0)</f>
        <v>128</v>
      </c>
      <c r="E109" s="1" t="str">
        <f>IFERROR(__xludf.DUMMYFUNCTION("""COMPUTED_VALUE"""),"Cleveland Cavaliers")</f>
        <v>Cleveland Cavaliers</v>
      </c>
      <c r="F109" s="1">
        <f>IFERROR(__xludf.DUMMYFUNCTION("""COMPUTED_VALUE"""),105.0)</f>
        <v>105</v>
      </c>
      <c r="G109" s="1" t="str">
        <f>IFERROR(__xludf.DUMMYFUNCTION("""COMPUTED_VALUE"""),"Box Score")</f>
        <v>Box Score</v>
      </c>
      <c r="H109" s="1"/>
      <c r="I109" s="3">
        <f>IFERROR(__xludf.DUMMYFUNCTION("""COMPUTED_VALUE"""),19432.0)</f>
        <v>19432</v>
      </c>
      <c r="J109" s="1"/>
    </row>
    <row r="110" ht="15.75" customHeight="1">
      <c r="A110" s="2">
        <f>IFERROR(__xludf.DUMMYFUNCTION("""COMPUTED_VALUE"""),43450.0)</f>
        <v>43450</v>
      </c>
      <c r="B110" s="1" t="str">
        <f>IFERROR(__xludf.DUMMYFUNCTION("""COMPUTED_VALUE"""),"5:00p")</f>
        <v>5:00p</v>
      </c>
      <c r="C110" s="1" t="str">
        <f>IFERROR(__xludf.DUMMYFUNCTION("""COMPUTED_VALUE"""),"New York Knicks")</f>
        <v>New York Knicks</v>
      </c>
      <c r="D110" s="1">
        <f>IFERROR(__xludf.DUMMYFUNCTION("""COMPUTED_VALUE"""),99.0)</f>
        <v>99</v>
      </c>
      <c r="E110" s="1" t="str">
        <f>IFERROR(__xludf.DUMMYFUNCTION("""COMPUTED_VALUE"""),"Indiana Pacers")</f>
        <v>Indiana Pacers</v>
      </c>
      <c r="F110" s="1">
        <f>IFERROR(__xludf.DUMMYFUNCTION("""COMPUTED_VALUE"""),110.0)</f>
        <v>110</v>
      </c>
      <c r="G110" s="1" t="str">
        <f>IFERROR(__xludf.DUMMYFUNCTION("""COMPUTED_VALUE"""),"Box Score")</f>
        <v>Box Score</v>
      </c>
      <c r="H110" s="1"/>
      <c r="I110" s="3">
        <f>IFERROR(__xludf.DUMMYFUNCTION("""COMPUTED_VALUE"""),16646.0)</f>
        <v>16646</v>
      </c>
      <c r="J110" s="1"/>
    </row>
    <row r="111" ht="15.75" customHeight="1">
      <c r="A111" s="2">
        <f>IFERROR(__xludf.DUMMYFUNCTION("""COMPUTED_VALUE"""),43450.0)</f>
        <v>43450</v>
      </c>
      <c r="B111" s="1" t="str">
        <f>IFERROR(__xludf.DUMMYFUNCTION("""COMPUTED_VALUE"""),"6:00p")</f>
        <v>6:00p</v>
      </c>
      <c r="C111" s="1" t="str">
        <f>IFERROR(__xludf.DUMMYFUNCTION("""COMPUTED_VALUE"""),"Los Angeles Lakers")</f>
        <v>Los Angeles Lakers</v>
      </c>
      <c r="D111" s="1">
        <f>IFERROR(__xludf.DUMMYFUNCTION("""COMPUTED_VALUE"""),110.0)</f>
        <v>110</v>
      </c>
      <c r="E111" s="1" t="str">
        <f>IFERROR(__xludf.DUMMYFUNCTION("""COMPUTED_VALUE"""),"Washington Wizards")</f>
        <v>Washington Wizards</v>
      </c>
      <c r="F111" s="1">
        <f>IFERROR(__xludf.DUMMYFUNCTION("""COMPUTED_VALUE"""),128.0)</f>
        <v>128</v>
      </c>
      <c r="G111" s="1" t="str">
        <f>IFERROR(__xludf.DUMMYFUNCTION("""COMPUTED_VALUE"""),"Box Score")</f>
        <v>Box Score</v>
      </c>
      <c r="H111" s="1"/>
      <c r="I111" s="3">
        <f>IFERROR(__xludf.DUMMYFUNCTION("""COMPUTED_VALUE"""),20409.0)</f>
        <v>20409</v>
      </c>
      <c r="J111" s="1"/>
    </row>
    <row r="112" ht="15.75" customHeight="1">
      <c r="A112" s="2">
        <f>IFERROR(__xludf.DUMMYFUNCTION("""COMPUTED_VALUE"""),43450.0)</f>
        <v>43450</v>
      </c>
      <c r="B112" s="1" t="str">
        <f>IFERROR(__xludf.DUMMYFUNCTION("""COMPUTED_VALUE"""),"7:00p")</f>
        <v>7:00p</v>
      </c>
      <c r="C112" s="1" t="str">
        <f>IFERROR(__xludf.DUMMYFUNCTION("""COMPUTED_VALUE"""),"Sacramento Kings")</f>
        <v>Sacramento Kings</v>
      </c>
      <c r="D112" s="1">
        <f>IFERROR(__xludf.DUMMYFUNCTION("""COMPUTED_VALUE"""),120.0)</f>
        <v>120</v>
      </c>
      <c r="E112" s="1" t="str">
        <f>IFERROR(__xludf.DUMMYFUNCTION("""COMPUTED_VALUE"""),"Dallas Mavericks")</f>
        <v>Dallas Mavericks</v>
      </c>
      <c r="F112" s="1">
        <f>IFERROR(__xludf.DUMMYFUNCTION("""COMPUTED_VALUE"""),113.0)</f>
        <v>113</v>
      </c>
      <c r="G112" s="1" t="str">
        <f>IFERROR(__xludf.DUMMYFUNCTION("""COMPUTED_VALUE"""),"Box Score")</f>
        <v>Box Score</v>
      </c>
      <c r="H112" s="1"/>
      <c r="I112" s="3">
        <f>IFERROR(__xludf.DUMMYFUNCTION("""COMPUTED_VALUE"""),19935.0)</f>
        <v>19935</v>
      </c>
      <c r="J112" s="1"/>
    </row>
    <row r="113" ht="15.75" customHeight="1">
      <c r="A113" s="2">
        <f>IFERROR(__xludf.DUMMYFUNCTION("""COMPUTED_VALUE"""),43450.0)</f>
        <v>43450</v>
      </c>
      <c r="B113" s="1" t="str">
        <f>IFERROR(__xludf.DUMMYFUNCTION("""COMPUTED_VALUE"""),"7:00p")</f>
        <v>7:00p</v>
      </c>
      <c r="C113" s="1" t="str">
        <f>IFERROR(__xludf.DUMMYFUNCTION("""COMPUTED_VALUE"""),"Miami Heat")</f>
        <v>Miami Heat</v>
      </c>
      <c r="D113" s="1">
        <f>IFERROR(__xludf.DUMMYFUNCTION("""COMPUTED_VALUE"""),102.0)</f>
        <v>102</v>
      </c>
      <c r="E113" s="1" t="str">
        <f>IFERROR(__xludf.DUMMYFUNCTION("""COMPUTED_VALUE"""),"New Orleans Pelicans")</f>
        <v>New Orleans Pelicans</v>
      </c>
      <c r="F113" s="1">
        <f>IFERROR(__xludf.DUMMYFUNCTION("""COMPUTED_VALUE"""),96.0)</f>
        <v>96</v>
      </c>
      <c r="G113" s="1" t="str">
        <f>IFERROR(__xludf.DUMMYFUNCTION("""COMPUTED_VALUE"""),"Box Score")</f>
        <v>Box Score</v>
      </c>
      <c r="H113" s="1"/>
      <c r="I113" s="3">
        <f>IFERROR(__xludf.DUMMYFUNCTION("""COMPUTED_VALUE"""),15535.0)</f>
        <v>15535</v>
      </c>
      <c r="J113" s="1"/>
    </row>
    <row r="114" ht="15.75" customHeight="1">
      <c r="A114" s="2">
        <f>IFERROR(__xludf.DUMMYFUNCTION("""COMPUTED_VALUE"""),43450.0)</f>
        <v>43450</v>
      </c>
      <c r="B114" s="1" t="str">
        <f>IFERROR(__xludf.DUMMYFUNCTION("""COMPUTED_VALUE"""),"8:00p")</f>
        <v>8:00p</v>
      </c>
      <c r="C114" s="1" t="str">
        <f>IFERROR(__xludf.DUMMYFUNCTION("""COMPUTED_VALUE"""),"Toronto Raptors")</f>
        <v>Toronto Raptors</v>
      </c>
      <c r="D114" s="1">
        <f>IFERROR(__xludf.DUMMYFUNCTION("""COMPUTED_VALUE"""),86.0)</f>
        <v>86</v>
      </c>
      <c r="E114" s="1" t="str">
        <f>IFERROR(__xludf.DUMMYFUNCTION("""COMPUTED_VALUE"""),"Denver Nuggets")</f>
        <v>Denver Nuggets</v>
      </c>
      <c r="F114" s="1">
        <f>IFERROR(__xludf.DUMMYFUNCTION("""COMPUTED_VALUE"""),95.0)</f>
        <v>95</v>
      </c>
      <c r="G114" s="1" t="str">
        <f>IFERROR(__xludf.DUMMYFUNCTION("""COMPUTED_VALUE"""),"Box Score")</f>
        <v>Box Score</v>
      </c>
      <c r="H114" s="1"/>
      <c r="I114" s="3">
        <f>IFERROR(__xludf.DUMMYFUNCTION("""COMPUTED_VALUE"""),19520.0)</f>
        <v>19520</v>
      </c>
      <c r="J114" s="1"/>
    </row>
    <row r="115" ht="15.75" customHeight="1">
      <c r="A115" s="2">
        <f>IFERROR(__xludf.DUMMYFUNCTION("""COMPUTED_VALUE"""),43451.0)</f>
        <v>43451</v>
      </c>
      <c r="B115" s="1" t="str">
        <f>IFERROR(__xludf.DUMMYFUNCTION("""COMPUTED_VALUE"""),"7:00p")</f>
        <v>7:00p</v>
      </c>
      <c r="C115" s="1" t="str">
        <f>IFERROR(__xludf.DUMMYFUNCTION("""COMPUTED_VALUE"""),"Milwaukee Bucks")</f>
        <v>Milwaukee Bucks</v>
      </c>
      <c r="D115" s="1">
        <f>IFERROR(__xludf.DUMMYFUNCTION("""COMPUTED_VALUE"""),107.0)</f>
        <v>107</v>
      </c>
      <c r="E115" s="1" t="str">
        <f>IFERROR(__xludf.DUMMYFUNCTION("""COMPUTED_VALUE"""),"Detroit Pistons")</f>
        <v>Detroit Pistons</v>
      </c>
      <c r="F115" s="1">
        <f>IFERROR(__xludf.DUMMYFUNCTION("""COMPUTED_VALUE"""),104.0)</f>
        <v>104</v>
      </c>
      <c r="G115" s="1" t="str">
        <f>IFERROR(__xludf.DUMMYFUNCTION("""COMPUTED_VALUE"""),"Box Score")</f>
        <v>Box Score</v>
      </c>
      <c r="H115" s="1"/>
      <c r="I115" s="3">
        <f>IFERROR(__xludf.DUMMYFUNCTION("""COMPUTED_VALUE"""),15051.0)</f>
        <v>15051</v>
      </c>
      <c r="J115" s="1"/>
    </row>
    <row r="116" ht="15.75" customHeight="1">
      <c r="A116" s="2">
        <f>IFERROR(__xludf.DUMMYFUNCTION("""COMPUTED_VALUE"""),43451.0)</f>
        <v>43451</v>
      </c>
      <c r="B116" s="1" t="str">
        <f>IFERROR(__xludf.DUMMYFUNCTION("""COMPUTED_VALUE"""),"7:30p")</f>
        <v>7:30p</v>
      </c>
      <c r="C116" s="1" t="str">
        <f>IFERROR(__xludf.DUMMYFUNCTION("""COMPUTED_VALUE"""),"Phoenix Suns")</f>
        <v>Phoenix Suns</v>
      </c>
      <c r="D116" s="1">
        <f>IFERROR(__xludf.DUMMYFUNCTION("""COMPUTED_VALUE"""),128.0)</f>
        <v>128</v>
      </c>
      <c r="E116" s="1" t="str">
        <f>IFERROR(__xludf.DUMMYFUNCTION("""COMPUTED_VALUE"""),"New York Knicks")</f>
        <v>New York Knicks</v>
      </c>
      <c r="F116" s="1">
        <f>IFERROR(__xludf.DUMMYFUNCTION("""COMPUTED_VALUE"""),110.0)</f>
        <v>110</v>
      </c>
      <c r="G116" s="1" t="str">
        <f>IFERROR(__xludf.DUMMYFUNCTION("""COMPUTED_VALUE"""),"Box Score")</f>
        <v>Box Score</v>
      </c>
      <c r="H116" s="1"/>
      <c r="I116" s="3">
        <f>IFERROR(__xludf.DUMMYFUNCTION("""COMPUTED_VALUE"""),18437.0)</f>
        <v>18437</v>
      </c>
      <c r="J116" s="1"/>
    </row>
    <row r="117" ht="15.75" customHeight="1">
      <c r="A117" s="2">
        <f>IFERROR(__xludf.DUMMYFUNCTION("""COMPUTED_VALUE"""),43451.0)</f>
        <v>43451</v>
      </c>
      <c r="B117" s="1" t="str">
        <f>IFERROR(__xludf.DUMMYFUNCTION("""COMPUTED_VALUE"""),"8:00p")</f>
        <v>8:00p</v>
      </c>
      <c r="C117" s="1" t="str">
        <f>IFERROR(__xludf.DUMMYFUNCTION("""COMPUTED_VALUE"""),"Utah Jazz")</f>
        <v>Utah Jazz</v>
      </c>
      <c r="D117" s="1">
        <f>IFERROR(__xludf.DUMMYFUNCTION("""COMPUTED_VALUE"""),97.0)</f>
        <v>97</v>
      </c>
      <c r="E117" s="1" t="str">
        <f>IFERROR(__xludf.DUMMYFUNCTION("""COMPUTED_VALUE"""),"Houston Rockets")</f>
        <v>Houston Rockets</v>
      </c>
      <c r="F117" s="1">
        <f>IFERROR(__xludf.DUMMYFUNCTION("""COMPUTED_VALUE"""),102.0)</f>
        <v>102</v>
      </c>
      <c r="G117" s="1" t="str">
        <f>IFERROR(__xludf.DUMMYFUNCTION("""COMPUTED_VALUE"""),"Box Score")</f>
        <v>Box Score</v>
      </c>
      <c r="H117" s="1"/>
      <c r="I117" s="3">
        <f>IFERROR(__xludf.DUMMYFUNCTION("""COMPUTED_VALUE"""),18055.0)</f>
        <v>18055</v>
      </c>
      <c r="J117" s="1"/>
    </row>
    <row r="118" ht="15.75" customHeight="1">
      <c r="A118" s="2">
        <f>IFERROR(__xludf.DUMMYFUNCTION("""COMPUTED_VALUE"""),43451.0)</f>
        <v>43451</v>
      </c>
      <c r="B118" s="1" t="str">
        <f>IFERROR(__xludf.DUMMYFUNCTION("""COMPUTED_VALUE"""),"8:00p")</f>
        <v>8:00p</v>
      </c>
      <c r="C118" s="1" t="str">
        <f>IFERROR(__xludf.DUMMYFUNCTION("""COMPUTED_VALUE"""),"Sacramento Kings")</f>
        <v>Sacramento Kings</v>
      </c>
      <c r="D118" s="1">
        <f>IFERROR(__xludf.DUMMYFUNCTION("""COMPUTED_VALUE"""),105.0)</f>
        <v>105</v>
      </c>
      <c r="E118" s="1" t="str">
        <f>IFERROR(__xludf.DUMMYFUNCTION("""COMPUTED_VALUE"""),"Minnesota Timberwolves")</f>
        <v>Minnesota Timberwolves</v>
      </c>
      <c r="F118" s="1">
        <f>IFERROR(__xludf.DUMMYFUNCTION("""COMPUTED_VALUE"""),132.0)</f>
        <v>132</v>
      </c>
      <c r="G118" s="1" t="str">
        <f>IFERROR(__xludf.DUMMYFUNCTION("""COMPUTED_VALUE"""),"Box Score")</f>
        <v>Box Score</v>
      </c>
      <c r="H118" s="1"/>
      <c r="I118" s="3">
        <f>IFERROR(__xludf.DUMMYFUNCTION("""COMPUTED_VALUE"""),12417.0)</f>
        <v>12417</v>
      </c>
      <c r="J118" s="1"/>
    </row>
    <row r="119" ht="15.75" customHeight="1">
      <c r="A119" s="2">
        <f>IFERROR(__xludf.DUMMYFUNCTION("""COMPUTED_VALUE"""),43451.0)</f>
        <v>43451</v>
      </c>
      <c r="B119" s="1" t="str">
        <f>IFERROR(__xludf.DUMMYFUNCTION("""COMPUTED_VALUE"""),"8:00p")</f>
        <v>8:00p</v>
      </c>
      <c r="C119" s="1" t="str">
        <f>IFERROR(__xludf.DUMMYFUNCTION("""COMPUTED_VALUE"""),"Chicago Bulls")</f>
        <v>Chicago Bulls</v>
      </c>
      <c r="D119" s="1">
        <f>IFERROR(__xludf.DUMMYFUNCTION("""COMPUTED_VALUE"""),96.0)</f>
        <v>96</v>
      </c>
      <c r="E119" s="1" t="str">
        <f>IFERROR(__xludf.DUMMYFUNCTION("""COMPUTED_VALUE"""),"Oklahoma City Thunder")</f>
        <v>Oklahoma City Thunder</v>
      </c>
      <c r="F119" s="1">
        <f>IFERROR(__xludf.DUMMYFUNCTION("""COMPUTED_VALUE"""),121.0)</f>
        <v>121</v>
      </c>
      <c r="G119" s="1" t="str">
        <f>IFERROR(__xludf.DUMMYFUNCTION("""COMPUTED_VALUE"""),"Box Score")</f>
        <v>Box Score</v>
      </c>
      <c r="H119" s="1"/>
      <c r="I119" s="3">
        <f>IFERROR(__xludf.DUMMYFUNCTION("""COMPUTED_VALUE"""),18203.0)</f>
        <v>18203</v>
      </c>
      <c r="J119" s="1"/>
    </row>
    <row r="120" ht="15.75" customHeight="1">
      <c r="A120" s="2">
        <f>IFERROR(__xludf.DUMMYFUNCTION("""COMPUTED_VALUE"""),43451.0)</f>
        <v>43451</v>
      </c>
      <c r="B120" s="1" t="str">
        <f>IFERROR(__xludf.DUMMYFUNCTION("""COMPUTED_VALUE"""),"8:30p")</f>
        <v>8:30p</v>
      </c>
      <c r="C120" s="1" t="str">
        <f>IFERROR(__xludf.DUMMYFUNCTION("""COMPUTED_VALUE"""),"Philadelphia 76ers")</f>
        <v>Philadelphia 76ers</v>
      </c>
      <c r="D120" s="1">
        <f>IFERROR(__xludf.DUMMYFUNCTION("""COMPUTED_VALUE"""),96.0)</f>
        <v>96</v>
      </c>
      <c r="E120" s="1" t="str">
        <f>IFERROR(__xludf.DUMMYFUNCTION("""COMPUTED_VALUE"""),"San Antonio Spurs")</f>
        <v>San Antonio Spurs</v>
      </c>
      <c r="F120" s="1">
        <f>IFERROR(__xludf.DUMMYFUNCTION("""COMPUTED_VALUE"""),123.0)</f>
        <v>123</v>
      </c>
      <c r="G120" s="1" t="str">
        <f>IFERROR(__xludf.DUMMYFUNCTION("""COMPUTED_VALUE"""),"Box Score")</f>
        <v>Box Score</v>
      </c>
      <c r="H120" s="1"/>
      <c r="I120" s="3">
        <f>IFERROR(__xludf.DUMMYFUNCTION("""COMPUTED_VALUE"""),17486.0)</f>
        <v>17486</v>
      </c>
      <c r="J120" s="1"/>
    </row>
    <row r="121" ht="15.75" customHeight="1">
      <c r="A121" s="2">
        <f>IFERROR(__xludf.DUMMYFUNCTION("""COMPUTED_VALUE"""),43451.0)</f>
        <v>43451</v>
      </c>
      <c r="B121" s="1" t="str">
        <f>IFERROR(__xludf.DUMMYFUNCTION("""COMPUTED_VALUE"""),"10:30p")</f>
        <v>10:30p</v>
      </c>
      <c r="C121" s="1" t="str">
        <f>IFERROR(__xludf.DUMMYFUNCTION("""COMPUTED_VALUE"""),"Memphis Grizzlies")</f>
        <v>Memphis Grizzlies</v>
      </c>
      <c r="D121" s="1">
        <f>IFERROR(__xludf.DUMMYFUNCTION("""COMPUTED_VALUE"""),93.0)</f>
        <v>93</v>
      </c>
      <c r="E121" s="1" t="str">
        <f>IFERROR(__xludf.DUMMYFUNCTION("""COMPUTED_VALUE"""),"Golden State Warriors")</f>
        <v>Golden State Warriors</v>
      </c>
      <c r="F121" s="1">
        <f>IFERROR(__xludf.DUMMYFUNCTION("""COMPUTED_VALUE"""),110.0)</f>
        <v>110</v>
      </c>
      <c r="G121" s="1" t="str">
        <f>IFERROR(__xludf.DUMMYFUNCTION("""COMPUTED_VALUE"""),"Box Score")</f>
        <v>Box Score</v>
      </c>
      <c r="H121" s="1"/>
      <c r="I121" s="3">
        <f>IFERROR(__xludf.DUMMYFUNCTION("""COMPUTED_VALUE"""),19596.0)</f>
        <v>19596</v>
      </c>
      <c r="J121" s="1"/>
    </row>
    <row r="122" ht="15.75" customHeight="1">
      <c r="A122" s="2">
        <f>IFERROR(__xludf.DUMMYFUNCTION("""COMPUTED_VALUE"""),43451.0)</f>
        <v>43451</v>
      </c>
      <c r="B122" s="1" t="str">
        <f>IFERROR(__xludf.DUMMYFUNCTION("""COMPUTED_VALUE"""),"10:30p")</f>
        <v>10:30p</v>
      </c>
      <c r="C122" s="1" t="str">
        <f>IFERROR(__xludf.DUMMYFUNCTION("""COMPUTED_VALUE"""),"Portland Trail Blazers")</f>
        <v>Portland Trail Blazers</v>
      </c>
      <c r="D122" s="1">
        <f>IFERROR(__xludf.DUMMYFUNCTION("""COMPUTED_VALUE"""),131.0)</f>
        <v>131</v>
      </c>
      <c r="E122" s="1" t="str">
        <f>IFERROR(__xludf.DUMMYFUNCTION("""COMPUTED_VALUE"""),"Los Angeles Clippers")</f>
        <v>Los Angeles Clippers</v>
      </c>
      <c r="F122" s="1">
        <f>IFERROR(__xludf.DUMMYFUNCTION("""COMPUTED_VALUE"""),127.0)</f>
        <v>127</v>
      </c>
      <c r="G122" s="1" t="str">
        <f>IFERROR(__xludf.DUMMYFUNCTION("""COMPUTED_VALUE"""),"Box Score")</f>
        <v>Box Score</v>
      </c>
      <c r="H122" s="1"/>
      <c r="I122" s="3">
        <f>IFERROR(__xludf.DUMMYFUNCTION("""COMPUTED_VALUE"""),16030.0)</f>
        <v>16030</v>
      </c>
      <c r="J122" s="1"/>
    </row>
    <row r="123" ht="15.75" customHeight="1">
      <c r="A123" s="2">
        <f>IFERROR(__xludf.DUMMYFUNCTION("""COMPUTED_VALUE"""),43452.0)</f>
        <v>43452</v>
      </c>
      <c r="B123" s="1" t="str">
        <f>IFERROR(__xludf.DUMMYFUNCTION("""COMPUTED_VALUE"""),"7:00p")</f>
        <v>7:00p</v>
      </c>
      <c r="C123" s="1" t="str">
        <f>IFERROR(__xludf.DUMMYFUNCTION("""COMPUTED_VALUE"""),"Cleveland Cavaliers")</f>
        <v>Cleveland Cavaliers</v>
      </c>
      <c r="D123" s="1">
        <f>IFERROR(__xludf.DUMMYFUNCTION("""COMPUTED_VALUE"""),92.0)</f>
        <v>92</v>
      </c>
      <c r="E123" s="1" t="str">
        <f>IFERROR(__xludf.DUMMYFUNCTION("""COMPUTED_VALUE"""),"Indiana Pacers")</f>
        <v>Indiana Pacers</v>
      </c>
      <c r="F123" s="1">
        <f>IFERROR(__xludf.DUMMYFUNCTION("""COMPUTED_VALUE"""),91.0)</f>
        <v>91</v>
      </c>
      <c r="G123" s="1" t="str">
        <f>IFERROR(__xludf.DUMMYFUNCTION("""COMPUTED_VALUE"""),"Box Score")</f>
        <v>Box Score</v>
      </c>
      <c r="H123" s="1"/>
      <c r="I123" s="3">
        <f>IFERROR(__xludf.DUMMYFUNCTION("""COMPUTED_VALUE"""),15630.0)</f>
        <v>15630</v>
      </c>
      <c r="J123" s="1"/>
    </row>
    <row r="124" ht="15.75" customHeight="1">
      <c r="A124" s="2">
        <f>IFERROR(__xludf.DUMMYFUNCTION("""COMPUTED_VALUE"""),43452.0)</f>
        <v>43452</v>
      </c>
      <c r="B124" s="1" t="str">
        <f>IFERROR(__xludf.DUMMYFUNCTION("""COMPUTED_VALUE"""),"7:30p")</f>
        <v>7:30p</v>
      </c>
      <c r="C124" s="1" t="str">
        <f>IFERROR(__xludf.DUMMYFUNCTION("""COMPUTED_VALUE"""),"Washington Wizards")</f>
        <v>Washington Wizards</v>
      </c>
      <c r="D124" s="1">
        <f>IFERROR(__xludf.DUMMYFUNCTION("""COMPUTED_VALUE"""),110.0)</f>
        <v>110</v>
      </c>
      <c r="E124" s="1" t="str">
        <f>IFERROR(__xludf.DUMMYFUNCTION("""COMPUTED_VALUE"""),"Atlanta Hawks")</f>
        <v>Atlanta Hawks</v>
      </c>
      <c r="F124" s="1">
        <f>IFERROR(__xludf.DUMMYFUNCTION("""COMPUTED_VALUE"""),118.0)</f>
        <v>118</v>
      </c>
      <c r="G124" s="1" t="str">
        <f>IFERROR(__xludf.DUMMYFUNCTION("""COMPUTED_VALUE"""),"Box Score")</f>
        <v>Box Score</v>
      </c>
      <c r="H124" s="1"/>
      <c r="I124" s="3">
        <f>IFERROR(__xludf.DUMMYFUNCTION("""COMPUTED_VALUE"""),16489.0)</f>
        <v>16489</v>
      </c>
      <c r="J124" s="1"/>
    </row>
    <row r="125" ht="15.75" customHeight="1">
      <c r="A125" s="2">
        <f>IFERROR(__xludf.DUMMYFUNCTION("""COMPUTED_VALUE"""),43452.0)</f>
        <v>43452</v>
      </c>
      <c r="B125" s="1" t="str">
        <f>IFERROR(__xludf.DUMMYFUNCTION("""COMPUTED_VALUE"""),"7:30p")</f>
        <v>7:30p</v>
      </c>
      <c r="C125" s="1" t="str">
        <f>IFERROR(__xludf.DUMMYFUNCTION("""COMPUTED_VALUE"""),"Los Angeles Lakers")</f>
        <v>Los Angeles Lakers</v>
      </c>
      <c r="D125" s="1">
        <f>IFERROR(__xludf.DUMMYFUNCTION("""COMPUTED_VALUE"""),110.0)</f>
        <v>110</v>
      </c>
      <c r="E125" s="1" t="str">
        <f>IFERROR(__xludf.DUMMYFUNCTION("""COMPUTED_VALUE"""),"Brooklyn Nets")</f>
        <v>Brooklyn Nets</v>
      </c>
      <c r="F125" s="1">
        <f>IFERROR(__xludf.DUMMYFUNCTION("""COMPUTED_VALUE"""),115.0)</f>
        <v>115</v>
      </c>
      <c r="G125" s="1" t="str">
        <f>IFERROR(__xludf.DUMMYFUNCTION("""COMPUTED_VALUE"""),"Box Score")</f>
        <v>Box Score</v>
      </c>
      <c r="H125" s="1"/>
      <c r="I125" s="3">
        <f>IFERROR(__xludf.DUMMYFUNCTION("""COMPUTED_VALUE"""),17732.0)</f>
        <v>17732</v>
      </c>
      <c r="J125" s="1"/>
    </row>
    <row r="126" ht="15.75" customHeight="1">
      <c r="A126" s="2">
        <f>IFERROR(__xludf.DUMMYFUNCTION("""COMPUTED_VALUE"""),43452.0)</f>
        <v>43452</v>
      </c>
      <c r="B126" s="1" t="str">
        <f>IFERROR(__xludf.DUMMYFUNCTION("""COMPUTED_VALUE"""),"9:00p")</f>
        <v>9:00p</v>
      </c>
      <c r="C126" s="1" t="str">
        <f>IFERROR(__xludf.DUMMYFUNCTION("""COMPUTED_VALUE"""),"Dallas Mavericks")</f>
        <v>Dallas Mavericks</v>
      </c>
      <c r="D126" s="1">
        <f>IFERROR(__xludf.DUMMYFUNCTION("""COMPUTED_VALUE"""),118.0)</f>
        <v>118</v>
      </c>
      <c r="E126" s="1" t="str">
        <f>IFERROR(__xludf.DUMMYFUNCTION("""COMPUTED_VALUE"""),"Denver Nuggets")</f>
        <v>Denver Nuggets</v>
      </c>
      <c r="F126" s="1">
        <f>IFERROR(__xludf.DUMMYFUNCTION("""COMPUTED_VALUE"""),126.0)</f>
        <v>126</v>
      </c>
      <c r="G126" s="1" t="str">
        <f>IFERROR(__xludf.DUMMYFUNCTION("""COMPUTED_VALUE"""),"Box Score")</f>
        <v>Box Score</v>
      </c>
      <c r="H126" s="1"/>
      <c r="I126" s="3">
        <f>IFERROR(__xludf.DUMMYFUNCTION("""COMPUTED_VALUE"""),15764.0)</f>
        <v>15764</v>
      </c>
      <c r="J126" s="1"/>
    </row>
    <row r="127" ht="15.75" customHeight="1">
      <c r="A127" s="2">
        <f>IFERROR(__xludf.DUMMYFUNCTION("""COMPUTED_VALUE"""),43453.0)</f>
        <v>43453</v>
      </c>
      <c r="B127" s="1" t="str">
        <f>IFERROR(__xludf.DUMMYFUNCTION("""COMPUTED_VALUE"""),"7:00p")</f>
        <v>7:00p</v>
      </c>
      <c r="C127" s="1" t="str">
        <f>IFERROR(__xludf.DUMMYFUNCTION("""COMPUTED_VALUE"""),"Cleveland Cavaliers")</f>
        <v>Cleveland Cavaliers</v>
      </c>
      <c r="D127" s="1">
        <f>IFERROR(__xludf.DUMMYFUNCTION("""COMPUTED_VALUE"""),99.0)</f>
        <v>99</v>
      </c>
      <c r="E127" s="1" t="str">
        <f>IFERROR(__xludf.DUMMYFUNCTION("""COMPUTED_VALUE"""),"Charlotte Hornets")</f>
        <v>Charlotte Hornets</v>
      </c>
      <c r="F127" s="1">
        <f>IFERROR(__xludf.DUMMYFUNCTION("""COMPUTED_VALUE"""),110.0)</f>
        <v>110</v>
      </c>
      <c r="G127" s="1" t="str">
        <f>IFERROR(__xludf.DUMMYFUNCTION("""COMPUTED_VALUE"""),"Box Score")</f>
        <v>Box Score</v>
      </c>
      <c r="H127" s="1"/>
      <c r="I127" s="3">
        <f>IFERROR(__xludf.DUMMYFUNCTION("""COMPUTED_VALUE"""),15179.0)</f>
        <v>15179</v>
      </c>
      <c r="J127" s="1"/>
    </row>
    <row r="128" ht="15.75" customHeight="1">
      <c r="A128" s="2">
        <f>IFERROR(__xludf.DUMMYFUNCTION("""COMPUTED_VALUE"""),43453.0)</f>
        <v>43453</v>
      </c>
      <c r="B128" s="1" t="str">
        <f>IFERROR(__xludf.DUMMYFUNCTION("""COMPUTED_VALUE"""),"7:00p")</f>
        <v>7:00p</v>
      </c>
      <c r="C128" s="1" t="str">
        <f>IFERROR(__xludf.DUMMYFUNCTION("""COMPUTED_VALUE"""),"San Antonio Spurs")</f>
        <v>San Antonio Spurs</v>
      </c>
      <c r="D128" s="1">
        <f>IFERROR(__xludf.DUMMYFUNCTION("""COMPUTED_VALUE"""),129.0)</f>
        <v>129</v>
      </c>
      <c r="E128" s="1" t="str">
        <f>IFERROR(__xludf.DUMMYFUNCTION("""COMPUTED_VALUE"""),"Orlando Magic")</f>
        <v>Orlando Magic</v>
      </c>
      <c r="F128" s="1">
        <f>IFERROR(__xludf.DUMMYFUNCTION("""COMPUTED_VALUE"""),90.0)</f>
        <v>90</v>
      </c>
      <c r="G128" s="1" t="str">
        <f>IFERROR(__xludf.DUMMYFUNCTION("""COMPUTED_VALUE"""),"Box Score")</f>
        <v>Box Score</v>
      </c>
      <c r="H128" s="1"/>
      <c r="I128" s="3">
        <f>IFERROR(__xludf.DUMMYFUNCTION("""COMPUTED_VALUE"""),17138.0)</f>
        <v>17138</v>
      </c>
      <c r="J128" s="1"/>
    </row>
    <row r="129" ht="15.75" customHeight="1">
      <c r="A129" s="2">
        <f>IFERROR(__xludf.DUMMYFUNCTION("""COMPUTED_VALUE"""),43453.0)</f>
        <v>43453</v>
      </c>
      <c r="B129" s="1" t="str">
        <f>IFERROR(__xludf.DUMMYFUNCTION("""COMPUTED_VALUE"""),"7:00p")</f>
        <v>7:00p</v>
      </c>
      <c r="C129" s="1" t="str">
        <f>IFERROR(__xludf.DUMMYFUNCTION("""COMPUTED_VALUE"""),"New York Knicks")</f>
        <v>New York Knicks</v>
      </c>
      <c r="D129" s="1">
        <f>IFERROR(__xludf.DUMMYFUNCTION("""COMPUTED_VALUE"""),109.0)</f>
        <v>109</v>
      </c>
      <c r="E129" s="1" t="str">
        <f>IFERROR(__xludf.DUMMYFUNCTION("""COMPUTED_VALUE"""),"Philadelphia 76ers")</f>
        <v>Philadelphia 76ers</v>
      </c>
      <c r="F129" s="1">
        <f>IFERROR(__xludf.DUMMYFUNCTION("""COMPUTED_VALUE"""),131.0)</f>
        <v>131</v>
      </c>
      <c r="G129" s="1" t="str">
        <f>IFERROR(__xludf.DUMMYFUNCTION("""COMPUTED_VALUE"""),"Box Score")</f>
        <v>Box Score</v>
      </c>
      <c r="H129" s="1"/>
      <c r="I129" s="3">
        <f>IFERROR(__xludf.DUMMYFUNCTION("""COMPUTED_VALUE"""),20424.0)</f>
        <v>20424</v>
      </c>
      <c r="J129" s="1"/>
    </row>
    <row r="130" ht="15.75" customHeight="1">
      <c r="A130" s="2">
        <f>IFERROR(__xludf.DUMMYFUNCTION("""COMPUTED_VALUE"""),43453.0)</f>
        <v>43453</v>
      </c>
      <c r="B130" s="1" t="str">
        <f>IFERROR(__xludf.DUMMYFUNCTION("""COMPUTED_VALUE"""),"7:30p")</f>
        <v>7:30p</v>
      </c>
      <c r="C130" s="1" t="str">
        <f>IFERROR(__xludf.DUMMYFUNCTION("""COMPUTED_VALUE"""),"Phoenix Suns")</f>
        <v>Phoenix Suns</v>
      </c>
      <c r="D130" s="1">
        <f>IFERROR(__xludf.DUMMYFUNCTION("""COMPUTED_VALUE"""),111.0)</f>
        <v>111</v>
      </c>
      <c r="E130" s="1" t="str">
        <f>IFERROR(__xludf.DUMMYFUNCTION("""COMPUTED_VALUE"""),"Boston Celtics")</f>
        <v>Boston Celtics</v>
      </c>
      <c r="F130" s="1">
        <f>IFERROR(__xludf.DUMMYFUNCTION("""COMPUTED_VALUE"""),103.0)</f>
        <v>103</v>
      </c>
      <c r="G130" s="1" t="str">
        <f>IFERROR(__xludf.DUMMYFUNCTION("""COMPUTED_VALUE"""),"Box Score")</f>
        <v>Box Score</v>
      </c>
      <c r="H130" s="1"/>
      <c r="I130" s="3">
        <f>IFERROR(__xludf.DUMMYFUNCTION("""COMPUTED_VALUE"""),18624.0)</f>
        <v>18624</v>
      </c>
      <c r="J130" s="1"/>
    </row>
    <row r="131" ht="15.75" customHeight="1">
      <c r="A131" s="2">
        <f>IFERROR(__xludf.DUMMYFUNCTION("""COMPUTED_VALUE"""),43453.0)</f>
        <v>43453</v>
      </c>
      <c r="B131" s="1" t="str">
        <f>IFERROR(__xludf.DUMMYFUNCTION("""COMPUTED_VALUE"""),"7:30p")</f>
        <v>7:30p</v>
      </c>
      <c r="C131" s="1" t="str">
        <f>IFERROR(__xludf.DUMMYFUNCTION("""COMPUTED_VALUE"""),"Indiana Pacers")</f>
        <v>Indiana Pacers</v>
      </c>
      <c r="D131" s="1">
        <f>IFERROR(__xludf.DUMMYFUNCTION("""COMPUTED_VALUE"""),96.0)</f>
        <v>96</v>
      </c>
      <c r="E131" s="1" t="str">
        <f>IFERROR(__xludf.DUMMYFUNCTION("""COMPUTED_VALUE"""),"Toronto Raptors")</f>
        <v>Toronto Raptors</v>
      </c>
      <c r="F131" s="1">
        <f>IFERROR(__xludf.DUMMYFUNCTION("""COMPUTED_VALUE"""),99.0)</f>
        <v>99</v>
      </c>
      <c r="G131" s="1" t="str">
        <f>IFERROR(__xludf.DUMMYFUNCTION("""COMPUTED_VALUE"""),"Box Score")</f>
        <v>Box Score</v>
      </c>
      <c r="H131" s="1"/>
      <c r="I131" s="3">
        <f>IFERROR(__xludf.DUMMYFUNCTION("""COMPUTED_VALUE"""),19800.0)</f>
        <v>19800</v>
      </c>
      <c r="J131" s="1"/>
    </row>
    <row r="132" ht="15.75" customHeight="1">
      <c r="A132" s="2">
        <f>IFERROR(__xludf.DUMMYFUNCTION("""COMPUTED_VALUE"""),43453.0)</f>
        <v>43453</v>
      </c>
      <c r="B132" s="1" t="str">
        <f>IFERROR(__xludf.DUMMYFUNCTION("""COMPUTED_VALUE"""),"8:00p")</f>
        <v>8:00p</v>
      </c>
      <c r="C132" s="1" t="str">
        <f>IFERROR(__xludf.DUMMYFUNCTION("""COMPUTED_VALUE"""),"Brooklyn Nets")</f>
        <v>Brooklyn Nets</v>
      </c>
      <c r="D132" s="1">
        <f>IFERROR(__xludf.DUMMYFUNCTION("""COMPUTED_VALUE"""),96.0)</f>
        <v>96</v>
      </c>
      <c r="E132" s="1" t="str">
        <f>IFERROR(__xludf.DUMMYFUNCTION("""COMPUTED_VALUE"""),"Chicago Bulls")</f>
        <v>Chicago Bulls</v>
      </c>
      <c r="F132" s="1">
        <f>IFERROR(__xludf.DUMMYFUNCTION("""COMPUTED_VALUE"""),93.0)</f>
        <v>93</v>
      </c>
      <c r="G132" s="1" t="str">
        <f>IFERROR(__xludf.DUMMYFUNCTION("""COMPUTED_VALUE"""),"Box Score")</f>
        <v>Box Score</v>
      </c>
      <c r="H132" s="1"/>
      <c r="I132" s="3">
        <f>IFERROR(__xludf.DUMMYFUNCTION("""COMPUTED_VALUE"""),18065.0)</f>
        <v>18065</v>
      </c>
      <c r="J132" s="1"/>
    </row>
    <row r="133" ht="15.75" customHeight="1">
      <c r="A133" s="2">
        <f>IFERROR(__xludf.DUMMYFUNCTION("""COMPUTED_VALUE"""),43453.0)</f>
        <v>43453</v>
      </c>
      <c r="B133" s="1" t="str">
        <f>IFERROR(__xludf.DUMMYFUNCTION("""COMPUTED_VALUE"""),"8:00p")</f>
        <v>8:00p</v>
      </c>
      <c r="C133" s="1" t="str">
        <f>IFERROR(__xludf.DUMMYFUNCTION("""COMPUTED_VALUE"""),"Washington Wizards")</f>
        <v>Washington Wizards</v>
      </c>
      <c r="D133" s="1">
        <f>IFERROR(__xludf.DUMMYFUNCTION("""COMPUTED_VALUE"""),118.0)</f>
        <v>118</v>
      </c>
      <c r="E133" s="1" t="str">
        <f>IFERROR(__xludf.DUMMYFUNCTION("""COMPUTED_VALUE"""),"Houston Rockets")</f>
        <v>Houston Rockets</v>
      </c>
      <c r="F133" s="1">
        <f>IFERROR(__xludf.DUMMYFUNCTION("""COMPUTED_VALUE"""),136.0)</f>
        <v>136</v>
      </c>
      <c r="G133" s="1" t="str">
        <f>IFERROR(__xludf.DUMMYFUNCTION("""COMPUTED_VALUE"""),"Box Score")</f>
        <v>Box Score</v>
      </c>
      <c r="H133" s="1"/>
      <c r="I133" s="3">
        <f>IFERROR(__xludf.DUMMYFUNCTION("""COMPUTED_VALUE"""),18055.0)</f>
        <v>18055</v>
      </c>
      <c r="J133" s="1"/>
    </row>
    <row r="134" ht="15.75" customHeight="1">
      <c r="A134" s="2">
        <f>IFERROR(__xludf.DUMMYFUNCTION("""COMPUTED_VALUE"""),43453.0)</f>
        <v>43453</v>
      </c>
      <c r="B134" s="1" t="str">
        <f>IFERROR(__xludf.DUMMYFUNCTION("""COMPUTED_VALUE"""),"8:00p")</f>
        <v>8:00p</v>
      </c>
      <c r="C134" s="1" t="str">
        <f>IFERROR(__xludf.DUMMYFUNCTION("""COMPUTED_VALUE"""),"New Orleans Pelicans")</f>
        <v>New Orleans Pelicans</v>
      </c>
      <c r="D134" s="1">
        <f>IFERROR(__xludf.DUMMYFUNCTION("""COMPUTED_VALUE"""),115.0)</f>
        <v>115</v>
      </c>
      <c r="E134" s="1" t="str">
        <f>IFERROR(__xludf.DUMMYFUNCTION("""COMPUTED_VALUE"""),"Milwaukee Bucks")</f>
        <v>Milwaukee Bucks</v>
      </c>
      <c r="F134" s="1">
        <f>IFERROR(__xludf.DUMMYFUNCTION("""COMPUTED_VALUE"""),123.0)</f>
        <v>123</v>
      </c>
      <c r="G134" s="1" t="str">
        <f>IFERROR(__xludf.DUMMYFUNCTION("""COMPUTED_VALUE"""),"Box Score")</f>
        <v>Box Score</v>
      </c>
      <c r="H134" s="1"/>
      <c r="I134" s="3">
        <f>IFERROR(__xludf.DUMMYFUNCTION("""COMPUTED_VALUE"""),17341.0)</f>
        <v>17341</v>
      </c>
      <c r="J134" s="1"/>
    </row>
    <row r="135" ht="15.75" customHeight="1">
      <c r="A135" s="2">
        <f>IFERROR(__xludf.DUMMYFUNCTION("""COMPUTED_VALUE"""),43453.0)</f>
        <v>43453</v>
      </c>
      <c r="B135" s="1" t="str">
        <f>IFERROR(__xludf.DUMMYFUNCTION("""COMPUTED_VALUE"""),"8:00p")</f>
        <v>8:00p</v>
      </c>
      <c r="C135" s="1" t="str">
        <f>IFERROR(__xludf.DUMMYFUNCTION("""COMPUTED_VALUE"""),"Detroit Pistons")</f>
        <v>Detroit Pistons</v>
      </c>
      <c r="D135" s="1">
        <f>IFERROR(__xludf.DUMMYFUNCTION("""COMPUTED_VALUE"""),129.0)</f>
        <v>129</v>
      </c>
      <c r="E135" s="1" t="str">
        <f>IFERROR(__xludf.DUMMYFUNCTION("""COMPUTED_VALUE"""),"Minnesota Timberwolves")</f>
        <v>Minnesota Timberwolves</v>
      </c>
      <c r="F135" s="1">
        <f>IFERROR(__xludf.DUMMYFUNCTION("""COMPUTED_VALUE"""),123.0)</f>
        <v>123</v>
      </c>
      <c r="G135" s="1" t="str">
        <f>IFERROR(__xludf.DUMMYFUNCTION("""COMPUTED_VALUE"""),"Box Score")</f>
        <v>Box Score</v>
      </c>
      <c r="H135" s="1" t="str">
        <f>IFERROR(__xludf.DUMMYFUNCTION("""COMPUTED_VALUE"""),"OT")</f>
        <v>OT</v>
      </c>
      <c r="I135" s="3">
        <f>IFERROR(__xludf.DUMMYFUNCTION("""COMPUTED_VALUE"""),15883.0)</f>
        <v>15883</v>
      </c>
      <c r="J135" s="1"/>
    </row>
    <row r="136" ht="15.75" customHeight="1">
      <c r="A136" s="2">
        <f>IFERROR(__xludf.DUMMYFUNCTION("""COMPUTED_VALUE"""),43453.0)</f>
        <v>43453</v>
      </c>
      <c r="B136" s="1" t="str">
        <f>IFERROR(__xludf.DUMMYFUNCTION("""COMPUTED_VALUE"""),"9:00p")</f>
        <v>9:00p</v>
      </c>
      <c r="C136" s="1" t="str">
        <f>IFERROR(__xludf.DUMMYFUNCTION("""COMPUTED_VALUE"""),"Golden State Warriors")</f>
        <v>Golden State Warriors</v>
      </c>
      <c r="D136" s="1">
        <f>IFERROR(__xludf.DUMMYFUNCTION("""COMPUTED_VALUE"""),103.0)</f>
        <v>103</v>
      </c>
      <c r="E136" s="1" t="str">
        <f>IFERROR(__xludf.DUMMYFUNCTION("""COMPUTED_VALUE"""),"Utah Jazz")</f>
        <v>Utah Jazz</v>
      </c>
      <c r="F136" s="1">
        <f>IFERROR(__xludf.DUMMYFUNCTION("""COMPUTED_VALUE"""),108.0)</f>
        <v>108</v>
      </c>
      <c r="G136" s="1" t="str">
        <f>IFERROR(__xludf.DUMMYFUNCTION("""COMPUTED_VALUE"""),"Box Score")</f>
        <v>Box Score</v>
      </c>
      <c r="H136" s="1"/>
      <c r="I136" s="3">
        <f>IFERROR(__xludf.DUMMYFUNCTION("""COMPUTED_VALUE"""),18306.0)</f>
        <v>18306</v>
      </c>
      <c r="J136" s="1"/>
    </row>
    <row r="137" ht="15.75" customHeight="1">
      <c r="A137" s="2">
        <f>IFERROR(__xludf.DUMMYFUNCTION("""COMPUTED_VALUE"""),43453.0)</f>
        <v>43453</v>
      </c>
      <c r="B137" s="1" t="str">
        <f>IFERROR(__xludf.DUMMYFUNCTION("""COMPUTED_VALUE"""),"10:00p")</f>
        <v>10:00p</v>
      </c>
      <c r="C137" s="1" t="str">
        <f>IFERROR(__xludf.DUMMYFUNCTION("""COMPUTED_VALUE"""),"Memphis Grizzlies")</f>
        <v>Memphis Grizzlies</v>
      </c>
      <c r="D137" s="1">
        <f>IFERROR(__xludf.DUMMYFUNCTION("""COMPUTED_VALUE"""),92.0)</f>
        <v>92</v>
      </c>
      <c r="E137" s="1" t="str">
        <f>IFERROR(__xludf.DUMMYFUNCTION("""COMPUTED_VALUE"""),"Portland Trail Blazers")</f>
        <v>Portland Trail Blazers</v>
      </c>
      <c r="F137" s="1">
        <f>IFERROR(__xludf.DUMMYFUNCTION("""COMPUTED_VALUE"""),99.0)</f>
        <v>99</v>
      </c>
      <c r="G137" s="1" t="str">
        <f>IFERROR(__xludf.DUMMYFUNCTION("""COMPUTED_VALUE"""),"Box Score")</f>
        <v>Box Score</v>
      </c>
      <c r="H137" s="1"/>
      <c r="I137" s="3">
        <f>IFERROR(__xludf.DUMMYFUNCTION("""COMPUTED_VALUE"""),19412.0)</f>
        <v>19412</v>
      </c>
      <c r="J137" s="1"/>
    </row>
    <row r="138" ht="15.75" customHeight="1">
      <c r="A138" s="2">
        <f>IFERROR(__xludf.DUMMYFUNCTION("""COMPUTED_VALUE"""),43453.0)</f>
        <v>43453</v>
      </c>
      <c r="B138" s="1" t="str">
        <f>IFERROR(__xludf.DUMMYFUNCTION("""COMPUTED_VALUE"""),"10:00p")</f>
        <v>10:00p</v>
      </c>
      <c r="C138" s="1" t="str">
        <f>IFERROR(__xludf.DUMMYFUNCTION("""COMPUTED_VALUE"""),"Oklahoma City Thunder")</f>
        <v>Oklahoma City Thunder</v>
      </c>
      <c r="D138" s="1">
        <f>IFERROR(__xludf.DUMMYFUNCTION("""COMPUTED_VALUE"""),132.0)</f>
        <v>132</v>
      </c>
      <c r="E138" s="1" t="str">
        <f>IFERROR(__xludf.DUMMYFUNCTION("""COMPUTED_VALUE"""),"Sacramento Kings")</f>
        <v>Sacramento Kings</v>
      </c>
      <c r="F138" s="1">
        <f>IFERROR(__xludf.DUMMYFUNCTION("""COMPUTED_VALUE"""),113.0)</f>
        <v>113</v>
      </c>
      <c r="G138" s="1" t="str">
        <f>IFERROR(__xludf.DUMMYFUNCTION("""COMPUTED_VALUE"""),"Box Score")</f>
        <v>Box Score</v>
      </c>
      <c r="H138" s="1"/>
      <c r="I138" s="3">
        <f>IFERROR(__xludf.DUMMYFUNCTION("""COMPUTED_VALUE"""),17583.0)</f>
        <v>17583</v>
      </c>
      <c r="J138" s="1"/>
    </row>
    <row r="139" ht="15.75" customHeight="1">
      <c r="A139" s="2">
        <f>IFERROR(__xludf.DUMMYFUNCTION("""COMPUTED_VALUE"""),43454.0)</f>
        <v>43454</v>
      </c>
      <c r="B139" s="1" t="str">
        <f>IFERROR(__xludf.DUMMYFUNCTION("""COMPUTED_VALUE"""),"8:00p")</f>
        <v>8:00p</v>
      </c>
      <c r="C139" s="1" t="str">
        <f>IFERROR(__xludf.DUMMYFUNCTION("""COMPUTED_VALUE"""),"Houston Rockets")</f>
        <v>Houston Rockets</v>
      </c>
      <c r="D139" s="1">
        <f>IFERROR(__xludf.DUMMYFUNCTION("""COMPUTED_VALUE"""),99.0)</f>
        <v>99</v>
      </c>
      <c r="E139" s="1" t="str">
        <f>IFERROR(__xludf.DUMMYFUNCTION("""COMPUTED_VALUE"""),"Miami Heat")</f>
        <v>Miami Heat</v>
      </c>
      <c r="F139" s="1">
        <f>IFERROR(__xludf.DUMMYFUNCTION("""COMPUTED_VALUE"""),101.0)</f>
        <v>101</v>
      </c>
      <c r="G139" s="1" t="str">
        <f>IFERROR(__xludf.DUMMYFUNCTION("""COMPUTED_VALUE"""),"Box Score")</f>
        <v>Box Score</v>
      </c>
      <c r="H139" s="1"/>
      <c r="I139" s="3">
        <f>IFERROR(__xludf.DUMMYFUNCTION("""COMPUTED_VALUE"""),19600.0)</f>
        <v>19600</v>
      </c>
      <c r="J139" s="1"/>
    </row>
    <row r="140" ht="15.75" customHeight="1">
      <c r="A140" s="2">
        <f>IFERROR(__xludf.DUMMYFUNCTION("""COMPUTED_VALUE"""),43454.0)</f>
        <v>43454</v>
      </c>
      <c r="B140" s="1" t="str">
        <f>IFERROR(__xludf.DUMMYFUNCTION("""COMPUTED_VALUE"""),"10:30p")</f>
        <v>10:30p</v>
      </c>
      <c r="C140" s="1" t="str">
        <f>IFERROR(__xludf.DUMMYFUNCTION("""COMPUTED_VALUE"""),"Dallas Mavericks")</f>
        <v>Dallas Mavericks</v>
      </c>
      <c r="D140" s="1">
        <f>IFERROR(__xludf.DUMMYFUNCTION("""COMPUTED_VALUE"""),121.0)</f>
        <v>121</v>
      </c>
      <c r="E140" s="1" t="str">
        <f>IFERROR(__xludf.DUMMYFUNCTION("""COMPUTED_VALUE"""),"Los Angeles Clippers")</f>
        <v>Los Angeles Clippers</v>
      </c>
      <c r="F140" s="1">
        <f>IFERROR(__xludf.DUMMYFUNCTION("""COMPUTED_VALUE"""),125.0)</f>
        <v>125</v>
      </c>
      <c r="G140" s="1" t="str">
        <f>IFERROR(__xludf.DUMMYFUNCTION("""COMPUTED_VALUE"""),"Box Score")</f>
        <v>Box Score</v>
      </c>
      <c r="H140" s="1"/>
      <c r="I140" s="3">
        <f>IFERROR(__xludf.DUMMYFUNCTION("""COMPUTED_VALUE"""),17528.0)</f>
        <v>17528</v>
      </c>
      <c r="J140" s="1"/>
    </row>
    <row r="141" ht="15.75" customHeight="1">
      <c r="A141" s="2">
        <f>IFERROR(__xludf.DUMMYFUNCTION("""COMPUTED_VALUE"""),43455.0)</f>
        <v>43455</v>
      </c>
      <c r="B141" s="1" t="str">
        <f>IFERROR(__xludf.DUMMYFUNCTION("""COMPUTED_VALUE"""),"7:00p")</f>
        <v>7:00p</v>
      </c>
      <c r="C141" s="1" t="str">
        <f>IFERROR(__xludf.DUMMYFUNCTION("""COMPUTED_VALUE"""),"Detroit Pistons")</f>
        <v>Detroit Pistons</v>
      </c>
      <c r="D141" s="1">
        <f>IFERROR(__xludf.DUMMYFUNCTION("""COMPUTED_VALUE"""),86.0)</f>
        <v>86</v>
      </c>
      <c r="E141" s="1" t="str">
        <f>IFERROR(__xludf.DUMMYFUNCTION("""COMPUTED_VALUE"""),"Charlotte Hornets")</f>
        <v>Charlotte Hornets</v>
      </c>
      <c r="F141" s="1">
        <f>IFERROR(__xludf.DUMMYFUNCTION("""COMPUTED_VALUE"""),98.0)</f>
        <v>98</v>
      </c>
      <c r="G141" s="1" t="str">
        <f>IFERROR(__xludf.DUMMYFUNCTION("""COMPUTED_VALUE"""),"Box Score")</f>
        <v>Box Score</v>
      </c>
      <c r="H141" s="1"/>
      <c r="I141" s="3">
        <f>IFERROR(__xludf.DUMMYFUNCTION("""COMPUTED_VALUE"""),15812.0)</f>
        <v>15812</v>
      </c>
      <c r="J141" s="1"/>
    </row>
    <row r="142" ht="15.75" customHeight="1">
      <c r="A142" s="2">
        <f>IFERROR(__xludf.DUMMYFUNCTION("""COMPUTED_VALUE"""),43455.0)</f>
        <v>43455</v>
      </c>
      <c r="B142" s="1" t="str">
        <f>IFERROR(__xludf.DUMMYFUNCTION("""COMPUTED_VALUE"""),"7:00p")</f>
        <v>7:00p</v>
      </c>
      <c r="C142" s="1" t="str">
        <f>IFERROR(__xludf.DUMMYFUNCTION("""COMPUTED_VALUE"""),"Cleveland Cavaliers")</f>
        <v>Cleveland Cavaliers</v>
      </c>
      <c r="D142" s="1">
        <f>IFERROR(__xludf.DUMMYFUNCTION("""COMPUTED_VALUE"""),110.0)</f>
        <v>110</v>
      </c>
      <c r="E142" s="1" t="str">
        <f>IFERROR(__xludf.DUMMYFUNCTION("""COMPUTED_VALUE"""),"Toronto Raptors")</f>
        <v>Toronto Raptors</v>
      </c>
      <c r="F142" s="1">
        <f>IFERROR(__xludf.DUMMYFUNCTION("""COMPUTED_VALUE"""),126.0)</f>
        <v>126</v>
      </c>
      <c r="G142" s="1" t="str">
        <f>IFERROR(__xludf.DUMMYFUNCTION("""COMPUTED_VALUE"""),"Box Score")</f>
        <v>Box Score</v>
      </c>
      <c r="H142" s="1"/>
      <c r="I142" s="3">
        <f>IFERROR(__xludf.DUMMYFUNCTION("""COMPUTED_VALUE"""),19800.0)</f>
        <v>19800</v>
      </c>
      <c r="J142" s="1"/>
    </row>
    <row r="143" ht="15.75" customHeight="1">
      <c r="A143" s="2">
        <f>IFERROR(__xludf.DUMMYFUNCTION("""COMPUTED_VALUE"""),43455.0)</f>
        <v>43455</v>
      </c>
      <c r="B143" s="1" t="str">
        <f>IFERROR(__xludf.DUMMYFUNCTION("""COMPUTED_VALUE"""),"7:30p")</f>
        <v>7:30p</v>
      </c>
      <c r="C143" s="1" t="str">
        <f>IFERROR(__xludf.DUMMYFUNCTION("""COMPUTED_VALUE"""),"Indiana Pacers")</f>
        <v>Indiana Pacers</v>
      </c>
      <c r="D143" s="1">
        <f>IFERROR(__xludf.DUMMYFUNCTION("""COMPUTED_VALUE"""),114.0)</f>
        <v>114</v>
      </c>
      <c r="E143" s="1" t="str">
        <f>IFERROR(__xludf.DUMMYFUNCTION("""COMPUTED_VALUE"""),"Brooklyn Nets")</f>
        <v>Brooklyn Nets</v>
      </c>
      <c r="F143" s="1">
        <f>IFERROR(__xludf.DUMMYFUNCTION("""COMPUTED_VALUE"""),106.0)</f>
        <v>106</v>
      </c>
      <c r="G143" s="1" t="str">
        <f>IFERROR(__xludf.DUMMYFUNCTION("""COMPUTED_VALUE"""),"Box Score")</f>
        <v>Box Score</v>
      </c>
      <c r="H143" s="1"/>
      <c r="I143" s="3">
        <f>IFERROR(__xludf.DUMMYFUNCTION("""COMPUTED_VALUE"""),13302.0)</f>
        <v>13302</v>
      </c>
      <c r="J143" s="1"/>
    </row>
    <row r="144" ht="15.75" customHeight="1">
      <c r="A144" s="2">
        <f>IFERROR(__xludf.DUMMYFUNCTION("""COMPUTED_VALUE"""),43455.0)</f>
        <v>43455</v>
      </c>
      <c r="B144" s="1" t="str">
        <f>IFERROR(__xludf.DUMMYFUNCTION("""COMPUTED_VALUE"""),"7:30p")</f>
        <v>7:30p</v>
      </c>
      <c r="C144" s="1" t="str">
        <f>IFERROR(__xludf.DUMMYFUNCTION("""COMPUTED_VALUE"""),"Atlanta Hawks")</f>
        <v>Atlanta Hawks</v>
      </c>
      <c r="D144" s="1">
        <f>IFERROR(__xludf.DUMMYFUNCTION("""COMPUTED_VALUE"""),114.0)</f>
        <v>114</v>
      </c>
      <c r="E144" s="1" t="str">
        <f>IFERROR(__xludf.DUMMYFUNCTION("""COMPUTED_VALUE"""),"New York Knicks")</f>
        <v>New York Knicks</v>
      </c>
      <c r="F144" s="1">
        <f>IFERROR(__xludf.DUMMYFUNCTION("""COMPUTED_VALUE"""),107.0)</f>
        <v>107</v>
      </c>
      <c r="G144" s="1" t="str">
        <f>IFERROR(__xludf.DUMMYFUNCTION("""COMPUTED_VALUE"""),"Box Score")</f>
        <v>Box Score</v>
      </c>
      <c r="H144" s="1"/>
      <c r="I144" s="3">
        <f>IFERROR(__xludf.DUMMYFUNCTION("""COMPUTED_VALUE"""),19080.0)</f>
        <v>19080</v>
      </c>
      <c r="J144" s="1"/>
    </row>
    <row r="145" ht="15.75" customHeight="1">
      <c r="A145" s="2">
        <f>IFERROR(__xludf.DUMMYFUNCTION("""COMPUTED_VALUE"""),43455.0)</f>
        <v>43455</v>
      </c>
      <c r="B145" s="1" t="str">
        <f>IFERROR(__xludf.DUMMYFUNCTION("""COMPUTED_VALUE"""),"8:00p")</f>
        <v>8:00p</v>
      </c>
      <c r="C145" s="1" t="str">
        <f>IFERROR(__xludf.DUMMYFUNCTION("""COMPUTED_VALUE"""),"Milwaukee Bucks")</f>
        <v>Milwaukee Bucks</v>
      </c>
      <c r="D145" s="1">
        <f>IFERROR(__xludf.DUMMYFUNCTION("""COMPUTED_VALUE"""),120.0)</f>
        <v>120</v>
      </c>
      <c r="E145" s="1" t="str">
        <f>IFERROR(__xludf.DUMMYFUNCTION("""COMPUTED_VALUE"""),"Boston Celtics")</f>
        <v>Boston Celtics</v>
      </c>
      <c r="F145" s="1">
        <f>IFERROR(__xludf.DUMMYFUNCTION("""COMPUTED_VALUE"""),107.0)</f>
        <v>107</v>
      </c>
      <c r="G145" s="1" t="str">
        <f>IFERROR(__xludf.DUMMYFUNCTION("""COMPUTED_VALUE"""),"Box Score")</f>
        <v>Box Score</v>
      </c>
      <c r="H145" s="1"/>
      <c r="I145" s="3">
        <f>IFERROR(__xludf.DUMMYFUNCTION("""COMPUTED_VALUE"""),18624.0)</f>
        <v>18624</v>
      </c>
      <c r="J145" s="1"/>
    </row>
    <row r="146" ht="15.75" customHeight="1">
      <c r="A146" s="2">
        <f>IFERROR(__xludf.DUMMYFUNCTION("""COMPUTED_VALUE"""),43455.0)</f>
        <v>43455</v>
      </c>
      <c r="B146" s="1" t="str">
        <f>IFERROR(__xludf.DUMMYFUNCTION("""COMPUTED_VALUE"""),"8:00p")</f>
        <v>8:00p</v>
      </c>
      <c r="C146" s="1" t="str">
        <f>IFERROR(__xludf.DUMMYFUNCTION("""COMPUTED_VALUE"""),"Orlando Magic")</f>
        <v>Orlando Magic</v>
      </c>
      <c r="D146" s="1">
        <f>IFERROR(__xludf.DUMMYFUNCTION("""COMPUTED_VALUE"""),80.0)</f>
        <v>80</v>
      </c>
      <c r="E146" s="1" t="str">
        <f>IFERROR(__xludf.DUMMYFUNCTION("""COMPUTED_VALUE"""),"Chicago Bulls")</f>
        <v>Chicago Bulls</v>
      </c>
      <c r="F146" s="1">
        <f>IFERROR(__xludf.DUMMYFUNCTION("""COMPUTED_VALUE"""),90.0)</f>
        <v>90</v>
      </c>
      <c r="G146" s="1" t="str">
        <f>IFERROR(__xludf.DUMMYFUNCTION("""COMPUTED_VALUE"""),"Box Score")</f>
        <v>Box Score</v>
      </c>
      <c r="H146" s="1"/>
      <c r="I146" s="3">
        <f>IFERROR(__xludf.DUMMYFUNCTION("""COMPUTED_VALUE"""),20436.0)</f>
        <v>20436</v>
      </c>
      <c r="J146" s="1"/>
    </row>
    <row r="147" ht="15.75" customHeight="1">
      <c r="A147" s="2">
        <f>IFERROR(__xludf.DUMMYFUNCTION("""COMPUTED_VALUE"""),43455.0)</f>
        <v>43455</v>
      </c>
      <c r="B147" s="1" t="str">
        <f>IFERROR(__xludf.DUMMYFUNCTION("""COMPUTED_VALUE"""),"8:30p")</f>
        <v>8:30p</v>
      </c>
      <c r="C147" s="1" t="str">
        <f>IFERROR(__xludf.DUMMYFUNCTION("""COMPUTED_VALUE"""),"Minnesota Timberwolves")</f>
        <v>Minnesota Timberwolves</v>
      </c>
      <c r="D147" s="1">
        <f>IFERROR(__xludf.DUMMYFUNCTION("""COMPUTED_VALUE"""),98.0)</f>
        <v>98</v>
      </c>
      <c r="E147" s="1" t="str">
        <f>IFERROR(__xludf.DUMMYFUNCTION("""COMPUTED_VALUE"""),"San Antonio Spurs")</f>
        <v>San Antonio Spurs</v>
      </c>
      <c r="F147" s="1">
        <f>IFERROR(__xludf.DUMMYFUNCTION("""COMPUTED_VALUE"""),124.0)</f>
        <v>124</v>
      </c>
      <c r="G147" s="1" t="str">
        <f>IFERROR(__xludf.DUMMYFUNCTION("""COMPUTED_VALUE"""),"Box Score")</f>
        <v>Box Score</v>
      </c>
      <c r="H147" s="1"/>
      <c r="I147" s="3">
        <f>IFERROR(__xludf.DUMMYFUNCTION("""COMPUTED_VALUE"""),17708.0)</f>
        <v>17708</v>
      </c>
      <c r="J147" s="1"/>
    </row>
    <row r="148" ht="15.75" customHeight="1">
      <c r="A148" s="2">
        <f>IFERROR(__xludf.DUMMYFUNCTION("""COMPUTED_VALUE"""),43455.0)</f>
        <v>43455</v>
      </c>
      <c r="B148" s="1" t="str">
        <f>IFERROR(__xludf.DUMMYFUNCTION("""COMPUTED_VALUE"""),"10:00p")</f>
        <v>10:00p</v>
      </c>
      <c r="C148" s="1" t="str">
        <f>IFERROR(__xludf.DUMMYFUNCTION("""COMPUTED_VALUE"""),"Utah Jazz")</f>
        <v>Utah Jazz</v>
      </c>
      <c r="D148" s="1">
        <f>IFERROR(__xludf.DUMMYFUNCTION("""COMPUTED_VALUE"""),120.0)</f>
        <v>120</v>
      </c>
      <c r="E148" s="1" t="str">
        <f>IFERROR(__xludf.DUMMYFUNCTION("""COMPUTED_VALUE"""),"Portland Trail Blazers")</f>
        <v>Portland Trail Blazers</v>
      </c>
      <c r="F148" s="1">
        <f>IFERROR(__xludf.DUMMYFUNCTION("""COMPUTED_VALUE"""),90.0)</f>
        <v>90</v>
      </c>
      <c r="G148" s="1" t="str">
        <f>IFERROR(__xludf.DUMMYFUNCTION("""COMPUTED_VALUE"""),"Box Score")</f>
        <v>Box Score</v>
      </c>
      <c r="H148" s="1"/>
      <c r="I148" s="3">
        <f>IFERROR(__xludf.DUMMYFUNCTION("""COMPUTED_VALUE"""),19127.0)</f>
        <v>19127</v>
      </c>
      <c r="J148" s="1"/>
    </row>
    <row r="149" ht="15.75" customHeight="1">
      <c r="A149" s="2">
        <f>IFERROR(__xludf.DUMMYFUNCTION("""COMPUTED_VALUE"""),43455.0)</f>
        <v>43455</v>
      </c>
      <c r="B149" s="1" t="str">
        <f>IFERROR(__xludf.DUMMYFUNCTION("""COMPUTED_VALUE"""),"10:00p")</f>
        <v>10:00p</v>
      </c>
      <c r="C149" s="1" t="str">
        <f>IFERROR(__xludf.DUMMYFUNCTION("""COMPUTED_VALUE"""),"Memphis Grizzlies")</f>
        <v>Memphis Grizzlies</v>
      </c>
      <c r="D149" s="1">
        <f>IFERROR(__xludf.DUMMYFUNCTION("""COMPUTED_VALUE"""),99.0)</f>
        <v>99</v>
      </c>
      <c r="E149" s="1" t="str">
        <f>IFERROR(__xludf.DUMMYFUNCTION("""COMPUTED_VALUE"""),"Sacramento Kings")</f>
        <v>Sacramento Kings</v>
      </c>
      <c r="F149" s="1">
        <f>IFERROR(__xludf.DUMMYFUNCTION("""COMPUTED_VALUE"""),102.0)</f>
        <v>102</v>
      </c>
      <c r="G149" s="1" t="str">
        <f>IFERROR(__xludf.DUMMYFUNCTION("""COMPUTED_VALUE"""),"Box Score")</f>
        <v>Box Score</v>
      </c>
      <c r="H149" s="1"/>
      <c r="I149" s="3">
        <f>IFERROR(__xludf.DUMMYFUNCTION("""COMPUTED_VALUE"""),16369.0)</f>
        <v>16369</v>
      </c>
      <c r="J149" s="1"/>
    </row>
    <row r="150" ht="15.75" customHeight="1">
      <c r="A150" s="2">
        <f>IFERROR(__xludf.DUMMYFUNCTION("""COMPUTED_VALUE"""),43455.0)</f>
        <v>43455</v>
      </c>
      <c r="B150" s="1" t="str">
        <f>IFERROR(__xludf.DUMMYFUNCTION("""COMPUTED_VALUE"""),"10:30p")</f>
        <v>10:30p</v>
      </c>
      <c r="C150" s="1" t="str">
        <f>IFERROR(__xludf.DUMMYFUNCTION("""COMPUTED_VALUE"""),"New Orleans Pelicans")</f>
        <v>New Orleans Pelicans</v>
      </c>
      <c r="D150" s="1">
        <f>IFERROR(__xludf.DUMMYFUNCTION("""COMPUTED_VALUE"""),104.0)</f>
        <v>104</v>
      </c>
      <c r="E150" s="1" t="str">
        <f>IFERROR(__xludf.DUMMYFUNCTION("""COMPUTED_VALUE"""),"Los Angeles Lakers")</f>
        <v>Los Angeles Lakers</v>
      </c>
      <c r="F150" s="1">
        <f>IFERROR(__xludf.DUMMYFUNCTION("""COMPUTED_VALUE"""),112.0)</f>
        <v>112</v>
      </c>
      <c r="G150" s="1" t="str">
        <f>IFERROR(__xludf.DUMMYFUNCTION("""COMPUTED_VALUE"""),"Box Score")</f>
        <v>Box Score</v>
      </c>
      <c r="H150" s="1"/>
      <c r="I150" s="3">
        <f>IFERROR(__xludf.DUMMYFUNCTION("""COMPUTED_VALUE"""),18997.0)</f>
        <v>18997</v>
      </c>
      <c r="J150" s="1"/>
    </row>
    <row r="151" ht="15.75" customHeight="1">
      <c r="A151" s="2">
        <f>IFERROR(__xludf.DUMMYFUNCTION("""COMPUTED_VALUE"""),43456.0)</f>
        <v>43456</v>
      </c>
      <c r="B151" s="1" t="str">
        <f>IFERROR(__xludf.DUMMYFUNCTION("""COMPUTED_VALUE"""),"5:00p")</f>
        <v>5:00p</v>
      </c>
      <c r="C151" s="1" t="str">
        <f>IFERROR(__xludf.DUMMYFUNCTION("""COMPUTED_VALUE"""),"Denver Nuggets")</f>
        <v>Denver Nuggets</v>
      </c>
      <c r="D151" s="1">
        <f>IFERROR(__xludf.DUMMYFUNCTION("""COMPUTED_VALUE"""),111.0)</f>
        <v>111</v>
      </c>
      <c r="E151" s="1" t="str">
        <f>IFERROR(__xludf.DUMMYFUNCTION("""COMPUTED_VALUE"""),"Los Angeles Clippers")</f>
        <v>Los Angeles Clippers</v>
      </c>
      <c r="F151" s="1">
        <f>IFERROR(__xludf.DUMMYFUNCTION("""COMPUTED_VALUE"""),132.0)</f>
        <v>132</v>
      </c>
      <c r="G151" s="1" t="str">
        <f>IFERROR(__xludf.DUMMYFUNCTION("""COMPUTED_VALUE"""),"Box Score")</f>
        <v>Box Score</v>
      </c>
      <c r="H151" s="1"/>
      <c r="I151" s="3">
        <f>IFERROR(__xludf.DUMMYFUNCTION("""COMPUTED_VALUE"""),16571.0)</f>
        <v>16571</v>
      </c>
      <c r="J151" s="1"/>
    </row>
    <row r="152" ht="15.75" customHeight="1">
      <c r="A152" s="2">
        <f>IFERROR(__xludf.DUMMYFUNCTION("""COMPUTED_VALUE"""),43456.0)</f>
        <v>43456</v>
      </c>
      <c r="B152" s="1" t="str">
        <f>IFERROR(__xludf.DUMMYFUNCTION("""COMPUTED_VALUE"""),"7:00p")</f>
        <v>7:00p</v>
      </c>
      <c r="C152" s="1" t="str">
        <f>IFERROR(__xludf.DUMMYFUNCTION("""COMPUTED_VALUE"""),"Phoenix Suns")</f>
        <v>Phoenix Suns</v>
      </c>
      <c r="D152" s="1">
        <f>IFERROR(__xludf.DUMMYFUNCTION("""COMPUTED_VALUE"""),146.0)</f>
        <v>146</v>
      </c>
      <c r="E152" s="1" t="str">
        <f>IFERROR(__xludf.DUMMYFUNCTION("""COMPUTED_VALUE"""),"Washington Wizards")</f>
        <v>Washington Wizards</v>
      </c>
      <c r="F152" s="1">
        <f>IFERROR(__xludf.DUMMYFUNCTION("""COMPUTED_VALUE"""),149.0)</f>
        <v>149</v>
      </c>
      <c r="G152" s="1" t="str">
        <f>IFERROR(__xludf.DUMMYFUNCTION("""COMPUTED_VALUE"""),"Box Score")</f>
        <v>Box Score</v>
      </c>
      <c r="H152" s="1" t="str">
        <f>IFERROR(__xludf.DUMMYFUNCTION("""COMPUTED_VALUE"""),"3OT")</f>
        <v>3OT</v>
      </c>
      <c r="I152" s="3">
        <f>IFERROR(__xludf.DUMMYFUNCTION("""COMPUTED_VALUE"""),16571.0)</f>
        <v>16571</v>
      </c>
      <c r="J152" s="1"/>
    </row>
    <row r="153" ht="15.75" customHeight="1">
      <c r="A153" s="2">
        <f>IFERROR(__xludf.DUMMYFUNCTION("""COMPUTED_VALUE"""),43456.0)</f>
        <v>43456</v>
      </c>
      <c r="B153" s="1" t="str">
        <f>IFERROR(__xludf.DUMMYFUNCTION("""COMPUTED_VALUE"""),"7:30p")</f>
        <v>7:30p</v>
      </c>
      <c r="C153" s="1" t="str">
        <f>IFERROR(__xludf.DUMMYFUNCTION("""COMPUTED_VALUE"""),"Toronto Raptors")</f>
        <v>Toronto Raptors</v>
      </c>
      <c r="D153" s="1">
        <f>IFERROR(__xludf.DUMMYFUNCTION("""COMPUTED_VALUE"""),101.0)</f>
        <v>101</v>
      </c>
      <c r="E153" s="1" t="str">
        <f>IFERROR(__xludf.DUMMYFUNCTION("""COMPUTED_VALUE"""),"Philadelphia 76ers")</f>
        <v>Philadelphia 76ers</v>
      </c>
      <c r="F153" s="1">
        <f>IFERROR(__xludf.DUMMYFUNCTION("""COMPUTED_VALUE"""),126.0)</f>
        <v>126</v>
      </c>
      <c r="G153" s="1" t="str">
        <f>IFERROR(__xludf.DUMMYFUNCTION("""COMPUTED_VALUE"""),"Box Score")</f>
        <v>Box Score</v>
      </c>
      <c r="H153" s="1"/>
      <c r="I153" s="3">
        <f>IFERROR(__xludf.DUMMYFUNCTION("""COMPUTED_VALUE"""),20691.0)</f>
        <v>20691</v>
      </c>
      <c r="J153" s="1"/>
    </row>
    <row r="154" ht="15.75" customHeight="1">
      <c r="A154" s="2">
        <f>IFERROR(__xludf.DUMMYFUNCTION("""COMPUTED_VALUE"""),43456.0)</f>
        <v>43456</v>
      </c>
      <c r="B154" s="1" t="str">
        <f>IFERROR(__xludf.DUMMYFUNCTION("""COMPUTED_VALUE"""),"8:00p")</f>
        <v>8:00p</v>
      </c>
      <c r="C154" s="1" t="str">
        <f>IFERROR(__xludf.DUMMYFUNCTION("""COMPUTED_VALUE"""),"San Antonio Spurs")</f>
        <v>San Antonio Spurs</v>
      </c>
      <c r="D154" s="1">
        <f>IFERROR(__xludf.DUMMYFUNCTION("""COMPUTED_VALUE"""),101.0)</f>
        <v>101</v>
      </c>
      <c r="E154" s="1" t="str">
        <f>IFERROR(__xludf.DUMMYFUNCTION("""COMPUTED_VALUE"""),"Houston Rockets")</f>
        <v>Houston Rockets</v>
      </c>
      <c r="F154" s="1">
        <f>IFERROR(__xludf.DUMMYFUNCTION("""COMPUTED_VALUE"""),108.0)</f>
        <v>108</v>
      </c>
      <c r="G154" s="1" t="str">
        <f>IFERROR(__xludf.DUMMYFUNCTION("""COMPUTED_VALUE"""),"Box Score")</f>
        <v>Box Score</v>
      </c>
      <c r="H154" s="1"/>
      <c r="I154" s="3">
        <f>IFERROR(__xludf.DUMMYFUNCTION("""COMPUTED_VALUE"""),18055.0)</f>
        <v>18055</v>
      </c>
      <c r="J154" s="1"/>
    </row>
    <row r="155" ht="15.75" customHeight="1">
      <c r="A155" s="2">
        <f>IFERROR(__xludf.DUMMYFUNCTION("""COMPUTED_VALUE"""),43456.0)</f>
        <v>43456</v>
      </c>
      <c r="B155" s="1" t="str">
        <f>IFERROR(__xludf.DUMMYFUNCTION("""COMPUTED_VALUE"""),"8:00p")</f>
        <v>8:00p</v>
      </c>
      <c r="C155" s="1" t="str">
        <f>IFERROR(__xludf.DUMMYFUNCTION("""COMPUTED_VALUE"""),"Milwaukee Bucks")</f>
        <v>Milwaukee Bucks</v>
      </c>
      <c r="D155" s="1">
        <f>IFERROR(__xludf.DUMMYFUNCTION("""COMPUTED_VALUE"""),87.0)</f>
        <v>87</v>
      </c>
      <c r="E155" s="1" t="str">
        <f>IFERROR(__xludf.DUMMYFUNCTION("""COMPUTED_VALUE"""),"Miami Heat")</f>
        <v>Miami Heat</v>
      </c>
      <c r="F155" s="1">
        <f>IFERROR(__xludf.DUMMYFUNCTION("""COMPUTED_VALUE"""),94.0)</f>
        <v>94</v>
      </c>
      <c r="G155" s="1" t="str">
        <f>IFERROR(__xludf.DUMMYFUNCTION("""COMPUTED_VALUE"""),"Box Score")</f>
        <v>Box Score</v>
      </c>
      <c r="H155" s="1"/>
      <c r="I155" s="3">
        <f>IFERROR(__xludf.DUMMYFUNCTION("""COMPUTED_VALUE"""),19600.0)</f>
        <v>19600</v>
      </c>
      <c r="J155" s="1"/>
    </row>
    <row r="156" ht="15.75" customHeight="1">
      <c r="A156" s="2">
        <f>IFERROR(__xludf.DUMMYFUNCTION("""COMPUTED_VALUE"""),43456.0)</f>
        <v>43456</v>
      </c>
      <c r="B156" s="1" t="str">
        <f>IFERROR(__xludf.DUMMYFUNCTION("""COMPUTED_VALUE"""),"8:30p")</f>
        <v>8:30p</v>
      </c>
      <c r="C156" s="1" t="str">
        <f>IFERROR(__xludf.DUMMYFUNCTION("""COMPUTED_VALUE"""),"Dallas Mavericks")</f>
        <v>Dallas Mavericks</v>
      </c>
      <c r="D156" s="1">
        <f>IFERROR(__xludf.DUMMYFUNCTION("""COMPUTED_VALUE"""),116.0)</f>
        <v>116</v>
      </c>
      <c r="E156" s="1" t="str">
        <f>IFERROR(__xludf.DUMMYFUNCTION("""COMPUTED_VALUE"""),"Golden State Warriors")</f>
        <v>Golden State Warriors</v>
      </c>
      <c r="F156" s="1">
        <f>IFERROR(__xludf.DUMMYFUNCTION("""COMPUTED_VALUE"""),120.0)</f>
        <v>120</v>
      </c>
      <c r="G156" s="1" t="str">
        <f>IFERROR(__xludf.DUMMYFUNCTION("""COMPUTED_VALUE"""),"Box Score")</f>
        <v>Box Score</v>
      </c>
      <c r="H156" s="1"/>
      <c r="I156" s="3">
        <f>IFERROR(__xludf.DUMMYFUNCTION("""COMPUTED_VALUE"""),19596.0)</f>
        <v>19596</v>
      </c>
      <c r="J156" s="1"/>
    </row>
    <row r="157" ht="15.75" customHeight="1">
      <c r="A157" s="2">
        <f>IFERROR(__xludf.DUMMYFUNCTION("""COMPUTED_VALUE"""),43456.0)</f>
        <v>43456</v>
      </c>
      <c r="B157" s="1" t="str">
        <f>IFERROR(__xludf.DUMMYFUNCTION("""COMPUTED_VALUE"""),"9:00p")</f>
        <v>9:00p</v>
      </c>
      <c r="C157" s="1" t="str">
        <f>IFERROR(__xludf.DUMMYFUNCTION("""COMPUTED_VALUE"""),"Oklahoma City Thunder")</f>
        <v>Oklahoma City Thunder</v>
      </c>
      <c r="D157" s="1">
        <f>IFERROR(__xludf.DUMMYFUNCTION("""COMPUTED_VALUE"""),107.0)</f>
        <v>107</v>
      </c>
      <c r="E157" s="1" t="str">
        <f>IFERROR(__xludf.DUMMYFUNCTION("""COMPUTED_VALUE"""),"Utah Jazz")</f>
        <v>Utah Jazz</v>
      </c>
      <c r="F157" s="1">
        <f>IFERROR(__xludf.DUMMYFUNCTION("""COMPUTED_VALUE"""),106.0)</f>
        <v>106</v>
      </c>
      <c r="G157" s="1" t="str">
        <f>IFERROR(__xludf.DUMMYFUNCTION("""COMPUTED_VALUE"""),"Box Score")</f>
        <v>Box Score</v>
      </c>
      <c r="H157" s="1"/>
      <c r="I157" s="3">
        <f>IFERROR(__xludf.DUMMYFUNCTION("""COMPUTED_VALUE"""),18306.0)</f>
        <v>18306</v>
      </c>
      <c r="J157" s="1"/>
    </row>
    <row r="158" ht="15.75" customHeight="1">
      <c r="A158" s="2">
        <f>IFERROR(__xludf.DUMMYFUNCTION("""COMPUTED_VALUE"""),43457.0)</f>
        <v>43457</v>
      </c>
      <c r="B158" s="1" t="str">
        <f>IFERROR(__xludf.DUMMYFUNCTION("""COMPUTED_VALUE"""),"4:00p")</f>
        <v>4:00p</v>
      </c>
      <c r="C158" s="1" t="str">
        <f>IFERROR(__xludf.DUMMYFUNCTION("""COMPUTED_VALUE"""),"Atlanta Hawks")</f>
        <v>Atlanta Hawks</v>
      </c>
      <c r="D158" s="1">
        <f>IFERROR(__xludf.DUMMYFUNCTION("""COMPUTED_VALUE"""),98.0)</f>
        <v>98</v>
      </c>
      <c r="E158" s="1" t="str">
        <f>IFERROR(__xludf.DUMMYFUNCTION("""COMPUTED_VALUE"""),"Detroit Pistons")</f>
        <v>Detroit Pistons</v>
      </c>
      <c r="F158" s="1">
        <f>IFERROR(__xludf.DUMMYFUNCTION("""COMPUTED_VALUE"""),95.0)</f>
        <v>95</v>
      </c>
      <c r="G158" s="1" t="str">
        <f>IFERROR(__xludf.DUMMYFUNCTION("""COMPUTED_VALUE"""),"Box Score")</f>
        <v>Box Score</v>
      </c>
      <c r="H158" s="1"/>
      <c r="I158" s="3">
        <f>IFERROR(__xludf.DUMMYFUNCTION("""COMPUTED_VALUE"""),16532.0)</f>
        <v>16532</v>
      </c>
      <c r="J158" s="1"/>
    </row>
    <row r="159" ht="15.75" customHeight="1">
      <c r="A159" s="2">
        <f>IFERROR(__xludf.DUMMYFUNCTION("""COMPUTED_VALUE"""),43457.0)</f>
        <v>43457</v>
      </c>
      <c r="B159" s="1" t="str">
        <f>IFERROR(__xludf.DUMMYFUNCTION("""COMPUTED_VALUE"""),"5:00p")</f>
        <v>5:00p</v>
      </c>
      <c r="C159" s="1" t="str">
        <f>IFERROR(__xludf.DUMMYFUNCTION("""COMPUTED_VALUE"""),"Washington Wizards")</f>
        <v>Washington Wizards</v>
      </c>
      <c r="D159" s="1">
        <f>IFERROR(__xludf.DUMMYFUNCTION("""COMPUTED_VALUE"""),89.0)</f>
        <v>89</v>
      </c>
      <c r="E159" s="1" t="str">
        <f>IFERROR(__xludf.DUMMYFUNCTION("""COMPUTED_VALUE"""),"Indiana Pacers")</f>
        <v>Indiana Pacers</v>
      </c>
      <c r="F159" s="1">
        <f>IFERROR(__xludf.DUMMYFUNCTION("""COMPUTED_VALUE"""),105.0)</f>
        <v>105</v>
      </c>
      <c r="G159" s="1" t="str">
        <f>IFERROR(__xludf.DUMMYFUNCTION("""COMPUTED_VALUE"""),"Box Score")</f>
        <v>Box Score</v>
      </c>
      <c r="H159" s="1"/>
      <c r="I159" s="3">
        <f>IFERROR(__xludf.DUMMYFUNCTION("""COMPUTED_VALUE"""),17923.0)</f>
        <v>17923</v>
      </c>
      <c r="J159" s="1"/>
    </row>
    <row r="160" ht="15.75" customHeight="1">
      <c r="A160" s="2">
        <f>IFERROR(__xludf.DUMMYFUNCTION("""COMPUTED_VALUE"""),43457.0)</f>
        <v>43457</v>
      </c>
      <c r="B160" s="1" t="str">
        <f>IFERROR(__xludf.DUMMYFUNCTION("""COMPUTED_VALUE"""),"6:00p")</f>
        <v>6:00p</v>
      </c>
      <c r="C160" s="1" t="str">
        <f>IFERROR(__xludf.DUMMYFUNCTION("""COMPUTED_VALUE"""),"Charlotte Hornets")</f>
        <v>Charlotte Hornets</v>
      </c>
      <c r="D160" s="1">
        <f>IFERROR(__xludf.DUMMYFUNCTION("""COMPUTED_VALUE"""),103.0)</f>
        <v>103</v>
      </c>
      <c r="E160" s="1" t="str">
        <f>IFERROR(__xludf.DUMMYFUNCTION("""COMPUTED_VALUE"""),"Boston Celtics")</f>
        <v>Boston Celtics</v>
      </c>
      <c r="F160" s="1">
        <f>IFERROR(__xludf.DUMMYFUNCTION("""COMPUTED_VALUE"""),119.0)</f>
        <v>119</v>
      </c>
      <c r="G160" s="1" t="str">
        <f>IFERROR(__xludf.DUMMYFUNCTION("""COMPUTED_VALUE"""),"Box Score")</f>
        <v>Box Score</v>
      </c>
      <c r="H160" s="1"/>
      <c r="I160" s="3">
        <f>IFERROR(__xludf.DUMMYFUNCTION("""COMPUTED_VALUE"""),18624.0)</f>
        <v>18624</v>
      </c>
      <c r="J160" s="1"/>
    </row>
    <row r="161" ht="15.75" customHeight="1">
      <c r="A161" s="2">
        <f>IFERROR(__xludf.DUMMYFUNCTION("""COMPUTED_VALUE"""),43457.0)</f>
        <v>43457</v>
      </c>
      <c r="B161" s="1" t="str">
        <f>IFERROR(__xludf.DUMMYFUNCTION("""COMPUTED_VALUE"""),"6:00p")</f>
        <v>6:00p</v>
      </c>
      <c r="C161" s="1" t="str">
        <f>IFERROR(__xludf.DUMMYFUNCTION("""COMPUTED_VALUE"""),"Phoenix Suns")</f>
        <v>Phoenix Suns</v>
      </c>
      <c r="D161" s="1">
        <f>IFERROR(__xludf.DUMMYFUNCTION("""COMPUTED_VALUE"""),103.0)</f>
        <v>103</v>
      </c>
      <c r="E161" s="1" t="str">
        <f>IFERROR(__xludf.DUMMYFUNCTION("""COMPUTED_VALUE"""),"Brooklyn Nets")</f>
        <v>Brooklyn Nets</v>
      </c>
      <c r="F161" s="1">
        <f>IFERROR(__xludf.DUMMYFUNCTION("""COMPUTED_VALUE"""),111.0)</f>
        <v>111</v>
      </c>
      <c r="G161" s="1" t="str">
        <f>IFERROR(__xludf.DUMMYFUNCTION("""COMPUTED_VALUE"""),"Box Score")</f>
        <v>Box Score</v>
      </c>
      <c r="H161" s="1"/>
      <c r="I161" s="3">
        <f>IFERROR(__xludf.DUMMYFUNCTION("""COMPUTED_VALUE"""),15310.0)</f>
        <v>15310</v>
      </c>
      <c r="J161" s="1"/>
    </row>
    <row r="162" ht="15.75" customHeight="1">
      <c r="A162" s="2">
        <f>IFERROR(__xludf.DUMMYFUNCTION("""COMPUTED_VALUE"""),43457.0)</f>
        <v>43457</v>
      </c>
      <c r="B162" s="1" t="str">
        <f>IFERROR(__xludf.DUMMYFUNCTION("""COMPUTED_VALUE"""),"6:00p")</f>
        <v>6:00p</v>
      </c>
      <c r="C162" s="1" t="str">
        <f>IFERROR(__xludf.DUMMYFUNCTION("""COMPUTED_VALUE"""),"Chicago Bulls")</f>
        <v>Chicago Bulls</v>
      </c>
      <c r="D162" s="1">
        <f>IFERROR(__xludf.DUMMYFUNCTION("""COMPUTED_VALUE"""),112.0)</f>
        <v>112</v>
      </c>
      <c r="E162" s="1" t="str">
        <f>IFERROR(__xludf.DUMMYFUNCTION("""COMPUTED_VALUE"""),"Cleveland Cavaliers")</f>
        <v>Cleveland Cavaliers</v>
      </c>
      <c r="F162" s="1">
        <f>IFERROR(__xludf.DUMMYFUNCTION("""COMPUTED_VALUE"""),92.0)</f>
        <v>92</v>
      </c>
      <c r="G162" s="1" t="str">
        <f>IFERROR(__xludf.DUMMYFUNCTION("""COMPUTED_VALUE"""),"Box Score")</f>
        <v>Box Score</v>
      </c>
      <c r="H162" s="1"/>
      <c r="I162" s="3">
        <f>IFERROR(__xludf.DUMMYFUNCTION("""COMPUTED_VALUE"""),19432.0)</f>
        <v>19432</v>
      </c>
      <c r="J162" s="1"/>
    </row>
    <row r="163" ht="15.75" customHeight="1">
      <c r="A163" s="2">
        <f>IFERROR(__xludf.DUMMYFUNCTION("""COMPUTED_VALUE"""),43457.0)</f>
        <v>43457</v>
      </c>
      <c r="B163" s="1" t="str">
        <f>IFERROR(__xludf.DUMMYFUNCTION("""COMPUTED_VALUE"""),"6:00p")</f>
        <v>6:00p</v>
      </c>
      <c r="C163" s="1" t="str">
        <f>IFERROR(__xludf.DUMMYFUNCTION("""COMPUTED_VALUE"""),"Miami Heat")</f>
        <v>Miami Heat</v>
      </c>
      <c r="D163" s="1">
        <f>IFERROR(__xludf.DUMMYFUNCTION("""COMPUTED_VALUE"""),115.0)</f>
        <v>115</v>
      </c>
      <c r="E163" s="1" t="str">
        <f>IFERROR(__xludf.DUMMYFUNCTION("""COMPUTED_VALUE"""),"Orlando Magic")</f>
        <v>Orlando Magic</v>
      </c>
      <c r="F163" s="1">
        <f>IFERROR(__xludf.DUMMYFUNCTION("""COMPUTED_VALUE"""),91.0)</f>
        <v>91</v>
      </c>
      <c r="G163" s="1" t="str">
        <f>IFERROR(__xludf.DUMMYFUNCTION("""COMPUTED_VALUE"""),"Box Score")</f>
        <v>Box Score</v>
      </c>
      <c r="H163" s="1"/>
      <c r="I163" s="3">
        <f>IFERROR(__xludf.DUMMYFUNCTION("""COMPUTED_VALUE"""),18846.0)</f>
        <v>18846</v>
      </c>
      <c r="J163" s="1"/>
    </row>
    <row r="164" ht="15.75" customHeight="1">
      <c r="A164" s="2">
        <f>IFERROR(__xludf.DUMMYFUNCTION("""COMPUTED_VALUE"""),43457.0)</f>
        <v>43457</v>
      </c>
      <c r="B164" s="1" t="str">
        <f>IFERROR(__xludf.DUMMYFUNCTION("""COMPUTED_VALUE"""),"6:00p")</f>
        <v>6:00p</v>
      </c>
      <c r="C164" s="1" t="str">
        <f>IFERROR(__xludf.DUMMYFUNCTION("""COMPUTED_VALUE"""),"New Orleans Pelicans")</f>
        <v>New Orleans Pelicans</v>
      </c>
      <c r="D164" s="1">
        <f>IFERROR(__xludf.DUMMYFUNCTION("""COMPUTED_VALUE"""),117.0)</f>
        <v>117</v>
      </c>
      <c r="E164" s="1" t="str">
        <f>IFERROR(__xludf.DUMMYFUNCTION("""COMPUTED_VALUE"""),"Sacramento Kings")</f>
        <v>Sacramento Kings</v>
      </c>
      <c r="F164" s="1">
        <f>IFERROR(__xludf.DUMMYFUNCTION("""COMPUTED_VALUE"""),122.0)</f>
        <v>122</v>
      </c>
      <c r="G164" s="1" t="str">
        <f>IFERROR(__xludf.DUMMYFUNCTION("""COMPUTED_VALUE"""),"Box Score")</f>
        <v>Box Score</v>
      </c>
      <c r="H164" s="1"/>
      <c r="I164" s="3">
        <f>IFERROR(__xludf.DUMMYFUNCTION("""COMPUTED_VALUE"""),16643.0)</f>
        <v>16643</v>
      </c>
      <c r="J164" s="1"/>
    </row>
    <row r="165" ht="15.75" customHeight="1">
      <c r="A165" s="2">
        <f>IFERROR(__xludf.DUMMYFUNCTION("""COMPUTED_VALUE"""),43457.0)</f>
        <v>43457</v>
      </c>
      <c r="B165" s="1" t="str">
        <f>IFERROR(__xludf.DUMMYFUNCTION("""COMPUTED_VALUE"""),"8:00p")</f>
        <v>8:00p</v>
      </c>
      <c r="C165" s="1" t="str">
        <f>IFERROR(__xludf.DUMMYFUNCTION("""COMPUTED_VALUE"""),"Minnesota Timberwolves")</f>
        <v>Minnesota Timberwolves</v>
      </c>
      <c r="D165" s="1">
        <f>IFERROR(__xludf.DUMMYFUNCTION("""COMPUTED_VALUE"""),114.0)</f>
        <v>114</v>
      </c>
      <c r="E165" s="1" t="str">
        <f>IFERROR(__xludf.DUMMYFUNCTION("""COMPUTED_VALUE"""),"Oklahoma City Thunder")</f>
        <v>Oklahoma City Thunder</v>
      </c>
      <c r="F165" s="1">
        <f>IFERROR(__xludf.DUMMYFUNCTION("""COMPUTED_VALUE"""),112.0)</f>
        <v>112</v>
      </c>
      <c r="G165" s="1" t="str">
        <f>IFERROR(__xludf.DUMMYFUNCTION("""COMPUTED_VALUE"""),"Box Score")</f>
        <v>Box Score</v>
      </c>
      <c r="H165" s="1"/>
      <c r="I165" s="3">
        <f>IFERROR(__xludf.DUMMYFUNCTION("""COMPUTED_VALUE"""),18203.0)</f>
        <v>18203</v>
      </c>
      <c r="J165" s="1"/>
    </row>
    <row r="166" ht="15.75" customHeight="1">
      <c r="A166" s="2">
        <f>IFERROR(__xludf.DUMMYFUNCTION("""COMPUTED_VALUE"""),43457.0)</f>
        <v>43457</v>
      </c>
      <c r="B166" s="1" t="str">
        <f>IFERROR(__xludf.DUMMYFUNCTION("""COMPUTED_VALUE"""),"8:30p")</f>
        <v>8:30p</v>
      </c>
      <c r="C166" s="1" t="str">
        <f>IFERROR(__xludf.DUMMYFUNCTION("""COMPUTED_VALUE"""),"Los Angeles Clippers")</f>
        <v>Los Angeles Clippers</v>
      </c>
      <c r="D166" s="1">
        <f>IFERROR(__xludf.DUMMYFUNCTION("""COMPUTED_VALUE"""),127.0)</f>
        <v>127</v>
      </c>
      <c r="E166" s="1" t="str">
        <f>IFERROR(__xludf.DUMMYFUNCTION("""COMPUTED_VALUE"""),"Golden State Warriors")</f>
        <v>Golden State Warriors</v>
      </c>
      <c r="F166" s="1">
        <f>IFERROR(__xludf.DUMMYFUNCTION("""COMPUTED_VALUE"""),129.0)</f>
        <v>129</v>
      </c>
      <c r="G166" s="1" t="str">
        <f>IFERROR(__xludf.DUMMYFUNCTION("""COMPUTED_VALUE"""),"Box Score")</f>
        <v>Box Score</v>
      </c>
      <c r="H166" s="1"/>
      <c r="I166" s="3">
        <f>IFERROR(__xludf.DUMMYFUNCTION("""COMPUTED_VALUE"""),19596.0)</f>
        <v>19596</v>
      </c>
      <c r="J166" s="1"/>
    </row>
    <row r="167" ht="15.75" customHeight="1">
      <c r="A167" s="2">
        <f>IFERROR(__xludf.DUMMYFUNCTION("""COMPUTED_VALUE"""),43457.0)</f>
        <v>43457</v>
      </c>
      <c r="B167" s="1" t="str">
        <f>IFERROR(__xludf.DUMMYFUNCTION("""COMPUTED_VALUE"""),"9:00p")</f>
        <v>9:00p</v>
      </c>
      <c r="C167" s="1" t="str">
        <f>IFERROR(__xludf.DUMMYFUNCTION("""COMPUTED_VALUE"""),"Dallas Mavericks")</f>
        <v>Dallas Mavericks</v>
      </c>
      <c r="D167" s="1">
        <f>IFERROR(__xludf.DUMMYFUNCTION("""COMPUTED_VALUE"""),118.0)</f>
        <v>118</v>
      </c>
      <c r="E167" s="1" t="str">
        <f>IFERROR(__xludf.DUMMYFUNCTION("""COMPUTED_VALUE"""),"Portland Trail Blazers")</f>
        <v>Portland Trail Blazers</v>
      </c>
      <c r="F167" s="1">
        <f>IFERROR(__xludf.DUMMYFUNCTION("""COMPUTED_VALUE"""),121.0)</f>
        <v>121</v>
      </c>
      <c r="G167" s="1" t="str">
        <f>IFERROR(__xludf.DUMMYFUNCTION("""COMPUTED_VALUE"""),"Box Score")</f>
        <v>Box Score</v>
      </c>
      <c r="H167" s="1" t="str">
        <f>IFERROR(__xludf.DUMMYFUNCTION("""COMPUTED_VALUE"""),"OT")</f>
        <v>OT</v>
      </c>
      <c r="I167" s="3">
        <f>IFERROR(__xludf.DUMMYFUNCTION("""COMPUTED_VALUE"""),19707.0)</f>
        <v>19707</v>
      </c>
      <c r="J167" s="1"/>
    </row>
    <row r="168" ht="15.75" customHeight="1">
      <c r="A168" s="2">
        <f>IFERROR(__xludf.DUMMYFUNCTION("""COMPUTED_VALUE"""),43457.0)</f>
        <v>43457</v>
      </c>
      <c r="B168" s="1" t="str">
        <f>IFERROR(__xludf.DUMMYFUNCTION("""COMPUTED_VALUE"""),"9:30p")</f>
        <v>9:30p</v>
      </c>
      <c r="C168" s="1" t="str">
        <f>IFERROR(__xludf.DUMMYFUNCTION("""COMPUTED_VALUE"""),"Memphis Grizzlies")</f>
        <v>Memphis Grizzlies</v>
      </c>
      <c r="D168" s="1">
        <f>IFERROR(__xludf.DUMMYFUNCTION("""COMPUTED_VALUE"""),107.0)</f>
        <v>107</v>
      </c>
      <c r="E168" s="1" t="str">
        <f>IFERROR(__xludf.DUMMYFUNCTION("""COMPUTED_VALUE"""),"Los Angeles Lakers")</f>
        <v>Los Angeles Lakers</v>
      </c>
      <c r="F168" s="1">
        <f>IFERROR(__xludf.DUMMYFUNCTION("""COMPUTED_VALUE"""),99.0)</f>
        <v>99</v>
      </c>
      <c r="G168" s="1" t="str">
        <f>IFERROR(__xludf.DUMMYFUNCTION("""COMPUTED_VALUE"""),"Box Score")</f>
        <v>Box Score</v>
      </c>
      <c r="H168" s="1"/>
      <c r="I168" s="3">
        <f>IFERROR(__xludf.DUMMYFUNCTION("""COMPUTED_VALUE"""),18997.0)</f>
        <v>18997</v>
      </c>
      <c r="J168" s="1"/>
    </row>
    <row r="169" ht="15.75" customHeight="1">
      <c r="A169" s="2">
        <f>IFERROR(__xludf.DUMMYFUNCTION("""COMPUTED_VALUE"""),43459.0)</f>
        <v>43459</v>
      </c>
      <c r="B169" s="1" t="str">
        <f>IFERROR(__xludf.DUMMYFUNCTION("""COMPUTED_VALUE"""),"12:00p")</f>
        <v>12:00p</v>
      </c>
      <c r="C169" s="1" t="str">
        <f>IFERROR(__xludf.DUMMYFUNCTION("""COMPUTED_VALUE"""),"Milwaukee Bucks")</f>
        <v>Milwaukee Bucks</v>
      </c>
      <c r="D169" s="1">
        <f>IFERROR(__xludf.DUMMYFUNCTION("""COMPUTED_VALUE"""),109.0)</f>
        <v>109</v>
      </c>
      <c r="E169" s="1" t="str">
        <f>IFERROR(__xludf.DUMMYFUNCTION("""COMPUTED_VALUE"""),"New York Knicks")</f>
        <v>New York Knicks</v>
      </c>
      <c r="F169" s="1">
        <f>IFERROR(__xludf.DUMMYFUNCTION("""COMPUTED_VALUE"""),95.0)</f>
        <v>95</v>
      </c>
      <c r="G169" s="1" t="str">
        <f>IFERROR(__xludf.DUMMYFUNCTION("""COMPUTED_VALUE"""),"Box Score")</f>
        <v>Box Score</v>
      </c>
      <c r="H169" s="1"/>
      <c r="I169" s="3">
        <f>IFERROR(__xludf.DUMMYFUNCTION("""COMPUTED_VALUE"""),19812.0)</f>
        <v>19812</v>
      </c>
      <c r="J169" s="1"/>
    </row>
    <row r="170" ht="15.75" customHeight="1">
      <c r="A170" s="2">
        <f>IFERROR(__xludf.DUMMYFUNCTION("""COMPUTED_VALUE"""),43459.0)</f>
        <v>43459</v>
      </c>
      <c r="B170" s="1" t="str">
        <f>IFERROR(__xludf.DUMMYFUNCTION("""COMPUTED_VALUE"""),"3:00p")</f>
        <v>3:00p</v>
      </c>
      <c r="C170" s="1" t="str">
        <f>IFERROR(__xludf.DUMMYFUNCTION("""COMPUTED_VALUE"""),"Oklahoma City Thunder")</f>
        <v>Oklahoma City Thunder</v>
      </c>
      <c r="D170" s="1">
        <f>IFERROR(__xludf.DUMMYFUNCTION("""COMPUTED_VALUE"""),109.0)</f>
        <v>109</v>
      </c>
      <c r="E170" s="1" t="str">
        <f>IFERROR(__xludf.DUMMYFUNCTION("""COMPUTED_VALUE"""),"Houston Rockets")</f>
        <v>Houston Rockets</v>
      </c>
      <c r="F170" s="1">
        <f>IFERROR(__xludf.DUMMYFUNCTION("""COMPUTED_VALUE"""),113.0)</f>
        <v>113</v>
      </c>
      <c r="G170" s="1" t="str">
        <f>IFERROR(__xludf.DUMMYFUNCTION("""COMPUTED_VALUE"""),"Box Score")</f>
        <v>Box Score</v>
      </c>
      <c r="H170" s="1"/>
      <c r="I170" s="3">
        <f>IFERROR(__xludf.DUMMYFUNCTION("""COMPUTED_VALUE"""),18055.0)</f>
        <v>18055</v>
      </c>
      <c r="J170" s="1"/>
    </row>
    <row r="171" ht="15.75" customHeight="1">
      <c r="A171" s="2">
        <f>IFERROR(__xludf.DUMMYFUNCTION("""COMPUTED_VALUE"""),43459.0)</f>
        <v>43459</v>
      </c>
      <c r="B171" s="1" t="str">
        <f>IFERROR(__xludf.DUMMYFUNCTION("""COMPUTED_VALUE"""),"5:30p")</f>
        <v>5:30p</v>
      </c>
      <c r="C171" s="1" t="str">
        <f>IFERROR(__xludf.DUMMYFUNCTION("""COMPUTED_VALUE"""),"Philadelphia 76ers")</f>
        <v>Philadelphia 76ers</v>
      </c>
      <c r="D171" s="1">
        <f>IFERROR(__xludf.DUMMYFUNCTION("""COMPUTED_VALUE"""),114.0)</f>
        <v>114</v>
      </c>
      <c r="E171" s="1" t="str">
        <f>IFERROR(__xludf.DUMMYFUNCTION("""COMPUTED_VALUE"""),"Boston Celtics")</f>
        <v>Boston Celtics</v>
      </c>
      <c r="F171" s="1">
        <f>IFERROR(__xludf.DUMMYFUNCTION("""COMPUTED_VALUE"""),121.0)</f>
        <v>121</v>
      </c>
      <c r="G171" s="1" t="str">
        <f>IFERROR(__xludf.DUMMYFUNCTION("""COMPUTED_VALUE"""),"Box Score")</f>
        <v>Box Score</v>
      </c>
      <c r="H171" s="1" t="str">
        <f>IFERROR(__xludf.DUMMYFUNCTION("""COMPUTED_VALUE"""),"OT")</f>
        <v>OT</v>
      </c>
      <c r="I171" s="3">
        <f>IFERROR(__xludf.DUMMYFUNCTION("""COMPUTED_VALUE"""),18624.0)</f>
        <v>18624</v>
      </c>
      <c r="J171" s="1"/>
    </row>
    <row r="172" ht="15.75" customHeight="1">
      <c r="A172" s="2">
        <f>IFERROR(__xludf.DUMMYFUNCTION("""COMPUTED_VALUE"""),43459.0)</f>
        <v>43459</v>
      </c>
      <c r="B172" s="1" t="str">
        <f>IFERROR(__xludf.DUMMYFUNCTION("""COMPUTED_VALUE"""),"8:00p")</f>
        <v>8:00p</v>
      </c>
      <c r="C172" s="1" t="str">
        <f>IFERROR(__xludf.DUMMYFUNCTION("""COMPUTED_VALUE"""),"Los Angeles Lakers")</f>
        <v>Los Angeles Lakers</v>
      </c>
      <c r="D172" s="1">
        <f>IFERROR(__xludf.DUMMYFUNCTION("""COMPUTED_VALUE"""),127.0)</f>
        <v>127</v>
      </c>
      <c r="E172" s="1" t="str">
        <f>IFERROR(__xludf.DUMMYFUNCTION("""COMPUTED_VALUE"""),"Golden State Warriors")</f>
        <v>Golden State Warriors</v>
      </c>
      <c r="F172" s="1">
        <f>IFERROR(__xludf.DUMMYFUNCTION("""COMPUTED_VALUE"""),101.0)</f>
        <v>101</v>
      </c>
      <c r="G172" s="1" t="str">
        <f>IFERROR(__xludf.DUMMYFUNCTION("""COMPUTED_VALUE"""),"Box Score")</f>
        <v>Box Score</v>
      </c>
      <c r="H172" s="1"/>
      <c r="I172" s="3">
        <f>IFERROR(__xludf.DUMMYFUNCTION("""COMPUTED_VALUE"""),19596.0)</f>
        <v>19596</v>
      </c>
      <c r="J172" s="1"/>
    </row>
    <row r="173" ht="15.75" customHeight="1">
      <c r="A173" s="2">
        <f>IFERROR(__xludf.DUMMYFUNCTION("""COMPUTED_VALUE"""),43459.0)</f>
        <v>43459</v>
      </c>
      <c r="B173" s="1" t="str">
        <f>IFERROR(__xludf.DUMMYFUNCTION("""COMPUTED_VALUE"""),"10:30p")</f>
        <v>10:30p</v>
      </c>
      <c r="C173" s="1" t="str">
        <f>IFERROR(__xludf.DUMMYFUNCTION("""COMPUTED_VALUE"""),"Portland Trail Blazers")</f>
        <v>Portland Trail Blazers</v>
      </c>
      <c r="D173" s="1">
        <f>IFERROR(__xludf.DUMMYFUNCTION("""COMPUTED_VALUE"""),96.0)</f>
        <v>96</v>
      </c>
      <c r="E173" s="1" t="str">
        <f>IFERROR(__xludf.DUMMYFUNCTION("""COMPUTED_VALUE"""),"Utah Jazz")</f>
        <v>Utah Jazz</v>
      </c>
      <c r="F173" s="1">
        <f>IFERROR(__xludf.DUMMYFUNCTION("""COMPUTED_VALUE"""),117.0)</f>
        <v>117</v>
      </c>
      <c r="G173" s="1" t="str">
        <f>IFERROR(__xludf.DUMMYFUNCTION("""COMPUTED_VALUE"""),"Box Score")</f>
        <v>Box Score</v>
      </c>
      <c r="H173" s="1"/>
      <c r="I173" s="3">
        <f>IFERROR(__xludf.DUMMYFUNCTION("""COMPUTED_VALUE"""),18306.0)</f>
        <v>18306</v>
      </c>
      <c r="J173" s="1"/>
    </row>
    <row r="174" ht="15.75" customHeight="1">
      <c r="A174" s="2">
        <f>IFERROR(__xludf.DUMMYFUNCTION("""COMPUTED_VALUE"""),43460.0)</f>
        <v>43460</v>
      </c>
      <c r="B174" s="1" t="str">
        <f>IFERROR(__xludf.DUMMYFUNCTION("""COMPUTED_VALUE"""),"7:00p")</f>
        <v>7:00p</v>
      </c>
      <c r="C174" s="1" t="str">
        <f>IFERROR(__xludf.DUMMYFUNCTION("""COMPUTED_VALUE"""),"Washington Wizards")</f>
        <v>Washington Wizards</v>
      </c>
      <c r="D174" s="1">
        <f>IFERROR(__xludf.DUMMYFUNCTION("""COMPUTED_VALUE"""),95.0)</f>
        <v>95</v>
      </c>
      <c r="E174" s="1" t="str">
        <f>IFERROR(__xludf.DUMMYFUNCTION("""COMPUTED_VALUE"""),"Detroit Pistons")</f>
        <v>Detroit Pistons</v>
      </c>
      <c r="F174" s="1">
        <f>IFERROR(__xludf.DUMMYFUNCTION("""COMPUTED_VALUE"""),106.0)</f>
        <v>106</v>
      </c>
      <c r="G174" s="1" t="str">
        <f>IFERROR(__xludf.DUMMYFUNCTION("""COMPUTED_VALUE"""),"Box Score")</f>
        <v>Box Score</v>
      </c>
      <c r="H174" s="1"/>
      <c r="I174" s="3">
        <f>IFERROR(__xludf.DUMMYFUNCTION("""COMPUTED_VALUE"""),17534.0)</f>
        <v>17534</v>
      </c>
      <c r="J174" s="1"/>
    </row>
    <row r="175" ht="15.75" customHeight="1">
      <c r="A175" s="2">
        <f>IFERROR(__xludf.DUMMYFUNCTION("""COMPUTED_VALUE"""),43460.0)</f>
        <v>43460</v>
      </c>
      <c r="B175" s="1" t="str">
        <f>IFERROR(__xludf.DUMMYFUNCTION("""COMPUTED_VALUE"""),"7:00p")</f>
        <v>7:00p</v>
      </c>
      <c r="C175" s="1" t="str">
        <f>IFERROR(__xludf.DUMMYFUNCTION("""COMPUTED_VALUE"""),"Phoenix Suns")</f>
        <v>Phoenix Suns</v>
      </c>
      <c r="D175" s="1">
        <f>IFERROR(__xludf.DUMMYFUNCTION("""COMPUTED_VALUE"""),122.0)</f>
        <v>122</v>
      </c>
      <c r="E175" s="1" t="str">
        <f>IFERROR(__xludf.DUMMYFUNCTION("""COMPUTED_VALUE"""),"Orlando Magic")</f>
        <v>Orlando Magic</v>
      </c>
      <c r="F175" s="1">
        <f>IFERROR(__xludf.DUMMYFUNCTION("""COMPUTED_VALUE"""),120.0)</f>
        <v>120</v>
      </c>
      <c r="G175" s="1" t="str">
        <f>IFERROR(__xludf.DUMMYFUNCTION("""COMPUTED_VALUE"""),"Box Score")</f>
        <v>Box Score</v>
      </c>
      <c r="H175" s="1" t="str">
        <f>IFERROR(__xludf.DUMMYFUNCTION("""COMPUTED_VALUE"""),"OT")</f>
        <v>OT</v>
      </c>
      <c r="I175" s="3">
        <f>IFERROR(__xludf.DUMMYFUNCTION("""COMPUTED_VALUE"""),16755.0)</f>
        <v>16755</v>
      </c>
      <c r="J175" s="1"/>
    </row>
    <row r="176" ht="15.75" customHeight="1">
      <c r="A176" s="2">
        <f>IFERROR(__xludf.DUMMYFUNCTION("""COMPUTED_VALUE"""),43460.0)</f>
        <v>43460</v>
      </c>
      <c r="B176" s="1" t="str">
        <f>IFERROR(__xludf.DUMMYFUNCTION("""COMPUTED_VALUE"""),"7:30p")</f>
        <v>7:30p</v>
      </c>
      <c r="C176" s="1" t="str">
        <f>IFERROR(__xludf.DUMMYFUNCTION("""COMPUTED_VALUE"""),"Indiana Pacers")</f>
        <v>Indiana Pacers</v>
      </c>
      <c r="D176" s="1">
        <f>IFERROR(__xludf.DUMMYFUNCTION("""COMPUTED_VALUE"""),129.0)</f>
        <v>129</v>
      </c>
      <c r="E176" s="1" t="str">
        <f>IFERROR(__xludf.DUMMYFUNCTION("""COMPUTED_VALUE"""),"Atlanta Hawks")</f>
        <v>Atlanta Hawks</v>
      </c>
      <c r="F176" s="1">
        <f>IFERROR(__xludf.DUMMYFUNCTION("""COMPUTED_VALUE"""),121.0)</f>
        <v>121</v>
      </c>
      <c r="G176" s="1" t="str">
        <f>IFERROR(__xludf.DUMMYFUNCTION("""COMPUTED_VALUE"""),"Box Score")</f>
        <v>Box Score</v>
      </c>
      <c r="H176" s="1"/>
      <c r="I176" s="3">
        <f>IFERROR(__xludf.DUMMYFUNCTION("""COMPUTED_VALUE"""),15026.0)</f>
        <v>15026</v>
      </c>
      <c r="J176" s="1"/>
    </row>
    <row r="177" ht="15.75" customHeight="1">
      <c r="A177" s="2">
        <f>IFERROR(__xludf.DUMMYFUNCTION("""COMPUTED_VALUE"""),43460.0)</f>
        <v>43460</v>
      </c>
      <c r="B177" s="1" t="str">
        <f>IFERROR(__xludf.DUMMYFUNCTION("""COMPUTED_VALUE"""),"7:30p")</f>
        <v>7:30p</v>
      </c>
      <c r="C177" s="1" t="str">
        <f>IFERROR(__xludf.DUMMYFUNCTION("""COMPUTED_VALUE"""),"Charlotte Hornets")</f>
        <v>Charlotte Hornets</v>
      </c>
      <c r="D177" s="1">
        <f>IFERROR(__xludf.DUMMYFUNCTION("""COMPUTED_VALUE"""),132.0)</f>
        <v>132</v>
      </c>
      <c r="E177" s="1" t="str">
        <f>IFERROR(__xludf.DUMMYFUNCTION("""COMPUTED_VALUE"""),"Brooklyn Nets")</f>
        <v>Brooklyn Nets</v>
      </c>
      <c r="F177" s="1">
        <f>IFERROR(__xludf.DUMMYFUNCTION("""COMPUTED_VALUE"""),134.0)</f>
        <v>134</v>
      </c>
      <c r="G177" s="1" t="str">
        <f>IFERROR(__xludf.DUMMYFUNCTION("""COMPUTED_VALUE"""),"Box Score")</f>
        <v>Box Score</v>
      </c>
      <c r="H177" s="1" t="str">
        <f>IFERROR(__xludf.DUMMYFUNCTION("""COMPUTED_VALUE"""),"2OT")</f>
        <v>2OT</v>
      </c>
      <c r="I177" s="3">
        <f>IFERROR(__xludf.DUMMYFUNCTION("""COMPUTED_VALUE"""),14309.0)</f>
        <v>14309</v>
      </c>
      <c r="J177" s="1"/>
    </row>
    <row r="178" ht="15.75" customHeight="1">
      <c r="A178" s="2">
        <f>IFERROR(__xludf.DUMMYFUNCTION("""COMPUTED_VALUE"""),43460.0)</f>
        <v>43460</v>
      </c>
      <c r="B178" s="1" t="str">
        <f>IFERROR(__xludf.DUMMYFUNCTION("""COMPUTED_VALUE"""),"7:30p")</f>
        <v>7:30p</v>
      </c>
      <c r="C178" s="1" t="str">
        <f>IFERROR(__xludf.DUMMYFUNCTION("""COMPUTED_VALUE"""),"Toronto Raptors")</f>
        <v>Toronto Raptors</v>
      </c>
      <c r="D178" s="1">
        <f>IFERROR(__xludf.DUMMYFUNCTION("""COMPUTED_VALUE"""),106.0)</f>
        <v>106</v>
      </c>
      <c r="E178" s="1" t="str">
        <f>IFERROR(__xludf.DUMMYFUNCTION("""COMPUTED_VALUE"""),"Miami Heat")</f>
        <v>Miami Heat</v>
      </c>
      <c r="F178" s="1">
        <f>IFERROR(__xludf.DUMMYFUNCTION("""COMPUTED_VALUE"""),104.0)</f>
        <v>104</v>
      </c>
      <c r="G178" s="1" t="str">
        <f>IFERROR(__xludf.DUMMYFUNCTION("""COMPUTED_VALUE"""),"Box Score")</f>
        <v>Box Score</v>
      </c>
      <c r="H178" s="1"/>
      <c r="I178" s="3">
        <f>IFERROR(__xludf.DUMMYFUNCTION("""COMPUTED_VALUE"""),19902.0)</f>
        <v>19902</v>
      </c>
      <c r="J178" s="1"/>
    </row>
    <row r="179" ht="15.75" customHeight="1">
      <c r="A179" s="2">
        <f>IFERROR(__xludf.DUMMYFUNCTION("""COMPUTED_VALUE"""),43460.0)</f>
        <v>43460</v>
      </c>
      <c r="B179" s="1" t="str">
        <f>IFERROR(__xludf.DUMMYFUNCTION("""COMPUTED_VALUE"""),"8:00p")</f>
        <v>8:00p</v>
      </c>
      <c r="C179" s="1" t="str">
        <f>IFERROR(__xludf.DUMMYFUNCTION("""COMPUTED_VALUE"""),"Minnesota Timberwolves")</f>
        <v>Minnesota Timberwolves</v>
      </c>
      <c r="D179" s="1">
        <f>IFERROR(__xludf.DUMMYFUNCTION("""COMPUTED_VALUE"""),119.0)</f>
        <v>119</v>
      </c>
      <c r="E179" s="1" t="str">
        <f>IFERROR(__xludf.DUMMYFUNCTION("""COMPUTED_VALUE"""),"Chicago Bulls")</f>
        <v>Chicago Bulls</v>
      </c>
      <c r="F179" s="1">
        <f>IFERROR(__xludf.DUMMYFUNCTION("""COMPUTED_VALUE"""),94.0)</f>
        <v>94</v>
      </c>
      <c r="G179" s="1" t="str">
        <f>IFERROR(__xludf.DUMMYFUNCTION("""COMPUTED_VALUE"""),"Box Score")</f>
        <v>Box Score</v>
      </c>
      <c r="H179" s="1"/>
      <c r="I179" s="3">
        <f>IFERROR(__xludf.DUMMYFUNCTION("""COMPUTED_VALUE"""),21852.0)</f>
        <v>21852</v>
      </c>
      <c r="J179" s="1"/>
    </row>
    <row r="180" ht="15.75" customHeight="1">
      <c r="A180" s="2">
        <f>IFERROR(__xludf.DUMMYFUNCTION("""COMPUTED_VALUE"""),43460.0)</f>
        <v>43460</v>
      </c>
      <c r="B180" s="1" t="str">
        <f>IFERROR(__xludf.DUMMYFUNCTION("""COMPUTED_VALUE"""),"8:00p")</f>
        <v>8:00p</v>
      </c>
      <c r="C180" s="1" t="str">
        <f>IFERROR(__xludf.DUMMYFUNCTION("""COMPUTED_VALUE"""),"Cleveland Cavaliers")</f>
        <v>Cleveland Cavaliers</v>
      </c>
      <c r="D180" s="1">
        <f>IFERROR(__xludf.DUMMYFUNCTION("""COMPUTED_VALUE"""),87.0)</f>
        <v>87</v>
      </c>
      <c r="E180" s="1" t="str">
        <f>IFERROR(__xludf.DUMMYFUNCTION("""COMPUTED_VALUE"""),"Memphis Grizzlies")</f>
        <v>Memphis Grizzlies</v>
      </c>
      <c r="F180" s="1">
        <f>IFERROR(__xludf.DUMMYFUNCTION("""COMPUTED_VALUE"""),95.0)</f>
        <v>95</v>
      </c>
      <c r="G180" s="1" t="str">
        <f>IFERROR(__xludf.DUMMYFUNCTION("""COMPUTED_VALUE"""),"Box Score")</f>
        <v>Box Score</v>
      </c>
      <c r="H180" s="1"/>
      <c r="I180" s="3">
        <f>IFERROR(__xludf.DUMMYFUNCTION("""COMPUTED_VALUE"""),16424.0)</f>
        <v>16424</v>
      </c>
      <c r="J180" s="1"/>
    </row>
    <row r="181" ht="15.75" customHeight="1">
      <c r="A181" s="2">
        <f>IFERROR(__xludf.DUMMYFUNCTION("""COMPUTED_VALUE"""),43460.0)</f>
        <v>43460</v>
      </c>
      <c r="B181" s="1" t="str">
        <f>IFERROR(__xludf.DUMMYFUNCTION("""COMPUTED_VALUE"""),"8:30p")</f>
        <v>8:30p</v>
      </c>
      <c r="C181" s="1" t="str">
        <f>IFERROR(__xludf.DUMMYFUNCTION("""COMPUTED_VALUE"""),"New Orleans Pelicans")</f>
        <v>New Orleans Pelicans</v>
      </c>
      <c r="D181" s="1">
        <f>IFERROR(__xludf.DUMMYFUNCTION("""COMPUTED_VALUE"""),119.0)</f>
        <v>119</v>
      </c>
      <c r="E181" s="1" t="str">
        <f>IFERROR(__xludf.DUMMYFUNCTION("""COMPUTED_VALUE"""),"Dallas Mavericks")</f>
        <v>Dallas Mavericks</v>
      </c>
      <c r="F181" s="1">
        <f>IFERROR(__xludf.DUMMYFUNCTION("""COMPUTED_VALUE"""),122.0)</f>
        <v>122</v>
      </c>
      <c r="G181" s="1" t="str">
        <f>IFERROR(__xludf.DUMMYFUNCTION("""COMPUTED_VALUE"""),"Box Score")</f>
        <v>Box Score</v>
      </c>
      <c r="H181" s="1"/>
      <c r="I181" s="3">
        <f>IFERROR(__xludf.DUMMYFUNCTION("""COMPUTED_VALUE"""),20340.0)</f>
        <v>20340</v>
      </c>
      <c r="J181" s="1"/>
    </row>
    <row r="182" ht="15.75" customHeight="1">
      <c r="A182" s="2">
        <f>IFERROR(__xludf.DUMMYFUNCTION("""COMPUTED_VALUE"""),43460.0)</f>
        <v>43460</v>
      </c>
      <c r="B182" s="1" t="str">
        <f>IFERROR(__xludf.DUMMYFUNCTION("""COMPUTED_VALUE"""),"8:30p")</f>
        <v>8:30p</v>
      </c>
      <c r="C182" s="1" t="str">
        <f>IFERROR(__xludf.DUMMYFUNCTION("""COMPUTED_VALUE"""),"Denver Nuggets")</f>
        <v>Denver Nuggets</v>
      </c>
      <c r="D182" s="1">
        <f>IFERROR(__xludf.DUMMYFUNCTION("""COMPUTED_VALUE"""),103.0)</f>
        <v>103</v>
      </c>
      <c r="E182" s="1" t="str">
        <f>IFERROR(__xludf.DUMMYFUNCTION("""COMPUTED_VALUE"""),"San Antonio Spurs")</f>
        <v>San Antonio Spurs</v>
      </c>
      <c r="F182" s="1">
        <f>IFERROR(__xludf.DUMMYFUNCTION("""COMPUTED_VALUE"""),111.0)</f>
        <v>111</v>
      </c>
      <c r="G182" s="1" t="str">
        <f>IFERROR(__xludf.DUMMYFUNCTION("""COMPUTED_VALUE"""),"Box Score")</f>
        <v>Box Score</v>
      </c>
      <c r="H182" s="1"/>
      <c r="I182" s="3">
        <f>IFERROR(__xludf.DUMMYFUNCTION("""COMPUTED_VALUE"""),18408.0)</f>
        <v>18408</v>
      </c>
      <c r="J182" s="1"/>
    </row>
    <row r="183" ht="15.75" customHeight="1">
      <c r="A183" s="2">
        <f>IFERROR(__xludf.DUMMYFUNCTION("""COMPUTED_VALUE"""),43460.0)</f>
        <v>43460</v>
      </c>
      <c r="B183" s="1" t="str">
        <f>IFERROR(__xludf.DUMMYFUNCTION("""COMPUTED_VALUE"""),"10:30p")</f>
        <v>10:30p</v>
      </c>
      <c r="C183" s="1" t="str">
        <f>IFERROR(__xludf.DUMMYFUNCTION("""COMPUTED_VALUE"""),"Sacramento Kings")</f>
        <v>Sacramento Kings</v>
      </c>
      <c r="D183" s="1">
        <f>IFERROR(__xludf.DUMMYFUNCTION("""COMPUTED_VALUE"""),118.0)</f>
        <v>118</v>
      </c>
      <c r="E183" s="1" t="str">
        <f>IFERROR(__xludf.DUMMYFUNCTION("""COMPUTED_VALUE"""),"Los Angeles Clippers")</f>
        <v>Los Angeles Clippers</v>
      </c>
      <c r="F183" s="1">
        <f>IFERROR(__xludf.DUMMYFUNCTION("""COMPUTED_VALUE"""),127.0)</f>
        <v>127</v>
      </c>
      <c r="G183" s="1" t="str">
        <f>IFERROR(__xludf.DUMMYFUNCTION("""COMPUTED_VALUE"""),"Box Score")</f>
        <v>Box Score</v>
      </c>
      <c r="H183" s="1"/>
      <c r="I183" s="3">
        <f>IFERROR(__xludf.DUMMYFUNCTION("""COMPUTED_VALUE"""),19068.0)</f>
        <v>19068</v>
      </c>
      <c r="J183" s="1"/>
    </row>
    <row r="184" ht="15.75" customHeight="1">
      <c r="A184" s="2">
        <f>IFERROR(__xludf.DUMMYFUNCTION("""COMPUTED_VALUE"""),43461.0)</f>
        <v>43461</v>
      </c>
      <c r="B184" s="1" t="str">
        <f>IFERROR(__xludf.DUMMYFUNCTION("""COMPUTED_VALUE"""),"8:00p")</f>
        <v>8:00p</v>
      </c>
      <c r="C184" s="1" t="str">
        <f>IFERROR(__xludf.DUMMYFUNCTION("""COMPUTED_VALUE"""),"Boston Celtics")</f>
        <v>Boston Celtics</v>
      </c>
      <c r="D184" s="1">
        <f>IFERROR(__xludf.DUMMYFUNCTION("""COMPUTED_VALUE"""),113.0)</f>
        <v>113</v>
      </c>
      <c r="E184" s="1" t="str">
        <f>IFERROR(__xludf.DUMMYFUNCTION("""COMPUTED_VALUE"""),"Houston Rockets")</f>
        <v>Houston Rockets</v>
      </c>
      <c r="F184" s="1">
        <f>IFERROR(__xludf.DUMMYFUNCTION("""COMPUTED_VALUE"""),127.0)</f>
        <v>127</v>
      </c>
      <c r="G184" s="1" t="str">
        <f>IFERROR(__xludf.DUMMYFUNCTION("""COMPUTED_VALUE"""),"Box Score")</f>
        <v>Box Score</v>
      </c>
      <c r="H184" s="1"/>
      <c r="I184" s="3">
        <f>IFERROR(__xludf.DUMMYFUNCTION("""COMPUTED_VALUE"""),18055.0)</f>
        <v>18055</v>
      </c>
      <c r="J184" s="1"/>
    </row>
    <row r="185" ht="15.75" customHeight="1">
      <c r="A185" s="2">
        <f>IFERROR(__xludf.DUMMYFUNCTION("""COMPUTED_VALUE"""),43461.0)</f>
        <v>43461</v>
      </c>
      <c r="B185" s="1" t="str">
        <f>IFERROR(__xludf.DUMMYFUNCTION("""COMPUTED_VALUE"""),"8:00p")</f>
        <v>8:00p</v>
      </c>
      <c r="C185" s="1" t="str">
        <f>IFERROR(__xludf.DUMMYFUNCTION("""COMPUTED_VALUE"""),"New York Knicks")</f>
        <v>New York Knicks</v>
      </c>
      <c r="D185" s="1">
        <f>IFERROR(__xludf.DUMMYFUNCTION("""COMPUTED_VALUE"""),96.0)</f>
        <v>96</v>
      </c>
      <c r="E185" s="1" t="str">
        <f>IFERROR(__xludf.DUMMYFUNCTION("""COMPUTED_VALUE"""),"Milwaukee Bucks")</f>
        <v>Milwaukee Bucks</v>
      </c>
      <c r="F185" s="1">
        <f>IFERROR(__xludf.DUMMYFUNCTION("""COMPUTED_VALUE"""),112.0)</f>
        <v>112</v>
      </c>
      <c r="G185" s="1" t="str">
        <f>IFERROR(__xludf.DUMMYFUNCTION("""COMPUTED_VALUE"""),"Box Score")</f>
        <v>Box Score</v>
      </c>
      <c r="H185" s="1"/>
      <c r="I185" s="3">
        <f>IFERROR(__xludf.DUMMYFUNCTION("""COMPUTED_VALUE"""),18058.0)</f>
        <v>18058</v>
      </c>
      <c r="J185" s="1"/>
    </row>
    <row r="186" ht="15.75" customHeight="1">
      <c r="A186" s="2">
        <f>IFERROR(__xludf.DUMMYFUNCTION("""COMPUTED_VALUE"""),43461.0)</f>
        <v>43461</v>
      </c>
      <c r="B186" s="1" t="str">
        <f>IFERROR(__xludf.DUMMYFUNCTION("""COMPUTED_VALUE"""),"10:00p")</f>
        <v>10:00p</v>
      </c>
      <c r="C186" s="1" t="str">
        <f>IFERROR(__xludf.DUMMYFUNCTION("""COMPUTED_VALUE"""),"Los Angeles Lakers")</f>
        <v>Los Angeles Lakers</v>
      </c>
      <c r="D186" s="1">
        <f>IFERROR(__xludf.DUMMYFUNCTION("""COMPUTED_VALUE"""),116.0)</f>
        <v>116</v>
      </c>
      <c r="E186" s="1" t="str">
        <f>IFERROR(__xludf.DUMMYFUNCTION("""COMPUTED_VALUE"""),"Sacramento Kings")</f>
        <v>Sacramento Kings</v>
      </c>
      <c r="F186" s="1">
        <f>IFERROR(__xludf.DUMMYFUNCTION("""COMPUTED_VALUE"""),117.0)</f>
        <v>117</v>
      </c>
      <c r="G186" s="1" t="str">
        <f>IFERROR(__xludf.DUMMYFUNCTION("""COMPUTED_VALUE"""),"Box Score")</f>
        <v>Box Score</v>
      </c>
      <c r="H186" s="1"/>
      <c r="I186" s="3">
        <f>IFERROR(__xludf.DUMMYFUNCTION("""COMPUTED_VALUE"""),17583.0)</f>
        <v>17583</v>
      </c>
      <c r="J186" s="1"/>
    </row>
    <row r="187" ht="15.75" customHeight="1">
      <c r="A187" s="2">
        <f>IFERROR(__xludf.DUMMYFUNCTION("""COMPUTED_VALUE"""),43461.0)</f>
        <v>43461</v>
      </c>
      <c r="B187" s="1" t="str">
        <f>IFERROR(__xludf.DUMMYFUNCTION("""COMPUTED_VALUE"""),"10:30p")</f>
        <v>10:30p</v>
      </c>
      <c r="C187" s="1" t="str">
        <f>IFERROR(__xludf.DUMMYFUNCTION("""COMPUTED_VALUE"""),"Portland Trail Blazers")</f>
        <v>Portland Trail Blazers</v>
      </c>
      <c r="D187" s="1">
        <f>IFERROR(__xludf.DUMMYFUNCTION("""COMPUTED_VALUE"""),110.0)</f>
        <v>110</v>
      </c>
      <c r="E187" s="1" t="str">
        <f>IFERROR(__xludf.DUMMYFUNCTION("""COMPUTED_VALUE"""),"Golden State Warriors")</f>
        <v>Golden State Warriors</v>
      </c>
      <c r="F187" s="1">
        <f>IFERROR(__xludf.DUMMYFUNCTION("""COMPUTED_VALUE"""),109.0)</f>
        <v>109</v>
      </c>
      <c r="G187" s="1" t="str">
        <f>IFERROR(__xludf.DUMMYFUNCTION("""COMPUTED_VALUE"""),"Box Score")</f>
        <v>Box Score</v>
      </c>
      <c r="H187" s="1" t="str">
        <f>IFERROR(__xludf.DUMMYFUNCTION("""COMPUTED_VALUE"""),"OT")</f>
        <v>OT</v>
      </c>
      <c r="I187" s="3">
        <f>IFERROR(__xludf.DUMMYFUNCTION("""COMPUTED_VALUE"""),19596.0)</f>
        <v>19596</v>
      </c>
      <c r="J187" s="1"/>
    </row>
    <row r="188" ht="15.75" customHeight="1">
      <c r="A188" s="2">
        <f>IFERROR(__xludf.DUMMYFUNCTION("""COMPUTED_VALUE"""),43461.0)</f>
        <v>43461</v>
      </c>
      <c r="B188" s="1" t="str">
        <f>IFERROR(__xludf.DUMMYFUNCTION("""COMPUTED_VALUE"""),"10:30p")</f>
        <v>10:30p</v>
      </c>
      <c r="C188" s="1" t="str">
        <f>IFERROR(__xludf.DUMMYFUNCTION("""COMPUTED_VALUE"""),"Philadelphia 76ers")</f>
        <v>Philadelphia 76ers</v>
      </c>
      <c r="D188" s="1">
        <f>IFERROR(__xludf.DUMMYFUNCTION("""COMPUTED_VALUE"""),114.0)</f>
        <v>114</v>
      </c>
      <c r="E188" s="1" t="str">
        <f>IFERROR(__xludf.DUMMYFUNCTION("""COMPUTED_VALUE"""),"Utah Jazz")</f>
        <v>Utah Jazz</v>
      </c>
      <c r="F188" s="1">
        <f>IFERROR(__xludf.DUMMYFUNCTION("""COMPUTED_VALUE"""),97.0)</f>
        <v>97</v>
      </c>
      <c r="G188" s="1" t="str">
        <f>IFERROR(__xludf.DUMMYFUNCTION("""COMPUTED_VALUE"""),"Box Score")</f>
        <v>Box Score</v>
      </c>
      <c r="H188" s="1"/>
      <c r="I188" s="3">
        <f>IFERROR(__xludf.DUMMYFUNCTION("""COMPUTED_VALUE"""),18306.0)</f>
        <v>18306</v>
      </c>
      <c r="J188" s="1"/>
    </row>
    <row r="189" ht="15.75" customHeight="1">
      <c r="A189" s="2">
        <f>IFERROR(__xludf.DUMMYFUNCTION("""COMPUTED_VALUE"""),43462.0)</f>
        <v>43462</v>
      </c>
      <c r="B189" s="1" t="str">
        <f>IFERROR(__xludf.DUMMYFUNCTION("""COMPUTED_VALUE"""),"7:00p")</f>
        <v>7:00p</v>
      </c>
      <c r="C189" s="1" t="str">
        <f>IFERROR(__xludf.DUMMYFUNCTION("""COMPUTED_VALUE"""),"Brooklyn Nets")</f>
        <v>Brooklyn Nets</v>
      </c>
      <c r="D189" s="1">
        <f>IFERROR(__xludf.DUMMYFUNCTION("""COMPUTED_VALUE"""),87.0)</f>
        <v>87</v>
      </c>
      <c r="E189" s="1" t="str">
        <f>IFERROR(__xludf.DUMMYFUNCTION("""COMPUTED_VALUE"""),"Charlotte Hornets")</f>
        <v>Charlotte Hornets</v>
      </c>
      <c r="F189" s="1">
        <f>IFERROR(__xludf.DUMMYFUNCTION("""COMPUTED_VALUE"""),100.0)</f>
        <v>100</v>
      </c>
      <c r="G189" s="1" t="str">
        <f>IFERROR(__xludf.DUMMYFUNCTION("""COMPUTED_VALUE"""),"Box Score")</f>
        <v>Box Score</v>
      </c>
      <c r="H189" s="1"/>
      <c r="I189" s="3">
        <f>IFERROR(__xludf.DUMMYFUNCTION("""COMPUTED_VALUE"""),19411.0)</f>
        <v>19411</v>
      </c>
      <c r="J189" s="1"/>
    </row>
    <row r="190" ht="15.75" customHeight="1">
      <c r="A190" s="2">
        <f>IFERROR(__xludf.DUMMYFUNCTION("""COMPUTED_VALUE"""),43462.0)</f>
        <v>43462</v>
      </c>
      <c r="B190" s="1" t="str">
        <f>IFERROR(__xludf.DUMMYFUNCTION("""COMPUTED_VALUE"""),"7:00p")</f>
        <v>7:00p</v>
      </c>
      <c r="C190" s="1" t="str">
        <f>IFERROR(__xludf.DUMMYFUNCTION("""COMPUTED_VALUE"""),"Detroit Pistons")</f>
        <v>Detroit Pistons</v>
      </c>
      <c r="D190" s="1">
        <f>IFERROR(__xludf.DUMMYFUNCTION("""COMPUTED_VALUE"""),88.0)</f>
        <v>88</v>
      </c>
      <c r="E190" s="1" t="str">
        <f>IFERROR(__xludf.DUMMYFUNCTION("""COMPUTED_VALUE"""),"Indiana Pacers")</f>
        <v>Indiana Pacers</v>
      </c>
      <c r="F190" s="1">
        <f>IFERROR(__xludf.DUMMYFUNCTION("""COMPUTED_VALUE"""),125.0)</f>
        <v>125</v>
      </c>
      <c r="G190" s="1" t="str">
        <f>IFERROR(__xludf.DUMMYFUNCTION("""COMPUTED_VALUE"""),"Box Score")</f>
        <v>Box Score</v>
      </c>
      <c r="H190" s="1"/>
      <c r="I190" s="3">
        <f>IFERROR(__xludf.DUMMYFUNCTION("""COMPUTED_VALUE"""),17923.0)</f>
        <v>17923</v>
      </c>
      <c r="J190" s="1"/>
    </row>
    <row r="191" ht="15.75" customHeight="1">
      <c r="A191" s="2">
        <f>IFERROR(__xludf.DUMMYFUNCTION("""COMPUTED_VALUE"""),43462.0)</f>
        <v>43462</v>
      </c>
      <c r="B191" s="1" t="str">
        <f>IFERROR(__xludf.DUMMYFUNCTION("""COMPUTED_VALUE"""),"7:00p")</f>
        <v>7:00p</v>
      </c>
      <c r="C191" s="1" t="str">
        <f>IFERROR(__xludf.DUMMYFUNCTION("""COMPUTED_VALUE"""),"Toronto Raptors")</f>
        <v>Toronto Raptors</v>
      </c>
      <c r="D191" s="1">
        <f>IFERROR(__xludf.DUMMYFUNCTION("""COMPUTED_VALUE"""),87.0)</f>
        <v>87</v>
      </c>
      <c r="E191" s="1" t="str">
        <f>IFERROR(__xludf.DUMMYFUNCTION("""COMPUTED_VALUE"""),"Orlando Magic")</f>
        <v>Orlando Magic</v>
      </c>
      <c r="F191" s="1">
        <f>IFERROR(__xludf.DUMMYFUNCTION("""COMPUTED_VALUE"""),116.0)</f>
        <v>116</v>
      </c>
      <c r="G191" s="1" t="str">
        <f>IFERROR(__xludf.DUMMYFUNCTION("""COMPUTED_VALUE"""),"Box Score")</f>
        <v>Box Score</v>
      </c>
      <c r="H191" s="1"/>
      <c r="I191" s="3">
        <f>IFERROR(__xludf.DUMMYFUNCTION("""COMPUTED_VALUE"""),18846.0)</f>
        <v>18846</v>
      </c>
      <c r="J191" s="1"/>
    </row>
    <row r="192" ht="15.75" customHeight="1">
      <c r="A192" s="2">
        <f>IFERROR(__xludf.DUMMYFUNCTION("""COMPUTED_VALUE"""),43462.0)</f>
        <v>43462</v>
      </c>
      <c r="B192" s="1" t="str">
        <f>IFERROR(__xludf.DUMMYFUNCTION("""COMPUTED_VALUE"""),"7:00p")</f>
        <v>7:00p</v>
      </c>
      <c r="C192" s="1" t="str">
        <f>IFERROR(__xludf.DUMMYFUNCTION("""COMPUTED_VALUE"""),"Chicago Bulls")</f>
        <v>Chicago Bulls</v>
      </c>
      <c r="D192" s="1">
        <f>IFERROR(__xludf.DUMMYFUNCTION("""COMPUTED_VALUE"""),101.0)</f>
        <v>101</v>
      </c>
      <c r="E192" s="1" t="str">
        <f>IFERROR(__xludf.DUMMYFUNCTION("""COMPUTED_VALUE"""),"Washington Wizards")</f>
        <v>Washington Wizards</v>
      </c>
      <c r="F192" s="1">
        <f>IFERROR(__xludf.DUMMYFUNCTION("""COMPUTED_VALUE"""),92.0)</f>
        <v>92</v>
      </c>
      <c r="G192" s="1" t="str">
        <f>IFERROR(__xludf.DUMMYFUNCTION("""COMPUTED_VALUE"""),"Box Score")</f>
        <v>Box Score</v>
      </c>
      <c r="H192" s="1"/>
      <c r="I192" s="3">
        <f>IFERROR(__xludf.DUMMYFUNCTION("""COMPUTED_VALUE"""),20409.0)</f>
        <v>20409</v>
      </c>
      <c r="J192" s="1"/>
    </row>
    <row r="193" ht="15.75" customHeight="1">
      <c r="A193" s="2">
        <f>IFERROR(__xludf.DUMMYFUNCTION("""COMPUTED_VALUE"""),43462.0)</f>
        <v>43462</v>
      </c>
      <c r="B193" s="1" t="str">
        <f>IFERROR(__xludf.DUMMYFUNCTION("""COMPUTED_VALUE"""),"8:00p")</f>
        <v>8:00p</v>
      </c>
      <c r="C193" s="1" t="str">
        <f>IFERROR(__xludf.DUMMYFUNCTION("""COMPUTED_VALUE"""),"Cleveland Cavaliers")</f>
        <v>Cleveland Cavaliers</v>
      </c>
      <c r="D193" s="1">
        <f>IFERROR(__xludf.DUMMYFUNCTION("""COMPUTED_VALUE"""),94.0)</f>
        <v>94</v>
      </c>
      <c r="E193" s="1" t="str">
        <f>IFERROR(__xludf.DUMMYFUNCTION("""COMPUTED_VALUE"""),"Miami Heat")</f>
        <v>Miami Heat</v>
      </c>
      <c r="F193" s="1">
        <f>IFERROR(__xludf.DUMMYFUNCTION("""COMPUTED_VALUE"""),118.0)</f>
        <v>118</v>
      </c>
      <c r="G193" s="1" t="str">
        <f>IFERROR(__xludf.DUMMYFUNCTION("""COMPUTED_VALUE"""),"Box Score")</f>
        <v>Box Score</v>
      </c>
      <c r="H193" s="1"/>
      <c r="I193" s="3">
        <f>IFERROR(__xludf.DUMMYFUNCTION("""COMPUTED_VALUE"""),19617.0)</f>
        <v>19617</v>
      </c>
      <c r="J193" s="1"/>
    </row>
    <row r="194" ht="15.75" customHeight="1">
      <c r="A194" s="2">
        <f>IFERROR(__xludf.DUMMYFUNCTION("""COMPUTED_VALUE"""),43462.0)</f>
        <v>43462</v>
      </c>
      <c r="B194" s="1" t="str">
        <f>IFERROR(__xludf.DUMMYFUNCTION("""COMPUTED_VALUE"""),"8:00p")</f>
        <v>8:00p</v>
      </c>
      <c r="C194" s="1" t="str">
        <f>IFERROR(__xludf.DUMMYFUNCTION("""COMPUTED_VALUE"""),"Atlanta Hawks")</f>
        <v>Atlanta Hawks</v>
      </c>
      <c r="D194" s="1">
        <f>IFERROR(__xludf.DUMMYFUNCTION("""COMPUTED_VALUE"""),123.0)</f>
        <v>123</v>
      </c>
      <c r="E194" s="1" t="str">
        <f>IFERROR(__xludf.DUMMYFUNCTION("""COMPUTED_VALUE"""),"Minnesota Timberwolves")</f>
        <v>Minnesota Timberwolves</v>
      </c>
      <c r="F194" s="1">
        <f>IFERROR(__xludf.DUMMYFUNCTION("""COMPUTED_VALUE"""),120.0)</f>
        <v>120</v>
      </c>
      <c r="G194" s="1" t="str">
        <f>IFERROR(__xludf.DUMMYFUNCTION("""COMPUTED_VALUE"""),"Box Score")</f>
        <v>Box Score</v>
      </c>
      <c r="H194" s="1" t="str">
        <f>IFERROR(__xludf.DUMMYFUNCTION("""COMPUTED_VALUE"""),"OT")</f>
        <v>OT</v>
      </c>
      <c r="I194" s="3">
        <f>IFERROR(__xludf.DUMMYFUNCTION("""COMPUTED_VALUE"""),18978.0)</f>
        <v>18978</v>
      </c>
      <c r="J194" s="1"/>
    </row>
    <row r="195" ht="15.75" customHeight="1">
      <c r="A195" s="2">
        <f>IFERROR(__xludf.DUMMYFUNCTION("""COMPUTED_VALUE"""),43462.0)</f>
        <v>43462</v>
      </c>
      <c r="B195" s="1" t="str">
        <f>IFERROR(__xludf.DUMMYFUNCTION("""COMPUTED_VALUE"""),"8:00p")</f>
        <v>8:00p</v>
      </c>
      <c r="C195" s="1" t="str">
        <f>IFERROR(__xludf.DUMMYFUNCTION("""COMPUTED_VALUE"""),"Dallas Mavericks")</f>
        <v>Dallas Mavericks</v>
      </c>
      <c r="D195" s="1">
        <f>IFERROR(__xludf.DUMMYFUNCTION("""COMPUTED_VALUE"""),112.0)</f>
        <v>112</v>
      </c>
      <c r="E195" s="1" t="str">
        <f>IFERROR(__xludf.DUMMYFUNCTION("""COMPUTED_VALUE"""),"New Orleans Pelicans")</f>
        <v>New Orleans Pelicans</v>
      </c>
      <c r="F195" s="1">
        <f>IFERROR(__xludf.DUMMYFUNCTION("""COMPUTED_VALUE"""),114.0)</f>
        <v>114</v>
      </c>
      <c r="G195" s="1" t="str">
        <f>IFERROR(__xludf.DUMMYFUNCTION("""COMPUTED_VALUE"""),"Box Score")</f>
        <v>Box Score</v>
      </c>
      <c r="H195" s="1"/>
      <c r="I195" s="3">
        <f>IFERROR(__xludf.DUMMYFUNCTION("""COMPUTED_VALUE"""),18364.0)</f>
        <v>18364</v>
      </c>
      <c r="J195" s="1"/>
    </row>
    <row r="196" ht="15.75" customHeight="1">
      <c r="A196" s="2">
        <f>IFERROR(__xludf.DUMMYFUNCTION("""COMPUTED_VALUE"""),43462.0)</f>
        <v>43462</v>
      </c>
      <c r="B196" s="1" t="str">
        <f>IFERROR(__xludf.DUMMYFUNCTION("""COMPUTED_VALUE"""),"9:00p")</f>
        <v>9:00p</v>
      </c>
      <c r="C196" s="1" t="str">
        <f>IFERROR(__xludf.DUMMYFUNCTION("""COMPUTED_VALUE"""),"San Antonio Spurs")</f>
        <v>San Antonio Spurs</v>
      </c>
      <c r="D196" s="1">
        <f>IFERROR(__xludf.DUMMYFUNCTION("""COMPUTED_VALUE"""),99.0)</f>
        <v>99</v>
      </c>
      <c r="E196" s="1" t="str">
        <f>IFERROR(__xludf.DUMMYFUNCTION("""COMPUTED_VALUE"""),"Denver Nuggets")</f>
        <v>Denver Nuggets</v>
      </c>
      <c r="F196" s="1">
        <f>IFERROR(__xludf.DUMMYFUNCTION("""COMPUTED_VALUE"""),102.0)</f>
        <v>102</v>
      </c>
      <c r="G196" s="1" t="str">
        <f>IFERROR(__xludf.DUMMYFUNCTION("""COMPUTED_VALUE"""),"Box Score")</f>
        <v>Box Score</v>
      </c>
      <c r="H196" s="1"/>
      <c r="I196" s="3">
        <f>IFERROR(__xludf.DUMMYFUNCTION("""COMPUTED_VALUE"""),20076.0)</f>
        <v>20076</v>
      </c>
      <c r="J196" s="1"/>
    </row>
    <row r="197" ht="15.75" customHeight="1">
      <c r="A197" s="2">
        <f>IFERROR(__xludf.DUMMYFUNCTION("""COMPUTED_VALUE"""),43462.0)</f>
        <v>43462</v>
      </c>
      <c r="B197" s="1" t="str">
        <f>IFERROR(__xludf.DUMMYFUNCTION("""COMPUTED_VALUE"""),"9:00p")</f>
        <v>9:00p</v>
      </c>
      <c r="C197" s="1" t="str">
        <f>IFERROR(__xludf.DUMMYFUNCTION("""COMPUTED_VALUE"""),"Oklahoma City Thunder")</f>
        <v>Oklahoma City Thunder</v>
      </c>
      <c r="D197" s="1">
        <f>IFERROR(__xludf.DUMMYFUNCTION("""COMPUTED_VALUE"""),118.0)</f>
        <v>118</v>
      </c>
      <c r="E197" s="1" t="str">
        <f>IFERROR(__xludf.DUMMYFUNCTION("""COMPUTED_VALUE"""),"Phoenix Suns")</f>
        <v>Phoenix Suns</v>
      </c>
      <c r="F197" s="1">
        <f>IFERROR(__xludf.DUMMYFUNCTION("""COMPUTED_VALUE"""),102.0)</f>
        <v>102</v>
      </c>
      <c r="G197" s="1" t="str">
        <f>IFERROR(__xludf.DUMMYFUNCTION("""COMPUTED_VALUE"""),"Box Score")</f>
        <v>Box Score</v>
      </c>
      <c r="H197" s="1"/>
      <c r="I197" s="3">
        <f>IFERROR(__xludf.DUMMYFUNCTION("""COMPUTED_VALUE"""),18055.0)</f>
        <v>18055</v>
      </c>
      <c r="J197" s="1"/>
    </row>
    <row r="198" ht="15.75" customHeight="1">
      <c r="A198" s="2">
        <f>IFERROR(__xludf.DUMMYFUNCTION("""COMPUTED_VALUE"""),43462.0)</f>
        <v>43462</v>
      </c>
      <c r="B198" s="1" t="str">
        <f>IFERROR(__xludf.DUMMYFUNCTION("""COMPUTED_VALUE"""),"10:30p")</f>
        <v>10:30p</v>
      </c>
      <c r="C198" s="1" t="str">
        <f>IFERROR(__xludf.DUMMYFUNCTION("""COMPUTED_VALUE"""),"Los Angeles Clippers")</f>
        <v>Los Angeles Clippers</v>
      </c>
      <c r="D198" s="1">
        <f>IFERROR(__xludf.DUMMYFUNCTION("""COMPUTED_VALUE"""),118.0)</f>
        <v>118</v>
      </c>
      <c r="E198" s="1" t="str">
        <f>IFERROR(__xludf.DUMMYFUNCTION("""COMPUTED_VALUE"""),"Los Angeles Lakers")</f>
        <v>Los Angeles Lakers</v>
      </c>
      <c r="F198" s="1">
        <f>IFERROR(__xludf.DUMMYFUNCTION("""COMPUTED_VALUE"""),107.0)</f>
        <v>107</v>
      </c>
      <c r="G198" s="1" t="str">
        <f>IFERROR(__xludf.DUMMYFUNCTION("""COMPUTED_VALUE"""),"Box Score")</f>
        <v>Box Score</v>
      </c>
      <c r="H198" s="1"/>
      <c r="I198" s="3">
        <f>IFERROR(__xludf.DUMMYFUNCTION("""COMPUTED_VALUE"""),18997.0)</f>
        <v>18997</v>
      </c>
      <c r="J198" s="1"/>
    </row>
    <row r="199" ht="15.75" customHeight="1">
      <c r="A199" s="2">
        <f>IFERROR(__xludf.DUMMYFUNCTION("""COMPUTED_VALUE"""),43463.0)</f>
        <v>43463</v>
      </c>
      <c r="B199" s="1" t="str">
        <f>IFERROR(__xludf.DUMMYFUNCTION("""COMPUTED_VALUE"""),"5:00p")</f>
        <v>5:00p</v>
      </c>
      <c r="C199" s="1" t="str">
        <f>IFERROR(__xludf.DUMMYFUNCTION("""COMPUTED_VALUE"""),"Brooklyn Nets")</f>
        <v>Brooklyn Nets</v>
      </c>
      <c r="D199" s="1">
        <f>IFERROR(__xludf.DUMMYFUNCTION("""COMPUTED_VALUE"""),115.0)</f>
        <v>115</v>
      </c>
      <c r="E199" s="1" t="str">
        <f>IFERROR(__xludf.DUMMYFUNCTION("""COMPUTED_VALUE"""),"Milwaukee Bucks")</f>
        <v>Milwaukee Bucks</v>
      </c>
      <c r="F199" s="1">
        <f>IFERROR(__xludf.DUMMYFUNCTION("""COMPUTED_VALUE"""),129.0)</f>
        <v>129</v>
      </c>
      <c r="G199" s="1" t="str">
        <f>IFERROR(__xludf.DUMMYFUNCTION("""COMPUTED_VALUE"""),"Box Score")</f>
        <v>Box Score</v>
      </c>
      <c r="H199" s="1"/>
      <c r="I199" s="3">
        <f>IFERROR(__xludf.DUMMYFUNCTION("""COMPUTED_VALUE"""),17918.0)</f>
        <v>17918</v>
      </c>
      <c r="J199" s="1"/>
    </row>
    <row r="200" ht="15.75" customHeight="1">
      <c r="A200" s="2">
        <f>IFERROR(__xludf.DUMMYFUNCTION("""COMPUTED_VALUE"""),43463.0)</f>
        <v>43463</v>
      </c>
      <c r="B200" s="1" t="str">
        <f>IFERROR(__xludf.DUMMYFUNCTION("""COMPUTED_VALUE"""),"7:00p")</f>
        <v>7:00p</v>
      </c>
      <c r="C200" s="1" t="str">
        <f>IFERROR(__xludf.DUMMYFUNCTION("""COMPUTED_VALUE"""),"Houston Rockets")</f>
        <v>Houston Rockets</v>
      </c>
      <c r="D200" s="1">
        <f>IFERROR(__xludf.DUMMYFUNCTION("""COMPUTED_VALUE"""),108.0)</f>
        <v>108</v>
      </c>
      <c r="E200" s="1" t="str">
        <f>IFERROR(__xludf.DUMMYFUNCTION("""COMPUTED_VALUE"""),"New Orleans Pelicans")</f>
        <v>New Orleans Pelicans</v>
      </c>
      <c r="F200" s="1">
        <f>IFERROR(__xludf.DUMMYFUNCTION("""COMPUTED_VALUE"""),104.0)</f>
        <v>104</v>
      </c>
      <c r="G200" s="1" t="str">
        <f>IFERROR(__xludf.DUMMYFUNCTION("""COMPUTED_VALUE"""),"Box Score")</f>
        <v>Box Score</v>
      </c>
      <c r="H200" s="1"/>
      <c r="I200" s="3">
        <f>IFERROR(__xludf.DUMMYFUNCTION("""COMPUTED_VALUE"""),17555.0)</f>
        <v>17555</v>
      </c>
      <c r="J200" s="1"/>
    </row>
    <row r="201" ht="15.75" customHeight="1">
      <c r="A201" s="2">
        <f>IFERROR(__xludf.DUMMYFUNCTION("""COMPUTED_VALUE"""),43463.0)</f>
        <v>43463</v>
      </c>
      <c r="B201" s="1" t="str">
        <f>IFERROR(__xludf.DUMMYFUNCTION("""COMPUTED_VALUE"""),"7:00p")</f>
        <v>7:00p</v>
      </c>
      <c r="C201" s="1" t="str">
        <f>IFERROR(__xludf.DUMMYFUNCTION("""COMPUTED_VALUE"""),"Charlotte Hornets")</f>
        <v>Charlotte Hornets</v>
      </c>
      <c r="D201" s="1">
        <f>IFERROR(__xludf.DUMMYFUNCTION("""COMPUTED_VALUE"""),126.0)</f>
        <v>126</v>
      </c>
      <c r="E201" s="1" t="str">
        <f>IFERROR(__xludf.DUMMYFUNCTION("""COMPUTED_VALUE"""),"Washington Wizards")</f>
        <v>Washington Wizards</v>
      </c>
      <c r="F201" s="1">
        <f>IFERROR(__xludf.DUMMYFUNCTION("""COMPUTED_VALUE"""),130.0)</f>
        <v>130</v>
      </c>
      <c r="G201" s="1" t="str">
        <f>IFERROR(__xludf.DUMMYFUNCTION("""COMPUTED_VALUE"""),"Box Score")</f>
        <v>Box Score</v>
      </c>
      <c r="H201" s="1"/>
      <c r="I201" s="3">
        <f>IFERROR(__xludf.DUMMYFUNCTION("""COMPUTED_VALUE"""),17197.0)</f>
        <v>17197</v>
      </c>
      <c r="J201" s="1"/>
    </row>
    <row r="202" ht="15.75" customHeight="1">
      <c r="A202" s="2">
        <f>IFERROR(__xludf.DUMMYFUNCTION("""COMPUTED_VALUE"""),43463.0)</f>
        <v>43463</v>
      </c>
      <c r="B202" s="1" t="str">
        <f>IFERROR(__xludf.DUMMYFUNCTION("""COMPUTED_VALUE"""),"7:30p")</f>
        <v>7:30p</v>
      </c>
      <c r="C202" s="1" t="str">
        <f>IFERROR(__xludf.DUMMYFUNCTION("""COMPUTED_VALUE"""),"Cleveland Cavaliers")</f>
        <v>Cleveland Cavaliers</v>
      </c>
      <c r="D202" s="1">
        <f>IFERROR(__xludf.DUMMYFUNCTION("""COMPUTED_VALUE"""),108.0)</f>
        <v>108</v>
      </c>
      <c r="E202" s="1" t="str">
        <f>IFERROR(__xludf.DUMMYFUNCTION("""COMPUTED_VALUE"""),"Atlanta Hawks")</f>
        <v>Atlanta Hawks</v>
      </c>
      <c r="F202" s="1">
        <f>IFERROR(__xludf.DUMMYFUNCTION("""COMPUTED_VALUE"""),111.0)</f>
        <v>111</v>
      </c>
      <c r="G202" s="1" t="str">
        <f>IFERROR(__xludf.DUMMYFUNCTION("""COMPUTED_VALUE"""),"Box Score")</f>
        <v>Box Score</v>
      </c>
      <c r="H202" s="1"/>
      <c r="I202" s="3">
        <f>IFERROR(__xludf.DUMMYFUNCTION("""COMPUTED_VALUE"""),16460.0)</f>
        <v>16460</v>
      </c>
      <c r="J202" s="1"/>
    </row>
    <row r="203" ht="15.75" customHeight="1">
      <c r="A203" s="2">
        <f>IFERROR(__xludf.DUMMYFUNCTION("""COMPUTED_VALUE"""),43463.0)</f>
        <v>43463</v>
      </c>
      <c r="B203" s="1" t="str">
        <f>IFERROR(__xludf.DUMMYFUNCTION("""COMPUTED_VALUE"""),"8:00p")</f>
        <v>8:00p</v>
      </c>
      <c r="C203" s="1" t="str">
        <f>IFERROR(__xludf.DUMMYFUNCTION("""COMPUTED_VALUE"""),"Boston Celtics")</f>
        <v>Boston Celtics</v>
      </c>
      <c r="D203" s="1">
        <f>IFERROR(__xludf.DUMMYFUNCTION("""COMPUTED_VALUE"""),112.0)</f>
        <v>112</v>
      </c>
      <c r="E203" s="1" t="str">
        <f>IFERROR(__xludf.DUMMYFUNCTION("""COMPUTED_VALUE"""),"Memphis Grizzlies")</f>
        <v>Memphis Grizzlies</v>
      </c>
      <c r="F203" s="1">
        <f>IFERROR(__xludf.DUMMYFUNCTION("""COMPUTED_VALUE"""),103.0)</f>
        <v>103</v>
      </c>
      <c r="G203" s="1" t="str">
        <f>IFERROR(__xludf.DUMMYFUNCTION("""COMPUTED_VALUE"""),"Box Score")</f>
        <v>Box Score</v>
      </c>
      <c r="H203" s="1"/>
      <c r="I203" s="3">
        <f>IFERROR(__xludf.DUMMYFUNCTION("""COMPUTED_VALUE"""),17794.0)</f>
        <v>17794</v>
      </c>
      <c r="J203" s="1"/>
    </row>
    <row r="204" ht="15.75" customHeight="1">
      <c r="A204" s="2">
        <f>IFERROR(__xludf.DUMMYFUNCTION("""COMPUTED_VALUE"""),43463.0)</f>
        <v>43463</v>
      </c>
      <c r="B204" s="1" t="str">
        <f>IFERROR(__xludf.DUMMYFUNCTION("""COMPUTED_VALUE"""),"8:00p")</f>
        <v>8:00p</v>
      </c>
      <c r="C204" s="1" t="str">
        <f>IFERROR(__xludf.DUMMYFUNCTION("""COMPUTED_VALUE"""),"New York Knicks")</f>
        <v>New York Knicks</v>
      </c>
      <c r="D204" s="1">
        <f>IFERROR(__xludf.DUMMYFUNCTION("""COMPUTED_VALUE"""),97.0)</f>
        <v>97</v>
      </c>
      <c r="E204" s="1" t="str">
        <f>IFERROR(__xludf.DUMMYFUNCTION("""COMPUTED_VALUE"""),"Utah Jazz")</f>
        <v>Utah Jazz</v>
      </c>
      <c r="F204" s="1">
        <f>IFERROR(__xludf.DUMMYFUNCTION("""COMPUTED_VALUE"""),129.0)</f>
        <v>129</v>
      </c>
      <c r="G204" s="1" t="str">
        <f>IFERROR(__xludf.DUMMYFUNCTION("""COMPUTED_VALUE"""),"Box Score")</f>
        <v>Box Score</v>
      </c>
      <c r="H204" s="1"/>
      <c r="I204" s="3">
        <f>IFERROR(__xludf.DUMMYFUNCTION("""COMPUTED_VALUE"""),18306.0)</f>
        <v>18306</v>
      </c>
      <c r="J204" s="1"/>
    </row>
    <row r="205" ht="15.75" customHeight="1">
      <c r="A205" s="2">
        <f>IFERROR(__xludf.DUMMYFUNCTION("""COMPUTED_VALUE"""),43463.0)</f>
        <v>43463</v>
      </c>
      <c r="B205" s="1" t="str">
        <f>IFERROR(__xludf.DUMMYFUNCTION("""COMPUTED_VALUE"""),"9:00p")</f>
        <v>9:00p</v>
      </c>
      <c r="C205" s="1" t="str">
        <f>IFERROR(__xludf.DUMMYFUNCTION("""COMPUTED_VALUE"""),"Denver Nuggets")</f>
        <v>Denver Nuggets</v>
      </c>
      <c r="D205" s="1">
        <f>IFERROR(__xludf.DUMMYFUNCTION("""COMPUTED_VALUE"""),122.0)</f>
        <v>122</v>
      </c>
      <c r="E205" s="1" t="str">
        <f>IFERROR(__xludf.DUMMYFUNCTION("""COMPUTED_VALUE"""),"Phoenix Suns")</f>
        <v>Phoenix Suns</v>
      </c>
      <c r="F205" s="1">
        <f>IFERROR(__xludf.DUMMYFUNCTION("""COMPUTED_VALUE"""),118.0)</f>
        <v>118</v>
      </c>
      <c r="G205" s="1" t="str">
        <f>IFERROR(__xludf.DUMMYFUNCTION("""COMPUTED_VALUE"""),"Box Score")</f>
        <v>Box Score</v>
      </c>
      <c r="H205" s="1"/>
      <c r="I205" s="3">
        <f>IFERROR(__xludf.DUMMYFUNCTION("""COMPUTED_VALUE"""),14975.0)</f>
        <v>14975</v>
      </c>
      <c r="J205" s="1"/>
    </row>
    <row r="206" ht="15.75" customHeight="1">
      <c r="A206" s="2">
        <f>IFERROR(__xludf.DUMMYFUNCTION("""COMPUTED_VALUE"""),43463.0)</f>
        <v>43463</v>
      </c>
      <c r="B206" s="1" t="str">
        <f>IFERROR(__xludf.DUMMYFUNCTION("""COMPUTED_VALUE"""),"10:00p")</f>
        <v>10:00p</v>
      </c>
      <c r="C206" s="1" t="str">
        <f>IFERROR(__xludf.DUMMYFUNCTION("""COMPUTED_VALUE"""),"Golden State Warriors")</f>
        <v>Golden State Warriors</v>
      </c>
      <c r="D206" s="1">
        <f>IFERROR(__xludf.DUMMYFUNCTION("""COMPUTED_VALUE"""),115.0)</f>
        <v>115</v>
      </c>
      <c r="E206" s="1" t="str">
        <f>IFERROR(__xludf.DUMMYFUNCTION("""COMPUTED_VALUE"""),"Portland Trail Blazers")</f>
        <v>Portland Trail Blazers</v>
      </c>
      <c r="F206" s="1">
        <f>IFERROR(__xludf.DUMMYFUNCTION("""COMPUTED_VALUE"""),105.0)</f>
        <v>105</v>
      </c>
      <c r="G206" s="1" t="str">
        <f>IFERROR(__xludf.DUMMYFUNCTION("""COMPUTED_VALUE"""),"Box Score")</f>
        <v>Box Score</v>
      </c>
      <c r="H206" s="1"/>
      <c r="I206" s="3">
        <f>IFERROR(__xludf.DUMMYFUNCTION("""COMPUTED_VALUE"""),19797.0)</f>
        <v>19797</v>
      </c>
      <c r="J206" s="1"/>
    </row>
    <row r="207" ht="15.75" customHeight="1">
      <c r="A207" s="2">
        <f>IFERROR(__xludf.DUMMYFUNCTION("""COMPUTED_VALUE"""),43463.0)</f>
        <v>43463</v>
      </c>
      <c r="B207" s="1" t="str">
        <f>IFERROR(__xludf.DUMMYFUNCTION("""COMPUTED_VALUE"""),"10:30p")</f>
        <v>10:30p</v>
      </c>
      <c r="C207" s="1" t="str">
        <f>IFERROR(__xludf.DUMMYFUNCTION("""COMPUTED_VALUE"""),"San Antonio Spurs")</f>
        <v>San Antonio Spurs</v>
      </c>
      <c r="D207" s="1">
        <f>IFERROR(__xludf.DUMMYFUNCTION("""COMPUTED_VALUE"""),122.0)</f>
        <v>122</v>
      </c>
      <c r="E207" s="1" t="str">
        <f>IFERROR(__xludf.DUMMYFUNCTION("""COMPUTED_VALUE"""),"Los Angeles Clippers")</f>
        <v>Los Angeles Clippers</v>
      </c>
      <c r="F207" s="1">
        <f>IFERROR(__xludf.DUMMYFUNCTION("""COMPUTED_VALUE"""),111.0)</f>
        <v>111</v>
      </c>
      <c r="G207" s="1" t="str">
        <f>IFERROR(__xludf.DUMMYFUNCTION("""COMPUTED_VALUE"""),"Box Score")</f>
        <v>Box Score</v>
      </c>
      <c r="H207" s="1"/>
      <c r="I207" s="3">
        <f>IFERROR(__xludf.DUMMYFUNCTION("""COMPUTED_VALUE"""),19068.0)</f>
        <v>19068</v>
      </c>
      <c r="J207" s="1"/>
    </row>
    <row r="208" ht="15.75" customHeight="1">
      <c r="A208" s="2">
        <f>IFERROR(__xludf.DUMMYFUNCTION("""COMPUTED_VALUE"""),43464.0)</f>
        <v>43464</v>
      </c>
      <c r="B208" s="1" t="str">
        <f>IFERROR(__xludf.DUMMYFUNCTION("""COMPUTED_VALUE"""),"3:30p")</f>
        <v>3:30p</v>
      </c>
      <c r="C208" s="1" t="str">
        <f>IFERROR(__xludf.DUMMYFUNCTION("""COMPUTED_VALUE"""),"Detroit Pistons")</f>
        <v>Detroit Pistons</v>
      </c>
      <c r="D208" s="1">
        <f>IFERROR(__xludf.DUMMYFUNCTION("""COMPUTED_VALUE"""),107.0)</f>
        <v>107</v>
      </c>
      <c r="E208" s="1" t="str">
        <f>IFERROR(__xludf.DUMMYFUNCTION("""COMPUTED_VALUE"""),"Orlando Magic")</f>
        <v>Orlando Magic</v>
      </c>
      <c r="F208" s="1">
        <f>IFERROR(__xludf.DUMMYFUNCTION("""COMPUTED_VALUE"""),109.0)</f>
        <v>109</v>
      </c>
      <c r="G208" s="1" t="str">
        <f>IFERROR(__xludf.DUMMYFUNCTION("""COMPUTED_VALUE"""),"Box Score")</f>
        <v>Box Score</v>
      </c>
      <c r="H208" s="1"/>
      <c r="I208" s="3">
        <f>IFERROR(__xludf.DUMMYFUNCTION("""COMPUTED_VALUE"""),17761.0)</f>
        <v>17761</v>
      </c>
      <c r="J208" s="1"/>
    </row>
    <row r="209" ht="15.75" customHeight="1">
      <c r="A209" s="2">
        <f>IFERROR(__xludf.DUMMYFUNCTION("""COMPUTED_VALUE"""),43464.0)</f>
        <v>43464</v>
      </c>
      <c r="B209" s="1" t="str">
        <f>IFERROR(__xludf.DUMMYFUNCTION("""COMPUTED_VALUE"""),"6:00p")</f>
        <v>6:00p</v>
      </c>
      <c r="C209" s="1" t="str">
        <f>IFERROR(__xludf.DUMMYFUNCTION("""COMPUTED_VALUE"""),"Minnesota Timberwolves")</f>
        <v>Minnesota Timberwolves</v>
      </c>
      <c r="D209" s="1">
        <f>IFERROR(__xludf.DUMMYFUNCTION("""COMPUTED_VALUE"""),113.0)</f>
        <v>113</v>
      </c>
      <c r="E209" s="1" t="str">
        <f>IFERROR(__xludf.DUMMYFUNCTION("""COMPUTED_VALUE"""),"Miami Heat")</f>
        <v>Miami Heat</v>
      </c>
      <c r="F209" s="1">
        <f>IFERROR(__xludf.DUMMYFUNCTION("""COMPUTED_VALUE"""),104.0)</f>
        <v>104</v>
      </c>
      <c r="G209" s="1" t="str">
        <f>IFERROR(__xludf.DUMMYFUNCTION("""COMPUTED_VALUE"""),"Box Score")</f>
        <v>Box Score</v>
      </c>
      <c r="H209" s="1"/>
      <c r="I209" s="3">
        <f>IFERROR(__xludf.DUMMYFUNCTION("""COMPUTED_VALUE"""),19600.0)</f>
        <v>19600</v>
      </c>
      <c r="J209" s="1"/>
    </row>
    <row r="210" ht="15.75" customHeight="1">
      <c r="A210" s="2">
        <f>IFERROR(__xludf.DUMMYFUNCTION("""COMPUTED_VALUE"""),43464.0)</f>
        <v>43464</v>
      </c>
      <c r="B210" s="1" t="str">
        <f>IFERROR(__xludf.DUMMYFUNCTION("""COMPUTED_VALUE"""),"6:00p")</f>
        <v>6:00p</v>
      </c>
      <c r="C210" s="1" t="str">
        <f>IFERROR(__xludf.DUMMYFUNCTION("""COMPUTED_VALUE"""),"Chicago Bulls")</f>
        <v>Chicago Bulls</v>
      </c>
      <c r="D210" s="1">
        <f>IFERROR(__xludf.DUMMYFUNCTION("""COMPUTED_VALUE"""),89.0)</f>
        <v>89</v>
      </c>
      <c r="E210" s="1" t="str">
        <f>IFERROR(__xludf.DUMMYFUNCTION("""COMPUTED_VALUE"""),"Toronto Raptors")</f>
        <v>Toronto Raptors</v>
      </c>
      <c r="F210" s="1">
        <f>IFERROR(__xludf.DUMMYFUNCTION("""COMPUTED_VALUE"""),95.0)</f>
        <v>95</v>
      </c>
      <c r="G210" s="1" t="str">
        <f>IFERROR(__xludf.DUMMYFUNCTION("""COMPUTED_VALUE"""),"Box Score")</f>
        <v>Box Score</v>
      </c>
      <c r="H210" s="1"/>
      <c r="I210" s="3">
        <f>IFERROR(__xludf.DUMMYFUNCTION("""COMPUTED_VALUE"""),19800.0)</f>
        <v>19800</v>
      </c>
      <c r="J210" s="1"/>
    </row>
    <row r="211" ht="15.75" customHeight="1">
      <c r="A211" s="2">
        <f>IFERROR(__xludf.DUMMYFUNCTION("""COMPUTED_VALUE"""),43464.0)</f>
        <v>43464</v>
      </c>
      <c r="B211" s="1" t="str">
        <f>IFERROR(__xludf.DUMMYFUNCTION("""COMPUTED_VALUE"""),"7:00p")</f>
        <v>7:00p</v>
      </c>
      <c r="C211" s="1" t="str">
        <f>IFERROR(__xludf.DUMMYFUNCTION("""COMPUTED_VALUE"""),"Oklahoma City Thunder")</f>
        <v>Oklahoma City Thunder</v>
      </c>
      <c r="D211" s="1">
        <f>IFERROR(__xludf.DUMMYFUNCTION("""COMPUTED_VALUE"""),103.0)</f>
        <v>103</v>
      </c>
      <c r="E211" s="1" t="str">
        <f>IFERROR(__xludf.DUMMYFUNCTION("""COMPUTED_VALUE"""),"Dallas Mavericks")</f>
        <v>Dallas Mavericks</v>
      </c>
      <c r="F211" s="1">
        <f>IFERROR(__xludf.DUMMYFUNCTION("""COMPUTED_VALUE"""),105.0)</f>
        <v>105</v>
      </c>
      <c r="G211" s="1" t="str">
        <f>IFERROR(__xludf.DUMMYFUNCTION("""COMPUTED_VALUE"""),"Box Score")</f>
        <v>Box Score</v>
      </c>
      <c r="H211" s="1"/>
      <c r="I211" s="3">
        <f>IFERROR(__xludf.DUMMYFUNCTION("""COMPUTED_VALUE"""),20380.0)</f>
        <v>20380</v>
      </c>
      <c r="J211" s="1"/>
    </row>
    <row r="212" ht="15.75" customHeight="1">
      <c r="A212" s="2">
        <f>IFERROR(__xludf.DUMMYFUNCTION("""COMPUTED_VALUE"""),43464.0)</f>
        <v>43464</v>
      </c>
      <c r="B212" s="1" t="str">
        <f>IFERROR(__xludf.DUMMYFUNCTION("""COMPUTED_VALUE"""),"9:00p")</f>
        <v>9:00p</v>
      </c>
      <c r="C212" s="1" t="str">
        <f>IFERROR(__xludf.DUMMYFUNCTION("""COMPUTED_VALUE"""),"Philadelphia 76ers")</f>
        <v>Philadelphia 76ers</v>
      </c>
      <c r="D212" s="1">
        <f>IFERROR(__xludf.DUMMYFUNCTION("""COMPUTED_VALUE"""),95.0)</f>
        <v>95</v>
      </c>
      <c r="E212" s="1" t="str">
        <f>IFERROR(__xludf.DUMMYFUNCTION("""COMPUTED_VALUE"""),"Portland Trail Blazers")</f>
        <v>Portland Trail Blazers</v>
      </c>
      <c r="F212" s="1">
        <f>IFERROR(__xludf.DUMMYFUNCTION("""COMPUTED_VALUE"""),129.0)</f>
        <v>129</v>
      </c>
      <c r="G212" s="1" t="str">
        <f>IFERROR(__xludf.DUMMYFUNCTION("""COMPUTED_VALUE"""),"Box Score")</f>
        <v>Box Score</v>
      </c>
      <c r="H212" s="1"/>
      <c r="I212" s="3">
        <f>IFERROR(__xludf.DUMMYFUNCTION("""COMPUTED_VALUE"""),19393.0)</f>
        <v>19393</v>
      </c>
      <c r="J212" s="1"/>
    </row>
    <row r="213" ht="15.75" customHeight="1">
      <c r="A213" s="2">
        <f>IFERROR(__xludf.DUMMYFUNCTION("""COMPUTED_VALUE"""),43464.0)</f>
        <v>43464</v>
      </c>
      <c r="B213" s="1" t="str">
        <f>IFERROR(__xludf.DUMMYFUNCTION("""COMPUTED_VALUE"""),"9:30p")</f>
        <v>9:30p</v>
      </c>
      <c r="C213" s="1" t="str">
        <f>IFERROR(__xludf.DUMMYFUNCTION("""COMPUTED_VALUE"""),"Sacramento Kings")</f>
        <v>Sacramento Kings</v>
      </c>
      <c r="D213" s="1">
        <f>IFERROR(__xludf.DUMMYFUNCTION("""COMPUTED_VALUE"""),114.0)</f>
        <v>114</v>
      </c>
      <c r="E213" s="1" t="str">
        <f>IFERROR(__xludf.DUMMYFUNCTION("""COMPUTED_VALUE"""),"Los Angeles Lakers")</f>
        <v>Los Angeles Lakers</v>
      </c>
      <c r="F213" s="1">
        <f>IFERROR(__xludf.DUMMYFUNCTION("""COMPUTED_VALUE"""),121.0)</f>
        <v>121</v>
      </c>
      <c r="G213" s="1" t="str">
        <f>IFERROR(__xludf.DUMMYFUNCTION("""COMPUTED_VALUE"""),"Box Score")</f>
        <v>Box Score</v>
      </c>
      <c r="H213" s="1"/>
      <c r="I213" s="3">
        <f>IFERROR(__xludf.DUMMYFUNCTION("""COMPUTED_VALUE"""),18997.0)</f>
        <v>18997</v>
      </c>
      <c r="J213" s="1"/>
    </row>
    <row r="214" ht="15.75" customHeight="1">
      <c r="A214" s="2">
        <f>IFERROR(__xludf.DUMMYFUNCTION("""COMPUTED_VALUE"""),43465.0)</f>
        <v>43465</v>
      </c>
      <c r="B214" s="1" t="str">
        <f>IFERROR(__xludf.DUMMYFUNCTION("""COMPUTED_VALUE"""),"3:00p")</f>
        <v>3:00p</v>
      </c>
      <c r="C214" s="1" t="str">
        <f>IFERROR(__xludf.DUMMYFUNCTION("""COMPUTED_VALUE"""),"Atlanta Hawks")</f>
        <v>Atlanta Hawks</v>
      </c>
      <c r="D214" s="1">
        <f>IFERROR(__xludf.DUMMYFUNCTION("""COMPUTED_VALUE"""),108.0)</f>
        <v>108</v>
      </c>
      <c r="E214" s="1" t="str">
        <f>IFERROR(__xludf.DUMMYFUNCTION("""COMPUTED_VALUE"""),"Indiana Pacers")</f>
        <v>Indiana Pacers</v>
      </c>
      <c r="F214" s="1">
        <f>IFERROR(__xludf.DUMMYFUNCTION("""COMPUTED_VALUE"""),116.0)</f>
        <v>116</v>
      </c>
      <c r="G214" s="1" t="str">
        <f>IFERROR(__xludf.DUMMYFUNCTION("""COMPUTED_VALUE"""),"Box Score")</f>
        <v>Box Score</v>
      </c>
      <c r="H214" s="1"/>
      <c r="I214" s="3">
        <f>IFERROR(__xludf.DUMMYFUNCTION("""COMPUTED_VALUE"""),17923.0)</f>
        <v>17923</v>
      </c>
      <c r="J214" s="1"/>
    </row>
    <row r="215" ht="15.75" customHeight="1">
      <c r="A215" s="2">
        <f>IFERROR(__xludf.DUMMYFUNCTION("""COMPUTED_VALUE"""),43465.0)</f>
        <v>43465</v>
      </c>
      <c r="B215" s="1" t="str">
        <f>IFERROR(__xludf.DUMMYFUNCTION("""COMPUTED_VALUE"""),"6:00p")</f>
        <v>6:00p</v>
      </c>
      <c r="C215" s="1" t="str">
        <f>IFERROR(__xludf.DUMMYFUNCTION("""COMPUTED_VALUE"""),"Orlando Magic")</f>
        <v>Orlando Magic</v>
      </c>
      <c r="D215" s="1">
        <f>IFERROR(__xludf.DUMMYFUNCTION("""COMPUTED_VALUE"""),100.0)</f>
        <v>100</v>
      </c>
      <c r="E215" s="1" t="str">
        <f>IFERROR(__xludf.DUMMYFUNCTION("""COMPUTED_VALUE"""),"Charlotte Hornets")</f>
        <v>Charlotte Hornets</v>
      </c>
      <c r="F215" s="1">
        <f>IFERROR(__xludf.DUMMYFUNCTION("""COMPUTED_VALUE"""),125.0)</f>
        <v>125</v>
      </c>
      <c r="G215" s="1" t="str">
        <f>IFERROR(__xludf.DUMMYFUNCTION("""COMPUTED_VALUE"""),"Box Score")</f>
        <v>Box Score</v>
      </c>
      <c r="H215" s="1"/>
      <c r="I215" s="3">
        <f>IFERROR(__xludf.DUMMYFUNCTION("""COMPUTED_VALUE"""),14694.0)</f>
        <v>14694</v>
      </c>
      <c r="J215" s="1"/>
    </row>
    <row r="216" ht="15.75" customHeight="1">
      <c r="A216" s="2">
        <f>IFERROR(__xludf.DUMMYFUNCTION("""COMPUTED_VALUE"""),43465.0)</f>
        <v>43465</v>
      </c>
      <c r="B216" s="1" t="str">
        <f>IFERROR(__xludf.DUMMYFUNCTION("""COMPUTED_VALUE"""),"7:00p")</f>
        <v>7:00p</v>
      </c>
      <c r="C216" s="1" t="str">
        <f>IFERROR(__xludf.DUMMYFUNCTION("""COMPUTED_VALUE"""),"Memphis Grizzlies")</f>
        <v>Memphis Grizzlies</v>
      </c>
      <c r="D216" s="1">
        <f>IFERROR(__xludf.DUMMYFUNCTION("""COMPUTED_VALUE"""),101.0)</f>
        <v>101</v>
      </c>
      <c r="E216" s="1" t="str">
        <f>IFERROR(__xludf.DUMMYFUNCTION("""COMPUTED_VALUE"""),"Houston Rockets")</f>
        <v>Houston Rockets</v>
      </c>
      <c r="F216" s="1">
        <f>IFERROR(__xludf.DUMMYFUNCTION("""COMPUTED_VALUE"""),113.0)</f>
        <v>113</v>
      </c>
      <c r="G216" s="1" t="str">
        <f>IFERROR(__xludf.DUMMYFUNCTION("""COMPUTED_VALUE"""),"Box Score")</f>
        <v>Box Score</v>
      </c>
      <c r="H216" s="1"/>
      <c r="I216" s="3">
        <f>IFERROR(__xludf.DUMMYFUNCTION("""COMPUTED_VALUE"""),18055.0)</f>
        <v>18055</v>
      </c>
      <c r="J216" s="1"/>
    </row>
    <row r="217" ht="15.75" customHeight="1">
      <c r="A217" s="2">
        <f>IFERROR(__xludf.DUMMYFUNCTION("""COMPUTED_VALUE"""),43465.0)</f>
        <v>43465</v>
      </c>
      <c r="B217" s="1" t="str">
        <f>IFERROR(__xludf.DUMMYFUNCTION("""COMPUTED_VALUE"""),"7:00p")</f>
        <v>7:00p</v>
      </c>
      <c r="C217" s="1" t="str">
        <f>IFERROR(__xludf.DUMMYFUNCTION("""COMPUTED_VALUE"""),"Boston Celtics")</f>
        <v>Boston Celtics</v>
      </c>
      <c r="D217" s="1">
        <f>IFERROR(__xludf.DUMMYFUNCTION("""COMPUTED_VALUE"""),111.0)</f>
        <v>111</v>
      </c>
      <c r="E217" s="1" t="str">
        <f>IFERROR(__xludf.DUMMYFUNCTION("""COMPUTED_VALUE"""),"San Antonio Spurs")</f>
        <v>San Antonio Spurs</v>
      </c>
      <c r="F217" s="1">
        <f>IFERROR(__xludf.DUMMYFUNCTION("""COMPUTED_VALUE"""),120.0)</f>
        <v>120</v>
      </c>
      <c r="G217" s="1" t="str">
        <f>IFERROR(__xludf.DUMMYFUNCTION("""COMPUTED_VALUE"""),"Box Score")</f>
        <v>Box Score</v>
      </c>
      <c r="H217" s="1"/>
      <c r="I217" s="3">
        <f>IFERROR(__xludf.DUMMYFUNCTION("""COMPUTED_VALUE"""),18354.0)</f>
        <v>18354</v>
      </c>
      <c r="J217" s="1"/>
    </row>
    <row r="218" ht="15.75" customHeight="1">
      <c r="A218" s="2">
        <f>IFERROR(__xludf.DUMMYFUNCTION("""COMPUTED_VALUE"""),43465.0)</f>
        <v>43465</v>
      </c>
      <c r="B218" s="1" t="str">
        <f>IFERROR(__xludf.DUMMYFUNCTION("""COMPUTED_VALUE"""),"8:00p")</f>
        <v>8:00p</v>
      </c>
      <c r="C218" s="1" t="str">
        <f>IFERROR(__xludf.DUMMYFUNCTION("""COMPUTED_VALUE"""),"Minnesota Timberwolves")</f>
        <v>Minnesota Timberwolves</v>
      </c>
      <c r="D218" s="1">
        <f>IFERROR(__xludf.DUMMYFUNCTION("""COMPUTED_VALUE"""),114.0)</f>
        <v>114</v>
      </c>
      <c r="E218" s="1" t="str">
        <f>IFERROR(__xludf.DUMMYFUNCTION("""COMPUTED_VALUE"""),"New Orleans Pelicans")</f>
        <v>New Orleans Pelicans</v>
      </c>
      <c r="F218" s="1">
        <f>IFERROR(__xludf.DUMMYFUNCTION("""COMPUTED_VALUE"""),123.0)</f>
        <v>123</v>
      </c>
      <c r="G218" s="1" t="str">
        <f>IFERROR(__xludf.DUMMYFUNCTION("""COMPUTED_VALUE"""),"Box Score")</f>
        <v>Box Score</v>
      </c>
      <c r="H218" s="1"/>
      <c r="I218" s="3">
        <f>IFERROR(__xludf.DUMMYFUNCTION("""COMPUTED_VALUE"""),14904.0)</f>
        <v>14904</v>
      </c>
      <c r="J218" s="1"/>
    </row>
    <row r="219" ht="15.75" customHeight="1">
      <c r="A219" s="2">
        <f>IFERROR(__xludf.DUMMYFUNCTION("""COMPUTED_VALUE"""),43465.0)</f>
        <v>43465</v>
      </c>
      <c r="B219" s="1" t="str">
        <f>IFERROR(__xludf.DUMMYFUNCTION("""COMPUTED_VALUE"""),"8:00p")</f>
        <v>8:00p</v>
      </c>
      <c r="C219" s="1" t="str">
        <f>IFERROR(__xludf.DUMMYFUNCTION("""COMPUTED_VALUE"""),"Dallas Mavericks")</f>
        <v>Dallas Mavericks</v>
      </c>
      <c r="D219" s="1">
        <f>IFERROR(__xludf.DUMMYFUNCTION("""COMPUTED_VALUE"""),102.0)</f>
        <v>102</v>
      </c>
      <c r="E219" s="1" t="str">
        <f>IFERROR(__xludf.DUMMYFUNCTION("""COMPUTED_VALUE"""),"Oklahoma City Thunder")</f>
        <v>Oklahoma City Thunder</v>
      </c>
      <c r="F219" s="1">
        <f>IFERROR(__xludf.DUMMYFUNCTION("""COMPUTED_VALUE"""),122.0)</f>
        <v>122</v>
      </c>
      <c r="G219" s="1" t="str">
        <f>IFERROR(__xludf.DUMMYFUNCTION("""COMPUTED_VALUE"""),"Box Score")</f>
        <v>Box Score</v>
      </c>
      <c r="H219" s="1"/>
      <c r="I219" s="3">
        <f>IFERROR(__xludf.DUMMYFUNCTION("""COMPUTED_VALUE"""),18203.0)</f>
        <v>18203</v>
      </c>
      <c r="J219" s="1"/>
    </row>
    <row r="220" ht="15.75" customHeight="1">
      <c r="A220" s="2">
        <f>IFERROR(__xludf.DUMMYFUNCTION("""COMPUTED_VALUE"""),43465.0)</f>
        <v>43465</v>
      </c>
      <c r="B220" s="1" t="str">
        <f>IFERROR(__xludf.DUMMYFUNCTION("""COMPUTED_VALUE"""),"9:00p")</f>
        <v>9:00p</v>
      </c>
      <c r="C220" s="1" t="str">
        <f>IFERROR(__xludf.DUMMYFUNCTION("""COMPUTED_VALUE"""),"Golden State Warriors")</f>
        <v>Golden State Warriors</v>
      </c>
      <c r="D220" s="1">
        <f>IFERROR(__xludf.DUMMYFUNCTION("""COMPUTED_VALUE"""),132.0)</f>
        <v>132</v>
      </c>
      <c r="E220" s="1" t="str">
        <f>IFERROR(__xludf.DUMMYFUNCTION("""COMPUTED_VALUE"""),"Phoenix Suns")</f>
        <v>Phoenix Suns</v>
      </c>
      <c r="F220" s="1">
        <f>IFERROR(__xludf.DUMMYFUNCTION("""COMPUTED_VALUE"""),109.0)</f>
        <v>109</v>
      </c>
      <c r="G220" s="1" t="str">
        <f>IFERROR(__xludf.DUMMYFUNCTION("""COMPUTED_VALUE"""),"Box Score")</f>
        <v>Box Score</v>
      </c>
      <c r="H220" s="1"/>
      <c r="I220" s="3">
        <f>IFERROR(__xludf.DUMMYFUNCTION("""COMPUTED_VALUE"""),16906.0)</f>
        <v>16906</v>
      </c>
      <c r="J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tr">
        <f>IFERROR(__xludf.DUMMYFUNCTION("IMPORTHTML(""https://www.basketball-reference.com/leagues/NBA_2019_games-january.html"",""table"",1)"),"Date")</f>
        <v>Date</v>
      </c>
      <c r="B1" s="1" t="str">
        <f>IFERROR(__xludf.DUMMYFUNCTION("""COMPUTED_VALUE"""),"Start (ET)")</f>
        <v>Start (ET)</v>
      </c>
      <c r="C1" s="1" t="str">
        <f>IFERROR(__xludf.DUMMYFUNCTION("""COMPUTED_VALUE"""),"Visitor/Neutral")</f>
        <v>Visitor/Neutral</v>
      </c>
      <c r="D1" s="1" t="str">
        <f>IFERROR(__xludf.DUMMYFUNCTION("""COMPUTED_VALUE"""),"PTS")</f>
        <v>PTS</v>
      </c>
      <c r="E1" s="1" t="str">
        <f>IFERROR(__xludf.DUMMYFUNCTION("""COMPUTED_VALUE"""),"Home/Neutral")</f>
        <v>Home/Neutral</v>
      </c>
      <c r="F1" s="1" t="str">
        <f>IFERROR(__xludf.DUMMYFUNCTION("""COMPUTED_VALUE"""),"PTS")</f>
        <v>PTS</v>
      </c>
      <c r="G1" s="1"/>
      <c r="H1" s="1"/>
      <c r="I1" s="1" t="str">
        <f>IFERROR(__xludf.DUMMYFUNCTION("""COMPUTED_VALUE"""),"Attend.")</f>
        <v>Attend.</v>
      </c>
      <c r="J1" s="1" t="str">
        <f>IFERROR(__xludf.DUMMYFUNCTION("""COMPUTED_VALUE"""),"Notes")</f>
        <v>Notes</v>
      </c>
    </row>
    <row r="2" ht="15.75" customHeight="1">
      <c r="A2" s="2">
        <f>IFERROR(__xludf.DUMMYFUNCTION("""COMPUTED_VALUE"""),43466.0)</f>
        <v>43466</v>
      </c>
      <c r="B2" s="1" t="str">
        <f>IFERROR(__xludf.DUMMYFUNCTION("""COMPUTED_VALUE"""),"7:30p")</f>
        <v>7:30p</v>
      </c>
      <c r="C2" s="1" t="str">
        <f>IFERROR(__xludf.DUMMYFUNCTION("""COMPUTED_VALUE"""),"Utah Jazz")</f>
        <v>Utah Jazz</v>
      </c>
      <c r="D2" s="1">
        <f>IFERROR(__xludf.DUMMYFUNCTION("""COMPUTED_VALUE"""),116.0)</f>
        <v>116</v>
      </c>
      <c r="E2" s="1" t="str">
        <f>IFERROR(__xludf.DUMMYFUNCTION("""COMPUTED_VALUE"""),"Toronto Raptors")</f>
        <v>Toronto Raptors</v>
      </c>
      <c r="F2" s="1">
        <f>IFERROR(__xludf.DUMMYFUNCTION("""COMPUTED_VALUE"""),122.0)</f>
        <v>122</v>
      </c>
      <c r="G2" s="1" t="str">
        <f>IFERROR(__xludf.DUMMYFUNCTION("""COMPUTED_VALUE"""),"Box Score")</f>
        <v>Box Score</v>
      </c>
      <c r="H2" s="1"/>
      <c r="I2" s="3">
        <f>IFERROR(__xludf.DUMMYFUNCTION("""COMPUTED_VALUE"""),19800.0)</f>
        <v>19800</v>
      </c>
      <c r="J2" s="1"/>
    </row>
    <row r="3" ht="15.75" customHeight="1">
      <c r="A3" s="2">
        <f>IFERROR(__xludf.DUMMYFUNCTION("""COMPUTED_VALUE"""),43466.0)</f>
        <v>43466</v>
      </c>
      <c r="B3" s="1" t="str">
        <f>IFERROR(__xludf.DUMMYFUNCTION("""COMPUTED_VALUE"""),"8:00p")</f>
        <v>8:00p</v>
      </c>
      <c r="C3" s="1" t="str">
        <f>IFERROR(__xludf.DUMMYFUNCTION("""COMPUTED_VALUE"""),"Detroit Pistons")</f>
        <v>Detroit Pistons</v>
      </c>
      <c r="D3" s="1">
        <f>IFERROR(__xludf.DUMMYFUNCTION("""COMPUTED_VALUE"""),98.0)</f>
        <v>98</v>
      </c>
      <c r="E3" s="1" t="str">
        <f>IFERROR(__xludf.DUMMYFUNCTION("""COMPUTED_VALUE"""),"Milwaukee Bucks")</f>
        <v>Milwaukee Bucks</v>
      </c>
      <c r="F3" s="1">
        <f>IFERROR(__xludf.DUMMYFUNCTION("""COMPUTED_VALUE"""),121.0)</f>
        <v>121</v>
      </c>
      <c r="G3" s="1" t="str">
        <f>IFERROR(__xludf.DUMMYFUNCTION("""COMPUTED_VALUE"""),"Box Score")</f>
        <v>Box Score</v>
      </c>
      <c r="H3" s="1"/>
      <c r="I3" s="3">
        <f>IFERROR(__xludf.DUMMYFUNCTION("""COMPUTED_VALUE"""),17534.0)</f>
        <v>17534</v>
      </c>
      <c r="J3" s="1"/>
    </row>
    <row r="4" ht="15.75" customHeight="1">
      <c r="A4" s="2">
        <f>IFERROR(__xludf.DUMMYFUNCTION("""COMPUTED_VALUE"""),43466.0)</f>
        <v>43466</v>
      </c>
      <c r="B4" s="1" t="str">
        <f>IFERROR(__xludf.DUMMYFUNCTION("""COMPUTED_VALUE"""),"9:00p")</f>
        <v>9:00p</v>
      </c>
      <c r="C4" s="1" t="str">
        <f>IFERROR(__xludf.DUMMYFUNCTION("""COMPUTED_VALUE"""),"New York Knicks")</f>
        <v>New York Knicks</v>
      </c>
      <c r="D4" s="1">
        <f>IFERROR(__xludf.DUMMYFUNCTION("""COMPUTED_VALUE"""),108.0)</f>
        <v>108</v>
      </c>
      <c r="E4" s="1" t="str">
        <f>IFERROR(__xludf.DUMMYFUNCTION("""COMPUTED_VALUE"""),"Denver Nuggets")</f>
        <v>Denver Nuggets</v>
      </c>
      <c r="F4" s="1">
        <f>IFERROR(__xludf.DUMMYFUNCTION("""COMPUTED_VALUE"""),115.0)</f>
        <v>115</v>
      </c>
      <c r="G4" s="1" t="str">
        <f>IFERROR(__xludf.DUMMYFUNCTION("""COMPUTED_VALUE"""),"Box Score")</f>
        <v>Box Score</v>
      </c>
      <c r="H4" s="1"/>
      <c r="I4" s="3">
        <f>IFERROR(__xludf.DUMMYFUNCTION("""COMPUTED_VALUE"""),19520.0)</f>
        <v>19520</v>
      </c>
      <c r="J4" s="1"/>
    </row>
    <row r="5" ht="15.75" customHeight="1">
      <c r="A5" s="2">
        <f>IFERROR(__xludf.DUMMYFUNCTION("""COMPUTED_VALUE"""),43466.0)</f>
        <v>43466</v>
      </c>
      <c r="B5" s="1" t="str">
        <f>IFERROR(__xludf.DUMMYFUNCTION("""COMPUTED_VALUE"""),"9:00p")</f>
        <v>9:00p</v>
      </c>
      <c r="C5" s="1" t="str">
        <f>IFERROR(__xludf.DUMMYFUNCTION("""COMPUTED_VALUE"""),"Portland Trail Blazers")</f>
        <v>Portland Trail Blazers</v>
      </c>
      <c r="D5" s="1">
        <f>IFERROR(__xludf.DUMMYFUNCTION("""COMPUTED_VALUE"""),113.0)</f>
        <v>113</v>
      </c>
      <c r="E5" s="1" t="str">
        <f>IFERROR(__xludf.DUMMYFUNCTION("""COMPUTED_VALUE"""),"Sacramento Kings")</f>
        <v>Sacramento Kings</v>
      </c>
      <c r="F5" s="1">
        <f>IFERROR(__xludf.DUMMYFUNCTION("""COMPUTED_VALUE"""),108.0)</f>
        <v>108</v>
      </c>
      <c r="G5" s="1" t="str">
        <f>IFERROR(__xludf.DUMMYFUNCTION("""COMPUTED_VALUE"""),"Box Score")</f>
        <v>Box Score</v>
      </c>
      <c r="H5" s="1" t="str">
        <f>IFERROR(__xludf.DUMMYFUNCTION("""COMPUTED_VALUE"""),"OT")</f>
        <v>OT</v>
      </c>
      <c r="I5" s="3">
        <f>IFERROR(__xludf.DUMMYFUNCTION("""COMPUTED_VALUE"""),17583.0)</f>
        <v>17583</v>
      </c>
      <c r="J5" s="1"/>
    </row>
    <row r="6" ht="15.75" customHeight="1">
      <c r="A6" s="2">
        <f>IFERROR(__xludf.DUMMYFUNCTION("""COMPUTED_VALUE"""),43466.0)</f>
        <v>43466</v>
      </c>
      <c r="B6" s="1" t="str">
        <f>IFERROR(__xludf.DUMMYFUNCTION("""COMPUTED_VALUE"""),"10:30p")</f>
        <v>10:30p</v>
      </c>
      <c r="C6" s="1" t="str">
        <f>IFERROR(__xludf.DUMMYFUNCTION("""COMPUTED_VALUE"""),"Philadelphia 76ers")</f>
        <v>Philadelphia 76ers</v>
      </c>
      <c r="D6" s="1">
        <f>IFERROR(__xludf.DUMMYFUNCTION("""COMPUTED_VALUE"""),119.0)</f>
        <v>119</v>
      </c>
      <c r="E6" s="1" t="str">
        <f>IFERROR(__xludf.DUMMYFUNCTION("""COMPUTED_VALUE"""),"Los Angeles Clippers")</f>
        <v>Los Angeles Clippers</v>
      </c>
      <c r="F6" s="1">
        <f>IFERROR(__xludf.DUMMYFUNCTION("""COMPUTED_VALUE"""),113.0)</f>
        <v>113</v>
      </c>
      <c r="G6" s="1" t="str">
        <f>IFERROR(__xludf.DUMMYFUNCTION("""COMPUTED_VALUE"""),"Box Score")</f>
        <v>Box Score</v>
      </c>
      <c r="H6" s="1"/>
      <c r="I6" s="3">
        <f>IFERROR(__xludf.DUMMYFUNCTION("""COMPUTED_VALUE"""),17868.0)</f>
        <v>17868</v>
      </c>
      <c r="J6" s="1"/>
    </row>
    <row r="7" ht="15.75" customHeight="1">
      <c r="A7" s="2">
        <f>IFERROR(__xludf.DUMMYFUNCTION("""COMPUTED_VALUE"""),43467.0)</f>
        <v>43467</v>
      </c>
      <c r="B7" s="1" t="str">
        <f>IFERROR(__xludf.DUMMYFUNCTION("""COMPUTED_VALUE"""),"7:00p")</f>
        <v>7:00p</v>
      </c>
      <c r="C7" s="1" t="str">
        <f>IFERROR(__xludf.DUMMYFUNCTION("""COMPUTED_VALUE"""),"Dallas Mavericks")</f>
        <v>Dallas Mavericks</v>
      </c>
      <c r="D7" s="1">
        <f>IFERROR(__xludf.DUMMYFUNCTION("""COMPUTED_VALUE"""),122.0)</f>
        <v>122</v>
      </c>
      <c r="E7" s="1" t="str">
        <f>IFERROR(__xludf.DUMMYFUNCTION("""COMPUTED_VALUE"""),"Charlotte Hornets")</f>
        <v>Charlotte Hornets</v>
      </c>
      <c r="F7" s="1">
        <f>IFERROR(__xludf.DUMMYFUNCTION("""COMPUTED_VALUE"""),84.0)</f>
        <v>84</v>
      </c>
      <c r="G7" s="1" t="str">
        <f>IFERROR(__xludf.DUMMYFUNCTION("""COMPUTED_VALUE"""),"Box Score")</f>
        <v>Box Score</v>
      </c>
      <c r="H7" s="1"/>
      <c r="I7" s="3">
        <f>IFERROR(__xludf.DUMMYFUNCTION("""COMPUTED_VALUE"""),16955.0)</f>
        <v>16955</v>
      </c>
      <c r="J7" s="1"/>
    </row>
    <row r="8" ht="15.75" customHeight="1">
      <c r="A8" s="2">
        <f>IFERROR(__xludf.DUMMYFUNCTION("""COMPUTED_VALUE"""),43467.0)</f>
        <v>43467</v>
      </c>
      <c r="B8" s="1" t="str">
        <f>IFERROR(__xludf.DUMMYFUNCTION("""COMPUTED_VALUE"""),"7:00p")</f>
        <v>7:00p</v>
      </c>
      <c r="C8" s="1" t="str">
        <f>IFERROR(__xludf.DUMMYFUNCTION("""COMPUTED_VALUE"""),"Miami Heat")</f>
        <v>Miami Heat</v>
      </c>
      <c r="D8" s="1">
        <f>IFERROR(__xludf.DUMMYFUNCTION("""COMPUTED_VALUE"""),117.0)</f>
        <v>117</v>
      </c>
      <c r="E8" s="1" t="str">
        <f>IFERROR(__xludf.DUMMYFUNCTION("""COMPUTED_VALUE"""),"Cleveland Cavaliers")</f>
        <v>Cleveland Cavaliers</v>
      </c>
      <c r="F8" s="1">
        <f>IFERROR(__xludf.DUMMYFUNCTION("""COMPUTED_VALUE"""),92.0)</f>
        <v>92</v>
      </c>
      <c r="G8" s="1" t="str">
        <f>IFERROR(__xludf.DUMMYFUNCTION("""COMPUTED_VALUE"""),"Box Score")</f>
        <v>Box Score</v>
      </c>
      <c r="H8" s="1"/>
      <c r="I8" s="3">
        <f>IFERROR(__xludf.DUMMYFUNCTION("""COMPUTED_VALUE"""),19432.0)</f>
        <v>19432</v>
      </c>
      <c r="J8" s="1"/>
    </row>
    <row r="9" ht="15.75" customHeight="1">
      <c r="A9" s="2">
        <f>IFERROR(__xludf.DUMMYFUNCTION("""COMPUTED_VALUE"""),43467.0)</f>
        <v>43467</v>
      </c>
      <c r="B9" s="1" t="str">
        <f>IFERROR(__xludf.DUMMYFUNCTION("""COMPUTED_VALUE"""),"7:00p")</f>
        <v>7:00p</v>
      </c>
      <c r="C9" s="1" t="str">
        <f>IFERROR(__xludf.DUMMYFUNCTION("""COMPUTED_VALUE"""),"Atlanta Hawks")</f>
        <v>Atlanta Hawks</v>
      </c>
      <c r="D9" s="1">
        <f>IFERROR(__xludf.DUMMYFUNCTION("""COMPUTED_VALUE"""),98.0)</f>
        <v>98</v>
      </c>
      <c r="E9" s="1" t="str">
        <f>IFERROR(__xludf.DUMMYFUNCTION("""COMPUTED_VALUE"""),"Washington Wizards")</f>
        <v>Washington Wizards</v>
      </c>
      <c r="F9" s="1">
        <f>IFERROR(__xludf.DUMMYFUNCTION("""COMPUTED_VALUE"""),114.0)</f>
        <v>114</v>
      </c>
      <c r="G9" s="1" t="str">
        <f>IFERROR(__xludf.DUMMYFUNCTION("""COMPUTED_VALUE"""),"Box Score")</f>
        <v>Box Score</v>
      </c>
      <c r="H9" s="1"/>
      <c r="I9" s="3">
        <f>IFERROR(__xludf.DUMMYFUNCTION("""COMPUTED_VALUE"""),15324.0)</f>
        <v>15324</v>
      </c>
      <c r="J9" s="1"/>
    </row>
    <row r="10" ht="15.75" customHeight="1">
      <c r="A10" s="2">
        <f>IFERROR(__xludf.DUMMYFUNCTION("""COMPUTED_VALUE"""),43467.0)</f>
        <v>43467</v>
      </c>
      <c r="B10" s="1" t="str">
        <f>IFERROR(__xludf.DUMMYFUNCTION("""COMPUTED_VALUE"""),"7:30p")</f>
        <v>7:30p</v>
      </c>
      <c r="C10" s="1" t="str">
        <f>IFERROR(__xludf.DUMMYFUNCTION("""COMPUTED_VALUE"""),"New Orleans Pelicans")</f>
        <v>New Orleans Pelicans</v>
      </c>
      <c r="D10" s="1">
        <f>IFERROR(__xludf.DUMMYFUNCTION("""COMPUTED_VALUE"""),121.0)</f>
        <v>121</v>
      </c>
      <c r="E10" s="1" t="str">
        <f>IFERROR(__xludf.DUMMYFUNCTION("""COMPUTED_VALUE"""),"Brooklyn Nets")</f>
        <v>Brooklyn Nets</v>
      </c>
      <c r="F10" s="1">
        <f>IFERROR(__xludf.DUMMYFUNCTION("""COMPUTED_VALUE"""),126.0)</f>
        <v>126</v>
      </c>
      <c r="G10" s="1" t="str">
        <f>IFERROR(__xludf.DUMMYFUNCTION("""COMPUTED_VALUE"""),"Box Score")</f>
        <v>Box Score</v>
      </c>
      <c r="H10" s="1"/>
      <c r="I10" s="3">
        <f>IFERROR(__xludf.DUMMYFUNCTION("""COMPUTED_VALUE"""),16890.0)</f>
        <v>16890</v>
      </c>
      <c r="J10" s="1"/>
    </row>
    <row r="11" ht="15.75" customHeight="1">
      <c r="A11" s="2">
        <f>IFERROR(__xludf.DUMMYFUNCTION("""COMPUTED_VALUE"""),43467.0)</f>
        <v>43467</v>
      </c>
      <c r="B11" s="1" t="str">
        <f>IFERROR(__xludf.DUMMYFUNCTION("""COMPUTED_VALUE"""),"8:00p")</f>
        <v>8:00p</v>
      </c>
      <c r="C11" s="1" t="str">
        <f>IFERROR(__xludf.DUMMYFUNCTION("""COMPUTED_VALUE"""),"Minnesota Timberwolves")</f>
        <v>Minnesota Timberwolves</v>
      </c>
      <c r="D11" s="1">
        <f>IFERROR(__xludf.DUMMYFUNCTION("""COMPUTED_VALUE"""),102.0)</f>
        <v>102</v>
      </c>
      <c r="E11" s="1" t="str">
        <f>IFERROR(__xludf.DUMMYFUNCTION("""COMPUTED_VALUE"""),"Boston Celtics")</f>
        <v>Boston Celtics</v>
      </c>
      <c r="F11" s="1">
        <f>IFERROR(__xludf.DUMMYFUNCTION("""COMPUTED_VALUE"""),115.0)</f>
        <v>115</v>
      </c>
      <c r="G11" s="1" t="str">
        <f>IFERROR(__xludf.DUMMYFUNCTION("""COMPUTED_VALUE"""),"Box Score")</f>
        <v>Box Score</v>
      </c>
      <c r="H11" s="1"/>
      <c r="I11" s="3">
        <f>IFERROR(__xludf.DUMMYFUNCTION("""COMPUTED_VALUE"""),18624.0)</f>
        <v>18624</v>
      </c>
      <c r="J11" s="1"/>
    </row>
    <row r="12" ht="15.75" customHeight="1">
      <c r="A12" s="2">
        <f>IFERROR(__xludf.DUMMYFUNCTION("""COMPUTED_VALUE"""),43467.0)</f>
        <v>43467</v>
      </c>
      <c r="B12" s="1" t="str">
        <f>IFERROR(__xludf.DUMMYFUNCTION("""COMPUTED_VALUE"""),"8:00p")</f>
        <v>8:00p</v>
      </c>
      <c r="C12" s="1" t="str">
        <f>IFERROR(__xludf.DUMMYFUNCTION("""COMPUTED_VALUE"""),"Orlando Magic")</f>
        <v>Orlando Magic</v>
      </c>
      <c r="D12" s="1">
        <f>IFERROR(__xludf.DUMMYFUNCTION("""COMPUTED_VALUE"""),112.0)</f>
        <v>112</v>
      </c>
      <c r="E12" s="1" t="str">
        <f>IFERROR(__xludf.DUMMYFUNCTION("""COMPUTED_VALUE"""),"Chicago Bulls")</f>
        <v>Chicago Bulls</v>
      </c>
      <c r="F12" s="1">
        <f>IFERROR(__xludf.DUMMYFUNCTION("""COMPUTED_VALUE"""),84.0)</f>
        <v>84</v>
      </c>
      <c r="G12" s="1" t="str">
        <f>IFERROR(__xludf.DUMMYFUNCTION("""COMPUTED_VALUE"""),"Box Score")</f>
        <v>Box Score</v>
      </c>
      <c r="H12" s="1"/>
      <c r="I12" s="3">
        <f>IFERROR(__xludf.DUMMYFUNCTION("""COMPUTED_VALUE"""),19013.0)</f>
        <v>19013</v>
      </c>
      <c r="J12" s="1"/>
    </row>
    <row r="13" ht="15.75" customHeight="1">
      <c r="A13" s="2">
        <f>IFERROR(__xludf.DUMMYFUNCTION("""COMPUTED_VALUE"""),43467.0)</f>
        <v>43467</v>
      </c>
      <c r="B13" s="1" t="str">
        <f>IFERROR(__xludf.DUMMYFUNCTION("""COMPUTED_VALUE"""),"8:00p")</f>
        <v>8:00p</v>
      </c>
      <c r="C13" s="1" t="str">
        <f>IFERROR(__xludf.DUMMYFUNCTION("""COMPUTED_VALUE"""),"Detroit Pistons")</f>
        <v>Detroit Pistons</v>
      </c>
      <c r="D13" s="1">
        <f>IFERROR(__xludf.DUMMYFUNCTION("""COMPUTED_VALUE"""),101.0)</f>
        <v>101</v>
      </c>
      <c r="E13" s="1" t="str">
        <f>IFERROR(__xludf.DUMMYFUNCTION("""COMPUTED_VALUE"""),"Memphis Grizzlies")</f>
        <v>Memphis Grizzlies</v>
      </c>
      <c r="F13" s="1">
        <f>IFERROR(__xludf.DUMMYFUNCTION("""COMPUTED_VALUE"""),94.0)</f>
        <v>94</v>
      </c>
      <c r="G13" s="1" t="str">
        <f>IFERROR(__xludf.DUMMYFUNCTION("""COMPUTED_VALUE"""),"Box Score")</f>
        <v>Box Score</v>
      </c>
      <c r="H13" s="1"/>
      <c r="I13" s="3">
        <f>IFERROR(__xludf.DUMMYFUNCTION("""COMPUTED_VALUE"""),14109.0)</f>
        <v>14109</v>
      </c>
      <c r="J13" s="1"/>
    </row>
    <row r="14" ht="15.75" customHeight="1">
      <c r="A14" s="2">
        <f>IFERROR(__xludf.DUMMYFUNCTION("""COMPUTED_VALUE"""),43467.0)</f>
        <v>43467</v>
      </c>
      <c r="B14" s="1" t="str">
        <f>IFERROR(__xludf.DUMMYFUNCTION("""COMPUTED_VALUE"""),"9:00p")</f>
        <v>9:00p</v>
      </c>
      <c r="C14" s="1" t="str">
        <f>IFERROR(__xludf.DUMMYFUNCTION("""COMPUTED_VALUE"""),"Philadelphia 76ers")</f>
        <v>Philadelphia 76ers</v>
      </c>
      <c r="D14" s="1">
        <f>IFERROR(__xludf.DUMMYFUNCTION("""COMPUTED_VALUE"""),132.0)</f>
        <v>132</v>
      </c>
      <c r="E14" s="1" t="str">
        <f>IFERROR(__xludf.DUMMYFUNCTION("""COMPUTED_VALUE"""),"Phoenix Suns")</f>
        <v>Phoenix Suns</v>
      </c>
      <c r="F14" s="1">
        <f>IFERROR(__xludf.DUMMYFUNCTION("""COMPUTED_VALUE"""),127.0)</f>
        <v>127</v>
      </c>
      <c r="G14" s="1" t="str">
        <f>IFERROR(__xludf.DUMMYFUNCTION("""COMPUTED_VALUE"""),"Box Score")</f>
        <v>Box Score</v>
      </c>
      <c r="H14" s="1"/>
      <c r="I14" s="3">
        <f>IFERROR(__xludf.DUMMYFUNCTION("""COMPUTED_VALUE"""),15226.0)</f>
        <v>15226</v>
      </c>
      <c r="J14" s="1"/>
    </row>
    <row r="15" ht="15.75" customHeight="1">
      <c r="A15" s="2">
        <f>IFERROR(__xludf.DUMMYFUNCTION("""COMPUTED_VALUE"""),43467.0)</f>
        <v>43467</v>
      </c>
      <c r="B15" s="1" t="str">
        <f>IFERROR(__xludf.DUMMYFUNCTION("""COMPUTED_VALUE"""),"10:30p")</f>
        <v>10:30p</v>
      </c>
      <c r="C15" s="1" t="str">
        <f>IFERROR(__xludf.DUMMYFUNCTION("""COMPUTED_VALUE"""),"Oklahoma City Thunder")</f>
        <v>Oklahoma City Thunder</v>
      </c>
      <c r="D15" s="1">
        <f>IFERROR(__xludf.DUMMYFUNCTION("""COMPUTED_VALUE"""),107.0)</f>
        <v>107</v>
      </c>
      <c r="E15" s="1" t="str">
        <f>IFERROR(__xludf.DUMMYFUNCTION("""COMPUTED_VALUE"""),"Los Angeles Lakers")</f>
        <v>Los Angeles Lakers</v>
      </c>
      <c r="F15" s="1">
        <f>IFERROR(__xludf.DUMMYFUNCTION("""COMPUTED_VALUE"""),100.0)</f>
        <v>100</v>
      </c>
      <c r="G15" s="1" t="str">
        <f>IFERROR(__xludf.DUMMYFUNCTION("""COMPUTED_VALUE"""),"Box Score")</f>
        <v>Box Score</v>
      </c>
      <c r="H15" s="1"/>
      <c r="I15" s="3">
        <f>IFERROR(__xludf.DUMMYFUNCTION("""COMPUTED_VALUE"""),18997.0)</f>
        <v>18997</v>
      </c>
      <c r="J15" s="1"/>
    </row>
    <row r="16" ht="15.75" customHeight="1">
      <c r="A16" s="2">
        <f>IFERROR(__xludf.DUMMYFUNCTION("""COMPUTED_VALUE"""),43468.0)</f>
        <v>43468</v>
      </c>
      <c r="B16" s="1" t="str">
        <f>IFERROR(__xludf.DUMMYFUNCTION("""COMPUTED_VALUE"""),"8:00p")</f>
        <v>8:00p</v>
      </c>
      <c r="C16" s="1" t="str">
        <f>IFERROR(__xludf.DUMMYFUNCTION("""COMPUTED_VALUE"""),"Toronto Raptors")</f>
        <v>Toronto Raptors</v>
      </c>
      <c r="D16" s="1">
        <f>IFERROR(__xludf.DUMMYFUNCTION("""COMPUTED_VALUE"""),107.0)</f>
        <v>107</v>
      </c>
      <c r="E16" s="1" t="str">
        <f>IFERROR(__xludf.DUMMYFUNCTION("""COMPUTED_VALUE"""),"San Antonio Spurs")</f>
        <v>San Antonio Spurs</v>
      </c>
      <c r="F16" s="1">
        <f>IFERROR(__xludf.DUMMYFUNCTION("""COMPUTED_VALUE"""),125.0)</f>
        <v>125</v>
      </c>
      <c r="G16" s="1" t="str">
        <f>IFERROR(__xludf.DUMMYFUNCTION("""COMPUTED_VALUE"""),"Box Score")</f>
        <v>Box Score</v>
      </c>
      <c r="H16" s="1"/>
      <c r="I16" s="3">
        <f>IFERROR(__xludf.DUMMYFUNCTION("""COMPUTED_VALUE"""),18354.0)</f>
        <v>18354</v>
      </c>
      <c r="J16" s="1"/>
    </row>
    <row r="17" ht="15.75" customHeight="1">
      <c r="A17" s="2">
        <f>IFERROR(__xludf.DUMMYFUNCTION("""COMPUTED_VALUE"""),43468.0)</f>
        <v>43468</v>
      </c>
      <c r="B17" s="1" t="str">
        <f>IFERROR(__xludf.DUMMYFUNCTION("""COMPUTED_VALUE"""),"10:00p")</f>
        <v>10:00p</v>
      </c>
      <c r="C17" s="1" t="str">
        <f>IFERROR(__xludf.DUMMYFUNCTION("""COMPUTED_VALUE"""),"Denver Nuggets")</f>
        <v>Denver Nuggets</v>
      </c>
      <c r="D17" s="1">
        <f>IFERROR(__xludf.DUMMYFUNCTION("""COMPUTED_VALUE"""),117.0)</f>
        <v>117</v>
      </c>
      <c r="E17" s="1" t="str">
        <f>IFERROR(__xludf.DUMMYFUNCTION("""COMPUTED_VALUE"""),"Sacramento Kings")</f>
        <v>Sacramento Kings</v>
      </c>
      <c r="F17" s="1">
        <f>IFERROR(__xludf.DUMMYFUNCTION("""COMPUTED_VALUE"""),113.0)</f>
        <v>113</v>
      </c>
      <c r="G17" s="1" t="str">
        <f>IFERROR(__xludf.DUMMYFUNCTION("""COMPUTED_VALUE"""),"Box Score")</f>
        <v>Box Score</v>
      </c>
      <c r="H17" s="1"/>
      <c r="I17" s="3">
        <f>IFERROR(__xludf.DUMMYFUNCTION("""COMPUTED_VALUE"""),17583.0)</f>
        <v>17583</v>
      </c>
      <c r="J17" s="1"/>
    </row>
    <row r="18" ht="15.75" customHeight="1">
      <c r="A18" s="2">
        <f>IFERROR(__xludf.DUMMYFUNCTION("""COMPUTED_VALUE"""),43468.0)</f>
        <v>43468</v>
      </c>
      <c r="B18" s="1" t="str">
        <f>IFERROR(__xludf.DUMMYFUNCTION("""COMPUTED_VALUE"""),"10:30p")</f>
        <v>10:30p</v>
      </c>
      <c r="C18" s="1" t="str">
        <f>IFERROR(__xludf.DUMMYFUNCTION("""COMPUTED_VALUE"""),"Houston Rockets")</f>
        <v>Houston Rockets</v>
      </c>
      <c r="D18" s="1">
        <f>IFERROR(__xludf.DUMMYFUNCTION("""COMPUTED_VALUE"""),135.0)</f>
        <v>135</v>
      </c>
      <c r="E18" s="1" t="str">
        <f>IFERROR(__xludf.DUMMYFUNCTION("""COMPUTED_VALUE"""),"Golden State Warriors")</f>
        <v>Golden State Warriors</v>
      </c>
      <c r="F18" s="1">
        <f>IFERROR(__xludf.DUMMYFUNCTION("""COMPUTED_VALUE"""),134.0)</f>
        <v>134</v>
      </c>
      <c r="G18" s="1" t="str">
        <f>IFERROR(__xludf.DUMMYFUNCTION("""COMPUTED_VALUE"""),"Box Score")</f>
        <v>Box Score</v>
      </c>
      <c r="H18" s="1" t="str">
        <f>IFERROR(__xludf.DUMMYFUNCTION("""COMPUTED_VALUE"""),"OT")</f>
        <v>OT</v>
      </c>
      <c r="I18" s="3">
        <f>IFERROR(__xludf.DUMMYFUNCTION("""COMPUTED_VALUE"""),19596.0)</f>
        <v>19596</v>
      </c>
      <c r="J18" s="1"/>
    </row>
    <row r="19" ht="15.75" customHeight="1">
      <c r="A19" s="2">
        <f>IFERROR(__xludf.DUMMYFUNCTION("""COMPUTED_VALUE"""),43469.0)</f>
        <v>43469</v>
      </c>
      <c r="B19" s="1" t="str">
        <f>IFERROR(__xludf.DUMMYFUNCTION("""COMPUTED_VALUE"""),"7:30p")</f>
        <v>7:30p</v>
      </c>
      <c r="C19" s="1" t="str">
        <f>IFERROR(__xludf.DUMMYFUNCTION("""COMPUTED_VALUE"""),"Utah Jazz")</f>
        <v>Utah Jazz</v>
      </c>
      <c r="D19" s="1">
        <f>IFERROR(__xludf.DUMMYFUNCTION("""COMPUTED_VALUE"""),117.0)</f>
        <v>117</v>
      </c>
      <c r="E19" s="1" t="str">
        <f>IFERROR(__xludf.DUMMYFUNCTION("""COMPUTED_VALUE"""),"Cleveland Cavaliers")</f>
        <v>Cleveland Cavaliers</v>
      </c>
      <c r="F19" s="1">
        <f>IFERROR(__xludf.DUMMYFUNCTION("""COMPUTED_VALUE"""),91.0)</f>
        <v>91</v>
      </c>
      <c r="G19" s="1" t="str">
        <f>IFERROR(__xludf.DUMMYFUNCTION("""COMPUTED_VALUE"""),"Box Score")</f>
        <v>Box Score</v>
      </c>
      <c r="H19" s="1"/>
      <c r="I19" s="3">
        <f>IFERROR(__xludf.DUMMYFUNCTION("""COMPUTED_VALUE"""),19432.0)</f>
        <v>19432</v>
      </c>
      <c r="J19" s="1"/>
    </row>
    <row r="20" ht="15.75" customHeight="1">
      <c r="A20" s="2">
        <f>IFERROR(__xludf.DUMMYFUNCTION("""COMPUTED_VALUE"""),43469.0)</f>
        <v>43469</v>
      </c>
      <c r="B20" s="1" t="str">
        <f>IFERROR(__xludf.DUMMYFUNCTION("""COMPUTED_VALUE"""),"8:00p")</f>
        <v>8:00p</v>
      </c>
      <c r="C20" s="1" t="str">
        <f>IFERROR(__xludf.DUMMYFUNCTION("""COMPUTED_VALUE"""),"Dallas Mavericks")</f>
        <v>Dallas Mavericks</v>
      </c>
      <c r="D20" s="1">
        <f>IFERROR(__xludf.DUMMYFUNCTION("""COMPUTED_VALUE"""),93.0)</f>
        <v>93</v>
      </c>
      <c r="E20" s="1" t="str">
        <f>IFERROR(__xludf.DUMMYFUNCTION("""COMPUTED_VALUE"""),"Boston Celtics")</f>
        <v>Boston Celtics</v>
      </c>
      <c r="F20" s="1">
        <f>IFERROR(__xludf.DUMMYFUNCTION("""COMPUTED_VALUE"""),114.0)</f>
        <v>114</v>
      </c>
      <c r="G20" s="1" t="str">
        <f>IFERROR(__xludf.DUMMYFUNCTION("""COMPUTED_VALUE"""),"Box Score")</f>
        <v>Box Score</v>
      </c>
      <c r="H20" s="1"/>
      <c r="I20" s="3">
        <f>IFERROR(__xludf.DUMMYFUNCTION("""COMPUTED_VALUE"""),18624.0)</f>
        <v>18624</v>
      </c>
      <c r="J20" s="1"/>
    </row>
    <row r="21" ht="15.75" customHeight="1">
      <c r="A21" s="2">
        <f>IFERROR(__xludf.DUMMYFUNCTION("""COMPUTED_VALUE"""),43469.0)</f>
        <v>43469</v>
      </c>
      <c r="B21" s="1" t="str">
        <f>IFERROR(__xludf.DUMMYFUNCTION("""COMPUTED_VALUE"""),"8:00p")</f>
        <v>8:00p</v>
      </c>
      <c r="C21" s="1" t="str">
        <f>IFERROR(__xludf.DUMMYFUNCTION("""COMPUTED_VALUE"""),"Indiana Pacers")</f>
        <v>Indiana Pacers</v>
      </c>
      <c r="D21" s="1">
        <f>IFERROR(__xludf.DUMMYFUNCTION("""COMPUTED_VALUE"""),119.0)</f>
        <v>119</v>
      </c>
      <c r="E21" s="1" t="str">
        <f>IFERROR(__xludf.DUMMYFUNCTION("""COMPUTED_VALUE"""),"Chicago Bulls")</f>
        <v>Chicago Bulls</v>
      </c>
      <c r="F21" s="1">
        <f>IFERROR(__xludf.DUMMYFUNCTION("""COMPUTED_VALUE"""),116.0)</f>
        <v>116</v>
      </c>
      <c r="G21" s="1" t="str">
        <f>IFERROR(__xludf.DUMMYFUNCTION("""COMPUTED_VALUE"""),"Box Score")</f>
        <v>Box Score</v>
      </c>
      <c r="H21" s="1" t="str">
        <f>IFERROR(__xludf.DUMMYFUNCTION("""COMPUTED_VALUE"""),"OT")</f>
        <v>OT</v>
      </c>
      <c r="I21" s="3">
        <f>IFERROR(__xludf.DUMMYFUNCTION("""COMPUTED_VALUE"""),21284.0)</f>
        <v>21284</v>
      </c>
      <c r="J21" s="1"/>
    </row>
    <row r="22" ht="15.75" customHeight="1">
      <c r="A22" s="2">
        <f>IFERROR(__xludf.DUMMYFUNCTION("""COMPUTED_VALUE"""),43469.0)</f>
        <v>43469</v>
      </c>
      <c r="B22" s="1" t="str">
        <f>IFERROR(__xludf.DUMMYFUNCTION("""COMPUTED_VALUE"""),"8:00p")</f>
        <v>8:00p</v>
      </c>
      <c r="C22" s="1" t="str">
        <f>IFERROR(__xludf.DUMMYFUNCTION("""COMPUTED_VALUE"""),"Brooklyn Nets")</f>
        <v>Brooklyn Nets</v>
      </c>
      <c r="D22" s="1">
        <f>IFERROR(__xludf.DUMMYFUNCTION("""COMPUTED_VALUE"""),109.0)</f>
        <v>109</v>
      </c>
      <c r="E22" s="1" t="str">
        <f>IFERROR(__xludf.DUMMYFUNCTION("""COMPUTED_VALUE"""),"Memphis Grizzlies")</f>
        <v>Memphis Grizzlies</v>
      </c>
      <c r="F22" s="1">
        <f>IFERROR(__xludf.DUMMYFUNCTION("""COMPUTED_VALUE"""),100.0)</f>
        <v>100</v>
      </c>
      <c r="G22" s="1" t="str">
        <f>IFERROR(__xludf.DUMMYFUNCTION("""COMPUTED_VALUE"""),"Box Score")</f>
        <v>Box Score</v>
      </c>
      <c r="H22" s="1"/>
      <c r="I22" s="3">
        <f>IFERROR(__xludf.DUMMYFUNCTION("""COMPUTED_VALUE"""),16683.0)</f>
        <v>16683</v>
      </c>
      <c r="J22" s="1"/>
    </row>
    <row r="23" ht="15.75" customHeight="1">
      <c r="A23" s="2">
        <f>IFERROR(__xludf.DUMMYFUNCTION("""COMPUTED_VALUE"""),43469.0)</f>
        <v>43469</v>
      </c>
      <c r="B23" s="1" t="str">
        <f>IFERROR(__xludf.DUMMYFUNCTION("""COMPUTED_VALUE"""),"8:00p")</f>
        <v>8:00p</v>
      </c>
      <c r="C23" s="1" t="str">
        <f>IFERROR(__xludf.DUMMYFUNCTION("""COMPUTED_VALUE"""),"Washington Wizards")</f>
        <v>Washington Wizards</v>
      </c>
      <c r="D23" s="1">
        <f>IFERROR(__xludf.DUMMYFUNCTION("""COMPUTED_VALUE"""),109.0)</f>
        <v>109</v>
      </c>
      <c r="E23" s="1" t="str">
        <f>IFERROR(__xludf.DUMMYFUNCTION("""COMPUTED_VALUE"""),"Miami Heat")</f>
        <v>Miami Heat</v>
      </c>
      <c r="F23" s="1">
        <f>IFERROR(__xludf.DUMMYFUNCTION("""COMPUTED_VALUE"""),115.0)</f>
        <v>115</v>
      </c>
      <c r="G23" s="1" t="str">
        <f>IFERROR(__xludf.DUMMYFUNCTION("""COMPUTED_VALUE"""),"Box Score")</f>
        <v>Box Score</v>
      </c>
      <c r="H23" s="1"/>
      <c r="I23" s="3">
        <f>IFERROR(__xludf.DUMMYFUNCTION("""COMPUTED_VALUE"""),19600.0)</f>
        <v>19600</v>
      </c>
      <c r="J23" s="1"/>
    </row>
    <row r="24" ht="15.75" customHeight="1">
      <c r="A24" s="2">
        <f>IFERROR(__xludf.DUMMYFUNCTION("""COMPUTED_VALUE"""),43469.0)</f>
        <v>43469</v>
      </c>
      <c r="B24" s="1" t="str">
        <f>IFERROR(__xludf.DUMMYFUNCTION("""COMPUTED_VALUE"""),"8:00p")</f>
        <v>8:00p</v>
      </c>
      <c r="C24" s="1" t="str">
        <f>IFERROR(__xludf.DUMMYFUNCTION("""COMPUTED_VALUE"""),"Orlando Magic")</f>
        <v>Orlando Magic</v>
      </c>
      <c r="D24" s="1">
        <f>IFERROR(__xludf.DUMMYFUNCTION("""COMPUTED_VALUE"""),103.0)</f>
        <v>103</v>
      </c>
      <c r="E24" s="1" t="str">
        <f>IFERROR(__xludf.DUMMYFUNCTION("""COMPUTED_VALUE"""),"Minnesota Timberwolves")</f>
        <v>Minnesota Timberwolves</v>
      </c>
      <c r="F24" s="1">
        <f>IFERROR(__xludf.DUMMYFUNCTION("""COMPUTED_VALUE"""),120.0)</f>
        <v>120</v>
      </c>
      <c r="G24" s="1" t="str">
        <f>IFERROR(__xludf.DUMMYFUNCTION("""COMPUTED_VALUE"""),"Box Score")</f>
        <v>Box Score</v>
      </c>
      <c r="H24" s="1"/>
      <c r="I24" s="3">
        <f>IFERROR(__xludf.DUMMYFUNCTION("""COMPUTED_VALUE"""),14355.0)</f>
        <v>14355</v>
      </c>
      <c r="J24" s="1"/>
    </row>
    <row r="25" ht="15.75" customHeight="1">
      <c r="A25" s="2">
        <f>IFERROR(__xludf.DUMMYFUNCTION("""COMPUTED_VALUE"""),43469.0)</f>
        <v>43469</v>
      </c>
      <c r="B25" s="1" t="str">
        <f>IFERROR(__xludf.DUMMYFUNCTION("""COMPUTED_VALUE"""),"8:30p")</f>
        <v>8:30p</v>
      </c>
      <c r="C25" s="1" t="str">
        <f>IFERROR(__xludf.DUMMYFUNCTION("""COMPUTED_VALUE"""),"Atlanta Hawks")</f>
        <v>Atlanta Hawks</v>
      </c>
      <c r="D25" s="1">
        <f>IFERROR(__xludf.DUMMYFUNCTION("""COMPUTED_VALUE"""),112.0)</f>
        <v>112</v>
      </c>
      <c r="E25" s="1" t="str">
        <f>IFERROR(__xludf.DUMMYFUNCTION("""COMPUTED_VALUE"""),"Milwaukee Bucks")</f>
        <v>Milwaukee Bucks</v>
      </c>
      <c r="F25" s="1">
        <f>IFERROR(__xludf.DUMMYFUNCTION("""COMPUTED_VALUE"""),144.0)</f>
        <v>144</v>
      </c>
      <c r="G25" s="1" t="str">
        <f>IFERROR(__xludf.DUMMYFUNCTION("""COMPUTED_VALUE"""),"Box Score")</f>
        <v>Box Score</v>
      </c>
      <c r="H25" s="1"/>
      <c r="I25" s="3">
        <f>IFERROR(__xludf.DUMMYFUNCTION("""COMPUTED_VALUE"""),17632.0)</f>
        <v>17632</v>
      </c>
      <c r="J25" s="1"/>
    </row>
    <row r="26" ht="15.75" customHeight="1">
      <c r="A26" s="2">
        <f>IFERROR(__xludf.DUMMYFUNCTION("""COMPUTED_VALUE"""),43469.0)</f>
        <v>43469</v>
      </c>
      <c r="B26" s="1" t="str">
        <f>IFERROR(__xludf.DUMMYFUNCTION("""COMPUTED_VALUE"""),"9:00p")</f>
        <v>9:00p</v>
      </c>
      <c r="C26" s="1" t="str">
        <f>IFERROR(__xludf.DUMMYFUNCTION("""COMPUTED_VALUE"""),"Los Angeles Clippers")</f>
        <v>Los Angeles Clippers</v>
      </c>
      <c r="D26" s="1">
        <f>IFERROR(__xludf.DUMMYFUNCTION("""COMPUTED_VALUE"""),121.0)</f>
        <v>121</v>
      </c>
      <c r="E26" s="1" t="str">
        <f>IFERROR(__xludf.DUMMYFUNCTION("""COMPUTED_VALUE"""),"Phoenix Suns")</f>
        <v>Phoenix Suns</v>
      </c>
      <c r="F26" s="1">
        <f>IFERROR(__xludf.DUMMYFUNCTION("""COMPUTED_VALUE"""),111.0)</f>
        <v>111</v>
      </c>
      <c r="G26" s="1" t="str">
        <f>IFERROR(__xludf.DUMMYFUNCTION("""COMPUTED_VALUE"""),"Box Score")</f>
        <v>Box Score</v>
      </c>
      <c r="H26" s="1"/>
      <c r="I26" s="3">
        <f>IFERROR(__xludf.DUMMYFUNCTION("""COMPUTED_VALUE"""),14764.0)</f>
        <v>14764</v>
      </c>
      <c r="J26" s="1"/>
    </row>
    <row r="27" ht="15.75" customHeight="1">
      <c r="A27" s="2">
        <f>IFERROR(__xludf.DUMMYFUNCTION("""COMPUTED_VALUE"""),43469.0)</f>
        <v>43469</v>
      </c>
      <c r="B27" s="1" t="str">
        <f>IFERROR(__xludf.DUMMYFUNCTION("""COMPUTED_VALUE"""),"10:30p")</f>
        <v>10:30p</v>
      </c>
      <c r="C27" s="1" t="str">
        <f>IFERROR(__xludf.DUMMYFUNCTION("""COMPUTED_VALUE"""),"New York Knicks")</f>
        <v>New York Knicks</v>
      </c>
      <c r="D27" s="1">
        <f>IFERROR(__xludf.DUMMYFUNCTION("""COMPUTED_VALUE"""),119.0)</f>
        <v>119</v>
      </c>
      <c r="E27" s="1" t="str">
        <f>IFERROR(__xludf.DUMMYFUNCTION("""COMPUTED_VALUE"""),"Los Angeles Lakers")</f>
        <v>Los Angeles Lakers</v>
      </c>
      <c r="F27" s="1">
        <f>IFERROR(__xludf.DUMMYFUNCTION("""COMPUTED_VALUE"""),112.0)</f>
        <v>112</v>
      </c>
      <c r="G27" s="1" t="str">
        <f>IFERROR(__xludf.DUMMYFUNCTION("""COMPUTED_VALUE"""),"Box Score")</f>
        <v>Box Score</v>
      </c>
      <c r="H27" s="1"/>
      <c r="I27" s="3">
        <f>IFERROR(__xludf.DUMMYFUNCTION("""COMPUTED_VALUE"""),18997.0)</f>
        <v>18997</v>
      </c>
      <c r="J27" s="1"/>
    </row>
    <row r="28" ht="15.75" customHeight="1">
      <c r="A28" s="2">
        <f>IFERROR(__xludf.DUMMYFUNCTION("""COMPUTED_VALUE"""),43469.0)</f>
        <v>43469</v>
      </c>
      <c r="B28" s="1" t="str">
        <f>IFERROR(__xludf.DUMMYFUNCTION("""COMPUTED_VALUE"""),"10:30p")</f>
        <v>10:30p</v>
      </c>
      <c r="C28" s="1" t="str">
        <f>IFERROR(__xludf.DUMMYFUNCTION("""COMPUTED_VALUE"""),"Oklahoma City Thunder")</f>
        <v>Oklahoma City Thunder</v>
      </c>
      <c r="D28" s="1">
        <f>IFERROR(__xludf.DUMMYFUNCTION("""COMPUTED_VALUE"""),111.0)</f>
        <v>111</v>
      </c>
      <c r="E28" s="1" t="str">
        <f>IFERROR(__xludf.DUMMYFUNCTION("""COMPUTED_VALUE"""),"Portland Trail Blazers")</f>
        <v>Portland Trail Blazers</v>
      </c>
      <c r="F28" s="1">
        <f>IFERROR(__xludf.DUMMYFUNCTION("""COMPUTED_VALUE"""),109.0)</f>
        <v>109</v>
      </c>
      <c r="G28" s="1" t="str">
        <f>IFERROR(__xludf.DUMMYFUNCTION("""COMPUTED_VALUE"""),"Box Score")</f>
        <v>Box Score</v>
      </c>
      <c r="H28" s="1"/>
      <c r="I28" s="3">
        <f>IFERROR(__xludf.DUMMYFUNCTION("""COMPUTED_VALUE"""),19393.0)</f>
        <v>19393</v>
      </c>
      <c r="J28" s="1"/>
    </row>
    <row r="29" ht="15.75" customHeight="1">
      <c r="A29" s="2">
        <f>IFERROR(__xludf.DUMMYFUNCTION("""COMPUTED_VALUE"""),43470.0)</f>
        <v>43470</v>
      </c>
      <c r="B29" s="1" t="str">
        <f>IFERROR(__xludf.DUMMYFUNCTION("""COMPUTED_VALUE"""),"5:00p")</f>
        <v>5:00p</v>
      </c>
      <c r="C29" s="1" t="str">
        <f>IFERROR(__xludf.DUMMYFUNCTION("""COMPUTED_VALUE"""),"Charlotte Hornets")</f>
        <v>Charlotte Hornets</v>
      </c>
      <c r="D29" s="1">
        <f>IFERROR(__xludf.DUMMYFUNCTION("""COMPUTED_VALUE"""),110.0)</f>
        <v>110</v>
      </c>
      <c r="E29" s="1" t="str">
        <f>IFERROR(__xludf.DUMMYFUNCTION("""COMPUTED_VALUE"""),"Denver Nuggets")</f>
        <v>Denver Nuggets</v>
      </c>
      <c r="F29" s="1">
        <f>IFERROR(__xludf.DUMMYFUNCTION("""COMPUTED_VALUE"""),123.0)</f>
        <v>123</v>
      </c>
      <c r="G29" s="1" t="str">
        <f>IFERROR(__xludf.DUMMYFUNCTION("""COMPUTED_VALUE"""),"Box Score")</f>
        <v>Box Score</v>
      </c>
      <c r="H29" s="1"/>
      <c r="I29" s="3">
        <f>IFERROR(__xludf.DUMMYFUNCTION("""COMPUTED_VALUE"""),19861.0)</f>
        <v>19861</v>
      </c>
      <c r="J29" s="1"/>
    </row>
    <row r="30" ht="15.75" customHeight="1">
      <c r="A30" s="2">
        <f>IFERROR(__xludf.DUMMYFUNCTION("""COMPUTED_VALUE"""),43470.0)</f>
        <v>43470</v>
      </c>
      <c r="B30" s="1" t="str">
        <f>IFERROR(__xludf.DUMMYFUNCTION("""COMPUTED_VALUE"""),"7:00p")</f>
        <v>7:00p</v>
      </c>
      <c r="C30" s="1" t="str">
        <f>IFERROR(__xludf.DUMMYFUNCTION("""COMPUTED_VALUE"""),"Utah Jazz")</f>
        <v>Utah Jazz</v>
      </c>
      <c r="D30" s="1">
        <f>IFERROR(__xludf.DUMMYFUNCTION("""COMPUTED_VALUE"""),110.0)</f>
        <v>110</v>
      </c>
      <c r="E30" s="1" t="str">
        <f>IFERROR(__xludf.DUMMYFUNCTION("""COMPUTED_VALUE"""),"Detroit Pistons")</f>
        <v>Detroit Pistons</v>
      </c>
      <c r="F30" s="1">
        <f>IFERROR(__xludf.DUMMYFUNCTION("""COMPUTED_VALUE"""),105.0)</f>
        <v>105</v>
      </c>
      <c r="G30" s="1" t="str">
        <f>IFERROR(__xludf.DUMMYFUNCTION("""COMPUTED_VALUE"""),"Box Score")</f>
        <v>Box Score</v>
      </c>
      <c r="H30" s="1"/>
      <c r="I30" s="3">
        <f>IFERROR(__xludf.DUMMYFUNCTION("""COMPUTED_VALUE"""),17255.0)</f>
        <v>17255</v>
      </c>
      <c r="J30" s="1"/>
    </row>
    <row r="31" ht="15.75" customHeight="1">
      <c r="A31" s="2">
        <f>IFERROR(__xludf.DUMMYFUNCTION("""COMPUTED_VALUE"""),43470.0)</f>
        <v>43470</v>
      </c>
      <c r="B31" s="1" t="str">
        <f>IFERROR(__xludf.DUMMYFUNCTION("""COMPUTED_VALUE"""),"7:30p")</f>
        <v>7:30p</v>
      </c>
      <c r="C31" s="1" t="str">
        <f>IFERROR(__xludf.DUMMYFUNCTION("""COMPUTED_VALUE"""),"Dallas Mavericks")</f>
        <v>Dallas Mavericks</v>
      </c>
      <c r="D31" s="1">
        <f>IFERROR(__xludf.DUMMYFUNCTION("""COMPUTED_VALUE"""),100.0)</f>
        <v>100</v>
      </c>
      <c r="E31" s="1" t="str">
        <f>IFERROR(__xludf.DUMMYFUNCTION("""COMPUTED_VALUE"""),"Philadelphia 76ers")</f>
        <v>Philadelphia 76ers</v>
      </c>
      <c r="F31" s="1">
        <f>IFERROR(__xludf.DUMMYFUNCTION("""COMPUTED_VALUE"""),106.0)</f>
        <v>106</v>
      </c>
      <c r="G31" s="1" t="str">
        <f>IFERROR(__xludf.DUMMYFUNCTION("""COMPUTED_VALUE"""),"Box Score")</f>
        <v>Box Score</v>
      </c>
      <c r="H31" s="1"/>
      <c r="I31" s="3">
        <f>IFERROR(__xludf.DUMMYFUNCTION("""COMPUTED_VALUE"""),20656.0)</f>
        <v>20656</v>
      </c>
      <c r="J31" s="1"/>
    </row>
    <row r="32" ht="15.75" customHeight="1">
      <c r="A32" s="2">
        <f>IFERROR(__xludf.DUMMYFUNCTION("""COMPUTED_VALUE"""),43470.0)</f>
        <v>43470</v>
      </c>
      <c r="B32" s="1" t="str">
        <f>IFERROR(__xludf.DUMMYFUNCTION("""COMPUTED_VALUE"""),"8:00p")</f>
        <v>8:00p</v>
      </c>
      <c r="C32" s="1" t="str">
        <f>IFERROR(__xludf.DUMMYFUNCTION("""COMPUTED_VALUE"""),"New Orleans Pelicans")</f>
        <v>New Orleans Pelicans</v>
      </c>
      <c r="D32" s="1">
        <f>IFERROR(__xludf.DUMMYFUNCTION("""COMPUTED_VALUE"""),133.0)</f>
        <v>133</v>
      </c>
      <c r="E32" s="1" t="str">
        <f>IFERROR(__xludf.DUMMYFUNCTION("""COMPUTED_VALUE"""),"Cleveland Cavaliers")</f>
        <v>Cleveland Cavaliers</v>
      </c>
      <c r="F32" s="1">
        <f>IFERROR(__xludf.DUMMYFUNCTION("""COMPUTED_VALUE"""),98.0)</f>
        <v>98</v>
      </c>
      <c r="G32" s="1" t="str">
        <f>IFERROR(__xludf.DUMMYFUNCTION("""COMPUTED_VALUE"""),"Box Score")</f>
        <v>Box Score</v>
      </c>
      <c r="H32" s="1"/>
      <c r="I32" s="3">
        <f>IFERROR(__xludf.DUMMYFUNCTION("""COMPUTED_VALUE"""),19432.0)</f>
        <v>19432</v>
      </c>
      <c r="J32" s="1"/>
    </row>
    <row r="33" ht="15.75" customHeight="1">
      <c r="A33" s="2">
        <f>IFERROR(__xludf.DUMMYFUNCTION("""COMPUTED_VALUE"""),43470.0)</f>
        <v>43470</v>
      </c>
      <c r="B33" s="1" t="str">
        <f>IFERROR(__xludf.DUMMYFUNCTION("""COMPUTED_VALUE"""),"8:30p")</f>
        <v>8:30p</v>
      </c>
      <c r="C33" s="1" t="str">
        <f>IFERROR(__xludf.DUMMYFUNCTION("""COMPUTED_VALUE"""),"Toronto Raptors")</f>
        <v>Toronto Raptors</v>
      </c>
      <c r="D33" s="1">
        <f>IFERROR(__xludf.DUMMYFUNCTION("""COMPUTED_VALUE"""),123.0)</f>
        <v>123</v>
      </c>
      <c r="E33" s="1" t="str">
        <f>IFERROR(__xludf.DUMMYFUNCTION("""COMPUTED_VALUE"""),"Milwaukee Bucks")</f>
        <v>Milwaukee Bucks</v>
      </c>
      <c r="F33" s="1">
        <f>IFERROR(__xludf.DUMMYFUNCTION("""COMPUTED_VALUE"""),116.0)</f>
        <v>116</v>
      </c>
      <c r="G33" s="1" t="str">
        <f>IFERROR(__xludf.DUMMYFUNCTION("""COMPUTED_VALUE"""),"Box Score")</f>
        <v>Box Score</v>
      </c>
      <c r="H33" s="1"/>
      <c r="I33" s="3">
        <f>IFERROR(__xludf.DUMMYFUNCTION("""COMPUTED_VALUE"""),18028.0)</f>
        <v>18028</v>
      </c>
      <c r="J33" s="1"/>
    </row>
    <row r="34" ht="15.75" customHeight="1">
      <c r="A34" s="2">
        <f>IFERROR(__xludf.DUMMYFUNCTION("""COMPUTED_VALUE"""),43470.0)</f>
        <v>43470</v>
      </c>
      <c r="B34" s="1" t="str">
        <f>IFERROR(__xludf.DUMMYFUNCTION("""COMPUTED_VALUE"""),"8:30p")</f>
        <v>8:30p</v>
      </c>
      <c r="C34" s="1" t="str">
        <f>IFERROR(__xludf.DUMMYFUNCTION("""COMPUTED_VALUE"""),"Memphis Grizzlies")</f>
        <v>Memphis Grizzlies</v>
      </c>
      <c r="D34" s="1">
        <f>IFERROR(__xludf.DUMMYFUNCTION("""COMPUTED_VALUE"""),88.0)</f>
        <v>88</v>
      </c>
      <c r="E34" s="1" t="str">
        <f>IFERROR(__xludf.DUMMYFUNCTION("""COMPUTED_VALUE"""),"San Antonio Spurs")</f>
        <v>San Antonio Spurs</v>
      </c>
      <c r="F34" s="1">
        <f>IFERROR(__xludf.DUMMYFUNCTION("""COMPUTED_VALUE"""),108.0)</f>
        <v>108</v>
      </c>
      <c r="G34" s="1" t="str">
        <f>IFERROR(__xludf.DUMMYFUNCTION("""COMPUTED_VALUE"""),"Box Score")</f>
        <v>Box Score</v>
      </c>
      <c r="H34" s="1"/>
      <c r="I34" s="3">
        <f>IFERROR(__xludf.DUMMYFUNCTION("""COMPUTED_VALUE"""),18354.0)</f>
        <v>18354</v>
      </c>
      <c r="J34" s="1"/>
    </row>
    <row r="35" ht="15.75" customHeight="1">
      <c r="A35" s="2">
        <f>IFERROR(__xludf.DUMMYFUNCTION("""COMPUTED_VALUE"""),43470.0)</f>
        <v>43470</v>
      </c>
      <c r="B35" s="1" t="str">
        <f>IFERROR(__xludf.DUMMYFUNCTION("""COMPUTED_VALUE"""),"10:00p")</f>
        <v>10:00p</v>
      </c>
      <c r="C35" s="1" t="str">
        <f>IFERROR(__xludf.DUMMYFUNCTION("""COMPUTED_VALUE"""),"Houston Rockets")</f>
        <v>Houston Rockets</v>
      </c>
      <c r="D35" s="1">
        <f>IFERROR(__xludf.DUMMYFUNCTION("""COMPUTED_VALUE"""),101.0)</f>
        <v>101</v>
      </c>
      <c r="E35" s="1" t="str">
        <f>IFERROR(__xludf.DUMMYFUNCTION("""COMPUTED_VALUE"""),"Portland Trail Blazers")</f>
        <v>Portland Trail Blazers</v>
      </c>
      <c r="F35" s="1">
        <f>IFERROR(__xludf.DUMMYFUNCTION("""COMPUTED_VALUE"""),110.0)</f>
        <v>110</v>
      </c>
      <c r="G35" s="1" t="str">
        <f>IFERROR(__xludf.DUMMYFUNCTION("""COMPUTED_VALUE"""),"Box Score")</f>
        <v>Box Score</v>
      </c>
      <c r="H35" s="1"/>
      <c r="I35" s="3">
        <f>IFERROR(__xludf.DUMMYFUNCTION("""COMPUTED_VALUE"""),19577.0)</f>
        <v>19577</v>
      </c>
      <c r="J35" s="1"/>
    </row>
    <row r="36" ht="15.75" customHeight="1">
      <c r="A36" s="2">
        <f>IFERROR(__xludf.DUMMYFUNCTION("""COMPUTED_VALUE"""),43470.0)</f>
        <v>43470</v>
      </c>
      <c r="B36" s="1" t="str">
        <f>IFERROR(__xludf.DUMMYFUNCTION("""COMPUTED_VALUE"""),"10:00p")</f>
        <v>10:00p</v>
      </c>
      <c r="C36" s="1" t="str">
        <f>IFERROR(__xludf.DUMMYFUNCTION("""COMPUTED_VALUE"""),"Golden State Warriors")</f>
        <v>Golden State Warriors</v>
      </c>
      <c r="D36" s="1">
        <f>IFERROR(__xludf.DUMMYFUNCTION("""COMPUTED_VALUE"""),127.0)</f>
        <v>127</v>
      </c>
      <c r="E36" s="1" t="str">
        <f>IFERROR(__xludf.DUMMYFUNCTION("""COMPUTED_VALUE"""),"Sacramento Kings")</f>
        <v>Sacramento Kings</v>
      </c>
      <c r="F36" s="1">
        <f>IFERROR(__xludf.DUMMYFUNCTION("""COMPUTED_VALUE"""),123.0)</f>
        <v>123</v>
      </c>
      <c r="G36" s="1" t="str">
        <f>IFERROR(__xludf.DUMMYFUNCTION("""COMPUTED_VALUE"""),"Box Score")</f>
        <v>Box Score</v>
      </c>
      <c r="H36" s="1"/>
      <c r="I36" s="3">
        <f>IFERROR(__xludf.DUMMYFUNCTION("""COMPUTED_VALUE"""),17583.0)</f>
        <v>17583</v>
      </c>
      <c r="J36" s="1"/>
    </row>
    <row r="37" ht="15.75" customHeight="1">
      <c r="A37" s="2">
        <f>IFERROR(__xludf.DUMMYFUNCTION("""COMPUTED_VALUE"""),43471.0)</f>
        <v>43471</v>
      </c>
      <c r="B37" s="1" t="str">
        <f>IFERROR(__xludf.DUMMYFUNCTION("""COMPUTED_VALUE"""),"3:30p")</f>
        <v>3:30p</v>
      </c>
      <c r="C37" s="1" t="str">
        <f>IFERROR(__xludf.DUMMYFUNCTION("""COMPUTED_VALUE"""),"Brooklyn Nets")</f>
        <v>Brooklyn Nets</v>
      </c>
      <c r="D37" s="1">
        <f>IFERROR(__xludf.DUMMYFUNCTION("""COMPUTED_VALUE"""),117.0)</f>
        <v>117</v>
      </c>
      <c r="E37" s="1" t="str">
        <f>IFERROR(__xludf.DUMMYFUNCTION("""COMPUTED_VALUE"""),"Chicago Bulls")</f>
        <v>Chicago Bulls</v>
      </c>
      <c r="F37" s="1">
        <f>IFERROR(__xludf.DUMMYFUNCTION("""COMPUTED_VALUE"""),100.0)</f>
        <v>100</v>
      </c>
      <c r="G37" s="1" t="str">
        <f>IFERROR(__xludf.DUMMYFUNCTION("""COMPUTED_VALUE"""),"Box Score")</f>
        <v>Box Score</v>
      </c>
      <c r="H37" s="1"/>
      <c r="I37" s="3">
        <f>IFERROR(__xludf.DUMMYFUNCTION("""COMPUTED_VALUE"""),19265.0)</f>
        <v>19265</v>
      </c>
      <c r="J37" s="1"/>
    </row>
    <row r="38" ht="15.75" customHeight="1">
      <c r="A38" s="2">
        <f>IFERROR(__xludf.DUMMYFUNCTION("""COMPUTED_VALUE"""),43471.0)</f>
        <v>43471</v>
      </c>
      <c r="B38" s="1" t="str">
        <f>IFERROR(__xludf.DUMMYFUNCTION("""COMPUTED_VALUE"""),"3:30p")</f>
        <v>3:30p</v>
      </c>
      <c r="C38" s="1" t="str">
        <f>IFERROR(__xludf.DUMMYFUNCTION("""COMPUTED_VALUE"""),"Orlando Magic")</f>
        <v>Orlando Magic</v>
      </c>
      <c r="D38" s="1">
        <f>IFERROR(__xludf.DUMMYFUNCTION("""COMPUTED_VALUE"""),96.0)</f>
        <v>96</v>
      </c>
      <c r="E38" s="1" t="str">
        <f>IFERROR(__xludf.DUMMYFUNCTION("""COMPUTED_VALUE"""),"Los Angeles Clippers")</f>
        <v>Los Angeles Clippers</v>
      </c>
      <c r="F38" s="1">
        <f>IFERROR(__xludf.DUMMYFUNCTION("""COMPUTED_VALUE"""),106.0)</f>
        <v>106</v>
      </c>
      <c r="G38" s="1" t="str">
        <f>IFERROR(__xludf.DUMMYFUNCTION("""COMPUTED_VALUE"""),"Box Score")</f>
        <v>Box Score</v>
      </c>
      <c r="H38" s="1"/>
      <c r="I38" s="3">
        <f>IFERROR(__xludf.DUMMYFUNCTION("""COMPUTED_VALUE"""),16616.0)</f>
        <v>16616</v>
      </c>
      <c r="J38" s="1"/>
    </row>
    <row r="39" ht="15.75" customHeight="1">
      <c r="A39" s="2">
        <f>IFERROR(__xludf.DUMMYFUNCTION("""COMPUTED_VALUE"""),43471.0)</f>
        <v>43471</v>
      </c>
      <c r="B39" s="1" t="str">
        <f>IFERROR(__xludf.DUMMYFUNCTION("""COMPUTED_VALUE"""),"3:30p")</f>
        <v>3:30p</v>
      </c>
      <c r="C39" s="1" t="str">
        <f>IFERROR(__xludf.DUMMYFUNCTION("""COMPUTED_VALUE"""),"Los Angeles Lakers")</f>
        <v>Los Angeles Lakers</v>
      </c>
      <c r="D39" s="1">
        <f>IFERROR(__xludf.DUMMYFUNCTION("""COMPUTED_VALUE"""),86.0)</f>
        <v>86</v>
      </c>
      <c r="E39" s="1" t="str">
        <f>IFERROR(__xludf.DUMMYFUNCTION("""COMPUTED_VALUE"""),"Minnesota Timberwolves")</f>
        <v>Minnesota Timberwolves</v>
      </c>
      <c r="F39" s="1">
        <f>IFERROR(__xludf.DUMMYFUNCTION("""COMPUTED_VALUE"""),108.0)</f>
        <v>108</v>
      </c>
      <c r="G39" s="1" t="str">
        <f>IFERROR(__xludf.DUMMYFUNCTION("""COMPUTED_VALUE"""),"Box Score")</f>
        <v>Box Score</v>
      </c>
      <c r="H39" s="1"/>
      <c r="I39" s="3">
        <f>IFERROR(__xludf.DUMMYFUNCTION("""COMPUTED_VALUE"""),18978.0)</f>
        <v>18978</v>
      </c>
      <c r="J39" s="1"/>
    </row>
    <row r="40" ht="15.75" customHeight="1">
      <c r="A40" s="2">
        <f>IFERROR(__xludf.DUMMYFUNCTION("""COMPUTED_VALUE"""),43471.0)</f>
        <v>43471</v>
      </c>
      <c r="B40" s="1" t="str">
        <f>IFERROR(__xludf.DUMMYFUNCTION("""COMPUTED_VALUE"""),"6:00p")</f>
        <v>6:00p</v>
      </c>
      <c r="C40" s="1" t="str">
        <f>IFERROR(__xludf.DUMMYFUNCTION("""COMPUTED_VALUE"""),"Miami Heat")</f>
        <v>Miami Heat</v>
      </c>
      <c r="D40" s="1">
        <f>IFERROR(__xludf.DUMMYFUNCTION("""COMPUTED_VALUE"""),82.0)</f>
        <v>82</v>
      </c>
      <c r="E40" s="1" t="str">
        <f>IFERROR(__xludf.DUMMYFUNCTION("""COMPUTED_VALUE"""),"Atlanta Hawks")</f>
        <v>Atlanta Hawks</v>
      </c>
      <c r="F40" s="1">
        <f>IFERROR(__xludf.DUMMYFUNCTION("""COMPUTED_VALUE"""),106.0)</f>
        <v>106</v>
      </c>
      <c r="G40" s="1" t="str">
        <f>IFERROR(__xludf.DUMMYFUNCTION("""COMPUTED_VALUE"""),"Box Score")</f>
        <v>Box Score</v>
      </c>
      <c r="H40" s="1"/>
      <c r="I40" s="3">
        <f>IFERROR(__xludf.DUMMYFUNCTION("""COMPUTED_VALUE"""),16630.0)</f>
        <v>16630</v>
      </c>
      <c r="J40" s="1"/>
    </row>
    <row r="41" ht="15.75" customHeight="1">
      <c r="A41" s="2">
        <f>IFERROR(__xludf.DUMMYFUNCTION("""COMPUTED_VALUE"""),43471.0)</f>
        <v>43471</v>
      </c>
      <c r="B41" s="1" t="str">
        <f>IFERROR(__xludf.DUMMYFUNCTION("""COMPUTED_VALUE"""),"7:00p")</f>
        <v>7:00p</v>
      </c>
      <c r="C41" s="1" t="str">
        <f>IFERROR(__xludf.DUMMYFUNCTION("""COMPUTED_VALUE"""),"Washington Wizards")</f>
        <v>Washington Wizards</v>
      </c>
      <c r="D41" s="1">
        <f>IFERROR(__xludf.DUMMYFUNCTION("""COMPUTED_VALUE"""),116.0)</f>
        <v>116</v>
      </c>
      <c r="E41" s="1" t="str">
        <f>IFERROR(__xludf.DUMMYFUNCTION("""COMPUTED_VALUE"""),"Oklahoma City Thunder")</f>
        <v>Oklahoma City Thunder</v>
      </c>
      <c r="F41" s="1">
        <f>IFERROR(__xludf.DUMMYFUNCTION("""COMPUTED_VALUE"""),98.0)</f>
        <v>98</v>
      </c>
      <c r="G41" s="1" t="str">
        <f>IFERROR(__xludf.DUMMYFUNCTION("""COMPUTED_VALUE"""),"Box Score")</f>
        <v>Box Score</v>
      </c>
      <c r="H41" s="1"/>
      <c r="I41" s="3">
        <f>IFERROR(__xludf.DUMMYFUNCTION("""COMPUTED_VALUE"""),18203.0)</f>
        <v>18203</v>
      </c>
      <c r="J41" s="1"/>
    </row>
    <row r="42" ht="15.75" customHeight="1">
      <c r="A42" s="2">
        <f>IFERROR(__xludf.DUMMYFUNCTION("""COMPUTED_VALUE"""),43471.0)</f>
        <v>43471</v>
      </c>
      <c r="B42" s="1" t="str">
        <f>IFERROR(__xludf.DUMMYFUNCTION("""COMPUTED_VALUE"""),"7:30p")</f>
        <v>7:30p</v>
      </c>
      <c r="C42" s="1" t="str">
        <f>IFERROR(__xludf.DUMMYFUNCTION("""COMPUTED_VALUE"""),"Indiana Pacers")</f>
        <v>Indiana Pacers</v>
      </c>
      <c r="D42" s="1">
        <f>IFERROR(__xludf.DUMMYFUNCTION("""COMPUTED_VALUE"""),105.0)</f>
        <v>105</v>
      </c>
      <c r="E42" s="1" t="str">
        <f>IFERROR(__xludf.DUMMYFUNCTION("""COMPUTED_VALUE"""),"Toronto Raptors")</f>
        <v>Toronto Raptors</v>
      </c>
      <c r="F42" s="1">
        <f>IFERROR(__xludf.DUMMYFUNCTION("""COMPUTED_VALUE"""),121.0)</f>
        <v>121</v>
      </c>
      <c r="G42" s="1" t="str">
        <f>IFERROR(__xludf.DUMMYFUNCTION("""COMPUTED_VALUE"""),"Box Score")</f>
        <v>Box Score</v>
      </c>
      <c r="H42" s="1"/>
      <c r="I42" s="3">
        <f>IFERROR(__xludf.DUMMYFUNCTION("""COMPUTED_VALUE"""),19800.0)</f>
        <v>19800</v>
      </c>
      <c r="J42" s="1"/>
    </row>
    <row r="43" ht="15.75" customHeight="1">
      <c r="A43" s="2">
        <f>IFERROR(__xludf.DUMMYFUNCTION("""COMPUTED_VALUE"""),43471.0)</f>
        <v>43471</v>
      </c>
      <c r="B43" s="1" t="str">
        <f>IFERROR(__xludf.DUMMYFUNCTION("""COMPUTED_VALUE"""),"8:00p")</f>
        <v>8:00p</v>
      </c>
      <c r="C43" s="1" t="str">
        <f>IFERROR(__xludf.DUMMYFUNCTION("""COMPUTED_VALUE"""),"Charlotte Hornets")</f>
        <v>Charlotte Hornets</v>
      </c>
      <c r="D43" s="1">
        <f>IFERROR(__xludf.DUMMYFUNCTION("""COMPUTED_VALUE"""),119.0)</f>
        <v>119</v>
      </c>
      <c r="E43" s="1" t="str">
        <f>IFERROR(__xludf.DUMMYFUNCTION("""COMPUTED_VALUE"""),"Phoenix Suns")</f>
        <v>Phoenix Suns</v>
      </c>
      <c r="F43" s="1">
        <f>IFERROR(__xludf.DUMMYFUNCTION("""COMPUTED_VALUE"""),113.0)</f>
        <v>113</v>
      </c>
      <c r="G43" s="1" t="str">
        <f>IFERROR(__xludf.DUMMYFUNCTION("""COMPUTED_VALUE"""),"Box Score")</f>
        <v>Box Score</v>
      </c>
      <c r="H43" s="1"/>
      <c r="I43" s="3">
        <f>IFERROR(__xludf.DUMMYFUNCTION("""COMPUTED_VALUE"""),13110.0)</f>
        <v>13110</v>
      </c>
      <c r="J43" s="1"/>
    </row>
    <row r="44" ht="15.75" customHeight="1">
      <c r="A44" s="2">
        <f>IFERROR(__xludf.DUMMYFUNCTION("""COMPUTED_VALUE"""),43472.0)</f>
        <v>43472</v>
      </c>
      <c r="B44" s="1" t="str">
        <f>IFERROR(__xludf.DUMMYFUNCTION("""COMPUTED_VALUE"""),"7:00p")</f>
        <v>7:00p</v>
      </c>
      <c r="C44" s="1" t="str">
        <f>IFERROR(__xludf.DUMMYFUNCTION("""COMPUTED_VALUE"""),"San Antonio Spurs")</f>
        <v>San Antonio Spurs</v>
      </c>
      <c r="D44" s="1">
        <f>IFERROR(__xludf.DUMMYFUNCTION("""COMPUTED_VALUE"""),119.0)</f>
        <v>119</v>
      </c>
      <c r="E44" s="1" t="str">
        <f>IFERROR(__xludf.DUMMYFUNCTION("""COMPUTED_VALUE"""),"Detroit Pistons")</f>
        <v>Detroit Pistons</v>
      </c>
      <c r="F44" s="1">
        <f>IFERROR(__xludf.DUMMYFUNCTION("""COMPUTED_VALUE"""),107.0)</f>
        <v>107</v>
      </c>
      <c r="G44" s="1" t="str">
        <f>IFERROR(__xludf.DUMMYFUNCTION("""COMPUTED_VALUE"""),"Box Score")</f>
        <v>Box Score</v>
      </c>
      <c r="H44" s="1"/>
      <c r="I44" s="3">
        <f>IFERROR(__xludf.DUMMYFUNCTION("""COMPUTED_VALUE"""),13107.0)</f>
        <v>13107</v>
      </c>
      <c r="J44" s="1"/>
    </row>
    <row r="45" ht="15.75" customHeight="1">
      <c r="A45" s="2">
        <f>IFERROR(__xludf.DUMMYFUNCTION("""COMPUTED_VALUE"""),43472.0)</f>
        <v>43472</v>
      </c>
      <c r="B45" s="1" t="str">
        <f>IFERROR(__xludf.DUMMYFUNCTION("""COMPUTED_VALUE"""),"7:30p")</f>
        <v>7:30p</v>
      </c>
      <c r="C45" s="1" t="str">
        <f>IFERROR(__xludf.DUMMYFUNCTION("""COMPUTED_VALUE"""),"Brooklyn Nets")</f>
        <v>Brooklyn Nets</v>
      </c>
      <c r="D45" s="1">
        <f>IFERROR(__xludf.DUMMYFUNCTION("""COMPUTED_VALUE"""),95.0)</f>
        <v>95</v>
      </c>
      <c r="E45" s="1" t="str">
        <f>IFERROR(__xludf.DUMMYFUNCTION("""COMPUTED_VALUE"""),"Boston Celtics")</f>
        <v>Boston Celtics</v>
      </c>
      <c r="F45" s="1">
        <f>IFERROR(__xludf.DUMMYFUNCTION("""COMPUTED_VALUE"""),116.0)</f>
        <v>116</v>
      </c>
      <c r="G45" s="1" t="str">
        <f>IFERROR(__xludf.DUMMYFUNCTION("""COMPUTED_VALUE"""),"Box Score")</f>
        <v>Box Score</v>
      </c>
      <c r="H45" s="1"/>
      <c r="I45" s="3">
        <f>IFERROR(__xludf.DUMMYFUNCTION("""COMPUTED_VALUE"""),18624.0)</f>
        <v>18624</v>
      </c>
      <c r="J45" s="1"/>
    </row>
    <row r="46" ht="15.75" customHeight="1">
      <c r="A46" s="2">
        <f>IFERROR(__xludf.DUMMYFUNCTION("""COMPUTED_VALUE"""),43472.0)</f>
        <v>43472</v>
      </c>
      <c r="B46" s="1" t="str">
        <f>IFERROR(__xludf.DUMMYFUNCTION("""COMPUTED_VALUE"""),"8:00p")</f>
        <v>8:00p</v>
      </c>
      <c r="C46" s="1" t="str">
        <f>IFERROR(__xludf.DUMMYFUNCTION("""COMPUTED_VALUE"""),"Denver Nuggets")</f>
        <v>Denver Nuggets</v>
      </c>
      <c r="D46" s="1">
        <f>IFERROR(__xludf.DUMMYFUNCTION("""COMPUTED_VALUE"""),113.0)</f>
        <v>113</v>
      </c>
      <c r="E46" s="1" t="str">
        <f>IFERROR(__xludf.DUMMYFUNCTION("""COMPUTED_VALUE"""),"Houston Rockets")</f>
        <v>Houston Rockets</v>
      </c>
      <c r="F46" s="1">
        <f>IFERROR(__xludf.DUMMYFUNCTION("""COMPUTED_VALUE"""),125.0)</f>
        <v>125</v>
      </c>
      <c r="G46" s="1" t="str">
        <f>IFERROR(__xludf.DUMMYFUNCTION("""COMPUTED_VALUE"""),"Box Score")</f>
        <v>Box Score</v>
      </c>
      <c r="H46" s="1"/>
      <c r="I46" s="3">
        <f>IFERROR(__xludf.DUMMYFUNCTION("""COMPUTED_VALUE"""),18055.0)</f>
        <v>18055</v>
      </c>
      <c r="J46" s="1"/>
    </row>
    <row r="47" ht="15.75" customHeight="1">
      <c r="A47" s="2">
        <f>IFERROR(__xludf.DUMMYFUNCTION("""COMPUTED_VALUE"""),43472.0)</f>
        <v>43472</v>
      </c>
      <c r="B47" s="1" t="str">
        <f>IFERROR(__xludf.DUMMYFUNCTION("""COMPUTED_VALUE"""),"8:00p")</f>
        <v>8:00p</v>
      </c>
      <c r="C47" s="1" t="str">
        <f>IFERROR(__xludf.DUMMYFUNCTION("""COMPUTED_VALUE"""),"Utah Jazz")</f>
        <v>Utah Jazz</v>
      </c>
      <c r="D47" s="1">
        <f>IFERROR(__xludf.DUMMYFUNCTION("""COMPUTED_VALUE"""),102.0)</f>
        <v>102</v>
      </c>
      <c r="E47" s="1" t="str">
        <f>IFERROR(__xludf.DUMMYFUNCTION("""COMPUTED_VALUE"""),"Milwaukee Bucks")</f>
        <v>Milwaukee Bucks</v>
      </c>
      <c r="F47" s="1">
        <f>IFERROR(__xludf.DUMMYFUNCTION("""COMPUTED_VALUE"""),114.0)</f>
        <v>114</v>
      </c>
      <c r="G47" s="1" t="str">
        <f>IFERROR(__xludf.DUMMYFUNCTION("""COMPUTED_VALUE"""),"Box Score")</f>
        <v>Box Score</v>
      </c>
      <c r="H47" s="1"/>
      <c r="I47" s="3">
        <f>IFERROR(__xludf.DUMMYFUNCTION("""COMPUTED_VALUE"""),17341.0)</f>
        <v>17341</v>
      </c>
      <c r="J47" s="1"/>
    </row>
    <row r="48" ht="15.75" customHeight="1">
      <c r="A48" s="2">
        <f>IFERROR(__xludf.DUMMYFUNCTION("""COMPUTED_VALUE"""),43472.0)</f>
        <v>43472</v>
      </c>
      <c r="B48" s="1" t="str">
        <f>IFERROR(__xludf.DUMMYFUNCTION("""COMPUTED_VALUE"""),"8:00p")</f>
        <v>8:00p</v>
      </c>
      <c r="C48" s="1" t="str">
        <f>IFERROR(__xludf.DUMMYFUNCTION("""COMPUTED_VALUE"""),"Memphis Grizzlies")</f>
        <v>Memphis Grizzlies</v>
      </c>
      <c r="D48" s="1">
        <f>IFERROR(__xludf.DUMMYFUNCTION("""COMPUTED_VALUE"""),95.0)</f>
        <v>95</v>
      </c>
      <c r="E48" s="1" t="str">
        <f>IFERROR(__xludf.DUMMYFUNCTION("""COMPUTED_VALUE"""),"New Orleans Pelicans")</f>
        <v>New Orleans Pelicans</v>
      </c>
      <c r="F48" s="1">
        <f>IFERROR(__xludf.DUMMYFUNCTION("""COMPUTED_VALUE"""),114.0)</f>
        <v>114</v>
      </c>
      <c r="G48" s="1" t="str">
        <f>IFERROR(__xludf.DUMMYFUNCTION("""COMPUTED_VALUE"""),"Box Score")</f>
        <v>Box Score</v>
      </c>
      <c r="H48" s="1"/>
      <c r="I48" s="3">
        <f>IFERROR(__xludf.DUMMYFUNCTION("""COMPUTED_VALUE"""),14624.0)</f>
        <v>14624</v>
      </c>
      <c r="J48" s="1"/>
    </row>
    <row r="49" ht="15.75" customHeight="1">
      <c r="A49" s="2">
        <f>IFERROR(__xludf.DUMMYFUNCTION("""COMPUTED_VALUE"""),43472.0)</f>
        <v>43472</v>
      </c>
      <c r="B49" s="1" t="str">
        <f>IFERROR(__xludf.DUMMYFUNCTION("""COMPUTED_VALUE"""),"8:30p")</f>
        <v>8:30p</v>
      </c>
      <c r="C49" s="1" t="str">
        <f>IFERROR(__xludf.DUMMYFUNCTION("""COMPUTED_VALUE"""),"Los Angeles Lakers")</f>
        <v>Los Angeles Lakers</v>
      </c>
      <c r="D49" s="1">
        <f>IFERROR(__xludf.DUMMYFUNCTION("""COMPUTED_VALUE"""),107.0)</f>
        <v>107</v>
      </c>
      <c r="E49" s="1" t="str">
        <f>IFERROR(__xludf.DUMMYFUNCTION("""COMPUTED_VALUE"""),"Dallas Mavericks")</f>
        <v>Dallas Mavericks</v>
      </c>
      <c r="F49" s="1">
        <f>IFERROR(__xludf.DUMMYFUNCTION("""COMPUTED_VALUE"""),97.0)</f>
        <v>97</v>
      </c>
      <c r="G49" s="1" t="str">
        <f>IFERROR(__xludf.DUMMYFUNCTION("""COMPUTED_VALUE"""),"Box Score")</f>
        <v>Box Score</v>
      </c>
      <c r="H49" s="1"/>
      <c r="I49" s="3">
        <f>IFERROR(__xludf.DUMMYFUNCTION("""COMPUTED_VALUE"""),20354.0)</f>
        <v>20354</v>
      </c>
      <c r="J49" s="1"/>
    </row>
    <row r="50" ht="15.75" customHeight="1">
      <c r="A50" s="2">
        <f>IFERROR(__xludf.DUMMYFUNCTION("""COMPUTED_VALUE"""),43472.0)</f>
        <v>43472</v>
      </c>
      <c r="B50" s="1" t="str">
        <f>IFERROR(__xludf.DUMMYFUNCTION("""COMPUTED_VALUE"""),"10:00p")</f>
        <v>10:00p</v>
      </c>
      <c r="C50" s="1" t="str">
        <f>IFERROR(__xludf.DUMMYFUNCTION("""COMPUTED_VALUE"""),"New York Knicks")</f>
        <v>New York Knicks</v>
      </c>
      <c r="D50" s="1">
        <f>IFERROR(__xludf.DUMMYFUNCTION("""COMPUTED_VALUE"""),101.0)</f>
        <v>101</v>
      </c>
      <c r="E50" s="1" t="str">
        <f>IFERROR(__xludf.DUMMYFUNCTION("""COMPUTED_VALUE"""),"Portland Trail Blazers")</f>
        <v>Portland Trail Blazers</v>
      </c>
      <c r="F50" s="1">
        <f>IFERROR(__xludf.DUMMYFUNCTION("""COMPUTED_VALUE"""),111.0)</f>
        <v>111</v>
      </c>
      <c r="G50" s="1" t="str">
        <f>IFERROR(__xludf.DUMMYFUNCTION("""COMPUTED_VALUE"""),"Box Score")</f>
        <v>Box Score</v>
      </c>
      <c r="H50" s="1"/>
      <c r="I50" s="3">
        <f>IFERROR(__xludf.DUMMYFUNCTION("""COMPUTED_VALUE"""),19026.0)</f>
        <v>19026</v>
      </c>
      <c r="J50" s="1"/>
    </row>
    <row r="51" ht="15.75" customHeight="1">
      <c r="A51" s="2">
        <f>IFERROR(__xludf.DUMMYFUNCTION("""COMPUTED_VALUE"""),43472.0)</f>
        <v>43472</v>
      </c>
      <c r="B51" s="1" t="str">
        <f>IFERROR(__xludf.DUMMYFUNCTION("""COMPUTED_VALUE"""),"10:00p")</f>
        <v>10:00p</v>
      </c>
      <c r="C51" s="1" t="str">
        <f>IFERROR(__xludf.DUMMYFUNCTION("""COMPUTED_VALUE"""),"Orlando Magic")</f>
        <v>Orlando Magic</v>
      </c>
      <c r="D51" s="1">
        <f>IFERROR(__xludf.DUMMYFUNCTION("""COMPUTED_VALUE"""),95.0)</f>
        <v>95</v>
      </c>
      <c r="E51" s="1" t="str">
        <f>IFERROR(__xludf.DUMMYFUNCTION("""COMPUTED_VALUE"""),"Sacramento Kings")</f>
        <v>Sacramento Kings</v>
      </c>
      <c r="F51" s="1">
        <f>IFERROR(__xludf.DUMMYFUNCTION("""COMPUTED_VALUE"""),111.0)</f>
        <v>111</v>
      </c>
      <c r="G51" s="1" t="str">
        <f>IFERROR(__xludf.DUMMYFUNCTION("""COMPUTED_VALUE"""),"Box Score")</f>
        <v>Box Score</v>
      </c>
      <c r="H51" s="1"/>
      <c r="I51" s="3">
        <f>IFERROR(__xludf.DUMMYFUNCTION("""COMPUTED_VALUE"""),15724.0)</f>
        <v>15724</v>
      </c>
      <c r="J51" s="1"/>
    </row>
    <row r="52" ht="15.75" customHeight="1">
      <c r="A52" s="2">
        <f>IFERROR(__xludf.DUMMYFUNCTION("""COMPUTED_VALUE"""),43473.0)</f>
        <v>43473</v>
      </c>
      <c r="B52" s="1" t="str">
        <f>IFERROR(__xludf.DUMMYFUNCTION("""COMPUTED_VALUE"""),"7:00p")</f>
        <v>7:00p</v>
      </c>
      <c r="C52" s="1" t="str">
        <f>IFERROR(__xludf.DUMMYFUNCTION("""COMPUTED_VALUE"""),"Indiana Pacers")</f>
        <v>Indiana Pacers</v>
      </c>
      <c r="D52" s="1">
        <f>IFERROR(__xludf.DUMMYFUNCTION("""COMPUTED_VALUE"""),123.0)</f>
        <v>123</v>
      </c>
      <c r="E52" s="1" t="str">
        <f>IFERROR(__xludf.DUMMYFUNCTION("""COMPUTED_VALUE"""),"Cleveland Cavaliers")</f>
        <v>Cleveland Cavaliers</v>
      </c>
      <c r="F52" s="1">
        <f>IFERROR(__xludf.DUMMYFUNCTION("""COMPUTED_VALUE"""),115.0)</f>
        <v>115</v>
      </c>
      <c r="G52" s="1" t="str">
        <f>IFERROR(__xludf.DUMMYFUNCTION("""COMPUTED_VALUE"""),"Box Score")</f>
        <v>Box Score</v>
      </c>
      <c r="H52" s="1"/>
      <c r="I52" s="3">
        <f>IFERROR(__xludf.DUMMYFUNCTION("""COMPUTED_VALUE"""),19432.0)</f>
        <v>19432</v>
      </c>
      <c r="J52" s="1"/>
    </row>
    <row r="53" ht="15.75" customHeight="1">
      <c r="A53" s="2">
        <f>IFERROR(__xludf.DUMMYFUNCTION("""COMPUTED_VALUE"""),43473.0)</f>
        <v>43473</v>
      </c>
      <c r="B53" s="1" t="str">
        <f>IFERROR(__xludf.DUMMYFUNCTION("""COMPUTED_VALUE"""),"7:00p")</f>
        <v>7:00p</v>
      </c>
      <c r="C53" s="1" t="str">
        <f>IFERROR(__xludf.DUMMYFUNCTION("""COMPUTED_VALUE"""),"Washington Wizards")</f>
        <v>Washington Wizards</v>
      </c>
      <c r="D53" s="1">
        <f>IFERROR(__xludf.DUMMYFUNCTION("""COMPUTED_VALUE"""),115.0)</f>
        <v>115</v>
      </c>
      <c r="E53" s="1" t="str">
        <f>IFERROR(__xludf.DUMMYFUNCTION("""COMPUTED_VALUE"""),"Philadelphia 76ers")</f>
        <v>Philadelphia 76ers</v>
      </c>
      <c r="F53" s="1">
        <f>IFERROR(__xludf.DUMMYFUNCTION("""COMPUTED_VALUE"""),132.0)</f>
        <v>132</v>
      </c>
      <c r="G53" s="1" t="str">
        <f>IFERROR(__xludf.DUMMYFUNCTION("""COMPUTED_VALUE"""),"Box Score")</f>
        <v>Box Score</v>
      </c>
      <c r="H53" s="1"/>
      <c r="I53" s="3">
        <f>IFERROR(__xludf.DUMMYFUNCTION("""COMPUTED_VALUE"""),20446.0)</f>
        <v>20446</v>
      </c>
      <c r="J53" s="1"/>
    </row>
    <row r="54" ht="15.75" customHeight="1">
      <c r="A54" s="2">
        <f>IFERROR(__xludf.DUMMYFUNCTION("""COMPUTED_VALUE"""),43473.0)</f>
        <v>43473</v>
      </c>
      <c r="B54" s="1" t="str">
        <f>IFERROR(__xludf.DUMMYFUNCTION("""COMPUTED_VALUE"""),"7:30p")</f>
        <v>7:30p</v>
      </c>
      <c r="C54" s="1" t="str">
        <f>IFERROR(__xludf.DUMMYFUNCTION("""COMPUTED_VALUE"""),"Denver Nuggets")</f>
        <v>Denver Nuggets</v>
      </c>
      <c r="D54" s="1">
        <f>IFERROR(__xludf.DUMMYFUNCTION("""COMPUTED_VALUE"""),103.0)</f>
        <v>103</v>
      </c>
      <c r="E54" s="1" t="str">
        <f>IFERROR(__xludf.DUMMYFUNCTION("""COMPUTED_VALUE"""),"Miami Heat")</f>
        <v>Miami Heat</v>
      </c>
      <c r="F54" s="1">
        <f>IFERROR(__xludf.DUMMYFUNCTION("""COMPUTED_VALUE"""),99.0)</f>
        <v>99</v>
      </c>
      <c r="G54" s="1" t="str">
        <f>IFERROR(__xludf.DUMMYFUNCTION("""COMPUTED_VALUE"""),"Box Score")</f>
        <v>Box Score</v>
      </c>
      <c r="H54" s="1"/>
      <c r="I54" s="3">
        <f>IFERROR(__xludf.DUMMYFUNCTION("""COMPUTED_VALUE"""),19600.0)</f>
        <v>19600</v>
      </c>
      <c r="J54" s="1"/>
    </row>
    <row r="55" ht="15.75" customHeight="1">
      <c r="A55" s="2">
        <f>IFERROR(__xludf.DUMMYFUNCTION("""COMPUTED_VALUE"""),43473.0)</f>
        <v>43473</v>
      </c>
      <c r="B55" s="1" t="str">
        <f>IFERROR(__xludf.DUMMYFUNCTION("""COMPUTED_VALUE"""),"7:30p")</f>
        <v>7:30p</v>
      </c>
      <c r="C55" s="1" t="str">
        <f>IFERROR(__xludf.DUMMYFUNCTION("""COMPUTED_VALUE"""),"Atlanta Hawks")</f>
        <v>Atlanta Hawks</v>
      </c>
      <c r="D55" s="1">
        <f>IFERROR(__xludf.DUMMYFUNCTION("""COMPUTED_VALUE"""),101.0)</f>
        <v>101</v>
      </c>
      <c r="E55" s="1" t="str">
        <f>IFERROR(__xludf.DUMMYFUNCTION("""COMPUTED_VALUE"""),"Toronto Raptors")</f>
        <v>Toronto Raptors</v>
      </c>
      <c r="F55" s="1">
        <f>IFERROR(__xludf.DUMMYFUNCTION("""COMPUTED_VALUE"""),104.0)</f>
        <v>104</v>
      </c>
      <c r="G55" s="1" t="str">
        <f>IFERROR(__xludf.DUMMYFUNCTION("""COMPUTED_VALUE"""),"Box Score")</f>
        <v>Box Score</v>
      </c>
      <c r="H55" s="1"/>
      <c r="I55" s="3">
        <f>IFERROR(__xludf.DUMMYFUNCTION("""COMPUTED_VALUE"""),19800.0)</f>
        <v>19800</v>
      </c>
      <c r="J55" s="1"/>
    </row>
    <row r="56" ht="15.75" customHeight="1">
      <c r="A56" s="2">
        <f>IFERROR(__xludf.DUMMYFUNCTION("""COMPUTED_VALUE"""),43473.0)</f>
        <v>43473</v>
      </c>
      <c r="B56" s="1" t="str">
        <f>IFERROR(__xludf.DUMMYFUNCTION("""COMPUTED_VALUE"""),"8:00p")</f>
        <v>8:00p</v>
      </c>
      <c r="C56" s="1" t="str">
        <f>IFERROR(__xludf.DUMMYFUNCTION("""COMPUTED_VALUE"""),"Minnesota Timberwolves")</f>
        <v>Minnesota Timberwolves</v>
      </c>
      <c r="D56" s="1">
        <f>IFERROR(__xludf.DUMMYFUNCTION("""COMPUTED_VALUE"""),119.0)</f>
        <v>119</v>
      </c>
      <c r="E56" s="1" t="str">
        <f>IFERROR(__xludf.DUMMYFUNCTION("""COMPUTED_VALUE"""),"Oklahoma City Thunder")</f>
        <v>Oklahoma City Thunder</v>
      </c>
      <c r="F56" s="1">
        <f>IFERROR(__xludf.DUMMYFUNCTION("""COMPUTED_VALUE"""),117.0)</f>
        <v>117</v>
      </c>
      <c r="G56" s="1" t="str">
        <f>IFERROR(__xludf.DUMMYFUNCTION("""COMPUTED_VALUE"""),"Box Score")</f>
        <v>Box Score</v>
      </c>
      <c r="H56" s="1"/>
      <c r="I56" s="3">
        <f>IFERROR(__xludf.DUMMYFUNCTION("""COMPUTED_VALUE"""),18203.0)</f>
        <v>18203</v>
      </c>
      <c r="J56" s="1"/>
    </row>
    <row r="57" ht="15.75" customHeight="1">
      <c r="A57" s="2">
        <f>IFERROR(__xludf.DUMMYFUNCTION("""COMPUTED_VALUE"""),43473.0)</f>
        <v>43473</v>
      </c>
      <c r="B57" s="1" t="str">
        <f>IFERROR(__xludf.DUMMYFUNCTION("""COMPUTED_VALUE"""),"9:00p")</f>
        <v>9:00p</v>
      </c>
      <c r="C57" s="1" t="str">
        <f>IFERROR(__xludf.DUMMYFUNCTION("""COMPUTED_VALUE"""),"Sacramento Kings")</f>
        <v>Sacramento Kings</v>
      </c>
      <c r="D57" s="1">
        <f>IFERROR(__xludf.DUMMYFUNCTION("""COMPUTED_VALUE"""),111.0)</f>
        <v>111</v>
      </c>
      <c r="E57" s="1" t="str">
        <f>IFERROR(__xludf.DUMMYFUNCTION("""COMPUTED_VALUE"""),"Phoenix Suns")</f>
        <v>Phoenix Suns</v>
      </c>
      <c r="F57" s="1">
        <f>IFERROR(__xludf.DUMMYFUNCTION("""COMPUTED_VALUE"""),115.0)</f>
        <v>115</v>
      </c>
      <c r="G57" s="1" t="str">
        <f>IFERROR(__xludf.DUMMYFUNCTION("""COMPUTED_VALUE"""),"Box Score")</f>
        <v>Box Score</v>
      </c>
      <c r="H57" s="1"/>
      <c r="I57" s="3">
        <f>IFERROR(__xludf.DUMMYFUNCTION("""COMPUTED_VALUE"""),13977.0)</f>
        <v>13977</v>
      </c>
      <c r="J57" s="1"/>
    </row>
    <row r="58" ht="15.75" customHeight="1">
      <c r="A58" s="2">
        <f>IFERROR(__xludf.DUMMYFUNCTION("""COMPUTED_VALUE"""),43473.0)</f>
        <v>43473</v>
      </c>
      <c r="B58" s="1" t="str">
        <f>IFERROR(__xludf.DUMMYFUNCTION("""COMPUTED_VALUE"""),"10:30p")</f>
        <v>10:30p</v>
      </c>
      <c r="C58" s="1" t="str">
        <f>IFERROR(__xludf.DUMMYFUNCTION("""COMPUTED_VALUE"""),"New York Knicks")</f>
        <v>New York Knicks</v>
      </c>
      <c r="D58" s="1">
        <f>IFERROR(__xludf.DUMMYFUNCTION("""COMPUTED_VALUE"""),95.0)</f>
        <v>95</v>
      </c>
      <c r="E58" s="1" t="str">
        <f>IFERROR(__xludf.DUMMYFUNCTION("""COMPUTED_VALUE"""),"Golden State Warriors")</f>
        <v>Golden State Warriors</v>
      </c>
      <c r="F58" s="1">
        <f>IFERROR(__xludf.DUMMYFUNCTION("""COMPUTED_VALUE"""),122.0)</f>
        <v>122</v>
      </c>
      <c r="G58" s="1" t="str">
        <f>IFERROR(__xludf.DUMMYFUNCTION("""COMPUTED_VALUE"""),"Box Score")</f>
        <v>Box Score</v>
      </c>
      <c r="H58" s="1"/>
      <c r="I58" s="3">
        <f>IFERROR(__xludf.DUMMYFUNCTION("""COMPUTED_VALUE"""),19596.0)</f>
        <v>19596</v>
      </c>
      <c r="J58" s="1"/>
    </row>
    <row r="59" ht="15.75" customHeight="1">
      <c r="A59" s="2">
        <f>IFERROR(__xludf.DUMMYFUNCTION("""COMPUTED_VALUE"""),43473.0)</f>
        <v>43473</v>
      </c>
      <c r="B59" s="1" t="str">
        <f>IFERROR(__xludf.DUMMYFUNCTION("""COMPUTED_VALUE"""),"10:30p")</f>
        <v>10:30p</v>
      </c>
      <c r="C59" s="1" t="str">
        <f>IFERROR(__xludf.DUMMYFUNCTION("""COMPUTED_VALUE"""),"Charlotte Hornets")</f>
        <v>Charlotte Hornets</v>
      </c>
      <c r="D59" s="1">
        <f>IFERROR(__xludf.DUMMYFUNCTION("""COMPUTED_VALUE"""),109.0)</f>
        <v>109</v>
      </c>
      <c r="E59" s="1" t="str">
        <f>IFERROR(__xludf.DUMMYFUNCTION("""COMPUTED_VALUE"""),"Los Angeles Clippers")</f>
        <v>Los Angeles Clippers</v>
      </c>
      <c r="F59" s="1">
        <f>IFERROR(__xludf.DUMMYFUNCTION("""COMPUTED_VALUE"""),128.0)</f>
        <v>128</v>
      </c>
      <c r="G59" s="1" t="str">
        <f>IFERROR(__xludf.DUMMYFUNCTION("""COMPUTED_VALUE"""),"Box Score")</f>
        <v>Box Score</v>
      </c>
      <c r="H59" s="1"/>
      <c r="I59" s="3">
        <f>IFERROR(__xludf.DUMMYFUNCTION("""COMPUTED_VALUE"""),15275.0)</f>
        <v>15275</v>
      </c>
      <c r="J59" s="1"/>
    </row>
    <row r="60" ht="15.75" customHeight="1">
      <c r="A60" s="2">
        <f>IFERROR(__xludf.DUMMYFUNCTION("""COMPUTED_VALUE"""),43474.0)</f>
        <v>43474</v>
      </c>
      <c r="B60" s="1" t="str">
        <f>IFERROR(__xludf.DUMMYFUNCTION("""COMPUTED_VALUE"""),"7:00p")</f>
        <v>7:00p</v>
      </c>
      <c r="C60" s="1" t="str">
        <f>IFERROR(__xludf.DUMMYFUNCTION("""COMPUTED_VALUE"""),"Indiana Pacers")</f>
        <v>Indiana Pacers</v>
      </c>
      <c r="D60" s="1">
        <f>IFERROR(__xludf.DUMMYFUNCTION("""COMPUTED_VALUE"""),108.0)</f>
        <v>108</v>
      </c>
      <c r="E60" s="1" t="str">
        <f>IFERROR(__xludf.DUMMYFUNCTION("""COMPUTED_VALUE"""),"Boston Celtics")</f>
        <v>Boston Celtics</v>
      </c>
      <c r="F60" s="1">
        <f>IFERROR(__xludf.DUMMYFUNCTION("""COMPUTED_VALUE"""),135.0)</f>
        <v>135</v>
      </c>
      <c r="G60" s="1" t="str">
        <f>IFERROR(__xludf.DUMMYFUNCTION("""COMPUTED_VALUE"""),"Box Score")</f>
        <v>Box Score</v>
      </c>
      <c r="H60" s="1"/>
      <c r="I60" s="3">
        <f>IFERROR(__xludf.DUMMYFUNCTION("""COMPUTED_VALUE"""),18624.0)</f>
        <v>18624</v>
      </c>
      <c r="J60" s="1"/>
    </row>
    <row r="61" ht="15.75" customHeight="1">
      <c r="A61" s="2">
        <f>IFERROR(__xludf.DUMMYFUNCTION("""COMPUTED_VALUE"""),43474.0)</f>
        <v>43474</v>
      </c>
      <c r="B61" s="1" t="str">
        <f>IFERROR(__xludf.DUMMYFUNCTION("""COMPUTED_VALUE"""),"7:00p")</f>
        <v>7:00p</v>
      </c>
      <c r="C61" s="1" t="str">
        <f>IFERROR(__xludf.DUMMYFUNCTION("""COMPUTED_VALUE"""),"Philadelphia 76ers")</f>
        <v>Philadelphia 76ers</v>
      </c>
      <c r="D61" s="1">
        <f>IFERROR(__xludf.DUMMYFUNCTION("""COMPUTED_VALUE"""),106.0)</f>
        <v>106</v>
      </c>
      <c r="E61" s="1" t="str">
        <f>IFERROR(__xludf.DUMMYFUNCTION("""COMPUTED_VALUE"""),"Washington Wizards")</f>
        <v>Washington Wizards</v>
      </c>
      <c r="F61" s="1">
        <f>IFERROR(__xludf.DUMMYFUNCTION("""COMPUTED_VALUE"""),123.0)</f>
        <v>123</v>
      </c>
      <c r="G61" s="1" t="str">
        <f>IFERROR(__xludf.DUMMYFUNCTION("""COMPUTED_VALUE"""),"Box Score")</f>
        <v>Box Score</v>
      </c>
      <c r="H61" s="1"/>
      <c r="I61" s="3">
        <f>IFERROR(__xludf.DUMMYFUNCTION("""COMPUTED_VALUE"""),18039.0)</f>
        <v>18039</v>
      </c>
      <c r="J61" s="1"/>
    </row>
    <row r="62" ht="15.75" customHeight="1">
      <c r="A62" s="2">
        <f>IFERROR(__xludf.DUMMYFUNCTION("""COMPUTED_VALUE"""),43474.0)</f>
        <v>43474</v>
      </c>
      <c r="B62" s="1" t="str">
        <f>IFERROR(__xludf.DUMMYFUNCTION("""COMPUTED_VALUE"""),"7:30p")</f>
        <v>7:30p</v>
      </c>
      <c r="C62" s="1" t="str">
        <f>IFERROR(__xludf.DUMMYFUNCTION("""COMPUTED_VALUE"""),"Atlanta Hawks")</f>
        <v>Atlanta Hawks</v>
      </c>
      <c r="D62" s="1">
        <f>IFERROR(__xludf.DUMMYFUNCTION("""COMPUTED_VALUE"""),100.0)</f>
        <v>100</v>
      </c>
      <c r="E62" s="1" t="str">
        <f>IFERROR(__xludf.DUMMYFUNCTION("""COMPUTED_VALUE"""),"Brooklyn Nets")</f>
        <v>Brooklyn Nets</v>
      </c>
      <c r="F62" s="1">
        <f>IFERROR(__xludf.DUMMYFUNCTION("""COMPUTED_VALUE"""),116.0)</f>
        <v>116</v>
      </c>
      <c r="G62" s="1" t="str">
        <f>IFERROR(__xludf.DUMMYFUNCTION("""COMPUTED_VALUE"""),"Box Score")</f>
        <v>Box Score</v>
      </c>
      <c r="H62" s="1"/>
      <c r="I62" s="3">
        <f>IFERROR(__xludf.DUMMYFUNCTION("""COMPUTED_VALUE"""),14531.0)</f>
        <v>14531</v>
      </c>
      <c r="J62" s="1"/>
    </row>
    <row r="63" ht="15.75" customHeight="1">
      <c r="A63" s="2">
        <f>IFERROR(__xludf.DUMMYFUNCTION("""COMPUTED_VALUE"""),43474.0)</f>
        <v>43474</v>
      </c>
      <c r="B63" s="1" t="str">
        <f>IFERROR(__xludf.DUMMYFUNCTION("""COMPUTED_VALUE"""),"8:00p")</f>
        <v>8:00p</v>
      </c>
      <c r="C63" s="1" t="str">
        <f>IFERROR(__xludf.DUMMYFUNCTION("""COMPUTED_VALUE"""),"Milwaukee Bucks")</f>
        <v>Milwaukee Bucks</v>
      </c>
      <c r="D63" s="1">
        <f>IFERROR(__xludf.DUMMYFUNCTION("""COMPUTED_VALUE"""),116.0)</f>
        <v>116</v>
      </c>
      <c r="E63" s="1" t="str">
        <f>IFERROR(__xludf.DUMMYFUNCTION("""COMPUTED_VALUE"""),"Houston Rockets")</f>
        <v>Houston Rockets</v>
      </c>
      <c r="F63" s="1">
        <f>IFERROR(__xludf.DUMMYFUNCTION("""COMPUTED_VALUE"""),109.0)</f>
        <v>109</v>
      </c>
      <c r="G63" s="1" t="str">
        <f>IFERROR(__xludf.DUMMYFUNCTION("""COMPUTED_VALUE"""),"Box Score")</f>
        <v>Box Score</v>
      </c>
      <c r="H63" s="1"/>
      <c r="I63" s="3">
        <f>IFERROR(__xludf.DUMMYFUNCTION("""COMPUTED_VALUE"""),18055.0)</f>
        <v>18055</v>
      </c>
      <c r="J63" s="1"/>
    </row>
    <row r="64" ht="15.75" customHeight="1">
      <c r="A64" s="2">
        <f>IFERROR(__xludf.DUMMYFUNCTION("""COMPUTED_VALUE"""),43474.0)</f>
        <v>43474</v>
      </c>
      <c r="B64" s="1" t="str">
        <f>IFERROR(__xludf.DUMMYFUNCTION("""COMPUTED_VALUE"""),"8:00p")</f>
        <v>8:00p</v>
      </c>
      <c r="C64" s="1" t="str">
        <f>IFERROR(__xludf.DUMMYFUNCTION("""COMPUTED_VALUE"""),"San Antonio Spurs")</f>
        <v>San Antonio Spurs</v>
      </c>
      <c r="D64" s="1">
        <f>IFERROR(__xludf.DUMMYFUNCTION("""COMPUTED_VALUE"""),86.0)</f>
        <v>86</v>
      </c>
      <c r="E64" s="1" t="str">
        <f>IFERROR(__xludf.DUMMYFUNCTION("""COMPUTED_VALUE"""),"Memphis Grizzlies")</f>
        <v>Memphis Grizzlies</v>
      </c>
      <c r="F64" s="1">
        <f>IFERROR(__xludf.DUMMYFUNCTION("""COMPUTED_VALUE"""),96.0)</f>
        <v>96</v>
      </c>
      <c r="G64" s="1" t="str">
        <f>IFERROR(__xludf.DUMMYFUNCTION("""COMPUTED_VALUE"""),"Box Score")</f>
        <v>Box Score</v>
      </c>
      <c r="H64" s="1"/>
      <c r="I64" s="3">
        <f>IFERROR(__xludf.DUMMYFUNCTION("""COMPUTED_VALUE"""),13944.0)</f>
        <v>13944</v>
      </c>
      <c r="J64" s="1"/>
    </row>
    <row r="65" ht="15.75" customHeight="1">
      <c r="A65" s="2">
        <f>IFERROR(__xludf.DUMMYFUNCTION("""COMPUTED_VALUE"""),43474.0)</f>
        <v>43474</v>
      </c>
      <c r="B65" s="1" t="str">
        <f>IFERROR(__xludf.DUMMYFUNCTION("""COMPUTED_VALUE"""),"8:00p")</f>
        <v>8:00p</v>
      </c>
      <c r="C65" s="1" t="str">
        <f>IFERROR(__xludf.DUMMYFUNCTION("""COMPUTED_VALUE"""),"Cleveland Cavaliers")</f>
        <v>Cleveland Cavaliers</v>
      </c>
      <c r="D65" s="1">
        <f>IFERROR(__xludf.DUMMYFUNCTION("""COMPUTED_VALUE"""),124.0)</f>
        <v>124</v>
      </c>
      <c r="E65" s="1" t="str">
        <f>IFERROR(__xludf.DUMMYFUNCTION("""COMPUTED_VALUE"""),"New Orleans Pelicans")</f>
        <v>New Orleans Pelicans</v>
      </c>
      <c r="F65" s="1">
        <f>IFERROR(__xludf.DUMMYFUNCTION("""COMPUTED_VALUE"""),140.0)</f>
        <v>140</v>
      </c>
      <c r="G65" s="1" t="str">
        <f>IFERROR(__xludf.DUMMYFUNCTION("""COMPUTED_VALUE"""),"Box Score")</f>
        <v>Box Score</v>
      </c>
      <c r="H65" s="1"/>
      <c r="I65" s="3">
        <f>IFERROR(__xludf.DUMMYFUNCTION("""COMPUTED_VALUE"""),15058.0)</f>
        <v>15058</v>
      </c>
      <c r="J65" s="1"/>
    </row>
    <row r="66" ht="15.75" customHeight="1">
      <c r="A66" s="2">
        <f>IFERROR(__xludf.DUMMYFUNCTION("""COMPUTED_VALUE"""),43474.0)</f>
        <v>43474</v>
      </c>
      <c r="B66" s="1" t="str">
        <f>IFERROR(__xludf.DUMMYFUNCTION("""COMPUTED_VALUE"""),"8:30p")</f>
        <v>8:30p</v>
      </c>
      <c r="C66" s="1" t="str">
        <f>IFERROR(__xludf.DUMMYFUNCTION("""COMPUTED_VALUE"""),"Phoenix Suns")</f>
        <v>Phoenix Suns</v>
      </c>
      <c r="D66" s="1">
        <f>IFERROR(__xludf.DUMMYFUNCTION("""COMPUTED_VALUE"""),94.0)</f>
        <v>94</v>
      </c>
      <c r="E66" s="1" t="str">
        <f>IFERROR(__xludf.DUMMYFUNCTION("""COMPUTED_VALUE"""),"Dallas Mavericks")</f>
        <v>Dallas Mavericks</v>
      </c>
      <c r="F66" s="1">
        <f>IFERROR(__xludf.DUMMYFUNCTION("""COMPUTED_VALUE"""),104.0)</f>
        <v>104</v>
      </c>
      <c r="G66" s="1" t="str">
        <f>IFERROR(__xludf.DUMMYFUNCTION("""COMPUTED_VALUE"""),"Box Score")</f>
        <v>Box Score</v>
      </c>
      <c r="H66" s="1"/>
      <c r="I66" s="3">
        <f>IFERROR(__xludf.DUMMYFUNCTION("""COMPUTED_VALUE"""),19596.0)</f>
        <v>19596</v>
      </c>
      <c r="J66" s="1"/>
    </row>
    <row r="67" ht="15.75" customHeight="1">
      <c r="A67" s="2">
        <f>IFERROR(__xludf.DUMMYFUNCTION("""COMPUTED_VALUE"""),43474.0)</f>
        <v>43474</v>
      </c>
      <c r="B67" s="1" t="str">
        <f>IFERROR(__xludf.DUMMYFUNCTION("""COMPUTED_VALUE"""),"9:00p")</f>
        <v>9:00p</v>
      </c>
      <c r="C67" s="1" t="str">
        <f>IFERROR(__xludf.DUMMYFUNCTION("""COMPUTED_VALUE"""),"Orlando Magic")</f>
        <v>Orlando Magic</v>
      </c>
      <c r="D67" s="1">
        <f>IFERROR(__xludf.DUMMYFUNCTION("""COMPUTED_VALUE"""),93.0)</f>
        <v>93</v>
      </c>
      <c r="E67" s="1" t="str">
        <f>IFERROR(__xludf.DUMMYFUNCTION("""COMPUTED_VALUE"""),"Utah Jazz")</f>
        <v>Utah Jazz</v>
      </c>
      <c r="F67" s="1">
        <f>IFERROR(__xludf.DUMMYFUNCTION("""COMPUTED_VALUE"""),106.0)</f>
        <v>106</v>
      </c>
      <c r="G67" s="1" t="str">
        <f>IFERROR(__xludf.DUMMYFUNCTION("""COMPUTED_VALUE"""),"Box Score")</f>
        <v>Box Score</v>
      </c>
      <c r="H67" s="1"/>
      <c r="I67" s="3">
        <f>IFERROR(__xludf.DUMMYFUNCTION("""COMPUTED_VALUE"""),18306.0)</f>
        <v>18306</v>
      </c>
      <c r="J67" s="1"/>
    </row>
    <row r="68" ht="15.75" customHeight="1">
      <c r="A68" s="2">
        <f>IFERROR(__xludf.DUMMYFUNCTION("""COMPUTED_VALUE"""),43474.0)</f>
        <v>43474</v>
      </c>
      <c r="B68" s="1" t="str">
        <f>IFERROR(__xludf.DUMMYFUNCTION("""COMPUTED_VALUE"""),"10:00p")</f>
        <v>10:00p</v>
      </c>
      <c r="C68" s="1" t="str">
        <f>IFERROR(__xludf.DUMMYFUNCTION("""COMPUTED_VALUE"""),"Chicago Bulls")</f>
        <v>Chicago Bulls</v>
      </c>
      <c r="D68" s="1">
        <f>IFERROR(__xludf.DUMMYFUNCTION("""COMPUTED_VALUE"""),112.0)</f>
        <v>112</v>
      </c>
      <c r="E68" s="1" t="str">
        <f>IFERROR(__xludf.DUMMYFUNCTION("""COMPUTED_VALUE"""),"Portland Trail Blazers")</f>
        <v>Portland Trail Blazers</v>
      </c>
      <c r="F68" s="1">
        <f>IFERROR(__xludf.DUMMYFUNCTION("""COMPUTED_VALUE"""),124.0)</f>
        <v>124</v>
      </c>
      <c r="G68" s="1" t="str">
        <f>IFERROR(__xludf.DUMMYFUNCTION("""COMPUTED_VALUE"""),"Box Score")</f>
        <v>Box Score</v>
      </c>
      <c r="H68" s="1"/>
      <c r="I68" s="3">
        <f>IFERROR(__xludf.DUMMYFUNCTION("""COMPUTED_VALUE"""),19393.0)</f>
        <v>19393</v>
      </c>
      <c r="J68" s="1"/>
    </row>
    <row r="69" ht="15.75" customHeight="1">
      <c r="A69" s="2">
        <f>IFERROR(__xludf.DUMMYFUNCTION("""COMPUTED_VALUE"""),43474.0)</f>
        <v>43474</v>
      </c>
      <c r="B69" s="1" t="str">
        <f>IFERROR(__xludf.DUMMYFUNCTION("""COMPUTED_VALUE"""),"10:30p")</f>
        <v>10:30p</v>
      </c>
      <c r="C69" s="1" t="str">
        <f>IFERROR(__xludf.DUMMYFUNCTION("""COMPUTED_VALUE"""),"Detroit Pistons")</f>
        <v>Detroit Pistons</v>
      </c>
      <c r="D69" s="1">
        <f>IFERROR(__xludf.DUMMYFUNCTION("""COMPUTED_VALUE"""),100.0)</f>
        <v>100</v>
      </c>
      <c r="E69" s="1" t="str">
        <f>IFERROR(__xludf.DUMMYFUNCTION("""COMPUTED_VALUE"""),"Los Angeles Lakers")</f>
        <v>Los Angeles Lakers</v>
      </c>
      <c r="F69" s="1">
        <f>IFERROR(__xludf.DUMMYFUNCTION("""COMPUTED_VALUE"""),113.0)</f>
        <v>113</v>
      </c>
      <c r="G69" s="1" t="str">
        <f>IFERROR(__xludf.DUMMYFUNCTION("""COMPUTED_VALUE"""),"Box Score")</f>
        <v>Box Score</v>
      </c>
      <c r="H69" s="1"/>
      <c r="I69" s="3">
        <f>IFERROR(__xludf.DUMMYFUNCTION("""COMPUTED_VALUE"""),18997.0)</f>
        <v>18997</v>
      </c>
      <c r="J69" s="1"/>
    </row>
    <row r="70" ht="15.75" customHeight="1">
      <c r="A70" s="2">
        <f>IFERROR(__xludf.DUMMYFUNCTION("""COMPUTED_VALUE"""),43475.0)</f>
        <v>43475</v>
      </c>
      <c r="B70" s="1" t="str">
        <f>IFERROR(__xludf.DUMMYFUNCTION("""COMPUTED_VALUE"""),"7:00p")</f>
        <v>7:00p</v>
      </c>
      <c r="C70" s="1" t="str">
        <f>IFERROR(__xludf.DUMMYFUNCTION("""COMPUTED_VALUE"""),"Boston Celtics")</f>
        <v>Boston Celtics</v>
      </c>
      <c r="D70" s="1">
        <f>IFERROR(__xludf.DUMMYFUNCTION("""COMPUTED_VALUE"""),99.0)</f>
        <v>99</v>
      </c>
      <c r="E70" s="1" t="str">
        <f>IFERROR(__xludf.DUMMYFUNCTION("""COMPUTED_VALUE"""),"Miami Heat")</f>
        <v>Miami Heat</v>
      </c>
      <c r="F70" s="1">
        <f>IFERROR(__xludf.DUMMYFUNCTION("""COMPUTED_VALUE"""),115.0)</f>
        <v>115</v>
      </c>
      <c r="G70" s="1" t="str">
        <f>IFERROR(__xludf.DUMMYFUNCTION("""COMPUTED_VALUE"""),"Box Score")</f>
        <v>Box Score</v>
      </c>
      <c r="H70" s="1"/>
      <c r="I70" s="3">
        <f>IFERROR(__xludf.DUMMYFUNCTION("""COMPUTED_VALUE"""),19600.0)</f>
        <v>19600</v>
      </c>
      <c r="J70" s="1"/>
    </row>
    <row r="71" ht="15.75" customHeight="1">
      <c r="A71" s="2">
        <f>IFERROR(__xludf.DUMMYFUNCTION("""COMPUTED_VALUE"""),43475.0)</f>
        <v>43475</v>
      </c>
      <c r="B71" s="1" t="str">
        <f>IFERROR(__xludf.DUMMYFUNCTION("""COMPUTED_VALUE"""),"9:00p")</f>
        <v>9:00p</v>
      </c>
      <c r="C71" s="1" t="str">
        <f>IFERROR(__xludf.DUMMYFUNCTION("""COMPUTED_VALUE"""),"Los Angeles Clippers")</f>
        <v>Los Angeles Clippers</v>
      </c>
      <c r="D71" s="1">
        <f>IFERROR(__xludf.DUMMYFUNCTION("""COMPUTED_VALUE"""),100.0)</f>
        <v>100</v>
      </c>
      <c r="E71" s="1" t="str">
        <f>IFERROR(__xludf.DUMMYFUNCTION("""COMPUTED_VALUE"""),"Denver Nuggets")</f>
        <v>Denver Nuggets</v>
      </c>
      <c r="F71" s="1">
        <f>IFERROR(__xludf.DUMMYFUNCTION("""COMPUTED_VALUE"""),121.0)</f>
        <v>121</v>
      </c>
      <c r="G71" s="1" t="str">
        <f>IFERROR(__xludf.DUMMYFUNCTION("""COMPUTED_VALUE"""),"Box Score")</f>
        <v>Box Score</v>
      </c>
      <c r="H71" s="1"/>
      <c r="I71" s="3">
        <f>IFERROR(__xludf.DUMMYFUNCTION("""COMPUTED_VALUE"""),15742.0)</f>
        <v>15742</v>
      </c>
      <c r="J71" s="1"/>
    </row>
    <row r="72" ht="15.75" customHeight="1">
      <c r="A72" s="2">
        <f>IFERROR(__xludf.DUMMYFUNCTION("""COMPUTED_VALUE"""),43475.0)</f>
        <v>43475</v>
      </c>
      <c r="B72" s="1" t="str">
        <f>IFERROR(__xludf.DUMMYFUNCTION("""COMPUTED_VALUE"""),"9:30p")</f>
        <v>9:30p</v>
      </c>
      <c r="C72" s="1" t="str">
        <f>IFERROR(__xludf.DUMMYFUNCTION("""COMPUTED_VALUE"""),"Oklahoma City Thunder")</f>
        <v>Oklahoma City Thunder</v>
      </c>
      <c r="D72" s="1">
        <f>IFERROR(__xludf.DUMMYFUNCTION("""COMPUTED_VALUE"""),147.0)</f>
        <v>147</v>
      </c>
      <c r="E72" s="1" t="str">
        <f>IFERROR(__xludf.DUMMYFUNCTION("""COMPUTED_VALUE"""),"San Antonio Spurs")</f>
        <v>San Antonio Spurs</v>
      </c>
      <c r="F72" s="1">
        <f>IFERROR(__xludf.DUMMYFUNCTION("""COMPUTED_VALUE"""),154.0)</f>
        <v>154</v>
      </c>
      <c r="G72" s="1" t="str">
        <f>IFERROR(__xludf.DUMMYFUNCTION("""COMPUTED_VALUE"""),"Box Score")</f>
        <v>Box Score</v>
      </c>
      <c r="H72" s="1" t="str">
        <f>IFERROR(__xludf.DUMMYFUNCTION("""COMPUTED_VALUE"""),"2OT")</f>
        <v>2OT</v>
      </c>
      <c r="I72" s="3">
        <f>IFERROR(__xludf.DUMMYFUNCTION("""COMPUTED_VALUE"""),18354.0)</f>
        <v>18354</v>
      </c>
      <c r="J72" s="1"/>
    </row>
    <row r="73" ht="15.75" customHeight="1">
      <c r="A73" s="2">
        <f>IFERROR(__xludf.DUMMYFUNCTION("""COMPUTED_VALUE"""),43475.0)</f>
        <v>43475</v>
      </c>
      <c r="B73" s="1" t="str">
        <f>IFERROR(__xludf.DUMMYFUNCTION("""COMPUTED_VALUE"""),"10:00p")</f>
        <v>10:00p</v>
      </c>
      <c r="C73" s="1" t="str">
        <f>IFERROR(__xludf.DUMMYFUNCTION("""COMPUTED_VALUE"""),"Detroit Pistons")</f>
        <v>Detroit Pistons</v>
      </c>
      <c r="D73" s="1">
        <f>IFERROR(__xludf.DUMMYFUNCTION("""COMPUTED_VALUE"""),102.0)</f>
        <v>102</v>
      </c>
      <c r="E73" s="1" t="str">
        <f>IFERROR(__xludf.DUMMYFUNCTION("""COMPUTED_VALUE"""),"Sacramento Kings")</f>
        <v>Sacramento Kings</v>
      </c>
      <c r="F73" s="1">
        <f>IFERROR(__xludf.DUMMYFUNCTION("""COMPUTED_VALUE"""),112.0)</f>
        <v>112</v>
      </c>
      <c r="G73" s="1" t="str">
        <f>IFERROR(__xludf.DUMMYFUNCTION("""COMPUTED_VALUE"""),"Box Score")</f>
        <v>Box Score</v>
      </c>
      <c r="H73" s="1"/>
      <c r="I73" s="3">
        <f>IFERROR(__xludf.DUMMYFUNCTION("""COMPUTED_VALUE"""),16916.0)</f>
        <v>16916</v>
      </c>
      <c r="J73" s="1"/>
    </row>
    <row r="74" ht="15.75" customHeight="1">
      <c r="A74" s="2">
        <f>IFERROR(__xludf.DUMMYFUNCTION("""COMPUTED_VALUE"""),43476.0)</f>
        <v>43476</v>
      </c>
      <c r="B74" s="1" t="str">
        <f>IFERROR(__xludf.DUMMYFUNCTION("""COMPUTED_VALUE"""),"7:00p")</f>
        <v>7:00p</v>
      </c>
      <c r="C74" s="1" t="str">
        <f>IFERROR(__xludf.DUMMYFUNCTION("""COMPUTED_VALUE"""),"Atlanta Hawks")</f>
        <v>Atlanta Hawks</v>
      </c>
      <c r="D74" s="1">
        <f>IFERROR(__xludf.DUMMYFUNCTION("""COMPUTED_VALUE"""),123.0)</f>
        <v>123</v>
      </c>
      <c r="E74" s="1" t="str">
        <f>IFERROR(__xludf.DUMMYFUNCTION("""COMPUTED_VALUE"""),"Philadelphia 76ers")</f>
        <v>Philadelphia 76ers</v>
      </c>
      <c r="F74" s="1">
        <f>IFERROR(__xludf.DUMMYFUNCTION("""COMPUTED_VALUE"""),121.0)</f>
        <v>121</v>
      </c>
      <c r="G74" s="1" t="str">
        <f>IFERROR(__xludf.DUMMYFUNCTION("""COMPUTED_VALUE"""),"Box Score")</f>
        <v>Box Score</v>
      </c>
      <c r="H74" s="1"/>
      <c r="I74" s="3">
        <f>IFERROR(__xludf.DUMMYFUNCTION("""COMPUTED_VALUE"""),20487.0)</f>
        <v>20487</v>
      </c>
      <c r="J74" s="1"/>
    </row>
    <row r="75" ht="15.75" customHeight="1">
      <c r="A75" s="2">
        <f>IFERROR(__xludf.DUMMYFUNCTION("""COMPUTED_VALUE"""),43476.0)</f>
        <v>43476</v>
      </c>
      <c r="B75" s="1" t="str">
        <f>IFERROR(__xludf.DUMMYFUNCTION("""COMPUTED_VALUE"""),"7:00p")</f>
        <v>7:00p</v>
      </c>
      <c r="C75" s="1" t="str">
        <f>IFERROR(__xludf.DUMMYFUNCTION("""COMPUTED_VALUE"""),"Milwaukee Bucks")</f>
        <v>Milwaukee Bucks</v>
      </c>
      <c r="D75" s="1">
        <f>IFERROR(__xludf.DUMMYFUNCTION("""COMPUTED_VALUE"""),106.0)</f>
        <v>106</v>
      </c>
      <c r="E75" s="1" t="str">
        <f>IFERROR(__xludf.DUMMYFUNCTION("""COMPUTED_VALUE"""),"Washington Wizards")</f>
        <v>Washington Wizards</v>
      </c>
      <c r="F75" s="1">
        <f>IFERROR(__xludf.DUMMYFUNCTION("""COMPUTED_VALUE"""),113.0)</f>
        <v>113</v>
      </c>
      <c r="G75" s="1" t="str">
        <f>IFERROR(__xludf.DUMMYFUNCTION("""COMPUTED_VALUE"""),"Box Score")</f>
        <v>Box Score</v>
      </c>
      <c r="H75" s="1"/>
      <c r="I75" s="3">
        <f>IFERROR(__xludf.DUMMYFUNCTION("""COMPUTED_VALUE"""),17996.0)</f>
        <v>17996</v>
      </c>
      <c r="J75" s="1"/>
    </row>
    <row r="76" ht="15.75" customHeight="1">
      <c r="A76" s="2">
        <f>IFERROR(__xludf.DUMMYFUNCTION("""COMPUTED_VALUE"""),43476.0)</f>
        <v>43476</v>
      </c>
      <c r="B76" s="1" t="str">
        <f>IFERROR(__xludf.DUMMYFUNCTION("""COMPUTED_VALUE"""),"7:30p")</f>
        <v>7:30p</v>
      </c>
      <c r="C76" s="1" t="str">
        <f>IFERROR(__xludf.DUMMYFUNCTION("""COMPUTED_VALUE"""),"Indiana Pacers")</f>
        <v>Indiana Pacers</v>
      </c>
      <c r="D76" s="1">
        <f>IFERROR(__xludf.DUMMYFUNCTION("""COMPUTED_VALUE"""),121.0)</f>
        <v>121</v>
      </c>
      <c r="E76" s="1" t="str">
        <f>IFERROR(__xludf.DUMMYFUNCTION("""COMPUTED_VALUE"""),"New York Knicks")</f>
        <v>New York Knicks</v>
      </c>
      <c r="F76" s="1">
        <f>IFERROR(__xludf.DUMMYFUNCTION("""COMPUTED_VALUE"""),106.0)</f>
        <v>106</v>
      </c>
      <c r="G76" s="1" t="str">
        <f>IFERROR(__xludf.DUMMYFUNCTION("""COMPUTED_VALUE"""),"Box Score")</f>
        <v>Box Score</v>
      </c>
      <c r="H76" s="1"/>
      <c r="I76" s="3">
        <f>IFERROR(__xludf.DUMMYFUNCTION("""COMPUTED_VALUE"""),19812.0)</f>
        <v>19812</v>
      </c>
      <c r="J76" s="1"/>
    </row>
    <row r="77" ht="15.75" customHeight="1">
      <c r="A77" s="2">
        <f>IFERROR(__xludf.DUMMYFUNCTION("""COMPUTED_VALUE"""),43476.0)</f>
        <v>43476</v>
      </c>
      <c r="B77" s="1" t="str">
        <f>IFERROR(__xludf.DUMMYFUNCTION("""COMPUTED_VALUE"""),"7:30p")</f>
        <v>7:30p</v>
      </c>
      <c r="C77" s="1" t="str">
        <f>IFERROR(__xludf.DUMMYFUNCTION("""COMPUTED_VALUE"""),"Brooklyn Nets")</f>
        <v>Brooklyn Nets</v>
      </c>
      <c r="D77" s="1">
        <f>IFERROR(__xludf.DUMMYFUNCTION("""COMPUTED_VALUE"""),105.0)</f>
        <v>105</v>
      </c>
      <c r="E77" s="1" t="str">
        <f>IFERROR(__xludf.DUMMYFUNCTION("""COMPUTED_VALUE"""),"Toronto Raptors")</f>
        <v>Toronto Raptors</v>
      </c>
      <c r="F77" s="1">
        <f>IFERROR(__xludf.DUMMYFUNCTION("""COMPUTED_VALUE"""),122.0)</f>
        <v>122</v>
      </c>
      <c r="G77" s="1" t="str">
        <f>IFERROR(__xludf.DUMMYFUNCTION("""COMPUTED_VALUE"""),"Box Score")</f>
        <v>Box Score</v>
      </c>
      <c r="H77" s="1"/>
      <c r="I77" s="3">
        <f>IFERROR(__xludf.DUMMYFUNCTION("""COMPUTED_VALUE"""),19800.0)</f>
        <v>19800</v>
      </c>
      <c r="J77" s="1"/>
    </row>
    <row r="78" ht="15.75" customHeight="1">
      <c r="A78" s="2">
        <f>IFERROR(__xludf.DUMMYFUNCTION("""COMPUTED_VALUE"""),43476.0)</f>
        <v>43476</v>
      </c>
      <c r="B78" s="1" t="str">
        <f>IFERROR(__xludf.DUMMYFUNCTION("""COMPUTED_VALUE"""),"8:00p")</f>
        <v>8:00p</v>
      </c>
      <c r="C78" s="1" t="str">
        <f>IFERROR(__xludf.DUMMYFUNCTION("""COMPUTED_VALUE"""),"Cleveland Cavaliers")</f>
        <v>Cleveland Cavaliers</v>
      </c>
      <c r="D78" s="1">
        <f>IFERROR(__xludf.DUMMYFUNCTION("""COMPUTED_VALUE"""),113.0)</f>
        <v>113</v>
      </c>
      <c r="E78" s="1" t="str">
        <f>IFERROR(__xludf.DUMMYFUNCTION("""COMPUTED_VALUE"""),"Houston Rockets")</f>
        <v>Houston Rockets</v>
      </c>
      <c r="F78" s="1">
        <f>IFERROR(__xludf.DUMMYFUNCTION("""COMPUTED_VALUE"""),141.0)</f>
        <v>141</v>
      </c>
      <c r="G78" s="1" t="str">
        <f>IFERROR(__xludf.DUMMYFUNCTION("""COMPUTED_VALUE"""),"Box Score")</f>
        <v>Box Score</v>
      </c>
      <c r="H78" s="1"/>
      <c r="I78" s="3">
        <f>IFERROR(__xludf.DUMMYFUNCTION("""COMPUTED_VALUE"""),18055.0)</f>
        <v>18055</v>
      </c>
      <c r="J78" s="1"/>
    </row>
    <row r="79" ht="15.75" customHeight="1">
      <c r="A79" s="2">
        <f>IFERROR(__xludf.DUMMYFUNCTION("""COMPUTED_VALUE"""),43476.0)</f>
        <v>43476</v>
      </c>
      <c r="B79" s="1" t="str">
        <f>IFERROR(__xludf.DUMMYFUNCTION("""COMPUTED_VALUE"""),"8:00p")</f>
        <v>8:00p</v>
      </c>
      <c r="C79" s="1" t="str">
        <f>IFERROR(__xludf.DUMMYFUNCTION("""COMPUTED_VALUE"""),"Dallas Mavericks")</f>
        <v>Dallas Mavericks</v>
      </c>
      <c r="D79" s="1">
        <f>IFERROR(__xludf.DUMMYFUNCTION("""COMPUTED_VALUE"""),119.0)</f>
        <v>119</v>
      </c>
      <c r="E79" s="1" t="str">
        <f>IFERROR(__xludf.DUMMYFUNCTION("""COMPUTED_VALUE"""),"Minnesota Timberwolves")</f>
        <v>Minnesota Timberwolves</v>
      </c>
      <c r="F79" s="1">
        <f>IFERROR(__xludf.DUMMYFUNCTION("""COMPUTED_VALUE"""),115.0)</f>
        <v>115</v>
      </c>
      <c r="G79" s="1" t="str">
        <f>IFERROR(__xludf.DUMMYFUNCTION("""COMPUTED_VALUE"""),"Box Score")</f>
        <v>Box Score</v>
      </c>
      <c r="H79" s="1"/>
      <c r="I79" s="3">
        <f>IFERROR(__xludf.DUMMYFUNCTION("""COMPUTED_VALUE"""),18978.0)</f>
        <v>18978</v>
      </c>
      <c r="J79" s="1"/>
    </row>
    <row r="80" ht="15.75" customHeight="1">
      <c r="A80" s="2">
        <f>IFERROR(__xludf.DUMMYFUNCTION("""COMPUTED_VALUE"""),43476.0)</f>
        <v>43476</v>
      </c>
      <c r="B80" s="1" t="str">
        <f>IFERROR(__xludf.DUMMYFUNCTION("""COMPUTED_VALUE"""),"10:00p")</f>
        <v>10:00p</v>
      </c>
      <c r="C80" s="1" t="str">
        <f>IFERROR(__xludf.DUMMYFUNCTION("""COMPUTED_VALUE"""),"Charlotte Hornets")</f>
        <v>Charlotte Hornets</v>
      </c>
      <c r="D80" s="1">
        <f>IFERROR(__xludf.DUMMYFUNCTION("""COMPUTED_VALUE"""),96.0)</f>
        <v>96</v>
      </c>
      <c r="E80" s="1" t="str">
        <f>IFERROR(__xludf.DUMMYFUNCTION("""COMPUTED_VALUE"""),"Portland Trail Blazers")</f>
        <v>Portland Trail Blazers</v>
      </c>
      <c r="F80" s="1">
        <f>IFERROR(__xludf.DUMMYFUNCTION("""COMPUTED_VALUE"""),127.0)</f>
        <v>127</v>
      </c>
      <c r="G80" s="1" t="str">
        <f>IFERROR(__xludf.DUMMYFUNCTION("""COMPUTED_VALUE"""),"Box Score")</f>
        <v>Box Score</v>
      </c>
      <c r="H80" s="1"/>
      <c r="I80" s="3">
        <f>IFERROR(__xludf.DUMMYFUNCTION("""COMPUTED_VALUE"""),19393.0)</f>
        <v>19393</v>
      </c>
      <c r="J80" s="1"/>
    </row>
    <row r="81" ht="15.75" customHeight="1">
      <c r="A81" s="2">
        <f>IFERROR(__xludf.DUMMYFUNCTION("""COMPUTED_VALUE"""),43476.0)</f>
        <v>43476</v>
      </c>
      <c r="B81" s="1" t="str">
        <f>IFERROR(__xludf.DUMMYFUNCTION("""COMPUTED_VALUE"""),"10:00p")</f>
        <v>10:00p</v>
      </c>
      <c r="C81" s="1" t="str">
        <f>IFERROR(__xludf.DUMMYFUNCTION("""COMPUTED_VALUE"""),"Los Angeles Lakers")</f>
        <v>Los Angeles Lakers</v>
      </c>
      <c r="D81" s="1">
        <f>IFERROR(__xludf.DUMMYFUNCTION("""COMPUTED_VALUE"""),95.0)</f>
        <v>95</v>
      </c>
      <c r="E81" s="1" t="str">
        <f>IFERROR(__xludf.DUMMYFUNCTION("""COMPUTED_VALUE"""),"Utah Jazz")</f>
        <v>Utah Jazz</v>
      </c>
      <c r="F81" s="1">
        <f>IFERROR(__xludf.DUMMYFUNCTION("""COMPUTED_VALUE"""),113.0)</f>
        <v>113</v>
      </c>
      <c r="G81" s="1" t="str">
        <f>IFERROR(__xludf.DUMMYFUNCTION("""COMPUTED_VALUE"""),"Box Score")</f>
        <v>Box Score</v>
      </c>
      <c r="H81" s="1"/>
      <c r="I81" s="3">
        <f>IFERROR(__xludf.DUMMYFUNCTION("""COMPUTED_VALUE"""),18306.0)</f>
        <v>18306</v>
      </c>
      <c r="J81" s="1"/>
    </row>
    <row r="82" ht="15.75" customHeight="1">
      <c r="A82" s="2">
        <f>IFERROR(__xludf.DUMMYFUNCTION("""COMPUTED_VALUE"""),43476.0)</f>
        <v>43476</v>
      </c>
      <c r="B82" s="1" t="str">
        <f>IFERROR(__xludf.DUMMYFUNCTION("""COMPUTED_VALUE"""),"10:30p")</f>
        <v>10:30p</v>
      </c>
      <c r="C82" s="1" t="str">
        <f>IFERROR(__xludf.DUMMYFUNCTION("""COMPUTED_VALUE"""),"Chicago Bulls")</f>
        <v>Chicago Bulls</v>
      </c>
      <c r="D82" s="1">
        <f>IFERROR(__xludf.DUMMYFUNCTION("""COMPUTED_VALUE"""),109.0)</f>
        <v>109</v>
      </c>
      <c r="E82" s="1" t="str">
        <f>IFERROR(__xludf.DUMMYFUNCTION("""COMPUTED_VALUE"""),"Golden State Warriors")</f>
        <v>Golden State Warriors</v>
      </c>
      <c r="F82" s="1">
        <f>IFERROR(__xludf.DUMMYFUNCTION("""COMPUTED_VALUE"""),146.0)</f>
        <v>146</v>
      </c>
      <c r="G82" s="1" t="str">
        <f>IFERROR(__xludf.DUMMYFUNCTION("""COMPUTED_VALUE"""),"Box Score")</f>
        <v>Box Score</v>
      </c>
      <c r="H82" s="1"/>
      <c r="I82" s="3">
        <f>IFERROR(__xludf.DUMMYFUNCTION("""COMPUTED_VALUE"""),19596.0)</f>
        <v>19596</v>
      </c>
      <c r="J82" s="1"/>
    </row>
    <row r="83" ht="15.75" customHeight="1">
      <c r="A83" s="2">
        <f>IFERROR(__xludf.DUMMYFUNCTION("""COMPUTED_VALUE"""),43477.0)</f>
        <v>43477</v>
      </c>
      <c r="B83" s="1" t="str">
        <f>IFERROR(__xludf.DUMMYFUNCTION("""COMPUTED_VALUE"""),"3:30p")</f>
        <v>3:30p</v>
      </c>
      <c r="C83" s="1" t="str">
        <f>IFERROR(__xludf.DUMMYFUNCTION("""COMPUTED_VALUE"""),"Detroit Pistons")</f>
        <v>Detroit Pistons</v>
      </c>
      <c r="D83" s="1">
        <f>IFERROR(__xludf.DUMMYFUNCTION("""COMPUTED_VALUE"""),109.0)</f>
        <v>109</v>
      </c>
      <c r="E83" s="1" t="str">
        <f>IFERROR(__xludf.DUMMYFUNCTION("""COMPUTED_VALUE"""),"Los Angeles Clippers")</f>
        <v>Los Angeles Clippers</v>
      </c>
      <c r="F83" s="1">
        <f>IFERROR(__xludf.DUMMYFUNCTION("""COMPUTED_VALUE"""),104.0)</f>
        <v>104</v>
      </c>
      <c r="G83" s="1" t="str">
        <f>IFERROR(__xludf.DUMMYFUNCTION("""COMPUTED_VALUE"""),"Box Score")</f>
        <v>Box Score</v>
      </c>
      <c r="H83" s="1"/>
      <c r="I83" s="3">
        <f>IFERROR(__xludf.DUMMYFUNCTION("""COMPUTED_VALUE"""),16540.0)</f>
        <v>16540</v>
      </c>
      <c r="J83" s="1"/>
    </row>
    <row r="84" ht="15.75" customHeight="1">
      <c r="A84" s="2">
        <f>IFERROR(__xludf.DUMMYFUNCTION("""COMPUTED_VALUE"""),43477.0)</f>
        <v>43477</v>
      </c>
      <c r="B84" s="1" t="str">
        <f>IFERROR(__xludf.DUMMYFUNCTION("""COMPUTED_VALUE"""),"5:00p")</f>
        <v>5:00p</v>
      </c>
      <c r="C84" s="1" t="str">
        <f>IFERROR(__xludf.DUMMYFUNCTION("""COMPUTED_VALUE"""),"Memphis Grizzlies")</f>
        <v>Memphis Grizzlies</v>
      </c>
      <c r="D84" s="1">
        <f>IFERROR(__xludf.DUMMYFUNCTION("""COMPUTED_VALUE"""),108.0)</f>
        <v>108</v>
      </c>
      <c r="E84" s="1" t="str">
        <f>IFERROR(__xludf.DUMMYFUNCTION("""COMPUTED_VALUE"""),"Miami Heat")</f>
        <v>Miami Heat</v>
      </c>
      <c r="F84" s="1">
        <f>IFERROR(__xludf.DUMMYFUNCTION("""COMPUTED_VALUE"""),112.0)</f>
        <v>112</v>
      </c>
      <c r="G84" s="1" t="str">
        <f>IFERROR(__xludf.DUMMYFUNCTION("""COMPUTED_VALUE"""),"Box Score")</f>
        <v>Box Score</v>
      </c>
      <c r="H84" s="1"/>
      <c r="I84" s="3">
        <f>IFERROR(__xludf.DUMMYFUNCTION("""COMPUTED_VALUE"""),19600.0)</f>
        <v>19600</v>
      </c>
      <c r="J84" s="1"/>
    </row>
    <row r="85" ht="15.75" customHeight="1">
      <c r="A85" s="2">
        <f>IFERROR(__xludf.DUMMYFUNCTION("""COMPUTED_VALUE"""),43477.0)</f>
        <v>43477</v>
      </c>
      <c r="B85" s="1" t="str">
        <f>IFERROR(__xludf.DUMMYFUNCTION("""COMPUTED_VALUE"""),"7:00p")</f>
        <v>7:00p</v>
      </c>
      <c r="C85" s="1" t="str">
        <f>IFERROR(__xludf.DUMMYFUNCTION("""COMPUTED_VALUE"""),"Boston Celtics")</f>
        <v>Boston Celtics</v>
      </c>
      <c r="D85" s="1">
        <f>IFERROR(__xludf.DUMMYFUNCTION("""COMPUTED_VALUE"""),103.0)</f>
        <v>103</v>
      </c>
      <c r="E85" s="1" t="str">
        <f>IFERROR(__xludf.DUMMYFUNCTION("""COMPUTED_VALUE"""),"Orlando Magic")</f>
        <v>Orlando Magic</v>
      </c>
      <c r="F85" s="1">
        <f>IFERROR(__xludf.DUMMYFUNCTION("""COMPUTED_VALUE"""),105.0)</f>
        <v>105</v>
      </c>
      <c r="G85" s="1" t="str">
        <f>IFERROR(__xludf.DUMMYFUNCTION("""COMPUTED_VALUE"""),"Box Score")</f>
        <v>Box Score</v>
      </c>
      <c r="H85" s="1"/>
      <c r="I85" s="3">
        <f>IFERROR(__xludf.DUMMYFUNCTION("""COMPUTED_VALUE"""),18846.0)</f>
        <v>18846</v>
      </c>
      <c r="J85" s="1"/>
    </row>
    <row r="86" ht="15.75" customHeight="1">
      <c r="A86" s="2">
        <f>IFERROR(__xludf.DUMMYFUNCTION("""COMPUTED_VALUE"""),43477.0)</f>
        <v>43477</v>
      </c>
      <c r="B86" s="1" t="str">
        <f>IFERROR(__xludf.DUMMYFUNCTION("""COMPUTED_VALUE"""),"8:00p")</f>
        <v>8:00p</v>
      </c>
      <c r="C86" s="1" t="str">
        <f>IFERROR(__xludf.DUMMYFUNCTION("""COMPUTED_VALUE"""),"New Orleans Pelicans")</f>
        <v>New Orleans Pelicans</v>
      </c>
      <c r="D86" s="1">
        <f>IFERROR(__xludf.DUMMYFUNCTION("""COMPUTED_VALUE"""),106.0)</f>
        <v>106</v>
      </c>
      <c r="E86" s="1" t="str">
        <f>IFERROR(__xludf.DUMMYFUNCTION("""COMPUTED_VALUE"""),"Minnesota Timberwolves")</f>
        <v>Minnesota Timberwolves</v>
      </c>
      <c r="F86" s="1">
        <f>IFERROR(__xludf.DUMMYFUNCTION("""COMPUTED_VALUE"""),110.0)</f>
        <v>110</v>
      </c>
      <c r="G86" s="1" t="str">
        <f>IFERROR(__xludf.DUMMYFUNCTION("""COMPUTED_VALUE"""),"Box Score")</f>
        <v>Box Score</v>
      </c>
      <c r="H86" s="1"/>
      <c r="I86" s="3">
        <f>IFERROR(__xludf.DUMMYFUNCTION("""COMPUTED_VALUE"""),16384.0)</f>
        <v>16384</v>
      </c>
      <c r="J86" s="1"/>
    </row>
    <row r="87" ht="15.75" customHeight="1">
      <c r="A87" s="2">
        <f>IFERROR(__xludf.DUMMYFUNCTION("""COMPUTED_VALUE"""),43477.0)</f>
        <v>43477</v>
      </c>
      <c r="B87" s="1" t="str">
        <f>IFERROR(__xludf.DUMMYFUNCTION("""COMPUTED_VALUE"""),"8:00p")</f>
        <v>8:00p</v>
      </c>
      <c r="C87" s="1" t="str">
        <f>IFERROR(__xludf.DUMMYFUNCTION("""COMPUTED_VALUE"""),"San Antonio Spurs")</f>
        <v>San Antonio Spurs</v>
      </c>
      <c r="D87" s="1">
        <f>IFERROR(__xludf.DUMMYFUNCTION("""COMPUTED_VALUE"""),112.0)</f>
        <v>112</v>
      </c>
      <c r="E87" s="1" t="str">
        <f>IFERROR(__xludf.DUMMYFUNCTION("""COMPUTED_VALUE"""),"Oklahoma City Thunder")</f>
        <v>Oklahoma City Thunder</v>
      </c>
      <c r="F87" s="1">
        <f>IFERROR(__xludf.DUMMYFUNCTION("""COMPUTED_VALUE"""),122.0)</f>
        <v>122</v>
      </c>
      <c r="G87" s="1" t="str">
        <f>IFERROR(__xludf.DUMMYFUNCTION("""COMPUTED_VALUE"""),"Box Score")</f>
        <v>Box Score</v>
      </c>
      <c r="H87" s="1"/>
      <c r="I87" s="3">
        <f>IFERROR(__xludf.DUMMYFUNCTION("""COMPUTED_VALUE"""),18203.0)</f>
        <v>18203</v>
      </c>
      <c r="J87" s="1"/>
    </row>
    <row r="88" ht="15.75" customHeight="1">
      <c r="A88" s="2">
        <f>IFERROR(__xludf.DUMMYFUNCTION("""COMPUTED_VALUE"""),43477.0)</f>
        <v>43477</v>
      </c>
      <c r="B88" s="1" t="str">
        <f>IFERROR(__xludf.DUMMYFUNCTION("""COMPUTED_VALUE"""),"9:00p")</f>
        <v>9:00p</v>
      </c>
      <c r="C88" s="1" t="str">
        <f>IFERROR(__xludf.DUMMYFUNCTION("""COMPUTED_VALUE"""),"Denver Nuggets")</f>
        <v>Denver Nuggets</v>
      </c>
      <c r="D88" s="1">
        <f>IFERROR(__xludf.DUMMYFUNCTION("""COMPUTED_VALUE"""),93.0)</f>
        <v>93</v>
      </c>
      <c r="E88" s="1" t="str">
        <f>IFERROR(__xludf.DUMMYFUNCTION("""COMPUTED_VALUE"""),"Phoenix Suns")</f>
        <v>Phoenix Suns</v>
      </c>
      <c r="F88" s="1">
        <f>IFERROR(__xludf.DUMMYFUNCTION("""COMPUTED_VALUE"""),102.0)</f>
        <v>102</v>
      </c>
      <c r="G88" s="1" t="str">
        <f>IFERROR(__xludf.DUMMYFUNCTION("""COMPUTED_VALUE"""),"Box Score")</f>
        <v>Box Score</v>
      </c>
      <c r="H88" s="1"/>
      <c r="I88" s="3">
        <f>IFERROR(__xludf.DUMMYFUNCTION("""COMPUTED_VALUE"""),15246.0)</f>
        <v>15246</v>
      </c>
      <c r="J88" s="1"/>
    </row>
    <row r="89" ht="15.75" customHeight="1">
      <c r="A89" s="2">
        <f>IFERROR(__xludf.DUMMYFUNCTION("""COMPUTED_VALUE"""),43477.0)</f>
        <v>43477</v>
      </c>
      <c r="B89" s="1" t="str">
        <f>IFERROR(__xludf.DUMMYFUNCTION("""COMPUTED_VALUE"""),"10:00p")</f>
        <v>10:00p</v>
      </c>
      <c r="C89" s="1" t="str">
        <f>IFERROR(__xludf.DUMMYFUNCTION("""COMPUTED_VALUE"""),"Charlotte Hornets")</f>
        <v>Charlotte Hornets</v>
      </c>
      <c r="D89" s="1">
        <f>IFERROR(__xludf.DUMMYFUNCTION("""COMPUTED_VALUE"""),97.0)</f>
        <v>97</v>
      </c>
      <c r="E89" s="1" t="str">
        <f>IFERROR(__xludf.DUMMYFUNCTION("""COMPUTED_VALUE"""),"Sacramento Kings")</f>
        <v>Sacramento Kings</v>
      </c>
      <c r="F89" s="1">
        <f>IFERROR(__xludf.DUMMYFUNCTION("""COMPUTED_VALUE"""),104.0)</f>
        <v>104</v>
      </c>
      <c r="G89" s="1" t="str">
        <f>IFERROR(__xludf.DUMMYFUNCTION("""COMPUTED_VALUE"""),"Box Score")</f>
        <v>Box Score</v>
      </c>
      <c r="H89" s="1"/>
      <c r="I89" s="3">
        <f>IFERROR(__xludf.DUMMYFUNCTION("""COMPUTED_VALUE"""),17853.0)</f>
        <v>17853</v>
      </c>
      <c r="J89" s="1"/>
    </row>
    <row r="90" ht="15.75" customHeight="1">
      <c r="A90" s="2">
        <f>IFERROR(__xludf.DUMMYFUNCTION("""COMPUTED_VALUE"""),43477.0)</f>
        <v>43477</v>
      </c>
      <c r="B90" s="1" t="str">
        <f>IFERROR(__xludf.DUMMYFUNCTION("""COMPUTED_VALUE"""),"10:00p")</f>
        <v>10:00p</v>
      </c>
      <c r="C90" s="1" t="str">
        <f>IFERROR(__xludf.DUMMYFUNCTION("""COMPUTED_VALUE"""),"Chicago Bulls")</f>
        <v>Chicago Bulls</v>
      </c>
      <c r="D90" s="1">
        <f>IFERROR(__xludf.DUMMYFUNCTION("""COMPUTED_VALUE"""),102.0)</f>
        <v>102</v>
      </c>
      <c r="E90" s="1" t="str">
        <f>IFERROR(__xludf.DUMMYFUNCTION("""COMPUTED_VALUE"""),"Utah Jazz")</f>
        <v>Utah Jazz</v>
      </c>
      <c r="F90" s="1">
        <f>IFERROR(__xludf.DUMMYFUNCTION("""COMPUTED_VALUE"""),110.0)</f>
        <v>110</v>
      </c>
      <c r="G90" s="1" t="str">
        <f>IFERROR(__xludf.DUMMYFUNCTION("""COMPUTED_VALUE"""),"Box Score")</f>
        <v>Box Score</v>
      </c>
      <c r="H90" s="1"/>
      <c r="I90" s="3">
        <f>IFERROR(__xludf.DUMMYFUNCTION("""COMPUTED_VALUE"""),18306.0)</f>
        <v>18306</v>
      </c>
      <c r="J90" s="1"/>
    </row>
    <row r="91" ht="15.75" customHeight="1">
      <c r="A91" s="2">
        <f>IFERROR(__xludf.DUMMYFUNCTION("""COMPUTED_VALUE"""),43478.0)</f>
        <v>43478</v>
      </c>
      <c r="B91" s="1" t="str">
        <f>IFERROR(__xludf.DUMMYFUNCTION("""COMPUTED_VALUE"""),"1:00p")</f>
        <v>1:00p</v>
      </c>
      <c r="C91" s="1" t="str">
        <f>IFERROR(__xludf.DUMMYFUNCTION("""COMPUTED_VALUE"""),"Philadelphia 76ers")</f>
        <v>Philadelphia 76ers</v>
      </c>
      <c r="D91" s="1">
        <f>IFERROR(__xludf.DUMMYFUNCTION("""COMPUTED_VALUE"""),108.0)</f>
        <v>108</v>
      </c>
      <c r="E91" s="1" t="str">
        <f>IFERROR(__xludf.DUMMYFUNCTION("""COMPUTED_VALUE"""),"New York Knicks")</f>
        <v>New York Knicks</v>
      </c>
      <c r="F91" s="1">
        <f>IFERROR(__xludf.DUMMYFUNCTION("""COMPUTED_VALUE"""),105.0)</f>
        <v>105</v>
      </c>
      <c r="G91" s="1" t="str">
        <f>IFERROR(__xludf.DUMMYFUNCTION("""COMPUTED_VALUE"""),"Box Score")</f>
        <v>Box Score</v>
      </c>
      <c r="H91" s="1"/>
      <c r="I91" s="3">
        <f>IFERROR(__xludf.DUMMYFUNCTION("""COMPUTED_VALUE"""),18596.0)</f>
        <v>18596</v>
      </c>
      <c r="J91" s="1"/>
    </row>
    <row r="92" ht="15.75" customHeight="1">
      <c r="A92" s="2">
        <f>IFERROR(__xludf.DUMMYFUNCTION("""COMPUTED_VALUE"""),43478.0)</f>
        <v>43478</v>
      </c>
      <c r="B92" s="1" t="str">
        <f>IFERROR(__xludf.DUMMYFUNCTION("""COMPUTED_VALUE"""),"1:00p")</f>
        <v>1:00p</v>
      </c>
      <c r="C92" s="1" t="str">
        <f>IFERROR(__xludf.DUMMYFUNCTION("""COMPUTED_VALUE"""),"Toronto Raptors")</f>
        <v>Toronto Raptors</v>
      </c>
      <c r="D92" s="1">
        <f>IFERROR(__xludf.DUMMYFUNCTION("""COMPUTED_VALUE"""),140.0)</f>
        <v>140</v>
      </c>
      <c r="E92" s="1" t="str">
        <f>IFERROR(__xludf.DUMMYFUNCTION("""COMPUTED_VALUE"""),"Washington Wizards")</f>
        <v>Washington Wizards</v>
      </c>
      <c r="F92" s="1">
        <f>IFERROR(__xludf.DUMMYFUNCTION("""COMPUTED_VALUE"""),138.0)</f>
        <v>138</v>
      </c>
      <c r="G92" s="1" t="str">
        <f>IFERROR(__xludf.DUMMYFUNCTION("""COMPUTED_VALUE"""),"Box Score")</f>
        <v>Box Score</v>
      </c>
      <c r="H92" s="1" t="str">
        <f>IFERROR(__xludf.DUMMYFUNCTION("""COMPUTED_VALUE"""),"2OT")</f>
        <v>2OT</v>
      </c>
      <c r="I92" s="3">
        <f>IFERROR(__xludf.DUMMYFUNCTION("""COMPUTED_VALUE"""),16919.0)</f>
        <v>16919</v>
      </c>
      <c r="J92" s="1"/>
    </row>
    <row r="93" ht="15.75" customHeight="1">
      <c r="A93" s="2">
        <f>IFERROR(__xludf.DUMMYFUNCTION("""COMPUTED_VALUE"""),43478.0)</f>
        <v>43478</v>
      </c>
      <c r="B93" s="1" t="str">
        <f>IFERROR(__xludf.DUMMYFUNCTION("""COMPUTED_VALUE"""),"3:30p")</f>
        <v>3:30p</v>
      </c>
      <c r="C93" s="1" t="str">
        <f>IFERROR(__xludf.DUMMYFUNCTION("""COMPUTED_VALUE"""),"Milwaukee Bucks")</f>
        <v>Milwaukee Bucks</v>
      </c>
      <c r="D93" s="1">
        <f>IFERROR(__xludf.DUMMYFUNCTION("""COMPUTED_VALUE"""),133.0)</f>
        <v>133</v>
      </c>
      <c r="E93" s="1" t="str">
        <f>IFERROR(__xludf.DUMMYFUNCTION("""COMPUTED_VALUE"""),"Atlanta Hawks")</f>
        <v>Atlanta Hawks</v>
      </c>
      <c r="F93" s="1">
        <f>IFERROR(__xludf.DUMMYFUNCTION("""COMPUTED_VALUE"""),114.0)</f>
        <v>114</v>
      </c>
      <c r="G93" s="1" t="str">
        <f>IFERROR(__xludf.DUMMYFUNCTION("""COMPUTED_VALUE"""),"Box Score")</f>
        <v>Box Score</v>
      </c>
      <c r="H93" s="1"/>
      <c r="I93" s="3">
        <f>IFERROR(__xludf.DUMMYFUNCTION("""COMPUTED_VALUE"""),16292.0)</f>
        <v>16292</v>
      </c>
      <c r="J93" s="1"/>
    </row>
    <row r="94" ht="15.75" customHeight="1">
      <c r="A94" s="2">
        <f>IFERROR(__xludf.DUMMYFUNCTION("""COMPUTED_VALUE"""),43478.0)</f>
        <v>43478</v>
      </c>
      <c r="B94" s="1" t="str">
        <f>IFERROR(__xludf.DUMMYFUNCTION("""COMPUTED_VALUE"""),"6:00p")</f>
        <v>6:00p</v>
      </c>
      <c r="C94" s="1" t="str">
        <f>IFERROR(__xludf.DUMMYFUNCTION("""COMPUTED_VALUE"""),"Houston Rockets")</f>
        <v>Houston Rockets</v>
      </c>
      <c r="D94" s="1">
        <f>IFERROR(__xludf.DUMMYFUNCTION("""COMPUTED_VALUE"""),109.0)</f>
        <v>109</v>
      </c>
      <c r="E94" s="1" t="str">
        <f>IFERROR(__xludf.DUMMYFUNCTION("""COMPUTED_VALUE"""),"Orlando Magic")</f>
        <v>Orlando Magic</v>
      </c>
      <c r="F94" s="1">
        <f>IFERROR(__xludf.DUMMYFUNCTION("""COMPUTED_VALUE"""),116.0)</f>
        <v>116</v>
      </c>
      <c r="G94" s="1" t="str">
        <f>IFERROR(__xludf.DUMMYFUNCTION("""COMPUTED_VALUE"""),"Box Score")</f>
        <v>Box Score</v>
      </c>
      <c r="H94" s="1"/>
      <c r="I94" s="3">
        <f>IFERROR(__xludf.DUMMYFUNCTION("""COMPUTED_VALUE"""),16982.0)</f>
        <v>16982</v>
      </c>
      <c r="J94" s="1"/>
    </row>
    <row r="95" ht="15.75" customHeight="1">
      <c r="A95" s="2">
        <f>IFERROR(__xludf.DUMMYFUNCTION("""COMPUTED_VALUE"""),43478.0)</f>
        <v>43478</v>
      </c>
      <c r="B95" s="1" t="str">
        <f>IFERROR(__xludf.DUMMYFUNCTION("""COMPUTED_VALUE"""),"7:00p")</f>
        <v>7:00p</v>
      </c>
      <c r="C95" s="1" t="str">
        <f>IFERROR(__xludf.DUMMYFUNCTION("""COMPUTED_VALUE"""),"Golden State Warriors")</f>
        <v>Golden State Warriors</v>
      </c>
      <c r="D95" s="1">
        <f>IFERROR(__xludf.DUMMYFUNCTION("""COMPUTED_VALUE"""),119.0)</f>
        <v>119</v>
      </c>
      <c r="E95" s="1" t="str">
        <f>IFERROR(__xludf.DUMMYFUNCTION("""COMPUTED_VALUE"""),"Dallas Mavericks")</f>
        <v>Dallas Mavericks</v>
      </c>
      <c r="F95" s="1">
        <f>IFERROR(__xludf.DUMMYFUNCTION("""COMPUTED_VALUE"""),114.0)</f>
        <v>114</v>
      </c>
      <c r="G95" s="1" t="str">
        <f>IFERROR(__xludf.DUMMYFUNCTION("""COMPUTED_VALUE"""),"Box Score")</f>
        <v>Box Score</v>
      </c>
      <c r="H95" s="1"/>
      <c r="I95" s="3">
        <f>IFERROR(__xludf.DUMMYFUNCTION("""COMPUTED_VALUE"""),20340.0)</f>
        <v>20340</v>
      </c>
      <c r="J95" s="1"/>
    </row>
    <row r="96" ht="15.75" customHeight="1">
      <c r="A96" s="2">
        <f>IFERROR(__xludf.DUMMYFUNCTION("""COMPUTED_VALUE"""),43478.0)</f>
        <v>43478</v>
      </c>
      <c r="B96" s="1" t="str">
        <f>IFERROR(__xludf.DUMMYFUNCTION("""COMPUTED_VALUE"""),"8:00p")</f>
        <v>8:00p</v>
      </c>
      <c r="C96" s="1" t="str">
        <f>IFERROR(__xludf.DUMMYFUNCTION("""COMPUTED_VALUE"""),"Portland Trail Blazers")</f>
        <v>Portland Trail Blazers</v>
      </c>
      <c r="D96" s="1">
        <f>IFERROR(__xludf.DUMMYFUNCTION("""COMPUTED_VALUE"""),113.0)</f>
        <v>113</v>
      </c>
      <c r="E96" s="1" t="str">
        <f>IFERROR(__xludf.DUMMYFUNCTION("""COMPUTED_VALUE"""),"Denver Nuggets")</f>
        <v>Denver Nuggets</v>
      </c>
      <c r="F96" s="1">
        <f>IFERROR(__xludf.DUMMYFUNCTION("""COMPUTED_VALUE"""),116.0)</f>
        <v>116</v>
      </c>
      <c r="G96" s="1" t="str">
        <f>IFERROR(__xludf.DUMMYFUNCTION("""COMPUTED_VALUE"""),"Box Score")</f>
        <v>Box Score</v>
      </c>
      <c r="H96" s="1"/>
      <c r="I96" s="3">
        <f>IFERROR(__xludf.DUMMYFUNCTION("""COMPUTED_VALUE"""),19520.0)</f>
        <v>19520</v>
      </c>
      <c r="J96" s="1"/>
    </row>
    <row r="97" ht="15.75" customHeight="1">
      <c r="A97" s="2">
        <f>IFERROR(__xludf.DUMMYFUNCTION("""COMPUTED_VALUE"""),43478.0)</f>
        <v>43478</v>
      </c>
      <c r="B97" s="1" t="str">
        <f>IFERROR(__xludf.DUMMYFUNCTION("""COMPUTED_VALUE"""),"9:30p")</f>
        <v>9:30p</v>
      </c>
      <c r="C97" s="1" t="str">
        <f>IFERROR(__xludf.DUMMYFUNCTION("""COMPUTED_VALUE"""),"Cleveland Cavaliers")</f>
        <v>Cleveland Cavaliers</v>
      </c>
      <c r="D97" s="1">
        <f>IFERROR(__xludf.DUMMYFUNCTION("""COMPUTED_VALUE"""),101.0)</f>
        <v>101</v>
      </c>
      <c r="E97" s="1" t="str">
        <f>IFERROR(__xludf.DUMMYFUNCTION("""COMPUTED_VALUE"""),"Los Angeles Lakers")</f>
        <v>Los Angeles Lakers</v>
      </c>
      <c r="F97" s="1">
        <f>IFERROR(__xludf.DUMMYFUNCTION("""COMPUTED_VALUE"""),95.0)</f>
        <v>95</v>
      </c>
      <c r="G97" s="1" t="str">
        <f>IFERROR(__xludf.DUMMYFUNCTION("""COMPUTED_VALUE"""),"Box Score")</f>
        <v>Box Score</v>
      </c>
      <c r="H97" s="1"/>
      <c r="I97" s="3">
        <f>IFERROR(__xludf.DUMMYFUNCTION("""COMPUTED_VALUE"""),18997.0)</f>
        <v>18997</v>
      </c>
      <c r="J97" s="1"/>
    </row>
    <row r="98" ht="15.75" customHeight="1">
      <c r="A98" s="2">
        <f>IFERROR(__xludf.DUMMYFUNCTION("""COMPUTED_VALUE"""),43479.0)</f>
        <v>43479</v>
      </c>
      <c r="B98" s="1" t="str">
        <f>IFERROR(__xludf.DUMMYFUNCTION("""COMPUTED_VALUE"""),"7:30p")</f>
        <v>7:30p</v>
      </c>
      <c r="C98" s="1" t="str">
        <f>IFERROR(__xludf.DUMMYFUNCTION("""COMPUTED_VALUE"""),"Boston Celtics")</f>
        <v>Boston Celtics</v>
      </c>
      <c r="D98" s="1">
        <f>IFERROR(__xludf.DUMMYFUNCTION("""COMPUTED_VALUE"""),102.0)</f>
        <v>102</v>
      </c>
      <c r="E98" s="1" t="str">
        <f>IFERROR(__xludf.DUMMYFUNCTION("""COMPUTED_VALUE"""),"Brooklyn Nets")</f>
        <v>Brooklyn Nets</v>
      </c>
      <c r="F98" s="1">
        <f>IFERROR(__xludf.DUMMYFUNCTION("""COMPUTED_VALUE"""),109.0)</f>
        <v>109</v>
      </c>
      <c r="G98" s="1" t="str">
        <f>IFERROR(__xludf.DUMMYFUNCTION("""COMPUTED_VALUE"""),"Box Score")</f>
        <v>Box Score</v>
      </c>
      <c r="H98" s="1"/>
      <c r="I98" s="3">
        <f>IFERROR(__xludf.DUMMYFUNCTION("""COMPUTED_VALUE"""),16247.0)</f>
        <v>16247</v>
      </c>
      <c r="J98" s="1"/>
    </row>
    <row r="99" ht="15.75" customHeight="1">
      <c r="A99" s="2">
        <f>IFERROR(__xludf.DUMMYFUNCTION("""COMPUTED_VALUE"""),43479.0)</f>
        <v>43479</v>
      </c>
      <c r="B99" s="1" t="str">
        <f>IFERROR(__xludf.DUMMYFUNCTION("""COMPUTED_VALUE"""),"8:00p")</f>
        <v>8:00p</v>
      </c>
      <c r="C99" s="1" t="str">
        <f>IFERROR(__xludf.DUMMYFUNCTION("""COMPUTED_VALUE"""),"Memphis Grizzlies")</f>
        <v>Memphis Grizzlies</v>
      </c>
      <c r="D99" s="1">
        <f>IFERROR(__xludf.DUMMYFUNCTION("""COMPUTED_VALUE"""),94.0)</f>
        <v>94</v>
      </c>
      <c r="E99" s="1" t="str">
        <f>IFERROR(__xludf.DUMMYFUNCTION("""COMPUTED_VALUE"""),"Houston Rockets")</f>
        <v>Houston Rockets</v>
      </c>
      <c r="F99" s="1">
        <f>IFERROR(__xludf.DUMMYFUNCTION("""COMPUTED_VALUE"""),112.0)</f>
        <v>112</v>
      </c>
      <c r="G99" s="1" t="str">
        <f>IFERROR(__xludf.DUMMYFUNCTION("""COMPUTED_VALUE"""),"Box Score")</f>
        <v>Box Score</v>
      </c>
      <c r="H99" s="1"/>
      <c r="I99" s="3">
        <f>IFERROR(__xludf.DUMMYFUNCTION("""COMPUTED_VALUE"""),18055.0)</f>
        <v>18055</v>
      </c>
      <c r="J99" s="1"/>
    </row>
    <row r="100" ht="15.75" customHeight="1">
      <c r="A100" s="2">
        <f>IFERROR(__xludf.DUMMYFUNCTION("""COMPUTED_VALUE"""),43479.0)</f>
        <v>43479</v>
      </c>
      <c r="B100" s="1" t="str">
        <f>IFERROR(__xludf.DUMMYFUNCTION("""COMPUTED_VALUE"""),"8:30p")</f>
        <v>8:30p</v>
      </c>
      <c r="C100" s="1" t="str">
        <f>IFERROR(__xludf.DUMMYFUNCTION("""COMPUTED_VALUE"""),"Charlotte Hornets")</f>
        <v>Charlotte Hornets</v>
      </c>
      <c r="D100" s="1">
        <f>IFERROR(__xludf.DUMMYFUNCTION("""COMPUTED_VALUE"""),108.0)</f>
        <v>108</v>
      </c>
      <c r="E100" s="1" t="str">
        <f>IFERROR(__xludf.DUMMYFUNCTION("""COMPUTED_VALUE"""),"San Antonio Spurs")</f>
        <v>San Antonio Spurs</v>
      </c>
      <c r="F100" s="1">
        <f>IFERROR(__xludf.DUMMYFUNCTION("""COMPUTED_VALUE"""),93.0)</f>
        <v>93</v>
      </c>
      <c r="G100" s="1" t="str">
        <f>IFERROR(__xludf.DUMMYFUNCTION("""COMPUTED_VALUE"""),"Box Score")</f>
        <v>Box Score</v>
      </c>
      <c r="H100" s="1"/>
      <c r="I100" s="3">
        <f>IFERROR(__xludf.DUMMYFUNCTION("""COMPUTED_VALUE"""),18354.0)</f>
        <v>18354</v>
      </c>
      <c r="J100" s="1"/>
    </row>
    <row r="101" ht="15.75" customHeight="1">
      <c r="A101" s="2">
        <f>IFERROR(__xludf.DUMMYFUNCTION("""COMPUTED_VALUE"""),43479.0)</f>
        <v>43479</v>
      </c>
      <c r="B101" s="1" t="str">
        <f>IFERROR(__xludf.DUMMYFUNCTION("""COMPUTED_VALUE"""),"9:00p")</f>
        <v>9:00p</v>
      </c>
      <c r="C101" s="1" t="str">
        <f>IFERROR(__xludf.DUMMYFUNCTION("""COMPUTED_VALUE"""),"Detroit Pistons")</f>
        <v>Detroit Pistons</v>
      </c>
      <c r="D101" s="1">
        <f>IFERROR(__xludf.DUMMYFUNCTION("""COMPUTED_VALUE"""),94.0)</f>
        <v>94</v>
      </c>
      <c r="E101" s="1" t="str">
        <f>IFERROR(__xludf.DUMMYFUNCTION("""COMPUTED_VALUE"""),"Utah Jazz")</f>
        <v>Utah Jazz</v>
      </c>
      <c r="F101" s="1">
        <f>IFERROR(__xludf.DUMMYFUNCTION("""COMPUTED_VALUE"""),100.0)</f>
        <v>100</v>
      </c>
      <c r="G101" s="1" t="str">
        <f>IFERROR(__xludf.DUMMYFUNCTION("""COMPUTED_VALUE"""),"Box Score")</f>
        <v>Box Score</v>
      </c>
      <c r="H101" s="1"/>
      <c r="I101" s="3">
        <f>IFERROR(__xludf.DUMMYFUNCTION("""COMPUTED_VALUE"""),18306.0)</f>
        <v>18306</v>
      </c>
      <c r="J101" s="1"/>
    </row>
    <row r="102" ht="15.75" customHeight="1">
      <c r="A102" s="2">
        <f>IFERROR(__xludf.DUMMYFUNCTION("""COMPUTED_VALUE"""),43479.0)</f>
        <v>43479</v>
      </c>
      <c r="B102" s="1" t="str">
        <f>IFERROR(__xludf.DUMMYFUNCTION("""COMPUTED_VALUE"""),"10:00p")</f>
        <v>10:00p</v>
      </c>
      <c r="C102" s="1" t="str">
        <f>IFERROR(__xludf.DUMMYFUNCTION("""COMPUTED_VALUE"""),"Portland Trail Blazers")</f>
        <v>Portland Trail Blazers</v>
      </c>
      <c r="D102" s="1">
        <f>IFERROR(__xludf.DUMMYFUNCTION("""COMPUTED_VALUE"""),107.0)</f>
        <v>107</v>
      </c>
      <c r="E102" s="1" t="str">
        <f>IFERROR(__xludf.DUMMYFUNCTION("""COMPUTED_VALUE"""),"Sacramento Kings")</f>
        <v>Sacramento Kings</v>
      </c>
      <c r="F102" s="1">
        <f>IFERROR(__xludf.DUMMYFUNCTION("""COMPUTED_VALUE"""),115.0)</f>
        <v>115</v>
      </c>
      <c r="G102" s="1" t="str">
        <f>IFERROR(__xludf.DUMMYFUNCTION("""COMPUTED_VALUE"""),"Box Score")</f>
        <v>Box Score</v>
      </c>
      <c r="H102" s="1"/>
      <c r="I102" s="3">
        <f>IFERROR(__xludf.DUMMYFUNCTION("""COMPUTED_VALUE"""),17583.0)</f>
        <v>17583</v>
      </c>
      <c r="J102" s="1"/>
    </row>
    <row r="103" ht="15.75" customHeight="1">
      <c r="A103" s="2">
        <f>IFERROR(__xludf.DUMMYFUNCTION("""COMPUTED_VALUE"""),43479.0)</f>
        <v>43479</v>
      </c>
      <c r="B103" s="1" t="str">
        <f>IFERROR(__xludf.DUMMYFUNCTION("""COMPUTED_VALUE"""),"10:30p")</f>
        <v>10:30p</v>
      </c>
      <c r="C103" s="1" t="str">
        <f>IFERROR(__xludf.DUMMYFUNCTION("""COMPUTED_VALUE"""),"New Orleans Pelicans")</f>
        <v>New Orleans Pelicans</v>
      </c>
      <c r="D103" s="1">
        <f>IFERROR(__xludf.DUMMYFUNCTION("""COMPUTED_VALUE"""),121.0)</f>
        <v>121</v>
      </c>
      <c r="E103" s="1" t="str">
        <f>IFERROR(__xludf.DUMMYFUNCTION("""COMPUTED_VALUE"""),"Los Angeles Clippers")</f>
        <v>Los Angeles Clippers</v>
      </c>
      <c r="F103" s="1">
        <f>IFERROR(__xludf.DUMMYFUNCTION("""COMPUTED_VALUE"""),117.0)</f>
        <v>117</v>
      </c>
      <c r="G103" s="1" t="str">
        <f>IFERROR(__xludf.DUMMYFUNCTION("""COMPUTED_VALUE"""),"Box Score")</f>
        <v>Box Score</v>
      </c>
      <c r="H103" s="1"/>
      <c r="I103" s="3">
        <f>IFERROR(__xludf.DUMMYFUNCTION("""COMPUTED_VALUE"""),15283.0)</f>
        <v>15283</v>
      </c>
      <c r="J103" s="1"/>
    </row>
    <row r="104" ht="15.75" customHeight="1">
      <c r="A104" s="2">
        <f>IFERROR(__xludf.DUMMYFUNCTION("""COMPUTED_VALUE"""),43480.0)</f>
        <v>43480</v>
      </c>
      <c r="B104" s="1" t="str">
        <f>IFERROR(__xludf.DUMMYFUNCTION("""COMPUTED_VALUE"""),"7:00p")</f>
        <v>7:00p</v>
      </c>
      <c r="C104" s="1" t="str">
        <f>IFERROR(__xludf.DUMMYFUNCTION("""COMPUTED_VALUE"""),"Phoenix Suns")</f>
        <v>Phoenix Suns</v>
      </c>
      <c r="D104" s="1">
        <f>IFERROR(__xludf.DUMMYFUNCTION("""COMPUTED_VALUE"""),97.0)</f>
        <v>97</v>
      </c>
      <c r="E104" s="1" t="str">
        <f>IFERROR(__xludf.DUMMYFUNCTION("""COMPUTED_VALUE"""),"Indiana Pacers")</f>
        <v>Indiana Pacers</v>
      </c>
      <c r="F104" s="1">
        <f>IFERROR(__xludf.DUMMYFUNCTION("""COMPUTED_VALUE"""),131.0)</f>
        <v>131</v>
      </c>
      <c r="G104" s="1" t="str">
        <f>IFERROR(__xludf.DUMMYFUNCTION("""COMPUTED_VALUE"""),"Box Score")</f>
        <v>Box Score</v>
      </c>
      <c r="H104" s="1"/>
      <c r="I104" s="3">
        <f>IFERROR(__xludf.DUMMYFUNCTION("""COMPUTED_VALUE"""),15698.0)</f>
        <v>15698</v>
      </c>
      <c r="J104" s="1"/>
    </row>
    <row r="105" ht="15.75" customHeight="1">
      <c r="A105" s="2">
        <f>IFERROR(__xludf.DUMMYFUNCTION("""COMPUTED_VALUE"""),43480.0)</f>
        <v>43480</v>
      </c>
      <c r="B105" s="1" t="str">
        <f>IFERROR(__xludf.DUMMYFUNCTION("""COMPUTED_VALUE"""),"7:00p")</f>
        <v>7:00p</v>
      </c>
      <c r="C105" s="1" t="str">
        <f>IFERROR(__xludf.DUMMYFUNCTION("""COMPUTED_VALUE"""),"Minnesota Timberwolves")</f>
        <v>Minnesota Timberwolves</v>
      </c>
      <c r="D105" s="1">
        <f>IFERROR(__xludf.DUMMYFUNCTION("""COMPUTED_VALUE"""),107.0)</f>
        <v>107</v>
      </c>
      <c r="E105" s="1" t="str">
        <f>IFERROR(__xludf.DUMMYFUNCTION("""COMPUTED_VALUE"""),"Philadelphia 76ers")</f>
        <v>Philadelphia 76ers</v>
      </c>
      <c r="F105" s="1">
        <f>IFERROR(__xludf.DUMMYFUNCTION("""COMPUTED_VALUE"""),149.0)</f>
        <v>149</v>
      </c>
      <c r="G105" s="1" t="str">
        <f>IFERROR(__xludf.DUMMYFUNCTION("""COMPUTED_VALUE"""),"Box Score")</f>
        <v>Box Score</v>
      </c>
      <c r="H105" s="1"/>
      <c r="I105" s="3">
        <f>IFERROR(__xludf.DUMMYFUNCTION("""COMPUTED_VALUE"""),20265.0)</f>
        <v>20265</v>
      </c>
      <c r="J105" s="1"/>
    </row>
    <row r="106" ht="15.75" customHeight="1">
      <c r="A106" s="2">
        <f>IFERROR(__xludf.DUMMYFUNCTION("""COMPUTED_VALUE"""),43480.0)</f>
        <v>43480</v>
      </c>
      <c r="B106" s="1" t="str">
        <f>IFERROR(__xludf.DUMMYFUNCTION("""COMPUTED_VALUE"""),"7:30p")</f>
        <v>7:30p</v>
      </c>
      <c r="C106" s="1" t="str">
        <f>IFERROR(__xludf.DUMMYFUNCTION("""COMPUTED_VALUE"""),"Oklahoma City Thunder")</f>
        <v>Oklahoma City Thunder</v>
      </c>
      <c r="D106" s="1">
        <f>IFERROR(__xludf.DUMMYFUNCTION("""COMPUTED_VALUE"""),126.0)</f>
        <v>126</v>
      </c>
      <c r="E106" s="1" t="str">
        <f>IFERROR(__xludf.DUMMYFUNCTION("""COMPUTED_VALUE"""),"Atlanta Hawks")</f>
        <v>Atlanta Hawks</v>
      </c>
      <c r="F106" s="1">
        <f>IFERROR(__xludf.DUMMYFUNCTION("""COMPUTED_VALUE"""),142.0)</f>
        <v>142</v>
      </c>
      <c r="G106" s="1" t="str">
        <f>IFERROR(__xludf.DUMMYFUNCTION("""COMPUTED_VALUE"""),"Box Score")</f>
        <v>Box Score</v>
      </c>
      <c r="H106" s="1"/>
      <c r="I106" s="3">
        <f>IFERROR(__xludf.DUMMYFUNCTION("""COMPUTED_VALUE"""),15045.0)</f>
        <v>15045</v>
      </c>
      <c r="J106" s="1"/>
    </row>
    <row r="107" ht="15.75" customHeight="1">
      <c r="A107" s="2">
        <f>IFERROR(__xludf.DUMMYFUNCTION("""COMPUTED_VALUE"""),43480.0)</f>
        <v>43480</v>
      </c>
      <c r="B107" s="1" t="str">
        <f>IFERROR(__xludf.DUMMYFUNCTION("""COMPUTED_VALUE"""),"8:00p")</f>
        <v>8:00p</v>
      </c>
      <c r="C107" s="1" t="str">
        <f>IFERROR(__xludf.DUMMYFUNCTION("""COMPUTED_VALUE"""),"Miami Heat")</f>
        <v>Miami Heat</v>
      </c>
      <c r="D107" s="1">
        <f>IFERROR(__xludf.DUMMYFUNCTION("""COMPUTED_VALUE"""),86.0)</f>
        <v>86</v>
      </c>
      <c r="E107" s="1" t="str">
        <f>IFERROR(__xludf.DUMMYFUNCTION("""COMPUTED_VALUE"""),"Milwaukee Bucks")</f>
        <v>Milwaukee Bucks</v>
      </c>
      <c r="F107" s="1">
        <f>IFERROR(__xludf.DUMMYFUNCTION("""COMPUTED_VALUE"""),124.0)</f>
        <v>124</v>
      </c>
      <c r="G107" s="1" t="str">
        <f>IFERROR(__xludf.DUMMYFUNCTION("""COMPUTED_VALUE"""),"Box Score")</f>
        <v>Box Score</v>
      </c>
      <c r="H107" s="1"/>
      <c r="I107" s="3">
        <f>IFERROR(__xludf.DUMMYFUNCTION("""COMPUTED_VALUE"""),17626.0)</f>
        <v>17626</v>
      </c>
      <c r="J107" s="1"/>
    </row>
    <row r="108" ht="15.75" customHeight="1">
      <c r="A108" s="2">
        <f>IFERROR(__xludf.DUMMYFUNCTION("""COMPUTED_VALUE"""),43480.0)</f>
        <v>43480</v>
      </c>
      <c r="B108" s="1" t="str">
        <f>IFERROR(__xludf.DUMMYFUNCTION("""COMPUTED_VALUE"""),"9:00p")</f>
        <v>9:00p</v>
      </c>
      <c r="C108" s="1" t="str">
        <f>IFERROR(__xludf.DUMMYFUNCTION("""COMPUTED_VALUE"""),"Golden State Warriors")</f>
        <v>Golden State Warriors</v>
      </c>
      <c r="D108" s="1">
        <f>IFERROR(__xludf.DUMMYFUNCTION("""COMPUTED_VALUE"""),142.0)</f>
        <v>142</v>
      </c>
      <c r="E108" s="1" t="str">
        <f>IFERROR(__xludf.DUMMYFUNCTION("""COMPUTED_VALUE"""),"Denver Nuggets")</f>
        <v>Denver Nuggets</v>
      </c>
      <c r="F108" s="1">
        <f>IFERROR(__xludf.DUMMYFUNCTION("""COMPUTED_VALUE"""),111.0)</f>
        <v>111</v>
      </c>
      <c r="G108" s="1" t="str">
        <f>IFERROR(__xludf.DUMMYFUNCTION("""COMPUTED_VALUE"""),"Box Score")</f>
        <v>Box Score</v>
      </c>
      <c r="H108" s="1"/>
      <c r="I108" s="3">
        <f>IFERROR(__xludf.DUMMYFUNCTION("""COMPUTED_VALUE"""),19896.0)</f>
        <v>19896</v>
      </c>
      <c r="J108" s="1"/>
    </row>
    <row r="109" ht="15.75" customHeight="1">
      <c r="A109" s="2">
        <f>IFERROR(__xludf.DUMMYFUNCTION("""COMPUTED_VALUE"""),43480.0)</f>
        <v>43480</v>
      </c>
      <c r="B109" s="1" t="str">
        <f>IFERROR(__xludf.DUMMYFUNCTION("""COMPUTED_VALUE"""),"10:30p")</f>
        <v>10:30p</v>
      </c>
      <c r="C109" s="1" t="str">
        <f>IFERROR(__xludf.DUMMYFUNCTION("""COMPUTED_VALUE"""),"Chicago Bulls")</f>
        <v>Chicago Bulls</v>
      </c>
      <c r="D109" s="1">
        <f>IFERROR(__xludf.DUMMYFUNCTION("""COMPUTED_VALUE"""),100.0)</f>
        <v>100</v>
      </c>
      <c r="E109" s="1" t="str">
        <f>IFERROR(__xludf.DUMMYFUNCTION("""COMPUTED_VALUE"""),"Los Angeles Lakers")</f>
        <v>Los Angeles Lakers</v>
      </c>
      <c r="F109" s="1">
        <f>IFERROR(__xludf.DUMMYFUNCTION("""COMPUTED_VALUE"""),107.0)</f>
        <v>107</v>
      </c>
      <c r="G109" s="1" t="str">
        <f>IFERROR(__xludf.DUMMYFUNCTION("""COMPUTED_VALUE"""),"Box Score")</f>
        <v>Box Score</v>
      </c>
      <c r="H109" s="1"/>
      <c r="I109" s="3">
        <f>IFERROR(__xludf.DUMMYFUNCTION("""COMPUTED_VALUE"""),18997.0)</f>
        <v>18997</v>
      </c>
      <c r="J109" s="1"/>
    </row>
    <row r="110" ht="15.75" customHeight="1">
      <c r="A110" s="2">
        <f>IFERROR(__xludf.DUMMYFUNCTION("""COMPUTED_VALUE"""),43481.0)</f>
        <v>43481</v>
      </c>
      <c r="B110" s="1" t="str">
        <f>IFERROR(__xludf.DUMMYFUNCTION("""COMPUTED_VALUE"""),"7:00p")</f>
        <v>7:00p</v>
      </c>
      <c r="C110" s="1" t="str">
        <f>IFERROR(__xludf.DUMMYFUNCTION("""COMPUTED_VALUE"""),"Orlando Magic")</f>
        <v>Orlando Magic</v>
      </c>
      <c r="D110" s="1">
        <f>IFERROR(__xludf.DUMMYFUNCTION("""COMPUTED_VALUE"""),115.0)</f>
        <v>115</v>
      </c>
      <c r="E110" s="1" t="str">
        <f>IFERROR(__xludf.DUMMYFUNCTION("""COMPUTED_VALUE"""),"Detroit Pistons")</f>
        <v>Detroit Pistons</v>
      </c>
      <c r="F110" s="1">
        <f>IFERROR(__xludf.DUMMYFUNCTION("""COMPUTED_VALUE"""),120.0)</f>
        <v>120</v>
      </c>
      <c r="G110" s="1" t="str">
        <f>IFERROR(__xludf.DUMMYFUNCTION("""COMPUTED_VALUE"""),"Box Score")</f>
        <v>Box Score</v>
      </c>
      <c r="H110" s="1" t="str">
        <f>IFERROR(__xludf.DUMMYFUNCTION("""COMPUTED_VALUE"""),"OT")</f>
        <v>OT</v>
      </c>
      <c r="I110" s="3">
        <f>IFERROR(__xludf.DUMMYFUNCTION("""COMPUTED_VALUE"""),14019.0)</f>
        <v>14019</v>
      </c>
      <c r="J110" s="1"/>
    </row>
    <row r="111" ht="15.75" customHeight="1">
      <c r="A111" s="2">
        <f>IFERROR(__xludf.DUMMYFUNCTION("""COMPUTED_VALUE"""),43481.0)</f>
        <v>43481</v>
      </c>
      <c r="B111" s="1" t="str">
        <f>IFERROR(__xludf.DUMMYFUNCTION("""COMPUTED_VALUE"""),"8:00p")</f>
        <v>8:00p</v>
      </c>
      <c r="C111" s="1" t="str">
        <f>IFERROR(__xludf.DUMMYFUNCTION("""COMPUTED_VALUE"""),"Toronto Raptors")</f>
        <v>Toronto Raptors</v>
      </c>
      <c r="D111" s="1">
        <f>IFERROR(__xludf.DUMMYFUNCTION("""COMPUTED_VALUE"""),108.0)</f>
        <v>108</v>
      </c>
      <c r="E111" s="1" t="str">
        <f>IFERROR(__xludf.DUMMYFUNCTION("""COMPUTED_VALUE"""),"Boston Celtics")</f>
        <v>Boston Celtics</v>
      </c>
      <c r="F111" s="1">
        <f>IFERROR(__xludf.DUMMYFUNCTION("""COMPUTED_VALUE"""),117.0)</f>
        <v>117</v>
      </c>
      <c r="G111" s="1" t="str">
        <f>IFERROR(__xludf.DUMMYFUNCTION("""COMPUTED_VALUE"""),"Box Score")</f>
        <v>Box Score</v>
      </c>
      <c r="H111" s="1"/>
      <c r="I111" s="3">
        <f>IFERROR(__xludf.DUMMYFUNCTION("""COMPUTED_VALUE"""),18624.0)</f>
        <v>18624</v>
      </c>
      <c r="J111" s="1"/>
    </row>
    <row r="112" ht="15.75" customHeight="1">
      <c r="A112" s="2">
        <f>IFERROR(__xludf.DUMMYFUNCTION("""COMPUTED_VALUE"""),43481.0)</f>
        <v>43481</v>
      </c>
      <c r="B112" s="1" t="str">
        <f>IFERROR(__xludf.DUMMYFUNCTION("""COMPUTED_VALUE"""),"8:00p")</f>
        <v>8:00p</v>
      </c>
      <c r="C112" s="1" t="str">
        <f>IFERROR(__xludf.DUMMYFUNCTION("""COMPUTED_VALUE"""),"Brooklyn Nets")</f>
        <v>Brooklyn Nets</v>
      </c>
      <c r="D112" s="1">
        <f>IFERROR(__xludf.DUMMYFUNCTION("""COMPUTED_VALUE"""),145.0)</f>
        <v>145</v>
      </c>
      <c r="E112" s="1" t="str">
        <f>IFERROR(__xludf.DUMMYFUNCTION("""COMPUTED_VALUE"""),"Houston Rockets")</f>
        <v>Houston Rockets</v>
      </c>
      <c r="F112" s="1">
        <f>IFERROR(__xludf.DUMMYFUNCTION("""COMPUTED_VALUE"""),142.0)</f>
        <v>142</v>
      </c>
      <c r="G112" s="1" t="str">
        <f>IFERROR(__xludf.DUMMYFUNCTION("""COMPUTED_VALUE"""),"Box Score")</f>
        <v>Box Score</v>
      </c>
      <c r="H112" s="1" t="str">
        <f>IFERROR(__xludf.DUMMYFUNCTION("""COMPUTED_VALUE"""),"OT")</f>
        <v>OT</v>
      </c>
      <c r="I112" s="3">
        <f>IFERROR(__xludf.DUMMYFUNCTION("""COMPUTED_VALUE"""),18055.0)</f>
        <v>18055</v>
      </c>
      <c r="J112" s="1"/>
    </row>
    <row r="113" ht="15.75" customHeight="1">
      <c r="A113" s="2">
        <f>IFERROR(__xludf.DUMMYFUNCTION("""COMPUTED_VALUE"""),43481.0)</f>
        <v>43481</v>
      </c>
      <c r="B113" s="1" t="str">
        <f>IFERROR(__xludf.DUMMYFUNCTION("""COMPUTED_VALUE"""),"8:00p")</f>
        <v>8:00p</v>
      </c>
      <c r="C113" s="1" t="str">
        <f>IFERROR(__xludf.DUMMYFUNCTION("""COMPUTED_VALUE"""),"Milwaukee Bucks")</f>
        <v>Milwaukee Bucks</v>
      </c>
      <c r="D113" s="1">
        <f>IFERROR(__xludf.DUMMYFUNCTION("""COMPUTED_VALUE"""),111.0)</f>
        <v>111</v>
      </c>
      <c r="E113" s="1" t="str">
        <f>IFERROR(__xludf.DUMMYFUNCTION("""COMPUTED_VALUE"""),"Memphis Grizzlies")</f>
        <v>Memphis Grizzlies</v>
      </c>
      <c r="F113" s="1">
        <f>IFERROR(__xludf.DUMMYFUNCTION("""COMPUTED_VALUE"""),101.0)</f>
        <v>101</v>
      </c>
      <c r="G113" s="1" t="str">
        <f>IFERROR(__xludf.DUMMYFUNCTION("""COMPUTED_VALUE"""),"Box Score")</f>
        <v>Box Score</v>
      </c>
      <c r="H113" s="1"/>
      <c r="I113" s="3">
        <f>IFERROR(__xludf.DUMMYFUNCTION("""COMPUTED_VALUE"""),14921.0)</f>
        <v>14921</v>
      </c>
      <c r="J113" s="1"/>
    </row>
    <row r="114" ht="15.75" customHeight="1">
      <c r="A114" s="2">
        <f>IFERROR(__xludf.DUMMYFUNCTION("""COMPUTED_VALUE"""),43481.0)</f>
        <v>43481</v>
      </c>
      <c r="B114" s="1" t="str">
        <f>IFERROR(__xludf.DUMMYFUNCTION("""COMPUTED_VALUE"""),"8:30p")</f>
        <v>8:30p</v>
      </c>
      <c r="C114" s="1" t="str">
        <f>IFERROR(__xludf.DUMMYFUNCTION("""COMPUTED_VALUE"""),"San Antonio Spurs")</f>
        <v>San Antonio Spurs</v>
      </c>
      <c r="D114" s="1">
        <f>IFERROR(__xludf.DUMMYFUNCTION("""COMPUTED_VALUE"""),105.0)</f>
        <v>105</v>
      </c>
      <c r="E114" s="1" t="str">
        <f>IFERROR(__xludf.DUMMYFUNCTION("""COMPUTED_VALUE"""),"Dallas Mavericks")</f>
        <v>Dallas Mavericks</v>
      </c>
      <c r="F114" s="1">
        <f>IFERROR(__xludf.DUMMYFUNCTION("""COMPUTED_VALUE"""),101.0)</f>
        <v>101</v>
      </c>
      <c r="G114" s="1" t="str">
        <f>IFERROR(__xludf.DUMMYFUNCTION("""COMPUTED_VALUE"""),"Box Score")</f>
        <v>Box Score</v>
      </c>
      <c r="H114" s="1"/>
      <c r="I114" s="3">
        <f>IFERROR(__xludf.DUMMYFUNCTION("""COMPUTED_VALUE"""),20214.0)</f>
        <v>20214</v>
      </c>
      <c r="J114" s="1"/>
    </row>
    <row r="115" ht="15.75" customHeight="1">
      <c r="A115" s="2">
        <f>IFERROR(__xludf.DUMMYFUNCTION("""COMPUTED_VALUE"""),43481.0)</f>
        <v>43481</v>
      </c>
      <c r="B115" s="1" t="str">
        <f>IFERROR(__xludf.DUMMYFUNCTION("""COMPUTED_VALUE"""),"10:00p")</f>
        <v>10:00p</v>
      </c>
      <c r="C115" s="1" t="str">
        <f>IFERROR(__xludf.DUMMYFUNCTION("""COMPUTED_VALUE"""),"Cleveland Cavaliers")</f>
        <v>Cleveland Cavaliers</v>
      </c>
      <c r="D115" s="1">
        <f>IFERROR(__xludf.DUMMYFUNCTION("""COMPUTED_VALUE"""),112.0)</f>
        <v>112</v>
      </c>
      <c r="E115" s="1" t="str">
        <f>IFERROR(__xludf.DUMMYFUNCTION("""COMPUTED_VALUE"""),"Portland Trail Blazers")</f>
        <v>Portland Trail Blazers</v>
      </c>
      <c r="F115" s="1">
        <f>IFERROR(__xludf.DUMMYFUNCTION("""COMPUTED_VALUE"""),129.0)</f>
        <v>129</v>
      </c>
      <c r="G115" s="1" t="str">
        <f>IFERROR(__xludf.DUMMYFUNCTION("""COMPUTED_VALUE"""),"Box Score")</f>
        <v>Box Score</v>
      </c>
      <c r="H115" s="1"/>
      <c r="I115" s="3">
        <f>IFERROR(__xludf.DUMMYFUNCTION("""COMPUTED_VALUE"""),19089.0)</f>
        <v>19089</v>
      </c>
      <c r="J115" s="1"/>
    </row>
    <row r="116" ht="15.75" customHeight="1">
      <c r="A116" s="2">
        <f>IFERROR(__xludf.DUMMYFUNCTION("""COMPUTED_VALUE"""),43481.0)</f>
        <v>43481</v>
      </c>
      <c r="B116" s="1" t="str">
        <f>IFERROR(__xludf.DUMMYFUNCTION("""COMPUTED_VALUE"""),"10:30p")</f>
        <v>10:30p</v>
      </c>
      <c r="C116" s="1" t="str">
        <f>IFERROR(__xludf.DUMMYFUNCTION("""COMPUTED_VALUE"""),"New Orleans Pelicans")</f>
        <v>New Orleans Pelicans</v>
      </c>
      <c r="D116" s="1">
        <f>IFERROR(__xludf.DUMMYFUNCTION("""COMPUTED_VALUE"""),140.0)</f>
        <v>140</v>
      </c>
      <c r="E116" s="1" t="str">
        <f>IFERROR(__xludf.DUMMYFUNCTION("""COMPUTED_VALUE"""),"Golden State Warriors")</f>
        <v>Golden State Warriors</v>
      </c>
      <c r="F116" s="1">
        <f>IFERROR(__xludf.DUMMYFUNCTION("""COMPUTED_VALUE"""),147.0)</f>
        <v>147</v>
      </c>
      <c r="G116" s="1" t="str">
        <f>IFERROR(__xludf.DUMMYFUNCTION("""COMPUTED_VALUE"""),"Box Score")</f>
        <v>Box Score</v>
      </c>
      <c r="H116" s="1"/>
      <c r="I116" s="3">
        <f>IFERROR(__xludf.DUMMYFUNCTION("""COMPUTED_VALUE"""),19596.0)</f>
        <v>19596</v>
      </c>
      <c r="J116" s="1"/>
    </row>
    <row r="117" ht="15.75" customHeight="1">
      <c r="A117" s="2">
        <f>IFERROR(__xludf.DUMMYFUNCTION("""COMPUTED_VALUE"""),43481.0)</f>
        <v>43481</v>
      </c>
      <c r="B117" s="1" t="str">
        <f>IFERROR(__xludf.DUMMYFUNCTION("""COMPUTED_VALUE"""),"10:30p")</f>
        <v>10:30p</v>
      </c>
      <c r="C117" s="1" t="str">
        <f>IFERROR(__xludf.DUMMYFUNCTION("""COMPUTED_VALUE"""),"Utah Jazz")</f>
        <v>Utah Jazz</v>
      </c>
      <c r="D117" s="1">
        <f>IFERROR(__xludf.DUMMYFUNCTION("""COMPUTED_VALUE"""),129.0)</f>
        <v>129</v>
      </c>
      <c r="E117" s="1" t="str">
        <f>IFERROR(__xludf.DUMMYFUNCTION("""COMPUTED_VALUE"""),"Los Angeles Clippers")</f>
        <v>Los Angeles Clippers</v>
      </c>
      <c r="F117" s="1">
        <f>IFERROR(__xludf.DUMMYFUNCTION("""COMPUTED_VALUE"""),109.0)</f>
        <v>109</v>
      </c>
      <c r="G117" s="1" t="str">
        <f>IFERROR(__xludf.DUMMYFUNCTION("""COMPUTED_VALUE"""),"Box Score")</f>
        <v>Box Score</v>
      </c>
      <c r="H117" s="1"/>
      <c r="I117" s="3">
        <f>IFERROR(__xludf.DUMMYFUNCTION("""COMPUTED_VALUE"""),15535.0)</f>
        <v>15535</v>
      </c>
      <c r="J117" s="1"/>
    </row>
    <row r="118" ht="15.75" customHeight="1">
      <c r="A118" s="2">
        <f>IFERROR(__xludf.DUMMYFUNCTION("""COMPUTED_VALUE"""),43482.0)</f>
        <v>43482</v>
      </c>
      <c r="B118" s="1" t="str">
        <f>IFERROR(__xludf.DUMMYFUNCTION("""COMPUTED_VALUE"""),"3:00p")</f>
        <v>3:00p</v>
      </c>
      <c r="C118" s="1" t="str">
        <f>IFERROR(__xludf.DUMMYFUNCTION("""COMPUTED_VALUE"""),"New York Knicks")</f>
        <v>New York Knicks</v>
      </c>
      <c r="D118" s="1">
        <f>IFERROR(__xludf.DUMMYFUNCTION("""COMPUTED_VALUE"""),100.0)</f>
        <v>100</v>
      </c>
      <c r="E118" s="1" t="str">
        <f>IFERROR(__xludf.DUMMYFUNCTION("""COMPUTED_VALUE"""),"Washington Wizards")</f>
        <v>Washington Wizards</v>
      </c>
      <c r="F118" s="1">
        <f>IFERROR(__xludf.DUMMYFUNCTION("""COMPUTED_VALUE"""),101.0)</f>
        <v>101</v>
      </c>
      <c r="G118" s="1" t="str">
        <f>IFERROR(__xludf.DUMMYFUNCTION("""COMPUTED_VALUE"""),"Box Score")</f>
        <v>Box Score</v>
      </c>
      <c r="H118" s="1"/>
      <c r="I118" s="3">
        <f>IFERROR(__xludf.DUMMYFUNCTION("""COMPUTED_VALUE"""),19078.0)</f>
        <v>19078</v>
      </c>
      <c r="J118" s="1" t="str">
        <f>IFERROR(__xludf.DUMMYFUNCTION("""COMPUTED_VALUE"""),"at London, England")</f>
        <v>at London, England</v>
      </c>
    </row>
    <row r="119" ht="15.75" customHeight="1">
      <c r="A119" s="2">
        <f>IFERROR(__xludf.DUMMYFUNCTION("""COMPUTED_VALUE"""),43482.0)</f>
        <v>43482</v>
      </c>
      <c r="B119" s="1" t="str">
        <f>IFERROR(__xludf.DUMMYFUNCTION("""COMPUTED_VALUE"""),"7:00p")</f>
        <v>7:00p</v>
      </c>
      <c r="C119" s="1" t="str">
        <f>IFERROR(__xludf.DUMMYFUNCTION("""COMPUTED_VALUE"""),"Sacramento Kings")</f>
        <v>Sacramento Kings</v>
      </c>
      <c r="D119" s="1">
        <f>IFERROR(__xludf.DUMMYFUNCTION("""COMPUTED_VALUE"""),95.0)</f>
        <v>95</v>
      </c>
      <c r="E119" s="1" t="str">
        <f>IFERROR(__xludf.DUMMYFUNCTION("""COMPUTED_VALUE"""),"Charlotte Hornets")</f>
        <v>Charlotte Hornets</v>
      </c>
      <c r="F119" s="1">
        <f>IFERROR(__xludf.DUMMYFUNCTION("""COMPUTED_VALUE"""),114.0)</f>
        <v>114</v>
      </c>
      <c r="G119" s="1" t="str">
        <f>IFERROR(__xludf.DUMMYFUNCTION("""COMPUTED_VALUE"""),"Box Score")</f>
        <v>Box Score</v>
      </c>
      <c r="H119" s="1"/>
      <c r="I119" s="3">
        <f>IFERROR(__xludf.DUMMYFUNCTION("""COMPUTED_VALUE"""),15431.0)</f>
        <v>15431</v>
      </c>
      <c r="J119" s="1"/>
    </row>
    <row r="120" ht="15.75" customHeight="1">
      <c r="A120" s="2">
        <f>IFERROR(__xludf.DUMMYFUNCTION("""COMPUTED_VALUE"""),43482.0)</f>
        <v>43482</v>
      </c>
      <c r="B120" s="1" t="str">
        <f>IFERROR(__xludf.DUMMYFUNCTION("""COMPUTED_VALUE"""),"7:00p")</f>
        <v>7:00p</v>
      </c>
      <c r="C120" s="1" t="str">
        <f>IFERROR(__xludf.DUMMYFUNCTION("""COMPUTED_VALUE"""),"Philadelphia 76ers")</f>
        <v>Philadelphia 76ers</v>
      </c>
      <c r="D120" s="1">
        <f>IFERROR(__xludf.DUMMYFUNCTION("""COMPUTED_VALUE"""),120.0)</f>
        <v>120</v>
      </c>
      <c r="E120" s="1" t="str">
        <f>IFERROR(__xludf.DUMMYFUNCTION("""COMPUTED_VALUE"""),"Indiana Pacers")</f>
        <v>Indiana Pacers</v>
      </c>
      <c r="F120" s="1">
        <f>IFERROR(__xludf.DUMMYFUNCTION("""COMPUTED_VALUE"""),96.0)</f>
        <v>96</v>
      </c>
      <c r="G120" s="1" t="str">
        <f>IFERROR(__xludf.DUMMYFUNCTION("""COMPUTED_VALUE"""),"Box Score")</f>
        <v>Box Score</v>
      </c>
      <c r="H120" s="1"/>
      <c r="I120" s="3">
        <f>IFERROR(__xludf.DUMMYFUNCTION("""COMPUTED_VALUE"""),16007.0)</f>
        <v>16007</v>
      </c>
      <c r="J120" s="1"/>
    </row>
    <row r="121" ht="15.75" customHeight="1">
      <c r="A121" s="2">
        <f>IFERROR(__xludf.DUMMYFUNCTION("""COMPUTED_VALUE"""),43482.0)</f>
        <v>43482</v>
      </c>
      <c r="B121" s="1" t="str">
        <f>IFERROR(__xludf.DUMMYFUNCTION("""COMPUTED_VALUE"""),"7:30p")</f>
        <v>7:30p</v>
      </c>
      <c r="C121" s="1" t="str">
        <f>IFERROR(__xludf.DUMMYFUNCTION("""COMPUTED_VALUE"""),"Phoenix Suns")</f>
        <v>Phoenix Suns</v>
      </c>
      <c r="D121" s="1">
        <f>IFERROR(__xludf.DUMMYFUNCTION("""COMPUTED_VALUE"""),109.0)</f>
        <v>109</v>
      </c>
      <c r="E121" s="1" t="str">
        <f>IFERROR(__xludf.DUMMYFUNCTION("""COMPUTED_VALUE"""),"Toronto Raptors")</f>
        <v>Toronto Raptors</v>
      </c>
      <c r="F121" s="1">
        <f>IFERROR(__xludf.DUMMYFUNCTION("""COMPUTED_VALUE"""),111.0)</f>
        <v>111</v>
      </c>
      <c r="G121" s="1" t="str">
        <f>IFERROR(__xludf.DUMMYFUNCTION("""COMPUTED_VALUE"""),"Box Score")</f>
        <v>Box Score</v>
      </c>
      <c r="H121" s="1"/>
      <c r="I121" s="3">
        <f>IFERROR(__xludf.DUMMYFUNCTION("""COMPUTED_VALUE"""),19800.0)</f>
        <v>19800</v>
      </c>
      <c r="J121" s="1"/>
    </row>
    <row r="122" ht="15.75" customHeight="1">
      <c r="A122" s="2">
        <f>IFERROR(__xludf.DUMMYFUNCTION("""COMPUTED_VALUE"""),43482.0)</f>
        <v>43482</v>
      </c>
      <c r="B122" s="1" t="str">
        <f>IFERROR(__xludf.DUMMYFUNCTION("""COMPUTED_VALUE"""),"9:00p")</f>
        <v>9:00p</v>
      </c>
      <c r="C122" s="1" t="str">
        <f>IFERROR(__xludf.DUMMYFUNCTION("""COMPUTED_VALUE"""),"Chicago Bulls")</f>
        <v>Chicago Bulls</v>
      </c>
      <c r="D122" s="1">
        <f>IFERROR(__xludf.DUMMYFUNCTION("""COMPUTED_VALUE"""),105.0)</f>
        <v>105</v>
      </c>
      <c r="E122" s="1" t="str">
        <f>IFERROR(__xludf.DUMMYFUNCTION("""COMPUTED_VALUE"""),"Denver Nuggets")</f>
        <v>Denver Nuggets</v>
      </c>
      <c r="F122" s="1">
        <f>IFERROR(__xludf.DUMMYFUNCTION("""COMPUTED_VALUE"""),135.0)</f>
        <v>135</v>
      </c>
      <c r="G122" s="1" t="str">
        <f>IFERROR(__xludf.DUMMYFUNCTION("""COMPUTED_VALUE"""),"Box Score")</f>
        <v>Box Score</v>
      </c>
      <c r="H122" s="1"/>
      <c r="I122" s="3">
        <f>IFERROR(__xludf.DUMMYFUNCTION("""COMPUTED_VALUE"""),17289.0)</f>
        <v>17289</v>
      </c>
      <c r="J122" s="1"/>
    </row>
    <row r="123" ht="15.75" customHeight="1">
      <c r="A123" s="2">
        <f>IFERROR(__xludf.DUMMYFUNCTION("""COMPUTED_VALUE"""),43482.0)</f>
        <v>43482</v>
      </c>
      <c r="B123" s="1" t="str">
        <f>IFERROR(__xludf.DUMMYFUNCTION("""COMPUTED_VALUE"""),"9:30p")</f>
        <v>9:30p</v>
      </c>
      <c r="C123" s="1" t="str">
        <f>IFERROR(__xludf.DUMMYFUNCTION("""COMPUTED_VALUE"""),"Los Angeles Lakers")</f>
        <v>Los Angeles Lakers</v>
      </c>
      <c r="D123" s="1">
        <f>IFERROR(__xludf.DUMMYFUNCTION("""COMPUTED_VALUE"""),138.0)</f>
        <v>138</v>
      </c>
      <c r="E123" s="1" t="str">
        <f>IFERROR(__xludf.DUMMYFUNCTION("""COMPUTED_VALUE"""),"Oklahoma City Thunder")</f>
        <v>Oklahoma City Thunder</v>
      </c>
      <c r="F123" s="1">
        <f>IFERROR(__xludf.DUMMYFUNCTION("""COMPUTED_VALUE"""),128.0)</f>
        <v>128</v>
      </c>
      <c r="G123" s="1" t="str">
        <f>IFERROR(__xludf.DUMMYFUNCTION("""COMPUTED_VALUE"""),"Box Score")</f>
        <v>Box Score</v>
      </c>
      <c r="H123" s="1" t="str">
        <f>IFERROR(__xludf.DUMMYFUNCTION("""COMPUTED_VALUE"""),"OT")</f>
        <v>OT</v>
      </c>
      <c r="I123" s="3">
        <f>IFERROR(__xludf.DUMMYFUNCTION("""COMPUTED_VALUE"""),18203.0)</f>
        <v>18203</v>
      </c>
      <c r="J123" s="1"/>
    </row>
    <row r="124" ht="15.75" customHeight="1">
      <c r="A124" s="2">
        <f>IFERROR(__xludf.DUMMYFUNCTION("""COMPUTED_VALUE"""),43483.0)</f>
        <v>43483</v>
      </c>
      <c r="B124" s="1" t="str">
        <f>IFERROR(__xludf.DUMMYFUNCTION("""COMPUTED_VALUE"""),"7:00p")</f>
        <v>7:00p</v>
      </c>
      <c r="C124" s="1" t="str">
        <f>IFERROR(__xludf.DUMMYFUNCTION("""COMPUTED_VALUE"""),"Memphis Grizzlies")</f>
        <v>Memphis Grizzlies</v>
      </c>
      <c r="D124" s="1">
        <f>IFERROR(__xludf.DUMMYFUNCTION("""COMPUTED_VALUE"""),116.0)</f>
        <v>116</v>
      </c>
      <c r="E124" s="1" t="str">
        <f>IFERROR(__xludf.DUMMYFUNCTION("""COMPUTED_VALUE"""),"Boston Celtics")</f>
        <v>Boston Celtics</v>
      </c>
      <c r="F124" s="1">
        <f>IFERROR(__xludf.DUMMYFUNCTION("""COMPUTED_VALUE"""),122.0)</f>
        <v>122</v>
      </c>
      <c r="G124" s="1" t="str">
        <f>IFERROR(__xludf.DUMMYFUNCTION("""COMPUTED_VALUE"""),"Box Score")</f>
        <v>Box Score</v>
      </c>
      <c r="H124" s="1"/>
      <c r="I124" s="3">
        <f>IFERROR(__xludf.DUMMYFUNCTION("""COMPUTED_VALUE"""),18624.0)</f>
        <v>18624</v>
      </c>
      <c r="J124" s="1"/>
    </row>
    <row r="125" ht="15.75" customHeight="1">
      <c r="A125" s="2">
        <f>IFERROR(__xludf.DUMMYFUNCTION("""COMPUTED_VALUE"""),43483.0)</f>
        <v>43483</v>
      </c>
      <c r="B125" s="1" t="str">
        <f>IFERROR(__xludf.DUMMYFUNCTION("""COMPUTED_VALUE"""),"7:00p")</f>
        <v>7:00p</v>
      </c>
      <c r="C125" s="1" t="str">
        <f>IFERROR(__xludf.DUMMYFUNCTION("""COMPUTED_VALUE"""),"Miami Heat")</f>
        <v>Miami Heat</v>
      </c>
      <c r="D125" s="1">
        <f>IFERROR(__xludf.DUMMYFUNCTION("""COMPUTED_VALUE"""),93.0)</f>
        <v>93</v>
      </c>
      <c r="E125" s="1" t="str">
        <f>IFERROR(__xludf.DUMMYFUNCTION("""COMPUTED_VALUE"""),"Detroit Pistons")</f>
        <v>Detroit Pistons</v>
      </c>
      <c r="F125" s="1">
        <f>IFERROR(__xludf.DUMMYFUNCTION("""COMPUTED_VALUE"""),98.0)</f>
        <v>98</v>
      </c>
      <c r="G125" s="1" t="str">
        <f>IFERROR(__xludf.DUMMYFUNCTION("""COMPUTED_VALUE"""),"Box Score")</f>
        <v>Box Score</v>
      </c>
      <c r="H125" s="1"/>
      <c r="I125" s="3">
        <f>IFERROR(__xludf.DUMMYFUNCTION("""COMPUTED_VALUE"""),17228.0)</f>
        <v>17228</v>
      </c>
      <c r="J125" s="1"/>
    </row>
    <row r="126" ht="15.75" customHeight="1">
      <c r="A126" s="2">
        <f>IFERROR(__xludf.DUMMYFUNCTION("""COMPUTED_VALUE"""),43483.0)</f>
        <v>43483</v>
      </c>
      <c r="B126" s="1" t="str">
        <f>IFERROR(__xludf.DUMMYFUNCTION("""COMPUTED_VALUE"""),"7:00p")</f>
        <v>7:00p</v>
      </c>
      <c r="C126" s="1" t="str">
        <f>IFERROR(__xludf.DUMMYFUNCTION("""COMPUTED_VALUE"""),"Brooklyn Nets")</f>
        <v>Brooklyn Nets</v>
      </c>
      <c r="D126" s="1">
        <f>IFERROR(__xludf.DUMMYFUNCTION("""COMPUTED_VALUE"""),117.0)</f>
        <v>117</v>
      </c>
      <c r="E126" s="1" t="str">
        <f>IFERROR(__xludf.DUMMYFUNCTION("""COMPUTED_VALUE"""),"Orlando Magic")</f>
        <v>Orlando Magic</v>
      </c>
      <c r="F126" s="1">
        <f>IFERROR(__xludf.DUMMYFUNCTION("""COMPUTED_VALUE"""),115.0)</f>
        <v>115</v>
      </c>
      <c r="G126" s="1" t="str">
        <f>IFERROR(__xludf.DUMMYFUNCTION("""COMPUTED_VALUE"""),"Box Score")</f>
        <v>Box Score</v>
      </c>
      <c r="H126" s="1"/>
      <c r="I126" s="3">
        <f>IFERROR(__xludf.DUMMYFUNCTION("""COMPUTED_VALUE"""),17840.0)</f>
        <v>17840</v>
      </c>
      <c r="J126" s="1"/>
    </row>
    <row r="127" ht="15.75" customHeight="1">
      <c r="A127" s="2">
        <f>IFERROR(__xludf.DUMMYFUNCTION("""COMPUTED_VALUE"""),43483.0)</f>
        <v>43483</v>
      </c>
      <c r="B127" s="1" t="str">
        <f>IFERROR(__xludf.DUMMYFUNCTION("""COMPUTED_VALUE"""),"8:00p")</f>
        <v>8:00p</v>
      </c>
      <c r="C127" s="1" t="str">
        <f>IFERROR(__xludf.DUMMYFUNCTION("""COMPUTED_VALUE"""),"San Antonio Spurs")</f>
        <v>San Antonio Spurs</v>
      </c>
      <c r="D127" s="1">
        <f>IFERROR(__xludf.DUMMYFUNCTION("""COMPUTED_VALUE"""),116.0)</f>
        <v>116</v>
      </c>
      <c r="E127" s="1" t="str">
        <f>IFERROR(__xludf.DUMMYFUNCTION("""COMPUTED_VALUE"""),"Minnesota Timberwolves")</f>
        <v>Minnesota Timberwolves</v>
      </c>
      <c r="F127" s="1">
        <f>IFERROR(__xludf.DUMMYFUNCTION("""COMPUTED_VALUE"""),113.0)</f>
        <v>113</v>
      </c>
      <c r="G127" s="1" t="str">
        <f>IFERROR(__xludf.DUMMYFUNCTION("""COMPUTED_VALUE"""),"Box Score")</f>
        <v>Box Score</v>
      </c>
      <c r="H127" s="1"/>
      <c r="I127" s="3">
        <f>IFERROR(__xludf.DUMMYFUNCTION("""COMPUTED_VALUE"""),17222.0)</f>
        <v>17222</v>
      </c>
      <c r="J127" s="1"/>
    </row>
    <row r="128" ht="15.75" customHeight="1">
      <c r="A128" s="2">
        <f>IFERROR(__xludf.DUMMYFUNCTION("""COMPUTED_VALUE"""),43483.0)</f>
        <v>43483</v>
      </c>
      <c r="B128" s="1" t="str">
        <f>IFERROR(__xludf.DUMMYFUNCTION("""COMPUTED_VALUE"""),"9:00p")</f>
        <v>9:00p</v>
      </c>
      <c r="C128" s="1" t="str">
        <f>IFERROR(__xludf.DUMMYFUNCTION("""COMPUTED_VALUE"""),"Cleveland Cavaliers")</f>
        <v>Cleveland Cavaliers</v>
      </c>
      <c r="D128" s="1">
        <f>IFERROR(__xludf.DUMMYFUNCTION("""COMPUTED_VALUE"""),99.0)</f>
        <v>99</v>
      </c>
      <c r="E128" s="1" t="str">
        <f>IFERROR(__xludf.DUMMYFUNCTION("""COMPUTED_VALUE"""),"Utah Jazz")</f>
        <v>Utah Jazz</v>
      </c>
      <c r="F128" s="1">
        <f>IFERROR(__xludf.DUMMYFUNCTION("""COMPUTED_VALUE"""),115.0)</f>
        <v>115</v>
      </c>
      <c r="G128" s="1" t="str">
        <f>IFERROR(__xludf.DUMMYFUNCTION("""COMPUTED_VALUE"""),"Box Score")</f>
        <v>Box Score</v>
      </c>
      <c r="H128" s="1"/>
      <c r="I128" s="3">
        <f>IFERROR(__xludf.DUMMYFUNCTION("""COMPUTED_VALUE"""),18306.0)</f>
        <v>18306</v>
      </c>
      <c r="J128" s="1"/>
    </row>
    <row r="129" ht="15.75" customHeight="1">
      <c r="A129" s="2">
        <f>IFERROR(__xludf.DUMMYFUNCTION("""COMPUTED_VALUE"""),43483.0)</f>
        <v>43483</v>
      </c>
      <c r="B129" s="1" t="str">
        <f>IFERROR(__xludf.DUMMYFUNCTION("""COMPUTED_VALUE"""),"10:30p")</f>
        <v>10:30p</v>
      </c>
      <c r="C129" s="1" t="str">
        <f>IFERROR(__xludf.DUMMYFUNCTION("""COMPUTED_VALUE"""),"Golden State Warriors")</f>
        <v>Golden State Warriors</v>
      </c>
      <c r="D129" s="1">
        <f>IFERROR(__xludf.DUMMYFUNCTION("""COMPUTED_VALUE"""),112.0)</f>
        <v>112</v>
      </c>
      <c r="E129" s="1" t="str">
        <f>IFERROR(__xludf.DUMMYFUNCTION("""COMPUTED_VALUE"""),"Los Angeles Clippers")</f>
        <v>Los Angeles Clippers</v>
      </c>
      <c r="F129" s="1">
        <f>IFERROR(__xludf.DUMMYFUNCTION("""COMPUTED_VALUE"""),94.0)</f>
        <v>94</v>
      </c>
      <c r="G129" s="1" t="str">
        <f>IFERROR(__xludf.DUMMYFUNCTION("""COMPUTED_VALUE"""),"Box Score")</f>
        <v>Box Score</v>
      </c>
      <c r="H129" s="1"/>
      <c r="I129" s="3">
        <f>IFERROR(__xludf.DUMMYFUNCTION("""COMPUTED_VALUE"""),19068.0)</f>
        <v>19068</v>
      </c>
      <c r="J129" s="1"/>
    </row>
    <row r="130" ht="15.75" customHeight="1">
      <c r="A130" s="2">
        <f>IFERROR(__xludf.DUMMYFUNCTION("""COMPUTED_VALUE"""),43483.0)</f>
        <v>43483</v>
      </c>
      <c r="B130" s="1" t="str">
        <f>IFERROR(__xludf.DUMMYFUNCTION("""COMPUTED_VALUE"""),"10:30p")</f>
        <v>10:30p</v>
      </c>
      <c r="C130" s="1" t="str">
        <f>IFERROR(__xludf.DUMMYFUNCTION("""COMPUTED_VALUE"""),"New Orleans Pelicans")</f>
        <v>New Orleans Pelicans</v>
      </c>
      <c r="D130" s="1">
        <f>IFERROR(__xludf.DUMMYFUNCTION("""COMPUTED_VALUE"""),112.0)</f>
        <v>112</v>
      </c>
      <c r="E130" s="1" t="str">
        <f>IFERROR(__xludf.DUMMYFUNCTION("""COMPUTED_VALUE"""),"Portland Trail Blazers")</f>
        <v>Portland Trail Blazers</v>
      </c>
      <c r="F130" s="1">
        <f>IFERROR(__xludf.DUMMYFUNCTION("""COMPUTED_VALUE"""),128.0)</f>
        <v>128</v>
      </c>
      <c r="G130" s="1" t="str">
        <f>IFERROR(__xludf.DUMMYFUNCTION("""COMPUTED_VALUE"""),"Box Score")</f>
        <v>Box Score</v>
      </c>
      <c r="H130" s="1"/>
      <c r="I130" s="3">
        <f>IFERROR(__xludf.DUMMYFUNCTION("""COMPUTED_VALUE"""),19598.0)</f>
        <v>19598</v>
      </c>
      <c r="J130" s="1"/>
    </row>
    <row r="131" ht="15.75" customHeight="1">
      <c r="A131" s="2">
        <f>IFERROR(__xludf.DUMMYFUNCTION("""COMPUTED_VALUE"""),43484.0)</f>
        <v>43484</v>
      </c>
      <c r="B131" s="1" t="str">
        <f>IFERROR(__xludf.DUMMYFUNCTION("""COMPUTED_VALUE"""),"3:30p")</f>
        <v>3:30p</v>
      </c>
      <c r="C131" s="1" t="str">
        <f>IFERROR(__xludf.DUMMYFUNCTION("""COMPUTED_VALUE"""),"Oklahoma City Thunder")</f>
        <v>Oklahoma City Thunder</v>
      </c>
      <c r="D131" s="1">
        <f>IFERROR(__xludf.DUMMYFUNCTION("""COMPUTED_VALUE"""),117.0)</f>
        <v>117</v>
      </c>
      <c r="E131" s="1" t="str">
        <f>IFERROR(__xludf.DUMMYFUNCTION("""COMPUTED_VALUE"""),"Philadelphia 76ers")</f>
        <v>Philadelphia 76ers</v>
      </c>
      <c r="F131" s="1">
        <f>IFERROR(__xludf.DUMMYFUNCTION("""COMPUTED_VALUE"""),115.0)</f>
        <v>115</v>
      </c>
      <c r="G131" s="1" t="str">
        <f>IFERROR(__xludf.DUMMYFUNCTION("""COMPUTED_VALUE"""),"Box Score")</f>
        <v>Box Score</v>
      </c>
      <c r="H131" s="1"/>
      <c r="I131" s="3">
        <f>IFERROR(__xludf.DUMMYFUNCTION("""COMPUTED_VALUE"""),20646.0)</f>
        <v>20646</v>
      </c>
      <c r="J131" s="1"/>
    </row>
    <row r="132" ht="15.75" customHeight="1">
      <c r="A132" s="2">
        <f>IFERROR(__xludf.DUMMYFUNCTION("""COMPUTED_VALUE"""),43484.0)</f>
        <v>43484</v>
      </c>
      <c r="B132" s="1" t="str">
        <f>IFERROR(__xludf.DUMMYFUNCTION("""COMPUTED_VALUE"""),"5:00p")</f>
        <v>5:00p</v>
      </c>
      <c r="C132" s="1" t="str">
        <f>IFERROR(__xludf.DUMMYFUNCTION("""COMPUTED_VALUE"""),"Phoenix Suns")</f>
        <v>Phoenix Suns</v>
      </c>
      <c r="D132" s="1">
        <f>IFERROR(__xludf.DUMMYFUNCTION("""COMPUTED_VALUE"""),115.0)</f>
        <v>115</v>
      </c>
      <c r="E132" s="1" t="str">
        <f>IFERROR(__xludf.DUMMYFUNCTION("""COMPUTED_VALUE"""),"Charlotte Hornets")</f>
        <v>Charlotte Hornets</v>
      </c>
      <c r="F132" s="1">
        <f>IFERROR(__xludf.DUMMYFUNCTION("""COMPUTED_VALUE"""),135.0)</f>
        <v>135</v>
      </c>
      <c r="G132" s="1" t="str">
        <f>IFERROR(__xludf.DUMMYFUNCTION("""COMPUTED_VALUE"""),"Box Score")</f>
        <v>Box Score</v>
      </c>
      <c r="H132" s="1"/>
      <c r="I132" s="3">
        <f>IFERROR(__xludf.DUMMYFUNCTION("""COMPUTED_VALUE"""),19278.0)</f>
        <v>19278</v>
      </c>
      <c r="J132" s="1"/>
    </row>
    <row r="133" ht="15.75" customHeight="1">
      <c r="A133" s="2">
        <f>IFERROR(__xludf.DUMMYFUNCTION("""COMPUTED_VALUE"""),43484.0)</f>
        <v>43484</v>
      </c>
      <c r="B133" s="1" t="str">
        <f>IFERROR(__xludf.DUMMYFUNCTION("""COMPUTED_VALUE"""),"7:00p")</f>
        <v>7:00p</v>
      </c>
      <c r="C133" s="1" t="str">
        <f>IFERROR(__xludf.DUMMYFUNCTION("""COMPUTED_VALUE"""),"Sacramento Kings")</f>
        <v>Sacramento Kings</v>
      </c>
      <c r="D133" s="1">
        <f>IFERROR(__xludf.DUMMYFUNCTION("""COMPUTED_VALUE"""),103.0)</f>
        <v>103</v>
      </c>
      <c r="E133" s="1" t="str">
        <f>IFERROR(__xludf.DUMMYFUNCTION("""COMPUTED_VALUE"""),"Detroit Pistons")</f>
        <v>Detroit Pistons</v>
      </c>
      <c r="F133" s="1">
        <f>IFERROR(__xludf.DUMMYFUNCTION("""COMPUTED_VALUE"""),101.0)</f>
        <v>101</v>
      </c>
      <c r="G133" s="1" t="str">
        <f>IFERROR(__xludf.DUMMYFUNCTION("""COMPUTED_VALUE"""),"Box Score")</f>
        <v>Box Score</v>
      </c>
      <c r="H133" s="1"/>
      <c r="I133" s="3">
        <f>IFERROR(__xludf.DUMMYFUNCTION("""COMPUTED_VALUE"""),15377.0)</f>
        <v>15377</v>
      </c>
      <c r="J133" s="1"/>
    </row>
    <row r="134" ht="15.75" customHeight="1">
      <c r="A134" s="2">
        <f>IFERROR(__xludf.DUMMYFUNCTION("""COMPUTED_VALUE"""),43484.0)</f>
        <v>43484</v>
      </c>
      <c r="B134" s="1" t="str">
        <f>IFERROR(__xludf.DUMMYFUNCTION("""COMPUTED_VALUE"""),"7:00p")</f>
        <v>7:00p</v>
      </c>
      <c r="C134" s="1" t="str">
        <f>IFERROR(__xludf.DUMMYFUNCTION("""COMPUTED_VALUE"""),"Dallas Mavericks")</f>
        <v>Dallas Mavericks</v>
      </c>
      <c r="D134" s="1">
        <f>IFERROR(__xludf.DUMMYFUNCTION("""COMPUTED_VALUE"""),99.0)</f>
        <v>99</v>
      </c>
      <c r="E134" s="1" t="str">
        <f>IFERROR(__xludf.DUMMYFUNCTION("""COMPUTED_VALUE"""),"Indiana Pacers")</f>
        <v>Indiana Pacers</v>
      </c>
      <c r="F134" s="1">
        <f>IFERROR(__xludf.DUMMYFUNCTION("""COMPUTED_VALUE"""),111.0)</f>
        <v>111</v>
      </c>
      <c r="G134" s="1" t="str">
        <f>IFERROR(__xludf.DUMMYFUNCTION("""COMPUTED_VALUE"""),"Box Score")</f>
        <v>Box Score</v>
      </c>
      <c r="H134" s="1"/>
      <c r="I134" s="3">
        <f>IFERROR(__xludf.DUMMYFUNCTION("""COMPUTED_VALUE"""),17508.0)</f>
        <v>17508</v>
      </c>
      <c r="J134" s="1"/>
    </row>
    <row r="135" ht="15.75" customHeight="1">
      <c r="A135" s="2">
        <f>IFERROR(__xludf.DUMMYFUNCTION("""COMPUTED_VALUE"""),43484.0)</f>
        <v>43484</v>
      </c>
      <c r="B135" s="1" t="str">
        <f>IFERROR(__xludf.DUMMYFUNCTION("""COMPUTED_VALUE"""),"7:00p")</f>
        <v>7:00p</v>
      </c>
      <c r="C135" s="1" t="str">
        <f>IFERROR(__xludf.DUMMYFUNCTION("""COMPUTED_VALUE"""),"Milwaukee Bucks")</f>
        <v>Milwaukee Bucks</v>
      </c>
      <c r="D135" s="1">
        <f>IFERROR(__xludf.DUMMYFUNCTION("""COMPUTED_VALUE"""),118.0)</f>
        <v>118</v>
      </c>
      <c r="E135" s="1" t="str">
        <f>IFERROR(__xludf.DUMMYFUNCTION("""COMPUTED_VALUE"""),"Orlando Magic")</f>
        <v>Orlando Magic</v>
      </c>
      <c r="F135" s="1">
        <f>IFERROR(__xludf.DUMMYFUNCTION("""COMPUTED_VALUE"""),108.0)</f>
        <v>108</v>
      </c>
      <c r="G135" s="1" t="str">
        <f>IFERROR(__xludf.DUMMYFUNCTION("""COMPUTED_VALUE"""),"Box Score")</f>
        <v>Box Score</v>
      </c>
      <c r="H135" s="1"/>
      <c r="I135" s="3">
        <f>IFERROR(__xludf.DUMMYFUNCTION("""COMPUTED_VALUE"""),18846.0)</f>
        <v>18846</v>
      </c>
      <c r="J135" s="1"/>
    </row>
    <row r="136" ht="15.75" customHeight="1">
      <c r="A136" s="2">
        <f>IFERROR(__xludf.DUMMYFUNCTION("""COMPUTED_VALUE"""),43484.0)</f>
        <v>43484</v>
      </c>
      <c r="B136" s="1" t="str">
        <f>IFERROR(__xludf.DUMMYFUNCTION("""COMPUTED_VALUE"""),"7:30p")</f>
        <v>7:30p</v>
      </c>
      <c r="C136" s="1" t="str">
        <f>IFERROR(__xludf.DUMMYFUNCTION("""COMPUTED_VALUE"""),"Boston Celtics")</f>
        <v>Boston Celtics</v>
      </c>
      <c r="D136" s="1">
        <f>IFERROR(__xludf.DUMMYFUNCTION("""COMPUTED_VALUE"""),113.0)</f>
        <v>113</v>
      </c>
      <c r="E136" s="1" t="str">
        <f>IFERROR(__xludf.DUMMYFUNCTION("""COMPUTED_VALUE"""),"Atlanta Hawks")</f>
        <v>Atlanta Hawks</v>
      </c>
      <c r="F136" s="1">
        <f>IFERROR(__xludf.DUMMYFUNCTION("""COMPUTED_VALUE"""),105.0)</f>
        <v>105</v>
      </c>
      <c r="G136" s="1" t="str">
        <f>IFERROR(__xludf.DUMMYFUNCTION("""COMPUTED_VALUE"""),"Box Score")</f>
        <v>Box Score</v>
      </c>
      <c r="H136" s="1"/>
      <c r="I136" s="3">
        <f>IFERROR(__xludf.DUMMYFUNCTION("""COMPUTED_VALUE"""),16626.0)</f>
        <v>16626</v>
      </c>
      <c r="J136" s="1"/>
    </row>
    <row r="137" ht="15.75" customHeight="1">
      <c r="A137" s="2">
        <f>IFERROR(__xludf.DUMMYFUNCTION("""COMPUTED_VALUE"""),43484.0)</f>
        <v>43484</v>
      </c>
      <c r="B137" s="1" t="str">
        <f>IFERROR(__xludf.DUMMYFUNCTION("""COMPUTED_VALUE"""),"7:30p")</f>
        <v>7:30p</v>
      </c>
      <c r="C137" s="1" t="str">
        <f>IFERROR(__xludf.DUMMYFUNCTION("""COMPUTED_VALUE"""),"Memphis Grizzlies")</f>
        <v>Memphis Grizzlies</v>
      </c>
      <c r="D137" s="1">
        <f>IFERROR(__xludf.DUMMYFUNCTION("""COMPUTED_VALUE"""),90.0)</f>
        <v>90</v>
      </c>
      <c r="E137" s="1" t="str">
        <f>IFERROR(__xludf.DUMMYFUNCTION("""COMPUTED_VALUE"""),"Toronto Raptors")</f>
        <v>Toronto Raptors</v>
      </c>
      <c r="F137" s="1">
        <f>IFERROR(__xludf.DUMMYFUNCTION("""COMPUTED_VALUE"""),119.0)</f>
        <v>119</v>
      </c>
      <c r="G137" s="1" t="str">
        <f>IFERROR(__xludf.DUMMYFUNCTION("""COMPUTED_VALUE"""),"Box Score")</f>
        <v>Box Score</v>
      </c>
      <c r="H137" s="1"/>
      <c r="I137" s="3">
        <f>IFERROR(__xludf.DUMMYFUNCTION("""COMPUTED_VALUE"""),19800.0)</f>
        <v>19800</v>
      </c>
      <c r="J137" s="1"/>
    </row>
    <row r="138" ht="15.75" customHeight="1">
      <c r="A138" s="2">
        <f>IFERROR(__xludf.DUMMYFUNCTION("""COMPUTED_VALUE"""),43484.0)</f>
        <v>43484</v>
      </c>
      <c r="B138" s="1" t="str">
        <f>IFERROR(__xludf.DUMMYFUNCTION("""COMPUTED_VALUE"""),"8:00p")</f>
        <v>8:00p</v>
      </c>
      <c r="C138" s="1" t="str">
        <f>IFERROR(__xludf.DUMMYFUNCTION("""COMPUTED_VALUE"""),"Miami Heat")</f>
        <v>Miami Heat</v>
      </c>
      <c r="D138" s="1">
        <f>IFERROR(__xludf.DUMMYFUNCTION("""COMPUTED_VALUE"""),117.0)</f>
        <v>117</v>
      </c>
      <c r="E138" s="1" t="str">
        <f>IFERROR(__xludf.DUMMYFUNCTION("""COMPUTED_VALUE"""),"Chicago Bulls")</f>
        <v>Chicago Bulls</v>
      </c>
      <c r="F138" s="1">
        <f>IFERROR(__xludf.DUMMYFUNCTION("""COMPUTED_VALUE"""),103.0)</f>
        <v>103</v>
      </c>
      <c r="G138" s="1" t="str">
        <f>IFERROR(__xludf.DUMMYFUNCTION("""COMPUTED_VALUE"""),"Box Score")</f>
        <v>Box Score</v>
      </c>
      <c r="H138" s="1"/>
      <c r="I138" s="3">
        <f>IFERROR(__xludf.DUMMYFUNCTION("""COMPUTED_VALUE"""),20926.0)</f>
        <v>20926</v>
      </c>
      <c r="J138" s="1"/>
    </row>
    <row r="139" ht="15.75" customHeight="1">
      <c r="A139" s="2">
        <f>IFERROR(__xludf.DUMMYFUNCTION("""COMPUTED_VALUE"""),43484.0)</f>
        <v>43484</v>
      </c>
      <c r="B139" s="1" t="str">
        <f>IFERROR(__xludf.DUMMYFUNCTION("""COMPUTED_VALUE"""),"8:30p")</f>
        <v>8:30p</v>
      </c>
      <c r="C139" s="1" t="str">
        <f>IFERROR(__xludf.DUMMYFUNCTION("""COMPUTED_VALUE"""),"Los Angeles Lakers")</f>
        <v>Los Angeles Lakers</v>
      </c>
      <c r="D139" s="1">
        <f>IFERROR(__xludf.DUMMYFUNCTION("""COMPUTED_VALUE"""),134.0)</f>
        <v>134</v>
      </c>
      <c r="E139" s="1" t="str">
        <f>IFERROR(__xludf.DUMMYFUNCTION("""COMPUTED_VALUE"""),"Houston Rockets")</f>
        <v>Houston Rockets</v>
      </c>
      <c r="F139" s="1">
        <f>IFERROR(__xludf.DUMMYFUNCTION("""COMPUTED_VALUE"""),138.0)</f>
        <v>138</v>
      </c>
      <c r="G139" s="1" t="str">
        <f>IFERROR(__xludf.DUMMYFUNCTION("""COMPUTED_VALUE"""),"Box Score")</f>
        <v>Box Score</v>
      </c>
      <c r="H139" s="1" t="str">
        <f>IFERROR(__xludf.DUMMYFUNCTION("""COMPUTED_VALUE"""),"OT")</f>
        <v>OT</v>
      </c>
      <c r="I139" s="3">
        <f>IFERROR(__xludf.DUMMYFUNCTION("""COMPUTED_VALUE"""),18055.0)</f>
        <v>18055</v>
      </c>
      <c r="J139" s="1"/>
    </row>
    <row r="140" ht="15.75" customHeight="1">
      <c r="A140" s="2">
        <f>IFERROR(__xludf.DUMMYFUNCTION("""COMPUTED_VALUE"""),43484.0)</f>
        <v>43484</v>
      </c>
      <c r="B140" s="1" t="str">
        <f>IFERROR(__xludf.DUMMYFUNCTION("""COMPUTED_VALUE"""),"10:00p")</f>
        <v>10:00p</v>
      </c>
      <c r="C140" s="1" t="str">
        <f>IFERROR(__xludf.DUMMYFUNCTION("""COMPUTED_VALUE"""),"Cleveland Cavaliers")</f>
        <v>Cleveland Cavaliers</v>
      </c>
      <c r="D140" s="1">
        <f>IFERROR(__xludf.DUMMYFUNCTION("""COMPUTED_VALUE"""),102.0)</f>
        <v>102</v>
      </c>
      <c r="E140" s="1" t="str">
        <f>IFERROR(__xludf.DUMMYFUNCTION("""COMPUTED_VALUE"""),"Denver Nuggets")</f>
        <v>Denver Nuggets</v>
      </c>
      <c r="F140" s="1">
        <f>IFERROR(__xludf.DUMMYFUNCTION("""COMPUTED_VALUE"""),124.0)</f>
        <v>124</v>
      </c>
      <c r="G140" s="1" t="str">
        <f>IFERROR(__xludf.DUMMYFUNCTION("""COMPUTED_VALUE"""),"Box Score")</f>
        <v>Box Score</v>
      </c>
      <c r="H140" s="1"/>
      <c r="I140" s="3">
        <f>IFERROR(__xludf.DUMMYFUNCTION("""COMPUTED_VALUE"""),19520.0)</f>
        <v>19520</v>
      </c>
      <c r="J140" s="1"/>
    </row>
    <row r="141" ht="15.75" customHeight="1">
      <c r="A141" s="2">
        <f>IFERROR(__xludf.DUMMYFUNCTION("""COMPUTED_VALUE"""),43485.0)</f>
        <v>43485</v>
      </c>
      <c r="B141" s="1" t="str">
        <f>IFERROR(__xludf.DUMMYFUNCTION("""COMPUTED_VALUE"""),"6:00p")</f>
        <v>6:00p</v>
      </c>
      <c r="C141" s="1" t="str">
        <f>IFERROR(__xludf.DUMMYFUNCTION("""COMPUTED_VALUE"""),"Charlotte Hornets")</f>
        <v>Charlotte Hornets</v>
      </c>
      <c r="D141" s="1">
        <f>IFERROR(__xludf.DUMMYFUNCTION("""COMPUTED_VALUE"""),95.0)</f>
        <v>95</v>
      </c>
      <c r="E141" s="1" t="str">
        <f>IFERROR(__xludf.DUMMYFUNCTION("""COMPUTED_VALUE"""),"Indiana Pacers")</f>
        <v>Indiana Pacers</v>
      </c>
      <c r="F141" s="1">
        <f>IFERROR(__xludf.DUMMYFUNCTION("""COMPUTED_VALUE"""),120.0)</f>
        <v>120</v>
      </c>
      <c r="G141" s="1" t="str">
        <f>IFERROR(__xludf.DUMMYFUNCTION("""COMPUTED_VALUE"""),"Box Score")</f>
        <v>Box Score</v>
      </c>
      <c r="H141" s="1"/>
      <c r="I141" s="3">
        <f>IFERROR(__xludf.DUMMYFUNCTION("""COMPUTED_VALUE"""),15015.0)</f>
        <v>15015</v>
      </c>
      <c r="J141" s="1"/>
    </row>
    <row r="142" ht="15.75" customHeight="1">
      <c r="A142" s="2">
        <f>IFERROR(__xludf.DUMMYFUNCTION("""COMPUTED_VALUE"""),43485.0)</f>
        <v>43485</v>
      </c>
      <c r="B142" s="1" t="str">
        <f>IFERROR(__xludf.DUMMYFUNCTION("""COMPUTED_VALUE"""),"7:00p")</f>
        <v>7:00p</v>
      </c>
      <c r="C142" s="1" t="str">
        <f>IFERROR(__xludf.DUMMYFUNCTION("""COMPUTED_VALUE"""),"Phoenix Suns")</f>
        <v>Phoenix Suns</v>
      </c>
      <c r="D142" s="1">
        <f>IFERROR(__xludf.DUMMYFUNCTION("""COMPUTED_VALUE"""),114.0)</f>
        <v>114</v>
      </c>
      <c r="E142" s="1" t="str">
        <f>IFERROR(__xludf.DUMMYFUNCTION("""COMPUTED_VALUE"""),"Minnesota Timberwolves")</f>
        <v>Minnesota Timberwolves</v>
      </c>
      <c r="F142" s="1">
        <f>IFERROR(__xludf.DUMMYFUNCTION("""COMPUTED_VALUE"""),116.0)</f>
        <v>116</v>
      </c>
      <c r="G142" s="1" t="str">
        <f>IFERROR(__xludf.DUMMYFUNCTION("""COMPUTED_VALUE"""),"Box Score")</f>
        <v>Box Score</v>
      </c>
      <c r="H142" s="1"/>
      <c r="I142" s="3">
        <f>IFERROR(__xludf.DUMMYFUNCTION("""COMPUTED_VALUE"""),14607.0)</f>
        <v>14607</v>
      </c>
      <c r="J142" s="1"/>
    </row>
    <row r="143" ht="15.75" customHeight="1">
      <c r="A143" s="2">
        <f>IFERROR(__xludf.DUMMYFUNCTION("""COMPUTED_VALUE"""),43485.0)</f>
        <v>43485</v>
      </c>
      <c r="B143" s="1" t="str">
        <f>IFERROR(__xludf.DUMMYFUNCTION("""COMPUTED_VALUE"""),"7:00p")</f>
        <v>7:00p</v>
      </c>
      <c r="C143" s="1" t="str">
        <f>IFERROR(__xludf.DUMMYFUNCTION("""COMPUTED_VALUE"""),"Los Angeles Clippers")</f>
        <v>Los Angeles Clippers</v>
      </c>
      <c r="D143" s="1">
        <f>IFERROR(__xludf.DUMMYFUNCTION("""COMPUTED_VALUE"""),103.0)</f>
        <v>103</v>
      </c>
      <c r="E143" s="1" t="str">
        <f>IFERROR(__xludf.DUMMYFUNCTION("""COMPUTED_VALUE"""),"San Antonio Spurs")</f>
        <v>San Antonio Spurs</v>
      </c>
      <c r="F143" s="1">
        <f>IFERROR(__xludf.DUMMYFUNCTION("""COMPUTED_VALUE"""),95.0)</f>
        <v>95</v>
      </c>
      <c r="G143" s="1" t="str">
        <f>IFERROR(__xludf.DUMMYFUNCTION("""COMPUTED_VALUE"""),"Box Score")</f>
        <v>Box Score</v>
      </c>
      <c r="H143" s="1"/>
      <c r="I143" s="3">
        <f>IFERROR(__xludf.DUMMYFUNCTION("""COMPUTED_VALUE"""),18354.0)</f>
        <v>18354</v>
      </c>
      <c r="J143" s="1"/>
    </row>
    <row r="144" ht="15.75" customHeight="1">
      <c r="A144" s="2">
        <f>IFERROR(__xludf.DUMMYFUNCTION("""COMPUTED_VALUE"""),43486.0)</f>
        <v>43486</v>
      </c>
      <c r="B144" s="1" t="str">
        <f>IFERROR(__xludf.DUMMYFUNCTION("""COMPUTED_VALUE"""),"12:30p")</f>
        <v>12:30p</v>
      </c>
      <c r="C144" s="1" t="str">
        <f>IFERROR(__xludf.DUMMYFUNCTION("""COMPUTED_VALUE"""),"Oklahoma City Thunder")</f>
        <v>Oklahoma City Thunder</v>
      </c>
      <c r="D144" s="1">
        <f>IFERROR(__xludf.DUMMYFUNCTION("""COMPUTED_VALUE"""),127.0)</f>
        <v>127</v>
      </c>
      <c r="E144" s="1" t="str">
        <f>IFERROR(__xludf.DUMMYFUNCTION("""COMPUTED_VALUE"""),"New York Knicks")</f>
        <v>New York Knicks</v>
      </c>
      <c r="F144" s="1">
        <f>IFERROR(__xludf.DUMMYFUNCTION("""COMPUTED_VALUE"""),109.0)</f>
        <v>109</v>
      </c>
      <c r="G144" s="1" t="str">
        <f>IFERROR(__xludf.DUMMYFUNCTION("""COMPUTED_VALUE"""),"Box Score")</f>
        <v>Box Score</v>
      </c>
      <c r="H144" s="1"/>
      <c r="I144" s="3">
        <f>IFERROR(__xludf.DUMMYFUNCTION("""COMPUTED_VALUE"""),19493.0)</f>
        <v>19493</v>
      </c>
      <c r="J144" s="1"/>
    </row>
    <row r="145" ht="15.75" customHeight="1">
      <c r="A145" s="2">
        <f>IFERROR(__xludf.DUMMYFUNCTION("""COMPUTED_VALUE"""),43486.0)</f>
        <v>43486</v>
      </c>
      <c r="B145" s="1" t="str">
        <f>IFERROR(__xludf.DUMMYFUNCTION("""COMPUTED_VALUE"""),"1:00p")</f>
        <v>1:00p</v>
      </c>
      <c r="C145" s="1" t="str">
        <f>IFERROR(__xludf.DUMMYFUNCTION("""COMPUTED_VALUE"""),"Chicago Bulls")</f>
        <v>Chicago Bulls</v>
      </c>
      <c r="D145" s="1">
        <f>IFERROR(__xludf.DUMMYFUNCTION("""COMPUTED_VALUE"""),104.0)</f>
        <v>104</v>
      </c>
      <c r="E145" s="1" t="str">
        <f>IFERROR(__xludf.DUMMYFUNCTION("""COMPUTED_VALUE"""),"Cleveland Cavaliers")</f>
        <v>Cleveland Cavaliers</v>
      </c>
      <c r="F145" s="1">
        <f>IFERROR(__xludf.DUMMYFUNCTION("""COMPUTED_VALUE"""),88.0)</f>
        <v>88</v>
      </c>
      <c r="G145" s="1" t="str">
        <f>IFERROR(__xludf.DUMMYFUNCTION("""COMPUTED_VALUE"""),"Box Score")</f>
        <v>Box Score</v>
      </c>
      <c r="H145" s="1"/>
      <c r="I145" s="3">
        <f>IFERROR(__xludf.DUMMYFUNCTION("""COMPUTED_VALUE"""),19432.0)</f>
        <v>19432</v>
      </c>
      <c r="J145" s="1"/>
    </row>
    <row r="146" ht="15.75" customHeight="1">
      <c r="A146" s="2">
        <f>IFERROR(__xludf.DUMMYFUNCTION("""COMPUTED_VALUE"""),43486.0)</f>
        <v>43486</v>
      </c>
      <c r="B146" s="1" t="str">
        <f>IFERROR(__xludf.DUMMYFUNCTION("""COMPUTED_VALUE"""),"2:00p")</f>
        <v>2:00p</v>
      </c>
      <c r="C146" s="1" t="str">
        <f>IFERROR(__xludf.DUMMYFUNCTION("""COMPUTED_VALUE"""),"Dallas Mavericks")</f>
        <v>Dallas Mavericks</v>
      </c>
      <c r="D146" s="1">
        <f>IFERROR(__xludf.DUMMYFUNCTION("""COMPUTED_VALUE"""),106.0)</f>
        <v>106</v>
      </c>
      <c r="E146" s="1" t="str">
        <f>IFERROR(__xludf.DUMMYFUNCTION("""COMPUTED_VALUE"""),"Milwaukee Bucks")</f>
        <v>Milwaukee Bucks</v>
      </c>
      <c r="F146" s="1">
        <f>IFERROR(__xludf.DUMMYFUNCTION("""COMPUTED_VALUE"""),116.0)</f>
        <v>116</v>
      </c>
      <c r="G146" s="1" t="str">
        <f>IFERROR(__xludf.DUMMYFUNCTION("""COMPUTED_VALUE"""),"Box Score")</f>
        <v>Box Score</v>
      </c>
      <c r="H146" s="1"/>
      <c r="I146" s="3">
        <f>IFERROR(__xludf.DUMMYFUNCTION("""COMPUTED_VALUE"""),17963.0)</f>
        <v>17963</v>
      </c>
      <c r="J146" s="1"/>
    </row>
    <row r="147" ht="15.75" customHeight="1">
      <c r="A147" s="2">
        <f>IFERROR(__xludf.DUMMYFUNCTION("""COMPUTED_VALUE"""),43486.0)</f>
        <v>43486</v>
      </c>
      <c r="B147" s="1" t="str">
        <f>IFERROR(__xludf.DUMMYFUNCTION("""COMPUTED_VALUE"""),"2:00p")</f>
        <v>2:00p</v>
      </c>
      <c r="C147" s="1" t="str">
        <f>IFERROR(__xludf.DUMMYFUNCTION("""COMPUTED_VALUE"""),"Detroit Pistons")</f>
        <v>Detroit Pistons</v>
      </c>
      <c r="D147" s="1">
        <f>IFERROR(__xludf.DUMMYFUNCTION("""COMPUTED_VALUE"""),87.0)</f>
        <v>87</v>
      </c>
      <c r="E147" s="1" t="str">
        <f>IFERROR(__xludf.DUMMYFUNCTION("""COMPUTED_VALUE"""),"Washington Wizards")</f>
        <v>Washington Wizards</v>
      </c>
      <c r="F147" s="1">
        <f>IFERROR(__xludf.DUMMYFUNCTION("""COMPUTED_VALUE"""),101.0)</f>
        <v>101</v>
      </c>
      <c r="G147" s="1" t="str">
        <f>IFERROR(__xludf.DUMMYFUNCTION("""COMPUTED_VALUE"""),"Box Score")</f>
        <v>Box Score</v>
      </c>
      <c r="H147" s="1"/>
      <c r="I147" s="3">
        <f>IFERROR(__xludf.DUMMYFUNCTION("""COMPUTED_VALUE"""),16229.0)</f>
        <v>16229</v>
      </c>
      <c r="J147" s="1"/>
    </row>
    <row r="148" ht="15.75" customHeight="1">
      <c r="A148" s="2">
        <f>IFERROR(__xludf.DUMMYFUNCTION("""COMPUTED_VALUE"""),43486.0)</f>
        <v>43486</v>
      </c>
      <c r="B148" s="1" t="str">
        <f>IFERROR(__xludf.DUMMYFUNCTION("""COMPUTED_VALUE"""),"3:00p")</f>
        <v>3:00p</v>
      </c>
      <c r="C148" s="1" t="str">
        <f>IFERROR(__xludf.DUMMYFUNCTION("""COMPUTED_VALUE"""),"Orlando Magic")</f>
        <v>Orlando Magic</v>
      </c>
      <c r="D148" s="1">
        <f>IFERROR(__xludf.DUMMYFUNCTION("""COMPUTED_VALUE"""),122.0)</f>
        <v>122</v>
      </c>
      <c r="E148" s="1" t="str">
        <f>IFERROR(__xludf.DUMMYFUNCTION("""COMPUTED_VALUE"""),"Atlanta Hawks")</f>
        <v>Atlanta Hawks</v>
      </c>
      <c r="F148" s="1">
        <f>IFERROR(__xludf.DUMMYFUNCTION("""COMPUTED_VALUE"""),103.0)</f>
        <v>103</v>
      </c>
      <c r="G148" s="1" t="str">
        <f>IFERROR(__xludf.DUMMYFUNCTION("""COMPUTED_VALUE"""),"Box Score")</f>
        <v>Box Score</v>
      </c>
      <c r="H148" s="1"/>
      <c r="I148" s="3">
        <f>IFERROR(__xludf.DUMMYFUNCTION("""COMPUTED_VALUE"""),16611.0)</f>
        <v>16611</v>
      </c>
      <c r="J148" s="1"/>
    </row>
    <row r="149" ht="15.75" customHeight="1">
      <c r="A149" s="2">
        <f>IFERROR(__xludf.DUMMYFUNCTION("""COMPUTED_VALUE"""),43486.0)</f>
        <v>43486</v>
      </c>
      <c r="B149" s="1" t="str">
        <f>IFERROR(__xludf.DUMMYFUNCTION("""COMPUTED_VALUE"""),"3:30p")</f>
        <v>3:30p</v>
      </c>
      <c r="C149" s="1" t="str">
        <f>IFERROR(__xludf.DUMMYFUNCTION("""COMPUTED_VALUE"""),"Sacramento Kings")</f>
        <v>Sacramento Kings</v>
      </c>
      <c r="D149" s="1">
        <f>IFERROR(__xludf.DUMMYFUNCTION("""COMPUTED_VALUE"""),94.0)</f>
        <v>94</v>
      </c>
      <c r="E149" s="1" t="str">
        <f>IFERROR(__xludf.DUMMYFUNCTION("""COMPUTED_VALUE"""),"Brooklyn Nets")</f>
        <v>Brooklyn Nets</v>
      </c>
      <c r="F149" s="1">
        <f>IFERROR(__xludf.DUMMYFUNCTION("""COMPUTED_VALUE"""),123.0)</f>
        <v>123</v>
      </c>
      <c r="G149" s="1" t="str">
        <f>IFERROR(__xludf.DUMMYFUNCTION("""COMPUTED_VALUE"""),"Box Score")</f>
        <v>Box Score</v>
      </c>
      <c r="H149" s="1"/>
      <c r="I149" s="3">
        <f>IFERROR(__xludf.DUMMYFUNCTION("""COMPUTED_VALUE"""),14233.0)</f>
        <v>14233</v>
      </c>
      <c r="J149" s="1"/>
    </row>
    <row r="150" ht="15.75" customHeight="1">
      <c r="A150" s="2">
        <f>IFERROR(__xludf.DUMMYFUNCTION("""COMPUTED_VALUE"""),43486.0)</f>
        <v>43486</v>
      </c>
      <c r="B150" s="1" t="str">
        <f>IFERROR(__xludf.DUMMYFUNCTION("""COMPUTED_VALUE"""),"5:30p")</f>
        <v>5:30p</v>
      </c>
      <c r="C150" s="1" t="str">
        <f>IFERROR(__xludf.DUMMYFUNCTION("""COMPUTED_VALUE"""),"New Orleans Pelicans")</f>
        <v>New Orleans Pelicans</v>
      </c>
      <c r="D150" s="1">
        <f>IFERROR(__xludf.DUMMYFUNCTION("""COMPUTED_VALUE"""),105.0)</f>
        <v>105</v>
      </c>
      <c r="E150" s="1" t="str">
        <f>IFERROR(__xludf.DUMMYFUNCTION("""COMPUTED_VALUE"""),"Memphis Grizzlies")</f>
        <v>Memphis Grizzlies</v>
      </c>
      <c r="F150" s="1">
        <f>IFERROR(__xludf.DUMMYFUNCTION("""COMPUTED_VALUE"""),85.0)</f>
        <v>85</v>
      </c>
      <c r="G150" s="1" t="str">
        <f>IFERROR(__xludf.DUMMYFUNCTION("""COMPUTED_VALUE"""),"Box Score")</f>
        <v>Box Score</v>
      </c>
      <c r="H150" s="1"/>
      <c r="I150" s="3">
        <f>IFERROR(__xludf.DUMMYFUNCTION("""COMPUTED_VALUE"""),17794.0)</f>
        <v>17794</v>
      </c>
      <c r="J150" s="1"/>
    </row>
    <row r="151" ht="15.75" customHeight="1">
      <c r="A151" s="2">
        <f>IFERROR(__xludf.DUMMYFUNCTION("""COMPUTED_VALUE"""),43486.0)</f>
        <v>43486</v>
      </c>
      <c r="B151" s="1" t="str">
        <f>IFERROR(__xludf.DUMMYFUNCTION("""COMPUTED_VALUE"""),"6:00p")</f>
        <v>6:00p</v>
      </c>
      <c r="C151" s="1" t="str">
        <f>IFERROR(__xludf.DUMMYFUNCTION("""COMPUTED_VALUE"""),"Miami Heat")</f>
        <v>Miami Heat</v>
      </c>
      <c r="D151" s="1">
        <f>IFERROR(__xludf.DUMMYFUNCTION("""COMPUTED_VALUE"""),99.0)</f>
        <v>99</v>
      </c>
      <c r="E151" s="1" t="str">
        <f>IFERROR(__xludf.DUMMYFUNCTION("""COMPUTED_VALUE"""),"Boston Celtics")</f>
        <v>Boston Celtics</v>
      </c>
      <c r="F151" s="1">
        <f>IFERROR(__xludf.DUMMYFUNCTION("""COMPUTED_VALUE"""),107.0)</f>
        <v>107</v>
      </c>
      <c r="G151" s="1" t="str">
        <f>IFERROR(__xludf.DUMMYFUNCTION("""COMPUTED_VALUE"""),"Box Score")</f>
        <v>Box Score</v>
      </c>
      <c r="H151" s="1"/>
      <c r="I151" s="3">
        <f>IFERROR(__xludf.DUMMYFUNCTION("""COMPUTED_VALUE"""),18624.0)</f>
        <v>18624</v>
      </c>
      <c r="J151" s="1"/>
    </row>
    <row r="152" ht="15.75" customHeight="1">
      <c r="A152" s="2">
        <f>IFERROR(__xludf.DUMMYFUNCTION("""COMPUTED_VALUE"""),43486.0)</f>
        <v>43486</v>
      </c>
      <c r="B152" s="1" t="str">
        <f>IFERROR(__xludf.DUMMYFUNCTION("""COMPUTED_VALUE"""),"8:00p")</f>
        <v>8:00p</v>
      </c>
      <c r="C152" s="1" t="str">
        <f>IFERROR(__xludf.DUMMYFUNCTION("""COMPUTED_VALUE"""),"Houston Rockets")</f>
        <v>Houston Rockets</v>
      </c>
      <c r="D152" s="1">
        <f>IFERROR(__xludf.DUMMYFUNCTION("""COMPUTED_VALUE"""),93.0)</f>
        <v>93</v>
      </c>
      <c r="E152" s="1" t="str">
        <f>IFERROR(__xludf.DUMMYFUNCTION("""COMPUTED_VALUE"""),"Philadelphia 76ers")</f>
        <v>Philadelphia 76ers</v>
      </c>
      <c r="F152" s="1">
        <f>IFERROR(__xludf.DUMMYFUNCTION("""COMPUTED_VALUE"""),121.0)</f>
        <v>121</v>
      </c>
      <c r="G152" s="1" t="str">
        <f>IFERROR(__xludf.DUMMYFUNCTION("""COMPUTED_VALUE"""),"Box Score")</f>
        <v>Box Score</v>
      </c>
      <c r="H152" s="1"/>
      <c r="I152" s="3">
        <f>IFERROR(__xludf.DUMMYFUNCTION("""COMPUTED_VALUE"""),20313.0)</f>
        <v>20313</v>
      </c>
      <c r="J152" s="1"/>
    </row>
    <row r="153" ht="15.75" customHeight="1">
      <c r="A153" s="2">
        <f>IFERROR(__xludf.DUMMYFUNCTION("""COMPUTED_VALUE"""),43486.0)</f>
        <v>43486</v>
      </c>
      <c r="B153" s="1" t="str">
        <f>IFERROR(__xludf.DUMMYFUNCTION("""COMPUTED_VALUE"""),"9:00p")</f>
        <v>9:00p</v>
      </c>
      <c r="C153" s="1" t="str">
        <f>IFERROR(__xludf.DUMMYFUNCTION("""COMPUTED_VALUE"""),"Portland Trail Blazers")</f>
        <v>Portland Trail Blazers</v>
      </c>
      <c r="D153" s="1">
        <f>IFERROR(__xludf.DUMMYFUNCTION("""COMPUTED_VALUE"""),109.0)</f>
        <v>109</v>
      </c>
      <c r="E153" s="1" t="str">
        <f>IFERROR(__xludf.DUMMYFUNCTION("""COMPUTED_VALUE"""),"Utah Jazz")</f>
        <v>Utah Jazz</v>
      </c>
      <c r="F153" s="1">
        <f>IFERROR(__xludf.DUMMYFUNCTION("""COMPUTED_VALUE"""),104.0)</f>
        <v>104</v>
      </c>
      <c r="G153" s="1" t="str">
        <f>IFERROR(__xludf.DUMMYFUNCTION("""COMPUTED_VALUE"""),"Box Score")</f>
        <v>Box Score</v>
      </c>
      <c r="H153" s="1"/>
      <c r="I153" s="3">
        <f>IFERROR(__xludf.DUMMYFUNCTION("""COMPUTED_VALUE"""),18306.0)</f>
        <v>18306</v>
      </c>
      <c r="J153" s="1"/>
    </row>
    <row r="154" ht="15.75" customHeight="1">
      <c r="A154" s="2">
        <f>IFERROR(__xludf.DUMMYFUNCTION("""COMPUTED_VALUE"""),43486.0)</f>
        <v>43486</v>
      </c>
      <c r="B154" s="1" t="str">
        <f>IFERROR(__xludf.DUMMYFUNCTION("""COMPUTED_VALUE"""),"10:30p")</f>
        <v>10:30p</v>
      </c>
      <c r="C154" s="1" t="str">
        <f>IFERROR(__xludf.DUMMYFUNCTION("""COMPUTED_VALUE"""),"Golden State Warriors")</f>
        <v>Golden State Warriors</v>
      </c>
      <c r="D154" s="1">
        <f>IFERROR(__xludf.DUMMYFUNCTION("""COMPUTED_VALUE"""),130.0)</f>
        <v>130</v>
      </c>
      <c r="E154" s="1" t="str">
        <f>IFERROR(__xludf.DUMMYFUNCTION("""COMPUTED_VALUE"""),"Los Angeles Lakers")</f>
        <v>Los Angeles Lakers</v>
      </c>
      <c r="F154" s="1">
        <f>IFERROR(__xludf.DUMMYFUNCTION("""COMPUTED_VALUE"""),111.0)</f>
        <v>111</v>
      </c>
      <c r="G154" s="1" t="str">
        <f>IFERROR(__xludf.DUMMYFUNCTION("""COMPUTED_VALUE"""),"Box Score")</f>
        <v>Box Score</v>
      </c>
      <c r="H154" s="1"/>
      <c r="I154" s="3">
        <f>IFERROR(__xludf.DUMMYFUNCTION("""COMPUTED_VALUE"""),18997.0)</f>
        <v>18997</v>
      </c>
      <c r="J154" s="1"/>
    </row>
    <row r="155" ht="15.75" customHeight="1">
      <c r="A155" s="2">
        <f>IFERROR(__xludf.DUMMYFUNCTION("""COMPUTED_VALUE"""),43487.0)</f>
        <v>43487</v>
      </c>
      <c r="B155" s="1" t="str">
        <f>IFERROR(__xludf.DUMMYFUNCTION("""COMPUTED_VALUE"""),"7:00p")</f>
        <v>7:00p</v>
      </c>
      <c r="C155" s="1" t="str">
        <f>IFERROR(__xludf.DUMMYFUNCTION("""COMPUTED_VALUE"""),"Sacramento Kings")</f>
        <v>Sacramento Kings</v>
      </c>
      <c r="D155" s="1">
        <f>IFERROR(__xludf.DUMMYFUNCTION("""COMPUTED_VALUE"""),105.0)</f>
        <v>105</v>
      </c>
      <c r="E155" s="1" t="str">
        <f>IFERROR(__xludf.DUMMYFUNCTION("""COMPUTED_VALUE"""),"Toronto Raptors")</f>
        <v>Toronto Raptors</v>
      </c>
      <c r="F155" s="1">
        <f>IFERROR(__xludf.DUMMYFUNCTION("""COMPUTED_VALUE"""),120.0)</f>
        <v>120</v>
      </c>
      <c r="G155" s="1" t="str">
        <f>IFERROR(__xludf.DUMMYFUNCTION("""COMPUTED_VALUE"""),"Box Score")</f>
        <v>Box Score</v>
      </c>
      <c r="H155" s="1"/>
      <c r="I155" s="3">
        <f>IFERROR(__xludf.DUMMYFUNCTION("""COMPUTED_VALUE"""),19800.0)</f>
        <v>19800</v>
      </c>
      <c r="J155" s="1"/>
    </row>
    <row r="156" ht="15.75" customHeight="1">
      <c r="A156" s="2">
        <f>IFERROR(__xludf.DUMMYFUNCTION("""COMPUTED_VALUE"""),43487.0)</f>
        <v>43487</v>
      </c>
      <c r="B156" s="1" t="str">
        <f>IFERROR(__xludf.DUMMYFUNCTION("""COMPUTED_VALUE"""),"8:00p")</f>
        <v>8:00p</v>
      </c>
      <c r="C156" s="1" t="str">
        <f>IFERROR(__xludf.DUMMYFUNCTION("""COMPUTED_VALUE"""),"Portland Trail Blazers")</f>
        <v>Portland Trail Blazers</v>
      </c>
      <c r="D156" s="1">
        <f>IFERROR(__xludf.DUMMYFUNCTION("""COMPUTED_VALUE"""),114.0)</f>
        <v>114</v>
      </c>
      <c r="E156" s="1" t="str">
        <f>IFERROR(__xludf.DUMMYFUNCTION("""COMPUTED_VALUE"""),"Oklahoma City Thunder")</f>
        <v>Oklahoma City Thunder</v>
      </c>
      <c r="F156" s="1">
        <f>IFERROR(__xludf.DUMMYFUNCTION("""COMPUTED_VALUE"""),123.0)</f>
        <v>123</v>
      </c>
      <c r="G156" s="1" t="str">
        <f>IFERROR(__xludf.DUMMYFUNCTION("""COMPUTED_VALUE"""),"Box Score")</f>
        <v>Box Score</v>
      </c>
      <c r="H156" s="1"/>
      <c r="I156" s="3">
        <f>IFERROR(__xludf.DUMMYFUNCTION("""COMPUTED_VALUE"""),18203.0)</f>
        <v>18203</v>
      </c>
      <c r="J156" s="1"/>
    </row>
    <row r="157" ht="15.75" customHeight="1">
      <c r="A157" s="2">
        <f>IFERROR(__xludf.DUMMYFUNCTION("""COMPUTED_VALUE"""),43487.0)</f>
        <v>43487</v>
      </c>
      <c r="B157" s="1" t="str">
        <f>IFERROR(__xludf.DUMMYFUNCTION("""COMPUTED_VALUE"""),"8:30p")</f>
        <v>8:30p</v>
      </c>
      <c r="C157" s="1" t="str">
        <f>IFERROR(__xludf.DUMMYFUNCTION("""COMPUTED_VALUE"""),"Los Angeles Clippers")</f>
        <v>Los Angeles Clippers</v>
      </c>
      <c r="D157" s="1">
        <f>IFERROR(__xludf.DUMMYFUNCTION("""COMPUTED_VALUE"""),98.0)</f>
        <v>98</v>
      </c>
      <c r="E157" s="1" t="str">
        <f>IFERROR(__xludf.DUMMYFUNCTION("""COMPUTED_VALUE"""),"Dallas Mavericks")</f>
        <v>Dallas Mavericks</v>
      </c>
      <c r="F157" s="1">
        <f>IFERROR(__xludf.DUMMYFUNCTION("""COMPUTED_VALUE"""),106.0)</f>
        <v>106</v>
      </c>
      <c r="G157" s="1" t="str">
        <f>IFERROR(__xludf.DUMMYFUNCTION("""COMPUTED_VALUE"""),"Box Score")</f>
        <v>Box Score</v>
      </c>
      <c r="H157" s="1"/>
      <c r="I157" s="3">
        <f>IFERROR(__xludf.DUMMYFUNCTION("""COMPUTED_VALUE"""),19466.0)</f>
        <v>19466</v>
      </c>
      <c r="J157" s="1"/>
    </row>
    <row r="158" ht="15.75" customHeight="1">
      <c r="A158" s="2">
        <f>IFERROR(__xludf.DUMMYFUNCTION("""COMPUTED_VALUE"""),43487.0)</f>
        <v>43487</v>
      </c>
      <c r="B158" s="1" t="str">
        <f>IFERROR(__xludf.DUMMYFUNCTION("""COMPUTED_VALUE"""),"9:00p")</f>
        <v>9:00p</v>
      </c>
      <c r="C158" s="1" t="str">
        <f>IFERROR(__xludf.DUMMYFUNCTION("""COMPUTED_VALUE"""),"Minnesota Timberwolves")</f>
        <v>Minnesota Timberwolves</v>
      </c>
      <c r="D158" s="1">
        <f>IFERROR(__xludf.DUMMYFUNCTION("""COMPUTED_VALUE"""),118.0)</f>
        <v>118</v>
      </c>
      <c r="E158" s="1" t="str">
        <f>IFERROR(__xludf.DUMMYFUNCTION("""COMPUTED_VALUE"""),"Phoenix Suns")</f>
        <v>Phoenix Suns</v>
      </c>
      <c r="F158" s="1">
        <f>IFERROR(__xludf.DUMMYFUNCTION("""COMPUTED_VALUE"""),91.0)</f>
        <v>91</v>
      </c>
      <c r="G158" s="1" t="str">
        <f>IFERROR(__xludf.DUMMYFUNCTION("""COMPUTED_VALUE"""),"Box Score")</f>
        <v>Box Score</v>
      </c>
      <c r="H158" s="1"/>
      <c r="I158" s="3">
        <f>IFERROR(__xludf.DUMMYFUNCTION("""COMPUTED_VALUE"""),14460.0)</f>
        <v>14460</v>
      </c>
      <c r="J158" s="1"/>
    </row>
    <row r="159" ht="15.75" customHeight="1">
      <c r="A159" s="2">
        <f>IFERROR(__xludf.DUMMYFUNCTION("""COMPUTED_VALUE"""),43488.0)</f>
        <v>43488</v>
      </c>
      <c r="B159" s="1" t="str">
        <f>IFERROR(__xludf.DUMMYFUNCTION("""COMPUTED_VALUE"""),"7:00p")</f>
        <v>7:00p</v>
      </c>
      <c r="C159" s="1" t="str">
        <f>IFERROR(__xludf.DUMMYFUNCTION("""COMPUTED_VALUE"""),"Toronto Raptors")</f>
        <v>Toronto Raptors</v>
      </c>
      <c r="D159" s="1">
        <f>IFERROR(__xludf.DUMMYFUNCTION("""COMPUTED_VALUE"""),106.0)</f>
        <v>106</v>
      </c>
      <c r="E159" s="1" t="str">
        <f>IFERROR(__xludf.DUMMYFUNCTION("""COMPUTED_VALUE"""),"Indiana Pacers")</f>
        <v>Indiana Pacers</v>
      </c>
      <c r="F159" s="1">
        <f>IFERROR(__xludf.DUMMYFUNCTION("""COMPUTED_VALUE"""),110.0)</f>
        <v>110</v>
      </c>
      <c r="G159" s="1" t="str">
        <f>IFERROR(__xludf.DUMMYFUNCTION("""COMPUTED_VALUE"""),"Box Score")</f>
        <v>Box Score</v>
      </c>
      <c r="H159" s="1"/>
      <c r="I159" s="3">
        <f>IFERROR(__xludf.DUMMYFUNCTION("""COMPUTED_VALUE"""),16879.0)</f>
        <v>16879</v>
      </c>
      <c r="J159" s="1"/>
    </row>
    <row r="160" ht="15.75" customHeight="1">
      <c r="A160" s="2">
        <f>IFERROR(__xludf.DUMMYFUNCTION("""COMPUTED_VALUE"""),43488.0)</f>
        <v>43488</v>
      </c>
      <c r="B160" s="1" t="str">
        <f>IFERROR(__xludf.DUMMYFUNCTION("""COMPUTED_VALUE"""),"7:30p")</f>
        <v>7:30p</v>
      </c>
      <c r="C160" s="1" t="str">
        <f>IFERROR(__xludf.DUMMYFUNCTION("""COMPUTED_VALUE"""),"Cleveland Cavaliers")</f>
        <v>Cleveland Cavaliers</v>
      </c>
      <c r="D160" s="1">
        <f>IFERROR(__xludf.DUMMYFUNCTION("""COMPUTED_VALUE"""),103.0)</f>
        <v>103</v>
      </c>
      <c r="E160" s="1" t="str">
        <f>IFERROR(__xludf.DUMMYFUNCTION("""COMPUTED_VALUE"""),"Boston Celtics")</f>
        <v>Boston Celtics</v>
      </c>
      <c r="F160" s="1">
        <f>IFERROR(__xludf.DUMMYFUNCTION("""COMPUTED_VALUE"""),123.0)</f>
        <v>123</v>
      </c>
      <c r="G160" s="1" t="str">
        <f>IFERROR(__xludf.DUMMYFUNCTION("""COMPUTED_VALUE"""),"Box Score")</f>
        <v>Box Score</v>
      </c>
      <c r="H160" s="1"/>
      <c r="I160" s="3">
        <f>IFERROR(__xludf.DUMMYFUNCTION("""COMPUTED_VALUE"""),18624.0)</f>
        <v>18624</v>
      </c>
      <c r="J160" s="1"/>
    </row>
    <row r="161" ht="15.75" customHeight="1">
      <c r="A161" s="2">
        <f>IFERROR(__xludf.DUMMYFUNCTION("""COMPUTED_VALUE"""),43488.0)</f>
        <v>43488</v>
      </c>
      <c r="B161" s="1" t="str">
        <f>IFERROR(__xludf.DUMMYFUNCTION("""COMPUTED_VALUE"""),"7:30p")</f>
        <v>7:30p</v>
      </c>
      <c r="C161" s="1" t="str">
        <f>IFERROR(__xludf.DUMMYFUNCTION("""COMPUTED_VALUE"""),"Orlando Magic")</f>
        <v>Orlando Magic</v>
      </c>
      <c r="D161" s="1">
        <f>IFERROR(__xludf.DUMMYFUNCTION("""COMPUTED_VALUE"""),110.0)</f>
        <v>110</v>
      </c>
      <c r="E161" s="1" t="str">
        <f>IFERROR(__xludf.DUMMYFUNCTION("""COMPUTED_VALUE"""),"Brooklyn Nets")</f>
        <v>Brooklyn Nets</v>
      </c>
      <c r="F161" s="1">
        <f>IFERROR(__xludf.DUMMYFUNCTION("""COMPUTED_VALUE"""),114.0)</f>
        <v>114</v>
      </c>
      <c r="G161" s="1" t="str">
        <f>IFERROR(__xludf.DUMMYFUNCTION("""COMPUTED_VALUE"""),"Box Score")</f>
        <v>Box Score</v>
      </c>
      <c r="H161" s="1"/>
      <c r="I161" s="3">
        <f>IFERROR(__xludf.DUMMYFUNCTION("""COMPUTED_VALUE"""),13185.0)</f>
        <v>13185</v>
      </c>
      <c r="J161" s="1"/>
    </row>
    <row r="162" ht="15.75" customHeight="1">
      <c r="A162" s="2">
        <f>IFERROR(__xludf.DUMMYFUNCTION("""COMPUTED_VALUE"""),43488.0)</f>
        <v>43488</v>
      </c>
      <c r="B162" s="1" t="str">
        <f>IFERROR(__xludf.DUMMYFUNCTION("""COMPUTED_VALUE"""),"7:30p")</f>
        <v>7:30p</v>
      </c>
      <c r="C162" s="1" t="str">
        <f>IFERROR(__xludf.DUMMYFUNCTION("""COMPUTED_VALUE"""),"Los Angeles Clippers")</f>
        <v>Los Angeles Clippers</v>
      </c>
      <c r="D162" s="1">
        <f>IFERROR(__xludf.DUMMYFUNCTION("""COMPUTED_VALUE"""),111.0)</f>
        <v>111</v>
      </c>
      <c r="E162" s="1" t="str">
        <f>IFERROR(__xludf.DUMMYFUNCTION("""COMPUTED_VALUE"""),"Miami Heat")</f>
        <v>Miami Heat</v>
      </c>
      <c r="F162" s="1">
        <f>IFERROR(__xludf.DUMMYFUNCTION("""COMPUTED_VALUE"""),99.0)</f>
        <v>99</v>
      </c>
      <c r="G162" s="1" t="str">
        <f>IFERROR(__xludf.DUMMYFUNCTION("""COMPUTED_VALUE"""),"Box Score")</f>
        <v>Box Score</v>
      </c>
      <c r="H162" s="1"/>
      <c r="I162" s="3">
        <f>IFERROR(__xludf.DUMMYFUNCTION("""COMPUTED_VALUE"""),19600.0)</f>
        <v>19600</v>
      </c>
      <c r="J162" s="1"/>
    </row>
    <row r="163" ht="15.75" customHeight="1">
      <c r="A163" s="2">
        <f>IFERROR(__xludf.DUMMYFUNCTION("""COMPUTED_VALUE"""),43488.0)</f>
        <v>43488</v>
      </c>
      <c r="B163" s="1" t="str">
        <f>IFERROR(__xludf.DUMMYFUNCTION("""COMPUTED_VALUE"""),"7:30p")</f>
        <v>7:30p</v>
      </c>
      <c r="C163" s="1" t="str">
        <f>IFERROR(__xludf.DUMMYFUNCTION("""COMPUTED_VALUE"""),"Houston Rockets")</f>
        <v>Houston Rockets</v>
      </c>
      <c r="D163" s="1">
        <f>IFERROR(__xludf.DUMMYFUNCTION("""COMPUTED_VALUE"""),114.0)</f>
        <v>114</v>
      </c>
      <c r="E163" s="1" t="str">
        <f>IFERROR(__xludf.DUMMYFUNCTION("""COMPUTED_VALUE"""),"New York Knicks")</f>
        <v>New York Knicks</v>
      </c>
      <c r="F163" s="1">
        <f>IFERROR(__xludf.DUMMYFUNCTION("""COMPUTED_VALUE"""),110.0)</f>
        <v>110</v>
      </c>
      <c r="G163" s="1" t="str">
        <f>IFERROR(__xludf.DUMMYFUNCTION("""COMPUTED_VALUE"""),"Box Score")</f>
        <v>Box Score</v>
      </c>
      <c r="H163" s="1"/>
      <c r="I163" s="3">
        <f>IFERROR(__xludf.DUMMYFUNCTION("""COMPUTED_VALUE"""),18819.0)</f>
        <v>18819</v>
      </c>
      <c r="J163" s="1"/>
    </row>
    <row r="164" ht="15.75" customHeight="1">
      <c r="A164" s="2">
        <f>IFERROR(__xludf.DUMMYFUNCTION("""COMPUTED_VALUE"""),43488.0)</f>
        <v>43488</v>
      </c>
      <c r="B164" s="1" t="str">
        <f>IFERROR(__xludf.DUMMYFUNCTION("""COMPUTED_VALUE"""),"8:00p")</f>
        <v>8:00p</v>
      </c>
      <c r="C164" s="1" t="str">
        <f>IFERROR(__xludf.DUMMYFUNCTION("""COMPUTED_VALUE"""),"Atlanta Hawks")</f>
        <v>Atlanta Hawks</v>
      </c>
      <c r="D164" s="1">
        <f>IFERROR(__xludf.DUMMYFUNCTION("""COMPUTED_VALUE"""),121.0)</f>
        <v>121</v>
      </c>
      <c r="E164" s="1" t="str">
        <f>IFERROR(__xludf.DUMMYFUNCTION("""COMPUTED_VALUE"""),"Chicago Bulls")</f>
        <v>Chicago Bulls</v>
      </c>
      <c r="F164" s="1">
        <f>IFERROR(__xludf.DUMMYFUNCTION("""COMPUTED_VALUE"""),101.0)</f>
        <v>101</v>
      </c>
      <c r="G164" s="1" t="str">
        <f>IFERROR(__xludf.DUMMYFUNCTION("""COMPUTED_VALUE"""),"Box Score")</f>
        <v>Box Score</v>
      </c>
      <c r="H164" s="1"/>
      <c r="I164" s="3">
        <f>IFERROR(__xludf.DUMMYFUNCTION("""COMPUTED_VALUE"""),18223.0)</f>
        <v>18223</v>
      </c>
      <c r="J164" s="1"/>
    </row>
    <row r="165" ht="15.75" customHeight="1">
      <c r="A165" s="2">
        <f>IFERROR(__xludf.DUMMYFUNCTION("""COMPUTED_VALUE"""),43488.0)</f>
        <v>43488</v>
      </c>
      <c r="B165" s="1" t="str">
        <f>IFERROR(__xludf.DUMMYFUNCTION("""COMPUTED_VALUE"""),"8:00p")</f>
        <v>8:00p</v>
      </c>
      <c r="C165" s="1" t="str">
        <f>IFERROR(__xludf.DUMMYFUNCTION("""COMPUTED_VALUE"""),"Charlotte Hornets")</f>
        <v>Charlotte Hornets</v>
      </c>
      <c r="D165" s="1">
        <f>IFERROR(__xludf.DUMMYFUNCTION("""COMPUTED_VALUE"""),118.0)</f>
        <v>118</v>
      </c>
      <c r="E165" s="1" t="str">
        <f>IFERROR(__xludf.DUMMYFUNCTION("""COMPUTED_VALUE"""),"Memphis Grizzlies")</f>
        <v>Memphis Grizzlies</v>
      </c>
      <c r="F165" s="1">
        <f>IFERROR(__xludf.DUMMYFUNCTION("""COMPUTED_VALUE"""),107.0)</f>
        <v>107</v>
      </c>
      <c r="G165" s="1" t="str">
        <f>IFERROR(__xludf.DUMMYFUNCTION("""COMPUTED_VALUE"""),"Box Score")</f>
        <v>Box Score</v>
      </c>
      <c r="H165" s="1"/>
      <c r="I165" s="3">
        <f>IFERROR(__xludf.DUMMYFUNCTION("""COMPUTED_VALUE"""),12863.0)</f>
        <v>12863</v>
      </c>
      <c r="J165" s="1"/>
    </row>
    <row r="166" ht="15.75" customHeight="1">
      <c r="A166" s="2">
        <f>IFERROR(__xludf.DUMMYFUNCTION("""COMPUTED_VALUE"""),43488.0)</f>
        <v>43488</v>
      </c>
      <c r="B166" s="1" t="str">
        <f>IFERROR(__xludf.DUMMYFUNCTION("""COMPUTED_VALUE"""),"8:00p")</f>
        <v>8:00p</v>
      </c>
      <c r="C166" s="1" t="str">
        <f>IFERROR(__xludf.DUMMYFUNCTION("""COMPUTED_VALUE"""),"Detroit Pistons")</f>
        <v>Detroit Pistons</v>
      </c>
      <c r="D166" s="1">
        <f>IFERROR(__xludf.DUMMYFUNCTION("""COMPUTED_VALUE"""),98.0)</f>
        <v>98</v>
      </c>
      <c r="E166" s="1" t="str">
        <f>IFERROR(__xludf.DUMMYFUNCTION("""COMPUTED_VALUE"""),"New Orleans Pelicans")</f>
        <v>New Orleans Pelicans</v>
      </c>
      <c r="F166" s="1">
        <f>IFERROR(__xludf.DUMMYFUNCTION("""COMPUTED_VALUE"""),94.0)</f>
        <v>94</v>
      </c>
      <c r="G166" s="1" t="str">
        <f>IFERROR(__xludf.DUMMYFUNCTION("""COMPUTED_VALUE"""),"Box Score")</f>
        <v>Box Score</v>
      </c>
      <c r="H166" s="1"/>
      <c r="I166" s="3">
        <f>IFERROR(__xludf.DUMMYFUNCTION("""COMPUTED_VALUE"""),18181.0)</f>
        <v>18181</v>
      </c>
      <c r="J166" s="1"/>
    </row>
    <row r="167" ht="15.75" customHeight="1">
      <c r="A167" s="2">
        <f>IFERROR(__xludf.DUMMYFUNCTION("""COMPUTED_VALUE"""),43488.0)</f>
        <v>43488</v>
      </c>
      <c r="B167" s="1" t="str">
        <f>IFERROR(__xludf.DUMMYFUNCTION("""COMPUTED_VALUE"""),"8:00p")</f>
        <v>8:00p</v>
      </c>
      <c r="C167" s="1" t="str">
        <f>IFERROR(__xludf.DUMMYFUNCTION("""COMPUTED_VALUE"""),"San Antonio Spurs")</f>
        <v>San Antonio Spurs</v>
      </c>
      <c r="D167" s="1">
        <f>IFERROR(__xludf.DUMMYFUNCTION("""COMPUTED_VALUE"""),120.0)</f>
        <v>120</v>
      </c>
      <c r="E167" s="1" t="str">
        <f>IFERROR(__xludf.DUMMYFUNCTION("""COMPUTED_VALUE"""),"Philadelphia 76ers")</f>
        <v>Philadelphia 76ers</v>
      </c>
      <c r="F167" s="1">
        <f>IFERROR(__xludf.DUMMYFUNCTION("""COMPUTED_VALUE"""),122.0)</f>
        <v>122</v>
      </c>
      <c r="G167" s="1" t="str">
        <f>IFERROR(__xludf.DUMMYFUNCTION("""COMPUTED_VALUE"""),"Box Score")</f>
        <v>Box Score</v>
      </c>
      <c r="H167" s="1"/>
      <c r="I167" s="3">
        <f>IFERROR(__xludf.DUMMYFUNCTION("""COMPUTED_VALUE"""),20339.0)</f>
        <v>20339</v>
      </c>
      <c r="J167" s="1"/>
    </row>
    <row r="168" ht="15.75" customHeight="1">
      <c r="A168" s="2">
        <f>IFERROR(__xludf.DUMMYFUNCTION("""COMPUTED_VALUE"""),43488.0)</f>
        <v>43488</v>
      </c>
      <c r="B168" s="1" t="str">
        <f>IFERROR(__xludf.DUMMYFUNCTION("""COMPUTED_VALUE"""),"10:30p")</f>
        <v>10:30p</v>
      </c>
      <c r="C168" s="1" t="str">
        <f>IFERROR(__xludf.DUMMYFUNCTION("""COMPUTED_VALUE"""),"Denver Nuggets")</f>
        <v>Denver Nuggets</v>
      </c>
      <c r="D168" s="1">
        <f>IFERROR(__xludf.DUMMYFUNCTION("""COMPUTED_VALUE"""),108.0)</f>
        <v>108</v>
      </c>
      <c r="E168" s="1" t="str">
        <f>IFERROR(__xludf.DUMMYFUNCTION("""COMPUTED_VALUE"""),"Utah Jazz")</f>
        <v>Utah Jazz</v>
      </c>
      <c r="F168" s="1">
        <f>IFERROR(__xludf.DUMMYFUNCTION("""COMPUTED_VALUE"""),114.0)</f>
        <v>114</v>
      </c>
      <c r="G168" s="1" t="str">
        <f>IFERROR(__xludf.DUMMYFUNCTION("""COMPUTED_VALUE"""),"Box Score")</f>
        <v>Box Score</v>
      </c>
      <c r="H168" s="1"/>
      <c r="I168" s="3">
        <f>IFERROR(__xludf.DUMMYFUNCTION("""COMPUTED_VALUE"""),18306.0)</f>
        <v>18306</v>
      </c>
      <c r="J168" s="1"/>
    </row>
    <row r="169" ht="15.75" customHeight="1">
      <c r="A169" s="2">
        <f>IFERROR(__xludf.DUMMYFUNCTION("""COMPUTED_VALUE"""),43489.0)</f>
        <v>43489</v>
      </c>
      <c r="B169" s="1" t="str">
        <f>IFERROR(__xludf.DUMMYFUNCTION("""COMPUTED_VALUE"""),"8:00p")</f>
        <v>8:00p</v>
      </c>
      <c r="C169" s="1" t="str">
        <f>IFERROR(__xludf.DUMMYFUNCTION("""COMPUTED_VALUE"""),"New Orleans Pelicans")</f>
        <v>New Orleans Pelicans</v>
      </c>
      <c r="D169" s="1">
        <f>IFERROR(__xludf.DUMMYFUNCTION("""COMPUTED_VALUE"""),116.0)</f>
        <v>116</v>
      </c>
      <c r="E169" s="1" t="str">
        <f>IFERROR(__xludf.DUMMYFUNCTION("""COMPUTED_VALUE"""),"Oklahoma City Thunder")</f>
        <v>Oklahoma City Thunder</v>
      </c>
      <c r="F169" s="1">
        <f>IFERROR(__xludf.DUMMYFUNCTION("""COMPUTED_VALUE"""),122.0)</f>
        <v>122</v>
      </c>
      <c r="G169" s="1" t="str">
        <f>IFERROR(__xludf.DUMMYFUNCTION("""COMPUTED_VALUE"""),"Box Score")</f>
        <v>Box Score</v>
      </c>
      <c r="H169" s="1"/>
      <c r="I169" s="3">
        <f>IFERROR(__xludf.DUMMYFUNCTION("""COMPUTED_VALUE"""),18203.0)</f>
        <v>18203</v>
      </c>
      <c r="J169" s="1"/>
    </row>
    <row r="170" ht="15.75" customHeight="1">
      <c r="A170" s="2">
        <f>IFERROR(__xludf.DUMMYFUNCTION("""COMPUTED_VALUE"""),43489.0)</f>
        <v>43489</v>
      </c>
      <c r="B170" s="1" t="str">
        <f>IFERROR(__xludf.DUMMYFUNCTION("""COMPUTED_VALUE"""),"8:00p")</f>
        <v>8:00p</v>
      </c>
      <c r="C170" s="1" t="str">
        <f>IFERROR(__xludf.DUMMYFUNCTION("""COMPUTED_VALUE"""),"Golden State Warriors")</f>
        <v>Golden State Warriors</v>
      </c>
      <c r="D170" s="1">
        <f>IFERROR(__xludf.DUMMYFUNCTION("""COMPUTED_VALUE"""),126.0)</f>
        <v>126</v>
      </c>
      <c r="E170" s="1" t="str">
        <f>IFERROR(__xludf.DUMMYFUNCTION("""COMPUTED_VALUE"""),"Washington Wizards")</f>
        <v>Washington Wizards</v>
      </c>
      <c r="F170" s="1">
        <f>IFERROR(__xludf.DUMMYFUNCTION("""COMPUTED_VALUE"""),118.0)</f>
        <v>118</v>
      </c>
      <c r="G170" s="1" t="str">
        <f>IFERROR(__xludf.DUMMYFUNCTION("""COMPUTED_VALUE"""),"Box Score")</f>
        <v>Box Score</v>
      </c>
      <c r="H170" s="1"/>
      <c r="I170" s="3">
        <f>IFERROR(__xludf.DUMMYFUNCTION("""COMPUTED_VALUE"""),20409.0)</f>
        <v>20409</v>
      </c>
      <c r="J170" s="1"/>
    </row>
    <row r="171" ht="15.75" customHeight="1">
      <c r="A171" s="2">
        <f>IFERROR(__xludf.DUMMYFUNCTION("""COMPUTED_VALUE"""),43489.0)</f>
        <v>43489</v>
      </c>
      <c r="B171" s="1" t="str">
        <f>IFERROR(__xludf.DUMMYFUNCTION("""COMPUTED_VALUE"""),"9:00p")</f>
        <v>9:00p</v>
      </c>
      <c r="C171" s="1" t="str">
        <f>IFERROR(__xludf.DUMMYFUNCTION("""COMPUTED_VALUE"""),"Portland Trail Blazers")</f>
        <v>Portland Trail Blazers</v>
      </c>
      <c r="D171" s="1">
        <f>IFERROR(__xludf.DUMMYFUNCTION("""COMPUTED_VALUE"""),120.0)</f>
        <v>120</v>
      </c>
      <c r="E171" s="1" t="str">
        <f>IFERROR(__xludf.DUMMYFUNCTION("""COMPUTED_VALUE"""),"Phoenix Suns")</f>
        <v>Phoenix Suns</v>
      </c>
      <c r="F171" s="1">
        <f>IFERROR(__xludf.DUMMYFUNCTION("""COMPUTED_VALUE"""),106.0)</f>
        <v>106</v>
      </c>
      <c r="G171" s="1" t="str">
        <f>IFERROR(__xludf.DUMMYFUNCTION("""COMPUTED_VALUE"""),"Box Score")</f>
        <v>Box Score</v>
      </c>
      <c r="H171" s="1"/>
      <c r="I171" s="3">
        <f>IFERROR(__xludf.DUMMYFUNCTION("""COMPUTED_VALUE"""),15441.0)</f>
        <v>15441</v>
      </c>
      <c r="J171" s="1"/>
    </row>
    <row r="172" ht="15.75" customHeight="1">
      <c r="A172" s="2">
        <f>IFERROR(__xludf.DUMMYFUNCTION("""COMPUTED_VALUE"""),43489.0)</f>
        <v>43489</v>
      </c>
      <c r="B172" s="1" t="str">
        <f>IFERROR(__xludf.DUMMYFUNCTION("""COMPUTED_VALUE"""),"10:30p")</f>
        <v>10:30p</v>
      </c>
      <c r="C172" s="1" t="str">
        <f>IFERROR(__xludf.DUMMYFUNCTION("""COMPUTED_VALUE"""),"Minnesota Timberwolves")</f>
        <v>Minnesota Timberwolves</v>
      </c>
      <c r="D172" s="1">
        <f>IFERROR(__xludf.DUMMYFUNCTION("""COMPUTED_VALUE"""),120.0)</f>
        <v>120</v>
      </c>
      <c r="E172" s="1" t="str">
        <f>IFERROR(__xludf.DUMMYFUNCTION("""COMPUTED_VALUE"""),"Los Angeles Lakers")</f>
        <v>Los Angeles Lakers</v>
      </c>
      <c r="F172" s="1">
        <f>IFERROR(__xludf.DUMMYFUNCTION("""COMPUTED_VALUE"""),105.0)</f>
        <v>105</v>
      </c>
      <c r="G172" s="1" t="str">
        <f>IFERROR(__xludf.DUMMYFUNCTION("""COMPUTED_VALUE"""),"Box Score")</f>
        <v>Box Score</v>
      </c>
      <c r="H172" s="1"/>
      <c r="I172" s="3">
        <f>IFERROR(__xludf.DUMMYFUNCTION("""COMPUTED_VALUE"""),18997.0)</f>
        <v>18997</v>
      </c>
      <c r="J172" s="1"/>
    </row>
    <row r="173" ht="15.75" customHeight="1">
      <c r="A173" s="2">
        <f>IFERROR(__xludf.DUMMYFUNCTION("""COMPUTED_VALUE"""),43490.0)</f>
        <v>43490</v>
      </c>
      <c r="B173" s="1" t="str">
        <f>IFERROR(__xludf.DUMMYFUNCTION("""COMPUTED_VALUE"""),"7:00p")</f>
        <v>7:00p</v>
      </c>
      <c r="C173" s="1" t="str">
        <f>IFERROR(__xludf.DUMMYFUNCTION("""COMPUTED_VALUE"""),"Washington Wizards")</f>
        <v>Washington Wizards</v>
      </c>
      <c r="D173" s="1">
        <f>IFERROR(__xludf.DUMMYFUNCTION("""COMPUTED_VALUE"""),95.0)</f>
        <v>95</v>
      </c>
      <c r="E173" s="1" t="str">
        <f>IFERROR(__xludf.DUMMYFUNCTION("""COMPUTED_VALUE"""),"Orlando Magic")</f>
        <v>Orlando Magic</v>
      </c>
      <c r="F173" s="1">
        <f>IFERROR(__xludf.DUMMYFUNCTION("""COMPUTED_VALUE"""),91.0)</f>
        <v>91</v>
      </c>
      <c r="G173" s="1" t="str">
        <f>IFERROR(__xludf.DUMMYFUNCTION("""COMPUTED_VALUE"""),"Box Score")</f>
        <v>Box Score</v>
      </c>
      <c r="H173" s="1"/>
      <c r="I173" s="3">
        <f>IFERROR(__xludf.DUMMYFUNCTION("""COMPUTED_VALUE"""),17216.0)</f>
        <v>17216</v>
      </c>
      <c r="J173" s="1"/>
    </row>
    <row r="174" ht="15.75" customHeight="1">
      <c r="A174" s="2">
        <f>IFERROR(__xludf.DUMMYFUNCTION("""COMPUTED_VALUE"""),43490.0)</f>
        <v>43490</v>
      </c>
      <c r="B174" s="1" t="str">
        <f>IFERROR(__xludf.DUMMYFUNCTION("""COMPUTED_VALUE"""),"7:30p")</f>
        <v>7:30p</v>
      </c>
      <c r="C174" s="1" t="str">
        <f>IFERROR(__xludf.DUMMYFUNCTION("""COMPUTED_VALUE"""),"New York Knicks")</f>
        <v>New York Knicks</v>
      </c>
      <c r="D174" s="1">
        <f>IFERROR(__xludf.DUMMYFUNCTION("""COMPUTED_VALUE"""),99.0)</f>
        <v>99</v>
      </c>
      <c r="E174" s="1" t="str">
        <f>IFERROR(__xludf.DUMMYFUNCTION("""COMPUTED_VALUE"""),"Brooklyn Nets")</f>
        <v>Brooklyn Nets</v>
      </c>
      <c r="F174" s="1">
        <f>IFERROR(__xludf.DUMMYFUNCTION("""COMPUTED_VALUE"""),109.0)</f>
        <v>109</v>
      </c>
      <c r="G174" s="1" t="str">
        <f>IFERROR(__xludf.DUMMYFUNCTION("""COMPUTED_VALUE"""),"Box Score")</f>
        <v>Box Score</v>
      </c>
      <c r="H174" s="1"/>
      <c r="I174" s="3">
        <f>IFERROR(__xludf.DUMMYFUNCTION("""COMPUTED_VALUE"""),17033.0)</f>
        <v>17033</v>
      </c>
      <c r="J174" s="1"/>
    </row>
    <row r="175" ht="15.75" customHeight="1">
      <c r="A175" s="2">
        <f>IFERROR(__xludf.DUMMYFUNCTION("""COMPUTED_VALUE"""),43490.0)</f>
        <v>43490</v>
      </c>
      <c r="B175" s="1" t="str">
        <f>IFERROR(__xludf.DUMMYFUNCTION("""COMPUTED_VALUE"""),"7:30p")</f>
        <v>7:30p</v>
      </c>
      <c r="C175" s="1" t="str">
        <f>IFERROR(__xludf.DUMMYFUNCTION("""COMPUTED_VALUE"""),"Miami Heat")</f>
        <v>Miami Heat</v>
      </c>
      <c r="D175" s="1">
        <f>IFERROR(__xludf.DUMMYFUNCTION("""COMPUTED_VALUE"""),100.0)</f>
        <v>100</v>
      </c>
      <c r="E175" s="1" t="str">
        <f>IFERROR(__xludf.DUMMYFUNCTION("""COMPUTED_VALUE"""),"Cleveland Cavaliers")</f>
        <v>Cleveland Cavaliers</v>
      </c>
      <c r="F175" s="1">
        <f>IFERROR(__xludf.DUMMYFUNCTION("""COMPUTED_VALUE"""),94.0)</f>
        <v>94</v>
      </c>
      <c r="G175" s="1" t="str">
        <f>IFERROR(__xludf.DUMMYFUNCTION("""COMPUTED_VALUE"""),"Box Score")</f>
        <v>Box Score</v>
      </c>
      <c r="H175" s="1"/>
      <c r="I175" s="3">
        <f>IFERROR(__xludf.DUMMYFUNCTION("""COMPUTED_VALUE"""),19432.0)</f>
        <v>19432</v>
      </c>
      <c r="J175" s="1"/>
    </row>
    <row r="176" ht="15.75" customHeight="1">
      <c r="A176" s="2">
        <f>IFERROR(__xludf.DUMMYFUNCTION("""COMPUTED_VALUE"""),43490.0)</f>
        <v>43490</v>
      </c>
      <c r="B176" s="1" t="str">
        <f>IFERROR(__xludf.DUMMYFUNCTION("""COMPUTED_VALUE"""),"8:00p")</f>
        <v>8:00p</v>
      </c>
      <c r="C176" s="1" t="str">
        <f>IFERROR(__xludf.DUMMYFUNCTION("""COMPUTED_VALUE"""),"Los Angeles Clippers")</f>
        <v>Los Angeles Clippers</v>
      </c>
      <c r="D176" s="1">
        <f>IFERROR(__xludf.DUMMYFUNCTION("""COMPUTED_VALUE"""),106.0)</f>
        <v>106</v>
      </c>
      <c r="E176" s="1" t="str">
        <f>IFERROR(__xludf.DUMMYFUNCTION("""COMPUTED_VALUE"""),"Chicago Bulls")</f>
        <v>Chicago Bulls</v>
      </c>
      <c r="F176" s="1">
        <f>IFERROR(__xludf.DUMMYFUNCTION("""COMPUTED_VALUE"""),101.0)</f>
        <v>101</v>
      </c>
      <c r="G176" s="1" t="str">
        <f>IFERROR(__xludf.DUMMYFUNCTION("""COMPUTED_VALUE"""),"Box Score")</f>
        <v>Box Score</v>
      </c>
      <c r="H176" s="1"/>
      <c r="I176" s="3">
        <f>IFERROR(__xludf.DUMMYFUNCTION("""COMPUTED_VALUE"""),19354.0)</f>
        <v>19354</v>
      </c>
      <c r="J176" s="1"/>
    </row>
    <row r="177" ht="15.75" customHeight="1">
      <c r="A177" s="2">
        <f>IFERROR(__xludf.DUMMYFUNCTION("""COMPUTED_VALUE"""),43490.0)</f>
        <v>43490</v>
      </c>
      <c r="B177" s="1" t="str">
        <f>IFERROR(__xludf.DUMMYFUNCTION("""COMPUTED_VALUE"""),"8:00p")</f>
        <v>8:00p</v>
      </c>
      <c r="C177" s="1" t="str">
        <f>IFERROR(__xludf.DUMMYFUNCTION("""COMPUTED_VALUE"""),"Toronto Raptors")</f>
        <v>Toronto Raptors</v>
      </c>
      <c r="D177" s="1">
        <f>IFERROR(__xludf.DUMMYFUNCTION("""COMPUTED_VALUE"""),119.0)</f>
        <v>119</v>
      </c>
      <c r="E177" s="1" t="str">
        <f>IFERROR(__xludf.DUMMYFUNCTION("""COMPUTED_VALUE"""),"Houston Rockets")</f>
        <v>Houston Rockets</v>
      </c>
      <c r="F177" s="1">
        <f>IFERROR(__xludf.DUMMYFUNCTION("""COMPUTED_VALUE"""),121.0)</f>
        <v>121</v>
      </c>
      <c r="G177" s="1" t="str">
        <f>IFERROR(__xludf.DUMMYFUNCTION("""COMPUTED_VALUE"""),"Box Score")</f>
        <v>Box Score</v>
      </c>
      <c r="H177" s="1"/>
      <c r="I177" s="3">
        <f>IFERROR(__xludf.DUMMYFUNCTION("""COMPUTED_VALUE"""),18055.0)</f>
        <v>18055</v>
      </c>
      <c r="J177" s="1"/>
    </row>
    <row r="178" ht="15.75" customHeight="1">
      <c r="A178" s="2">
        <f>IFERROR(__xludf.DUMMYFUNCTION("""COMPUTED_VALUE"""),43490.0)</f>
        <v>43490</v>
      </c>
      <c r="B178" s="1" t="str">
        <f>IFERROR(__xludf.DUMMYFUNCTION("""COMPUTED_VALUE"""),"8:00p")</f>
        <v>8:00p</v>
      </c>
      <c r="C178" s="1" t="str">
        <f>IFERROR(__xludf.DUMMYFUNCTION("""COMPUTED_VALUE"""),"Sacramento Kings")</f>
        <v>Sacramento Kings</v>
      </c>
      <c r="D178" s="1">
        <f>IFERROR(__xludf.DUMMYFUNCTION("""COMPUTED_VALUE"""),99.0)</f>
        <v>99</v>
      </c>
      <c r="E178" s="1" t="str">
        <f>IFERROR(__xludf.DUMMYFUNCTION("""COMPUTED_VALUE"""),"Memphis Grizzlies")</f>
        <v>Memphis Grizzlies</v>
      </c>
      <c r="F178" s="1">
        <f>IFERROR(__xludf.DUMMYFUNCTION("""COMPUTED_VALUE"""),96.0)</f>
        <v>96</v>
      </c>
      <c r="G178" s="1" t="str">
        <f>IFERROR(__xludf.DUMMYFUNCTION("""COMPUTED_VALUE"""),"Box Score")</f>
        <v>Box Score</v>
      </c>
      <c r="H178" s="1"/>
      <c r="I178" s="3">
        <f>IFERROR(__xludf.DUMMYFUNCTION("""COMPUTED_VALUE"""),14486.0)</f>
        <v>14486</v>
      </c>
      <c r="J178" s="1"/>
    </row>
    <row r="179" ht="15.75" customHeight="1">
      <c r="A179" s="2">
        <f>IFERROR(__xludf.DUMMYFUNCTION("""COMPUTED_VALUE"""),43490.0)</f>
        <v>43490</v>
      </c>
      <c r="B179" s="1" t="str">
        <f>IFERROR(__xludf.DUMMYFUNCTION("""COMPUTED_VALUE"""),"8:30p")</f>
        <v>8:30p</v>
      </c>
      <c r="C179" s="1" t="str">
        <f>IFERROR(__xludf.DUMMYFUNCTION("""COMPUTED_VALUE"""),"Detroit Pistons")</f>
        <v>Detroit Pistons</v>
      </c>
      <c r="D179" s="1">
        <f>IFERROR(__xludf.DUMMYFUNCTION("""COMPUTED_VALUE"""),101.0)</f>
        <v>101</v>
      </c>
      <c r="E179" s="1" t="str">
        <f>IFERROR(__xludf.DUMMYFUNCTION("""COMPUTED_VALUE"""),"Dallas Mavericks")</f>
        <v>Dallas Mavericks</v>
      </c>
      <c r="F179" s="1">
        <f>IFERROR(__xludf.DUMMYFUNCTION("""COMPUTED_VALUE"""),106.0)</f>
        <v>106</v>
      </c>
      <c r="G179" s="1" t="str">
        <f>IFERROR(__xludf.DUMMYFUNCTION("""COMPUTED_VALUE"""),"Box Score")</f>
        <v>Box Score</v>
      </c>
      <c r="H179" s="1"/>
      <c r="I179" s="3">
        <f>IFERROR(__xludf.DUMMYFUNCTION("""COMPUTED_VALUE"""),20327.0)</f>
        <v>20327</v>
      </c>
      <c r="J179" s="1"/>
    </row>
    <row r="180" ht="15.75" customHeight="1">
      <c r="A180" s="2">
        <f>IFERROR(__xludf.DUMMYFUNCTION("""COMPUTED_VALUE"""),43490.0)</f>
        <v>43490</v>
      </c>
      <c r="B180" s="1" t="str">
        <f>IFERROR(__xludf.DUMMYFUNCTION("""COMPUTED_VALUE"""),"8:30p")</f>
        <v>8:30p</v>
      </c>
      <c r="C180" s="1" t="str">
        <f>IFERROR(__xludf.DUMMYFUNCTION("""COMPUTED_VALUE"""),"Charlotte Hornets")</f>
        <v>Charlotte Hornets</v>
      </c>
      <c r="D180" s="1">
        <f>IFERROR(__xludf.DUMMYFUNCTION("""COMPUTED_VALUE"""),99.0)</f>
        <v>99</v>
      </c>
      <c r="E180" s="1" t="str">
        <f>IFERROR(__xludf.DUMMYFUNCTION("""COMPUTED_VALUE"""),"Milwaukee Bucks")</f>
        <v>Milwaukee Bucks</v>
      </c>
      <c r="F180" s="1">
        <f>IFERROR(__xludf.DUMMYFUNCTION("""COMPUTED_VALUE"""),108.0)</f>
        <v>108</v>
      </c>
      <c r="G180" s="1" t="str">
        <f>IFERROR(__xludf.DUMMYFUNCTION("""COMPUTED_VALUE"""),"Box Score")</f>
        <v>Box Score</v>
      </c>
      <c r="H180" s="1"/>
      <c r="I180" s="3">
        <f>IFERROR(__xludf.DUMMYFUNCTION("""COMPUTED_VALUE"""),17803.0)</f>
        <v>17803</v>
      </c>
      <c r="J180" s="1"/>
    </row>
    <row r="181" ht="15.75" customHeight="1">
      <c r="A181" s="2">
        <f>IFERROR(__xludf.DUMMYFUNCTION("""COMPUTED_VALUE"""),43490.0)</f>
        <v>43490</v>
      </c>
      <c r="B181" s="1" t="str">
        <f>IFERROR(__xludf.DUMMYFUNCTION("""COMPUTED_VALUE"""),"9:00p")</f>
        <v>9:00p</v>
      </c>
      <c r="C181" s="1" t="str">
        <f>IFERROR(__xludf.DUMMYFUNCTION("""COMPUTED_VALUE"""),"Phoenix Suns")</f>
        <v>Phoenix Suns</v>
      </c>
      <c r="D181" s="1">
        <f>IFERROR(__xludf.DUMMYFUNCTION("""COMPUTED_VALUE"""),95.0)</f>
        <v>95</v>
      </c>
      <c r="E181" s="1" t="str">
        <f>IFERROR(__xludf.DUMMYFUNCTION("""COMPUTED_VALUE"""),"Denver Nuggets")</f>
        <v>Denver Nuggets</v>
      </c>
      <c r="F181" s="1">
        <f>IFERROR(__xludf.DUMMYFUNCTION("""COMPUTED_VALUE"""),132.0)</f>
        <v>132</v>
      </c>
      <c r="G181" s="1" t="str">
        <f>IFERROR(__xludf.DUMMYFUNCTION("""COMPUTED_VALUE"""),"Box Score")</f>
        <v>Box Score</v>
      </c>
      <c r="H181" s="1"/>
      <c r="I181" s="3">
        <f>IFERROR(__xludf.DUMMYFUNCTION("""COMPUTED_VALUE"""),17425.0)</f>
        <v>17425</v>
      </c>
      <c r="J181" s="1"/>
    </row>
    <row r="182" ht="15.75" customHeight="1">
      <c r="A182" s="2">
        <f>IFERROR(__xludf.DUMMYFUNCTION("""COMPUTED_VALUE"""),43490.0)</f>
        <v>43490</v>
      </c>
      <c r="B182" s="1" t="str">
        <f>IFERROR(__xludf.DUMMYFUNCTION("""COMPUTED_VALUE"""),"9:00p")</f>
        <v>9:00p</v>
      </c>
      <c r="C182" s="1" t="str">
        <f>IFERROR(__xludf.DUMMYFUNCTION("""COMPUTED_VALUE"""),"Minnesota Timberwolves")</f>
        <v>Minnesota Timberwolves</v>
      </c>
      <c r="D182" s="1">
        <f>IFERROR(__xludf.DUMMYFUNCTION("""COMPUTED_VALUE"""),102.0)</f>
        <v>102</v>
      </c>
      <c r="E182" s="1" t="str">
        <f>IFERROR(__xludf.DUMMYFUNCTION("""COMPUTED_VALUE"""),"Utah Jazz")</f>
        <v>Utah Jazz</v>
      </c>
      <c r="F182" s="1">
        <f>IFERROR(__xludf.DUMMYFUNCTION("""COMPUTED_VALUE"""),106.0)</f>
        <v>106</v>
      </c>
      <c r="G182" s="1" t="str">
        <f>IFERROR(__xludf.DUMMYFUNCTION("""COMPUTED_VALUE"""),"Box Score")</f>
        <v>Box Score</v>
      </c>
      <c r="H182" s="1"/>
      <c r="I182" s="3">
        <f>IFERROR(__xludf.DUMMYFUNCTION("""COMPUTED_VALUE"""),18306.0)</f>
        <v>18306</v>
      </c>
      <c r="J182" s="1"/>
    </row>
    <row r="183" ht="15.75" customHeight="1">
      <c r="A183" s="2">
        <f>IFERROR(__xludf.DUMMYFUNCTION("""COMPUTED_VALUE"""),43491.0)</f>
        <v>43491</v>
      </c>
      <c r="B183" s="1" t="str">
        <f>IFERROR(__xludf.DUMMYFUNCTION("""COMPUTED_VALUE"""),"6:00p")</f>
        <v>6:00p</v>
      </c>
      <c r="C183" s="1" t="str">
        <f>IFERROR(__xludf.DUMMYFUNCTION("""COMPUTED_VALUE"""),"San Antonio Spurs")</f>
        <v>San Antonio Spurs</v>
      </c>
      <c r="D183" s="1">
        <f>IFERROR(__xludf.DUMMYFUNCTION("""COMPUTED_VALUE"""),126.0)</f>
        <v>126</v>
      </c>
      <c r="E183" s="1" t="str">
        <f>IFERROR(__xludf.DUMMYFUNCTION("""COMPUTED_VALUE"""),"New Orleans Pelicans")</f>
        <v>New Orleans Pelicans</v>
      </c>
      <c r="F183" s="1">
        <f>IFERROR(__xludf.DUMMYFUNCTION("""COMPUTED_VALUE"""),114.0)</f>
        <v>114</v>
      </c>
      <c r="G183" s="1" t="str">
        <f>IFERROR(__xludf.DUMMYFUNCTION("""COMPUTED_VALUE"""),"Box Score")</f>
        <v>Box Score</v>
      </c>
      <c r="H183" s="1"/>
      <c r="I183" s="3">
        <f>IFERROR(__xludf.DUMMYFUNCTION("""COMPUTED_VALUE"""),17724.0)</f>
        <v>17724</v>
      </c>
      <c r="J183" s="1"/>
    </row>
    <row r="184" ht="15.75" customHeight="1">
      <c r="A184" s="2">
        <f>IFERROR(__xludf.DUMMYFUNCTION("""COMPUTED_VALUE"""),43491.0)</f>
        <v>43491</v>
      </c>
      <c r="B184" s="1" t="str">
        <f>IFERROR(__xludf.DUMMYFUNCTION("""COMPUTED_VALUE"""),"8:00p")</f>
        <v>8:00p</v>
      </c>
      <c r="C184" s="1" t="str">
        <f>IFERROR(__xludf.DUMMYFUNCTION("""COMPUTED_VALUE"""),"Indiana Pacers")</f>
        <v>Indiana Pacers</v>
      </c>
      <c r="D184" s="1">
        <f>IFERROR(__xludf.DUMMYFUNCTION("""COMPUTED_VALUE"""),103.0)</f>
        <v>103</v>
      </c>
      <c r="E184" s="1" t="str">
        <f>IFERROR(__xludf.DUMMYFUNCTION("""COMPUTED_VALUE"""),"Memphis Grizzlies")</f>
        <v>Memphis Grizzlies</v>
      </c>
      <c r="F184" s="1">
        <f>IFERROR(__xludf.DUMMYFUNCTION("""COMPUTED_VALUE"""),106.0)</f>
        <v>106</v>
      </c>
      <c r="G184" s="1" t="str">
        <f>IFERROR(__xludf.DUMMYFUNCTION("""COMPUTED_VALUE"""),"Box Score")</f>
        <v>Box Score</v>
      </c>
      <c r="H184" s="1"/>
      <c r="I184" s="3">
        <f>IFERROR(__xludf.DUMMYFUNCTION("""COMPUTED_VALUE"""),14486.0)</f>
        <v>14486</v>
      </c>
      <c r="J184" s="1"/>
    </row>
    <row r="185" ht="15.75" customHeight="1">
      <c r="A185" s="2">
        <f>IFERROR(__xludf.DUMMYFUNCTION("""COMPUTED_VALUE"""),43491.0)</f>
        <v>43491</v>
      </c>
      <c r="B185" s="1" t="str">
        <f>IFERROR(__xludf.DUMMYFUNCTION("""COMPUTED_VALUE"""),"8:30p")</f>
        <v>8:30p</v>
      </c>
      <c r="C185" s="1" t="str">
        <f>IFERROR(__xludf.DUMMYFUNCTION("""COMPUTED_VALUE"""),"Golden State Warriors")</f>
        <v>Golden State Warriors</v>
      </c>
      <c r="D185" s="1">
        <f>IFERROR(__xludf.DUMMYFUNCTION("""COMPUTED_VALUE"""),115.0)</f>
        <v>115</v>
      </c>
      <c r="E185" s="1" t="str">
        <f>IFERROR(__xludf.DUMMYFUNCTION("""COMPUTED_VALUE"""),"Boston Celtics")</f>
        <v>Boston Celtics</v>
      </c>
      <c r="F185" s="1">
        <f>IFERROR(__xludf.DUMMYFUNCTION("""COMPUTED_VALUE"""),111.0)</f>
        <v>111</v>
      </c>
      <c r="G185" s="1" t="str">
        <f>IFERROR(__xludf.DUMMYFUNCTION("""COMPUTED_VALUE"""),"Box Score")</f>
        <v>Box Score</v>
      </c>
      <c r="H185" s="1"/>
      <c r="I185" s="3">
        <f>IFERROR(__xludf.DUMMYFUNCTION("""COMPUTED_VALUE"""),18624.0)</f>
        <v>18624</v>
      </c>
      <c r="J185" s="1"/>
    </row>
    <row r="186" ht="15.75" customHeight="1">
      <c r="A186" s="2">
        <f>IFERROR(__xludf.DUMMYFUNCTION("""COMPUTED_VALUE"""),43491.0)</f>
        <v>43491</v>
      </c>
      <c r="B186" s="1" t="str">
        <f>IFERROR(__xludf.DUMMYFUNCTION("""COMPUTED_VALUE"""),"9:00p")</f>
        <v>9:00p</v>
      </c>
      <c r="C186" s="1" t="str">
        <f>IFERROR(__xludf.DUMMYFUNCTION("""COMPUTED_VALUE"""),"Philadelphia 76ers")</f>
        <v>Philadelphia 76ers</v>
      </c>
      <c r="D186" s="1">
        <f>IFERROR(__xludf.DUMMYFUNCTION("""COMPUTED_VALUE"""),110.0)</f>
        <v>110</v>
      </c>
      <c r="E186" s="1" t="str">
        <f>IFERROR(__xludf.DUMMYFUNCTION("""COMPUTED_VALUE"""),"Denver Nuggets")</f>
        <v>Denver Nuggets</v>
      </c>
      <c r="F186" s="1">
        <f>IFERROR(__xludf.DUMMYFUNCTION("""COMPUTED_VALUE"""),126.0)</f>
        <v>126</v>
      </c>
      <c r="G186" s="1" t="str">
        <f>IFERROR(__xludf.DUMMYFUNCTION("""COMPUTED_VALUE"""),"Box Score")</f>
        <v>Box Score</v>
      </c>
      <c r="H186" s="1"/>
      <c r="I186" s="3">
        <f>IFERROR(__xludf.DUMMYFUNCTION("""COMPUTED_VALUE"""),19673.0)</f>
        <v>19673</v>
      </c>
      <c r="J186" s="1"/>
    </row>
    <row r="187" ht="15.75" customHeight="1">
      <c r="A187" s="2">
        <f>IFERROR(__xludf.DUMMYFUNCTION("""COMPUTED_VALUE"""),43491.0)</f>
        <v>43491</v>
      </c>
      <c r="B187" s="1" t="str">
        <f>IFERROR(__xludf.DUMMYFUNCTION("""COMPUTED_VALUE"""),"10:00p")</f>
        <v>10:00p</v>
      </c>
      <c r="C187" s="1" t="str">
        <f>IFERROR(__xludf.DUMMYFUNCTION("""COMPUTED_VALUE"""),"Atlanta Hawks")</f>
        <v>Atlanta Hawks</v>
      </c>
      <c r="D187" s="1">
        <f>IFERROR(__xludf.DUMMYFUNCTION("""COMPUTED_VALUE"""),111.0)</f>
        <v>111</v>
      </c>
      <c r="E187" s="1" t="str">
        <f>IFERROR(__xludf.DUMMYFUNCTION("""COMPUTED_VALUE"""),"Portland Trail Blazers")</f>
        <v>Portland Trail Blazers</v>
      </c>
      <c r="F187" s="1">
        <f>IFERROR(__xludf.DUMMYFUNCTION("""COMPUTED_VALUE"""),120.0)</f>
        <v>120</v>
      </c>
      <c r="G187" s="1" t="str">
        <f>IFERROR(__xludf.DUMMYFUNCTION("""COMPUTED_VALUE"""),"Box Score")</f>
        <v>Box Score</v>
      </c>
      <c r="H187" s="1"/>
      <c r="I187" s="3">
        <f>IFERROR(__xludf.DUMMYFUNCTION("""COMPUTED_VALUE"""),19629.0)</f>
        <v>19629</v>
      </c>
      <c r="J187" s="1"/>
    </row>
    <row r="188" ht="15.75" customHeight="1">
      <c r="A188" s="2">
        <f>IFERROR(__xludf.DUMMYFUNCTION("""COMPUTED_VALUE"""),43492.0)</f>
        <v>43492</v>
      </c>
      <c r="B188" s="1" t="str">
        <f>IFERROR(__xludf.DUMMYFUNCTION("""COMPUTED_VALUE"""),"3:30p")</f>
        <v>3:30p</v>
      </c>
      <c r="C188" s="1" t="str">
        <f>IFERROR(__xludf.DUMMYFUNCTION("""COMPUTED_VALUE"""),"Cleveland Cavaliers")</f>
        <v>Cleveland Cavaliers</v>
      </c>
      <c r="D188" s="1">
        <f>IFERROR(__xludf.DUMMYFUNCTION("""COMPUTED_VALUE"""),104.0)</f>
        <v>104</v>
      </c>
      <c r="E188" s="1" t="str">
        <f>IFERROR(__xludf.DUMMYFUNCTION("""COMPUTED_VALUE"""),"Chicago Bulls")</f>
        <v>Chicago Bulls</v>
      </c>
      <c r="F188" s="1">
        <f>IFERROR(__xludf.DUMMYFUNCTION("""COMPUTED_VALUE"""),101.0)</f>
        <v>101</v>
      </c>
      <c r="G188" s="1" t="str">
        <f>IFERROR(__xludf.DUMMYFUNCTION("""COMPUTED_VALUE"""),"Box Score")</f>
        <v>Box Score</v>
      </c>
      <c r="H188" s="1"/>
      <c r="I188" s="3">
        <f>IFERROR(__xludf.DUMMYFUNCTION("""COMPUTED_VALUE"""),19675.0)</f>
        <v>19675</v>
      </c>
      <c r="J188" s="1"/>
    </row>
    <row r="189" ht="15.75" customHeight="1">
      <c r="A189" s="2">
        <f>IFERROR(__xludf.DUMMYFUNCTION("""COMPUTED_VALUE"""),43492.0)</f>
        <v>43492</v>
      </c>
      <c r="B189" s="1" t="str">
        <f>IFERROR(__xludf.DUMMYFUNCTION("""COMPUTED_VALUE"""),"3:30p")</f>
        <v>3:30p</v>
      </c>
      <c r="C189" s="1" t="str">
        <f>IFERROR(__xludf.DUMMYFUNCTION("""COMPUTED_VALUE"""),"Sacramento Kings")</f>
        <v>Sacramento Kings</v>
      </c>
      <c r="D189" s="1">
        <f>IFERROR(__xludf.DUMMYFUNCTION("""COMPUTED_VALUE"""),108.0)</f>
        <v>108</v>
      </c>
      <c r="E189" s="1" t="str">
        <f>IFERROR(__xludf.DUMMYFUNCTION("""COMPUTED_VALUE"""),"Los Angeles Clippers")</f>
        <v>Los Angeles Clippers</v>
      </c>
      <c r="F189" s="1">
        <f>IFERROR(__xludf.DUMMYFUNCTION("""COMPUTED_VALUE"""),122.0)</f>
        <v>122</v>
      </c>
      <c r="G189" s="1" t="str">
        <f>IFERROR(__xludf.DUMMYFUNCTION("""COMPUTED_VALUE"""),"Box Score")</f>
        <v>Box Score</v>
      </c>
      <c r="H189" s="1"/>
      <c r="I189" s="3">
        <f>IFERROR(__xludf.DUMMYFUNCTION("""COMPUTED_VALUE"""),19068.0)</f>
        <v>19068</v>
      </c>
      <c r="J189" s="1"/>
    </row>
    <row r="190" ht="15.75" customHeight="1">
      <c r="A190" s="2">
        <f>IFERROR(__xludf.DUMMYFUNCTION("""COMPUTED_VALUE"""),43492.0)</f>
        <v>43492</v>
      </c>
      <c r="B190" s="1" t="str">
        <f>IFERROR(__xludf.DUMMYFUNCTION("""COMPUTED_VALUE"""),"6:00p")</f>
        <v>6:00p</v>
      </c>
      <c r="C190" s="1" t="str">
        <f>IFERROR(__xludf.DUMMYFUNCTION("""COMPUTED_VALUE"""),"Milwaukee Bucks")</f>
        <v>Milwaukee Bucks</v>
      </c>
      <c r="D190" s="1">
        <f>IFERROR(__xludf.DUMMYFUNCTION("""COMPUTED_VALUE"""),112.0)</f>
        <v>112</v>
      </c>
      <c r="E190" s="1" t="str">
        <f>IFERROR(__xludf.DUMMYFUNCTION("""COMPUTED_VALUE"""),"Oklahoma City Thunder")</f>
        <v>Oklahoma City Thunder</v>
      </c>
      <c r="F190" s="1">
        <f>IFERROR(__xludf.DUMMYFUNCTION("""COMPUTED_VALUE"""),118.0)</f>
        <v>118</v>
      </c>
      <c r="G190" s="1" t="str">
        <f>IFERROR(__xludf.DUMMYFUNCTION("""COMPUTED_VALUE"""),"Box Score")</f>
        <v>Box Score</v>
      </c>
      <c r="H190" s="1"/>
      <c r="I190" s="3">
        <f>IFERROR(__xludf.DUMMYFUNCTION("""COMPUTED_VALUE"""),18203.0)</f>
        <v>18203</v>
      </c>
      <c r="J190" s="1"/>
    </row>
    <row r="191" ht="15.75" customHeight="1">
      <c r="A191" s="2">
        <f>IFERROR(__xludf.DUMMYFUNCTION("""COMPUTED_VALUE"""),43492.0)</f>
        <v>43492</v>
      </c>
      <c r="B191" s="1" t="str">
        <f>IFERROR(__xludf.DUMMYFUNCTION("""COMPUTED_VALUE"""),"7:00p")</f>
        <v>7:00p</v>
      </c>
      <c r="C191" s="1" t="str">
        <f>IFERROR(__xludf.DUMMYFUNCTION("""COMPUTED_VALUE"""),"Toronto Raptors")</f>
        <v>Toronto Raptors</v>
      </c>
      <c r="D191" s="1">
        <f>IFERROR(__xludf.DUMMYFUNCTION("""COMPUTED_VALUE"""),123.0)</f>
        <v>123</v>
      </c>
      <c r="E191" s="1" t="str">
        <f>IFERROR(__xludf.DUMMYFUNCTION("""COMPUTED_VALUE"""),"Dallas Mavericks")</f>
        <v>Dallas Mavericks</v>
      </c>
      <c r="F191" s="1">
        <f>IFERROR(__xludf.DUMMYFUNCTION("""COMPUTED_VALUE"""),120.0)</f>
        <v>120</v>
      </c>
      <c r="G191" s="1" t="str">
        <f>IFERROR(__xludf.DUMMYFUNCTION("""COMPUTED_VALUE"""),"Box Score")</f>
        <v>Box Score</v>
      </c>
      <c r="H191" s="1"/>
      <c r="I191" s="3">
        <f>IFERROR(__xludf.DUMMYFUNCTION("""COMPUTED_VALUE"""),20308.0)</f>
        <v>20308</v>
      </c>
      <c r="J191" s="1"/>
    </row>
    <row r="192" ht="15.75" customHeight="1">
      <c r="A192" s="2">
        <f>IFERROR(__xludf.DUMMYFUNCTION("""COMPUTED_VALUE"""),43492.0)</f>
        <v>43492</v>
      </c>
      <c r="B192" s="1" t="str">
        <f>IFERROR(__xludf.DUMMYFUNCTION("""COMPUTED_VALUE"""),"7:00p")</f>
        <v>7:00p</v>
      </c>
      <c r="C192" s="1" t="str">
        <f>IFERROR(__xludf.DUMMYFUNCTION("""COMPUTED_VALUE"""),"Orlando Magic")</f>
        <v>Orlando Magic</v>
      </c>
      <c r="D192" s="1">
        <f>IFERROR(__xludf.DUMMYFUNCTION("""COMPUTED_VALUE"""),98.0)</f>
        <v>98</v>
      </c>
      <c r="E192" s="1" t="str">
        <f>IFERROR(__xludf.DUMMYFUNCTION("""COMPUTED_VALUE"""),"Houston Rockets")</f>
        <v>Houston Rockets</v>
      </c>
      <c r="F192" s="1">
        <f>IFERROR(__xludf.DUMMYFUNCTION("""COMPUTED_VALUE"""),103.0)</f>
        <v>103</v>
      </c>
      <c r="G192" s="1" t="str">
        <f>IFERROR(__xludf.DUMMYFUNCTION("""COMPUTED_VALUE"""),"Box Score")</f>
        <v>Box Score</v>
      </c>
      <c r="H192" s="1"/>
      <c r="I192" s="3">
        <f>IFERROR(__xludf.DUMMYFUNCTION("""COMPUTED_VALUE"""),18055.0)</f>
        <v>18055</v>
      </c>
      <c r="J192" s="1"/>
    </row>
    <row r="193" ht="15.75" customHeight="1">
      <c r="A193" s="2">
        <f>IFERROR(__xludf.DUMMYFUNCTION("""COMPUTED_VALUE"""),43492.0)</f>
        <v>43492</v>
      </c>
      <c r="B193" s="1" t="str">
        <f>IFERROR(__xludf.DUMMYFUNCTION("""COMPUTED_VALUE"""),"7:00p")</f>
        <v>7:00p</v>
      </c>
      <c r="C193" s="1" t="str">
        <f>IFERROR(__xludf.DUMMYFUNCTION("""COMPUTED_VALUE"""),"Utah Jazz")</f>
        <v>Utah Jazz</v>
      </c>
      <c r="D193" s="1">
        <f>IFERROR(__xludf.DUMMYFUNCTION("""COMPUTED_VALUE"""),125.0)</f>
        <v>125</v>
      </c>
      <c r="E193" s="1" t="str">
        <f>IFERROR(__xludf.DUMMYFUNCTION("""COMPUTED_VALUE"""),"Minnesota Timberwolves")</f>
        <v>Minnesota Timberwolves</v>
      </c>
      <c r="F193" s="1">
        <f>IFERROR(__xludf.DUMMYFUNCTION("""COMPUTED_VALUE"""),111.0)</f>
        <v>111</v>
      </c>
      <c r="G193" s="1" t="str">
        <f>IFERROR(__xludf.DUMMYFUNCTION("""COMPUTED_VALUE"""),"Box Score")</f>
        <v>Box Score</v>
      </c>
      <c r="H193" s="1"/>
      <c r="I193" s="3">
        <f>IFERROR(__xludf.DUMMYFUNCTION("""COMPUTED_VALUE"""),14542.0)</f>
        <v>14542</v>
      </c>
      <c r="J193" s="1"/>
    </row>
    <row r="194" ht="15.75" customHeight="1">
      <c r="A194" s="2">
        <f>IFERROR(__xludf.DUMMYFUNCTION("""COMPUTED_VALUE"""),43492.0)</f>
        <v>43492</v>
      </c>
      <c r="B194" s="1" t="str">
        <f>IFERROR(__xludf.DUMMYFUNCTION("""COMPUTED_VALUE"""),"7:00p")</f>
        <v>7:00p</v>
      </c>
      <c r="C194" s="1" t="str">
        <f>IFERROR(__xludf.DUMMYFUNCTION("""COMPUTED_VALUE"""),"Washington Wizards")</f>
        <v>Washington Wizards</v>
      </c>
      <c r="D194" s="1">
        <f>IFERROR(__xludf.DUMMYFUNCTION("""COMPUTED_VALUE"""),119.0)</f>
        <v>119</v>
      </c>
      <c r="E194" s="1" t="str">
        <f>IFERROR(__xludf.DUMMYFUNCTION("""COMPUTED_VALUE"""),"San Antonio Spurs")</f>
        <v>San Antonio Spurs</v>
      </c>
      <c r="F194" s="1">
        <f>IFERROR(__xludf.DUMMYFUNCTION("""COMPUTED_VALUE"""),132.0)</f>
        <v>132</v>
      </c>
      <c r="G194" s="1" t="str">
        <f>IFERROR(__xludf.DUMMYFUNCTION("""COMPUTED_VALUE"""),"Box Score")</f>
        <v>Box Score</v>
      </c>
      <c r="H194" s="1"/>
      <c r="I194" s="3">
        <f>IFERROR(__xludf.DUMMYFUNCTION("""COMPUTED_VALUE"""),18354.0)</f>
        <v>18354</v>
      </c>
      <c r="J194" s="1"/>
    </row>
    <row r="195" ht="15.75" customHeight="1">
      <c r="A195" s="2">
        <f>IFERROR(__xludf.DUMMYFUNCTION("""COMPUTED_VALUE"""),43492.0)</f>
        <v>43492</v>
      </c>
      <c r="B195" s="1" t="str">
        <f>IFERROR(__xludf.DUMMYFUNCTION("""COMPUTED_VALUE"""),"7:30p")</f>
        <v>7:30p</v>
      </c>
      <c r="C195" s="1" t="str">
        <f>IFERROR(__xludf.DUMMYFUNCTION("""COMPUTED_VALUE"""),"Miami Heat")</f>
        <v>Miami Heat</v>
      </c>
      <c r="D195" s="1">
        <f>IFERROR(__xludf.DUMMYFUNCTION("""COMPUTED_VALUE"""),106.0)</f>
        <v>106</v>
      </c>
      <c r="E195" s="1" t="str">
        <f>IFERROR(__xludf.DUMMYFUNCTION("""COMPUTED_VALUE"""),"New York Knicks")</f>
        <v>New York Knicks</v>
      </c>
      <c r="F195" s="1">
        <f>IFERROR(__xludf.DUMMYFUNCTION("""COMPUTED_VALUE"""),97.0)</f>
        <v>97</v>
      </c>
      <c r="G195" s="1" t="str">
        <f>IFERROR(__xludf.DUMMYFUNCTION("""COMPUTED_VALUE"""),"Box Score")</f>
        <v>Box Score</v>
      </c>
      <c r="H195" s="1"/>
      <c r="I195" s="3">
        <f>IFERROR(__xludf.DUMMYFUNCTION("""COMPUTED_VALUE"""),18852.0)</f>
        <v>18852</v>
      </c>
      <c r="J195" s="1"/>
    </row>
    <row r="196" ht="15.75" customHeight="1">
      <c r="A196" s="2">
        <f>IFERROR(__xludf.DUMMYFUNCTION("""COMPUTED_VALUE"""),43492.0)</f>
        <v>43492</v>
      </c>
      <c r="B196" s="1" t="str">
        <f>IFERROR(__xludf.DUMMYFUNCTION("""COMPUTED_VALUE"""),"9:30p")</f>
        <v>9:30p</v>
      </c>
      <c r="C196" s="1" t="str">
        <f>IFERROR(__xludf.DUMMYFUNCTION("""COMPUTED_VALUE"""),"Phoenix Suns")</f>
        <v>Phoenix Suns</v>
      </c>
      <c r="D196" s="1">
        <f>IFERROR(__xludf.DUMMYFUNCTION("""COMPUTED_VALUE"""),102.0)</f>
        <v>102</v>
      </c>
      <c r="E196" s="1" t="str">
        <f>IFERROR(__xludf.DUMMYFUNCTION("""COMPUTED_VALUE"""),"Los Angeles Lakers")</f>
        <v>Los Angeles Lakers</v>
      </c>
      <c r="F196" s="1">
        <f>IFERROR(__xludf.DUMMYFUNCTION("""COMPUTED_VALUE"""),116.0)</f>
        <v>116</v>
      </c>
      <c r="G196" s="1" t="str">
        <f>IFERROR(__xludf.DUMMYFUNCTION("""COMPUTED_VALUE"""),"Box Score")</f>
        <v>Box Score</v>
      </c>
      <c r="H196" s="1"/>
      <c r="I196" s="3">
        <f>IFERROR(__xludf.DUMMYFUNCTION("""COMPUTED_VALUE"""),18997.0)</f>
        <v>18997</v>
      </c>
      <c r="J196" s="1"/>
    </row>
    <row r="197" ht="15.75" customHeight="1">
      <c r="A197" s="2">
        <f>IFERROR(__xludf.DUMMYFUNCTION("""COMPUTED_VALUE"""),43493.0)</f>
        <v>43493</v>
      </c>
      <c r="B197" s="1" t="str">
        <f>IFERROR(__xludf.DUMMYFUNCTION("""COMPUTED_VALUE"""),"7:00p")</f>
        <v>7:00p</v>
      </c>
      <c r="C197" s="1" t="str">
        <f>IFERROR(__xludf.DUMMYFUNCTION("""COMPUTED_VALUE"""),"New York Knicks")</f>
        <v>New York Knicks</v>
      </c>
      <c r="D197" s="1">
        <f>IFERROR(__xludf.DUMMYFUNCTION("""COMPUTED_VALUE"""),92.0)</f>
        <v>92</v>
      </c>
      <c r="E197" s="1" t="str">
        <f>IFERROR(__xludf.DUMMYFUNCTION("""COMPUTED_VALUE"""),"Charlotte Hornets")</f>
        <v>Charlotte Hornets</v>
      </c>
      <c r="F197" s="1">
        <f>IFERROR(__xludf.DUMMYFUNCTION("""COMPUTED_VALUE"""),101.0)</f>
        <v>101</v>
      </c>
      <c r="G197" s="1" t="str">
        <f>IFERROR(__xludf.DUMMYFUNCTION("""COMPUTED_VALUE"""),"Box Score")</f>
        <v>Box Score</v>
      </c>
      <c r="H197" s="1"/>
      <c r="I197" s="3">
        <f>IFERROR(__xludf.DUMMYFUNCTION("""COMPUTED_VALUE"""),13963.0)</f>
        <v>13963</v>
      </c>
      <c r="J197" s="1"/>
    </row>
    <row r="198" ht="15.75" customHeight="1">
      <c r="A198" s="2">
        <f>IFERROR(__xludf.DUMMYFUNCTION("""COMPUTED_VALUE"""),43493.0)</f>
        <v>43493</v>
      </c>
      <c r="B198" s="1" t="str">
        <f>IFERROR(__xludf.DUMMYFUNCTION("""COMPUTED_VALUE"""),"7:00p")</f>
        <v>7:00p</v>
      </c>
      <c r="C198" s="1" t="str">
        <f>IFERROR(__xludf.DUMMYFUNCTION("""COMPUTED_VALUE"""),"Golden State Warriors")</f>
        <v>Golden State Warriors</v>
      </c>
      <c r="D198" s="1">
        <f>IFERROR(__xludf.DUMMYFUNCTION("""COMPUTED_VALUE"""),132.0)</f>
        <v>132</v>
      </c>
      <c r="E198" s="1" t="str">
        <f>IFERROR(__xludf.DUMMYFUNCTION("""COMPUTED_VALUE"""),"Indiana Pacers")</f>
        <v>Indiana Pacers</v>
      </c>
      <c r="F198" s="1">
        <f>IFERROR(__xludf.DUMMYFUNCTION("""COMPUTED_VALUE"""),100.0)</f>
        <v>100</v>
      </c>
      <c r="G198" s="1" t="str">
        <f>IFERROR(__xludf.DUMMYFUNCTION("""COMPUTED_VALUE"""),"Box Score")</f>
        <v>Box Score</v>
      </c>
      <c r="H198" s="1"/>
      <c r="I198" s="3">
        <f>IFERROR(__xludf.DUMMYFUNCTION("""COMPUTED_VALUE"""),17923.0)</f>
        <v>17923</v>
      </c>
      <c r="J198" s="1"/>
    </row>
    <row r="199" ht="15.75" customHeight="1">
      <c r="A199" s="2">
        <f>IFERROR(__xludf.DUMMYFUNCTION("""COMPUTED_VALUE"""),43493.0)</f>
        <v>43493</v>
      </c>
      <c r="B199" s="1" t="str">
        <f>IFERROR(__xludf.DUMMYFUNCTION("""COMPUTED_VALUE"""),"7:30p")</f>
        <v>7:30p</v>
      </c>
      <c r="C199" s="1" t="str">
        <f>IFERROR(__xludf.DUMMYFUNCTION("""COMPUTED_VALUE"""),"Brooklyn Nets")</f>
        <v>Brooklyn Nets</v>
      </c>
      <c r="D199" s="1">
        <f>IFERROR(__xludf.DUMMYFUNCTION("""COMPUTED_VALUE"""),104.0)</f>
        <v>104</v>
      </c>
      <c r="E199" s="1" t="str">
        <f>IFERROR(__xludf.DUMMYFUNCTION("""COMPUTED_VALUE"""),"Boston Celtics")</f>
        <v>Boston Celtics</v>
      </c>
      <c r="F199" s="1">
        <f>IFERROR(__xludf.DUMMYFUNCTION("""COMPUTED_VALUE"""),112.0)</f>
        <v>112</v>
      </c>
      <c r="G199" s="1" t="str">
        <f>IFERROR(__xludf.DUMMYFUNCTION("""COMPUTED_VALUE"""),"Box Score")</f>
        <v>Box Score</v>
      </c>
      <c r="H199" s="1"/>
      <c r="I199" s="3">
        <f>IFERROR(__xludf.DUMMYFUNCTION("""COMPUTED_VALUE"""),18624.0)</f>
        <v>18624</v>
      </c>
      <c r="J199" s="1"/>
    </row>
    <row r="200" ht="15.75" customHeight="1">
      <c r="A200" s="2">
        <f>IFERROR(__xludf.DUMMYFUNCTION("""COMPUTED_VALUE"""),43493.0)</f>
        <v>43493</v>
      </c>
      <c r="B200" s="1" t="str">
        <f>IFERROR(__xludf.DUMMYFUNCTION("""COMPUTED_VALUE"""),"8:00p")</f>
        <v>8:00p</v>
      </c>
      <c r="C200" s="1" t="str">
        <f>IFERROR(__xludf.DUMMYFUNCTION("""COMPUTED_VALUE"""),"Denver Nuggets")</f>
        <v>Denver Nuggets</v>
      </c>
      <c r="D200" s="1">
        <f>IFERROR(__xludf.DUMMYFUNCTION("""COMPUTED_VALUE"""),95.0)</f>
        <v>95</v>
      </c>
      <c r="E200" s="1" t="str">
        <f>IFERROR(__xludf.DUMMYFUNCTION("""COMPUTED_VALUE"""),"Memphis Grizzlies")</f>
        <v>Memphis Grizzlies</v>
      </c>
      <c r="F200" s="1">
        <f>IFERROR(__xludf.DUMMYFUNCTION("""COMPUTED_VALUE"""),92.0)</f>
        <v>92</v>
      </c>
      <c r="G200" s="1" t="str">
        <f>IFERROR(__xludf.DUMMYFUNCTION("""COMPUTED_VALUE"""),"Box Score")</f>
        <v>Box Score</v>
      </c>
      <c r="H200" s="1"/>
      <c r="I200" s="3">
        <f>IFERROR(__xludf.DUMMYFUNCTION("""COMPUTED_VALUE"""),12917.0)</f>
        <v>12917</v>
      </c>
      <c r="J200" s="1"/>
    </row>
    <row r="201" ht="15.75" customHeight="1">
      <c r="A201" s="2">
        <f>IFERROR(__xludf.DUMMYFUNCTION("""COMPUTED_VALUE"""),43493.0)</f>
        <v>43493</v>
      </c>
      <c r="B201" s="1" t="str">
        <f>IFERROR(__xludf.DUMMYFUNCTION("""COMPUTED_VALUE"""),"10:30p")</f>
        <v>10:30p</v>
      </c>
      <c r="C201" s="1" t="str">
        <f>IFERROR(__xludf.DUMMYFUNCTION("""COMPUTED_VALUE"""),"Atlanta Hawks")</f>
        <v>Atlanta Hawks</v>
      </c>
      <c r="D201" s="1">
        <f>IFERROR(__xludf.DUMMYFUNCTION("""COMPUTED_VALUE"""),123.0)</f>
        <v>123</v>
      </c>
      <c r="E201" s="1" t="str">
        <f>IFERROR(__xludf.DUMMYFUNCTION("""COMPUTED_VALUE"""),"Los Angeles Clippers")</f>
        <v>Los Angeles Clippers</v>
      </c>
      <c r="F201" s="1">
        <f>IFERROR(__xludf.DUMMYFUNCTION("""COMPUTED_VALUE"""),118.0)</f>
        <v>118</v>
      </c>
      <c r="G201" s="1" t="str">
        <f>IFERROR(__xludf.DUMMYFUNCTION("""COMPUTED_VALUE"""),"Box Score")</f>
        <v>Box Score</v>
      </c>
      <c r="H201" s="1"/>
      <c r="I201" s="3">
        <f>IFERROR(__xludf.DUMMYFUNCTION("""COMPUTED_VALUE"""),17382.0)</f>
        <v>17382</v>
      </c>
      <c r="J201" s="1"/>
    </row>
    <row r="202" ht="15.75" customHeight="1">
      <c r="A202" s="2">
        <f>IFERROR(__xludf.DUMMYFUNCTION("""COMPUTED_VALUE"""),43494.0)</f>
        <v>43494</v>
      </c>
      <c r="B202" s="1" t="str">
        <f>IFERROR(__xludf.DUMMYFUNCTION("""COMPUTED_VALUE"""),"7:00p")</f>
        <v>7:00p</v>
      </c>
      <c r="C202" s="1" t="str">
        <f>IFERROR(__xludf.DUMMYFUNCTION("""COMPUTED_VALUE"""),"Washington Wizards")</f>
        <v>Washington Wizards</v>
      </c>
      <c r="D202" s="1">
        <f>IFERROR(__xludf.DUMMYFUNCTION("""COMPUTED_VALUE"""),113.0)</f>
        <v>113</v>
      </c>
      <c r="E202" s="1" t="str">
        <f>IFERROR(__xludf.DUMMYFUNCTION("""COMPUTED_VALUE"""),"Cleveland Cavaliers")</f>
        <v>Cleveland Cavaliers</v>
      </c>
      <c r="F202" s="1">
        <f>IFERROR(__xludf.DUMMYFUNCTION("""COMPUTED_VALUE"""),116.0)</f>
        <v>116</v>
      </c>
      <c r="G202" s="1" t="str">
        <f>IFERROR(__xludf.DUMMYFUNCTION("""COMPUTED_VALUE"""),"Box Score")</f>
        <v>Box Score</v>
      </c>
      <c r="H202" s="1"/>
      <c r="I202" s="3">
        <f>IFERROR(__xludf.DUMMYFUNCTION("""COMPUTED_VALUE"""),19432.0)</f>
        <v>19432</v>
      </c>
      <c r="J202" s="1"/>
    </row>
    <row r="203" ht="15.75" customHeight="1">
      <c r="A203" s="2">
        <f>IFERROR(__xludf.DUMMYFUNCTION("""COMPUTED_VALUE"""),43494.0)</f>
        <v>43494</v>
      </c>
      <c r="B203" s="1" t="str">
        <f>IFERROR(__xludf.DUMMYFUNCTION("""COMPUTED_VALUE"""),"7:00p")</f>
        <v>7:00p</v>
      </c>
      <c r="C203" s="1" t="str">
        <f>IFERROR(__xludf.DUMMYFUNCTION("""COMPUTED_VALUE"""),"Milwaukee Bucks")</f>
        <v>Milwaukee Bucks</v>
      </c>
      <c r="D203" s="1">
        <f>IFERROR(__xludf.DUMMYFUNCTION("""COMPUTED_VALUE"""),115.0)</f>
        <v>115</v>
      </c>
      <c r="E203" s="1" t="str">
        <f>IFERROR(__xludf.DUMMYFUNCTION("""COMPUTED_VALUE"""),"Detroit Pistons")</f>
        <v>Detroit Pistons</v>
      </c>
      <c r="F203" s="1">
        <f>IFERROR(__xludf.DUMMYFUNCTION("""COMPUTED_VALUE"""),105.0)</f>
        <v>105</v>
      </c>
      <c r="G203" s="1" t="str">
        <f>IFERROR(__xludf.DUMMYFUNCTION("""COMPUTED_VALUE"""),"Box Score")</f>
        <v>Box Score</v>
      </c>
      <c r="H203" s="1"/>
      <c r="I203" s="3">
        <f>IFERROR(__xludf.DUMMYFUNCTION("""COMPUTED_VALUE"""),14187.0)</f>
        <v>14187</v>
      </c>
      <c r="J203" s="1"/>
    </row>
    <row r="204" ht="15.75" customHeight="1">
      <c r="A204" s="2">
        <f>IFERROR(__xludf.DUMMYFUNCTION("""COMPUTED_VALUE"""),43494.0)</f>
        <v>43494</v>
      </c>
      <c r="B204" s="1" t="str">
        <f>IFERROR(__xludf.DUMMYFUNCTION("""COMPUTED_VALUE"""),"7:00p")</f>
        <v>7:00p</v>
      </c>
      <c r="C204" s="1" t="str">
        <f>IFERROR(__xludf.DUMMYFUNCTION("""COMPUTED_VALUE"""),"Oklahoma City Thunder")</f>
        <v>Oklahoma City Thunder</v>
      </c>
      <c r="D204" s="1">
        <f>IFERROR(__xludf.DUMMYFUNCTION("""COMPUTED_VALUE"""),126.0)</f>
        <v>126</v>
      </c>
      <c r="E204" s="1" t="str">
        <f>IFERROR(__xludf.DUMMYFUNCTION("""COMPUTED_VALUE"""),"Orlando Magic")</f>
        <v>Orlando Magic</v>
      </c>
      <c r="F204" s="1">
        <f>IFERROR(__xludf.DUMMYFUNCTION("""COMPUTED_VALUE"""),117.0)</f>
        <v>117</v>
      </c>
      <c r="G204" s="1" t="str">
        <f>IFERROR(__xludf.DUMMYFUNCTION("""COMPUTED_VALUE"""),"Box Score")</f>
        <v>Box Score</v>
      </c>
      <c r="H204" s="1"/>
      <c r="I204" s="3">
        <f>IFERROR(__xludf.DUMMYFUNCTION("""COMPUTED_VALUE"""),16341.0)</f>
        <v>16341</v>
      </c>
      <c r="J204" s="1"/>
    </row>
    <row r="205" ht="15.75" customHeight="1">
      <c r="A205" s="2">
        <f>IFERROR(__xludf.DUMMYFUNCTION("""COMPUTED_VALUE"""),43494.0)</f>
        <v>43494</v>
      </c>
      <c r="B205" s="1" t="str">
        <f>IFERROR(__xludf.DUMMYFUNCTION("""COMPUTED_VALUE"""),"7:30p")</f>
        <v>7:30p</v>
      </c>
      <c r="C205" s="1" t="str">
        <f>IFERROR(__xludf.DUMMYFUNCTION("""COMPUTED_VALUE"""),"Chicago Bulls")</f>
        <v>Chicago Bulls</v>
      </c>
      <c r="D205" s="1">
        <f>IFERROR(__xludf.DUMMYFUNCTION("""COMPUTED_VALUE"""),117.0)</f>
        <v>117</v>
      </c>
      <c r="E205" s="1" t="str">
        <f>IFERROR(__xludf.DUMMYFUNCTION("""COMPUTED_VALUE"""),"Brooklyn Nets")</f>
        <v>Brooklyn Nets</v>
      </c>
      <c r="F205" s="1">
        <f>IFERROR(__xludf.DUMMYFUNCTION("""COMPUTED_VALUE"""),122.0)</f>
        <v>122</v>
      </c>
      <c r="G205" s="1" t="str">
        <f>IFERROR(__xludf.DUMMYFUNCTION("""COMPUTED_VALUE"""),"Box Score")</f>
        <v>Box Score</v>
      </c>
      <c r="H205" s="1"/>
      <c r="I205" s="3">
        <f>IFERROR(__xludf.DUMMYFUNCTION("""COMPUTED_VALUE"""),12726.0)</f>
        <v>12726</v>
      </c>
      <c r="J205" s="1"/>
    </row>
    <row r="206" ht="15.75" customHeight="1">
      <c r="A206" s="2">
        <f>IFERROR(__xludf.DUMMYFUNCTION("""COMPUTED_VALUE"""),43494.0)</f>
        <v>43494</v>
      </c>
      <c r="B206" s="1" t="str">
        <f>IFERROR(__xludf.DUMMYFUNCTION("""COMPUTED_VALUE"""),"8:00p")</f>
        <v>8:00p</v>
      </c>
      <c r="C206" s="1" t="str">
        <f>IFERROR(__xludf.DUMMYFUNCTION("""COMPUTED_VALUE"""),"New Orleans Pelicans")</f>
        <v>New Orleans Pelicans</v>
      </c>
      <c r="D206" s="1">
        <f>IFERROR(__xludf.DUMMYFUNCTION("""COMPUTED_VALUE"""),121.0)</f>
        <v>121</v>
      </c>
      <c r="E206" s="1" t="str">
        <f>IFERROR(__xludf.DUMMYFUNCTION("""COMPUTED_VALUE"""),"Houston Rockets")</f>
        <v>Houston Rockets</v>
      </c>
      <c r="F206" s="1">
        <f>IFERROR(__xludf.DUMMYFUNCTION("""COMPUTED_VALUE"""),116.0)</f>
        <v>116</v>
      </c>
      <c r="G206" s="1" t="str">
        <f>IFERROR(__xludf.DUMMYFUNCTION("""COMPUTED_VALUE"""),"Box Score")</f>
        <v>Box Score</v>
      </c>
      <c r="H206" s="1"/>
      <c r="I206" s="3">
        <f>IFERROR(__xludf.DUMMYFUNCTION("""COMPUTED_VALUE"""),18055.0)</f>
        <v>18055</v>
      </c>
      <c r="J206" s="1"/>
    </row>
    <row r="207" ht="15.75" customHeight="1">
      <c r="A207" s="2">
        <f>IFERROR(__xludf.DUMMYFUNCTION("""COMPUTED_VALUE"""),43494.0)</f>
        <v>43494</v>
      </c>
      <c r="B207" s="1" t="str">
        <f>IFERROR(__xludf.DUMMYFUNCTION("""COMPUTED_VALUE"""),"8:30p")</f>
        <v>8:30p</v>
      </c>
      <c r="C207" s="1" t="str">
        <f>IFERROR(__xludf.DUMMYFUNCTION("""COMPUTED_VALUE"""),"Phoenix Suns")</f>
        <v>Phoenix Suns</v>
      </c>
      <c r="D207" s="1">
        <f>IFERROR(__xludf.DUMMYFUNCTION("""COMPUTED_VALUE"""),124.0)</f>
        <v>124</v>
      </c>
      <c r="E207" s="1" t="str">
        <f>IFERROR(__xludf.DUMMYFUNCTION("""COMPUTED_VALUE"""),"San Antonio Spurs")</f>
        <v>San Antonio Spurs</v>
      </c>
      <c r="F207" s="1">
        <f>IFERROR(__xludf.DUMMYFUNCTION("""COMPUTED_VALUE"""),126.0)</f>
        <v>126</v>
      </c>
      <c r="G207" s="1" t="str">
        <f>IFERROR(__xludf.DUMMYFUNCTION("""COMPUTED_VALUE"""),"Box Score")</f>
        <v>Box Score</v>
      </c>
      <c r="H207" s="1"/>
      <c r="I207" s="3">
        <f>IFERROR(__xludf.DUMMYFUNCTION("""COMPUTED_VALUE"""),18121.0)</f>
        <v>18121</v>
      </c>
      <c r="J207" s="1"/>
    </row>
    <row r="208" ht="15.75" customHeight="1">
      <c r="A208" s="2">
        <f>IFERROR(__xludf.DUMMYFUNCTION("""COMPUTED_VALUE"""),43494.0)</f>
        <v>43494</v>
      </c>
      <c r="B208" s="1" t="str">
        <f>IFERROR(__xludf.DUMMYFUNCTION("""COMPUTED_VALUE"""),"10:30p")</f>
        <v>10:30p</v>
      </c>
      <c r="C208" s="1" t="str">
        <f>IFERROR(__xludf.DUMMYFUNCTION("""COMPUTED_VALUE"""),"Philadelphia 76ers")</f>
        <v>Philadelphia 76ers</v>
      </c>
      <c r="D208" s="1">
        <f>IFERROR(__xludf.DUMMYFUNCTION("""COMPUTED_VALUE"""),121.0)</f>
        <v>121</v>
      </c>
      <c r="E208" s="1" t="str">
        <f>IFERROR(__xludf.DUMMYFUNCTION("""COMPUTED_VALUE"""),"Los Angeles Lakers")</f>
        <v>Los Angeles Lakers</v>
      </c>
      <c r="F208" s="1">
        <f>IFERROR(__xludf.DUMMYFUNCTION("""COMPUTED_VALUE"""),105.0)</f>
        <v>105</v>
      </c>
      <c r="G208" s="1" t="str">
        <f>IFERROR(__xludf.DUMMYFUNCTION("""COMPUTED_VALUE"""),"Box Score")</f>
        <v>Box Score</v>
      </c>
      <c r="H208" s="1"/>
      <c r="I208" s="3">
        <f>IFERROR(__xludf.DUMMYFUNCTION("""COMPUTED_VALUE"""),18997.0)</f>
        <v>18997</v>
      </c>
      <c r="J208" s="1"/>
    </row>
    <row r="209" ht="15.75" customHeight="1">
      <c r="A209" s="2">
        <f>IFERROR(__xludf.DUMMYFUNCTION("""COMPUTED_VALUE"""),43495.0)</f>
        <v>43495</v>
      </c>
      <c r="B209" s="1" t="str">
        <f>IFERROR(__xludf.DUMMYFUNCTION("""COMPUTED_VALUE"""),"7:30p")</f>
        <v>7:30p</v>
      </c>
      <c r="C209" s="1" t="str">
        <f>IFERROR(__xludf.DUMMYFUNCTION("""COMPUTED_VALUE"""),"Charlotte Hornets")</f>
        <v>Charlotte Hornets</v>
      </c>
      <c r="D209" s="1">
        <f>IFERROR(__xludf.DUMMYFUNCTION("""COMPUTED_VALUE"""),94.0)</f>
        <v>94</v>
      </c>
      <c r="E209" s="1" t="str">
        <f>IFERROR(__xludf.DUMMYFUNCTION("""COMPUTED_VALUE"""),"Boston Celtics")</f>
        <v>Boston Celtics</v>
      </c>
      <c r="F209" s="1">
        <f>IFERROR(__xludf.DUMMYFUNCTION("""COMPUTED_VALUE"""),126.0)</f>
        <v>126</v>
      </c>
      <c r="G209" s="1" t="str">
        <f>IFERROR(__xludf.DUMMYFUNCTION("""COMPUTED_VALUE"""),"Box Score")</f>
        <v>Box Score</v>
      </c>
      <c r="H209" s="1"/>
      <c r="I209" s="3">
        <f>IFERROR(__xludf.DUMMYFUNCTION("""COMPUTED_VALUE"""),18624.0)</f>
        <v>18624</v>
      </c>
      <c r="J209" s="1"/>
    </row>
    <row r="210" ht="15.75" customHeight="1">
      <c r="A210" s="2">
        <f>IFERROR(__xludf.DUMMYFUNCTION("""COMPUTED_VALUE"""),43495.0)</f>
        <v>43495</v>
      </c>
      <c r="B210" s="1" t="str">
        <f>IFERROR(__xludf.DUMMYFUNCTION("""COMPUTED_VALUE"""),"7:30p")</f>
        <v>7:30p</v>
      </c>
      <c r="C210" s="1" t="str">
        <f>IFERROR(__xludf.DUMMYFUNCTION("""COMPUTED_VALUE"""),"Chicago Bulls")</f>
        <v>Chicago Bulls</v>
      </c>
      <c r="D210" s="1">
        <f>IFERROR(__xludf.DUMMYFUNCTION("""COMPUTED_VALUE"""),105.0)</f>
        <v>105</v>
      </c>
      <c r="E210" s="1" t="str">
        <f>IFERROR(__xludf.DUMMYFUNCTION("""COMPUTED_VALUE"""),"Miami Heat")</f>
        <v>Miami Heat</v>
      </c>
      <c r="F210" s="1">
        <f>IFERROR(__xludf.DUMMYFUNCTION("""COMPUTED_VALUE"""),89.0)</f>
        <v>89</v>
      </c>
      <c r="G210" s="1" t="str">
        <f>IFERROR(__xludf.DUMMYFUNCTION("""COMPUTED_VALUE"""),"Box Score")</f>
        <v>Box Score</v>
      </c>
      <c r="H210" s="1"/>
      <c r="I210" s="3">
        <f>IFERROR(__xludf.DUMMYFUNCTION("""COMPUTED_VALUE"""),19600.0)</f>
        <v>19600</v>
      </c>
      <c r="J210" s="1"/>
    </row>
    <row r="211" ht="15.75" customHeight="1">
      <c r="A211" s="2">
        <f>IFERROR(__xludf.DUMMYFUNCTION("""COMPUTED_VALUE"""),43495.0)</f>
        <v>43495</v>
      </c>
      <c r="B211" s="1" t="str">
        <f>IFERROR(__xludf.DUMMYFUNCTION("""COMPUTED_VALUE"""),"7:30p")</f>
        <v>7:30p</v>
      </c>
      <c r="C211" s="1" t="str">
        <f>IFERROR(__xludf.DUMMYFUNCTION("""COMPUTED_VALUE"""),"Dallas Mavericks")</f>
        <v>Dallas Mavericks</v>
      </c>
      <c r="D211" s="1">
        <f>IFERROR(__xludf.DUMMYFUNCTION("""COMPUTED_VALUE"""),114.0)</f>
        <v>114</v>
      </c>
      <c r="E211" s="1" t="str">
        <f>IFERROR(__xludf.DUMMYFUNCTION("""COMPUTED_VALUE"""),"New York Knicks")</f>
        <v>New York Knicks</v>
      </c>
      <c r="F211" s="1">
        <f>IFERROR(__xludf.DUMMYFUNCTION("""COMPUTED_VALUE"""),90.0)</f>
        <v>90</v>
      </c>
      <c r="G211" s="1" t="str">
        <f>IFERROR(__xludf.DUMMYFUNCTION("""COMPUTED_VALUE"""),"Box Score")</f>
        <v>Box Score</v>
      </c>
      <c r="H211" s="1"/>
      <c r="I211" s="3">
        <f>IFERROR(__xludf.DUMMYFUNCTION("""COMPUTED_VALUE"""),18842.0)</f>
        <v>18842</v>
      </c>
      <c r="J211" s="1"/>
    </row>
    <row r="212" ht="15.75" customHeight="1">
      <c r="A212" s="2">
        <f>IFERROR(__xludf.DUMMYFUNCTION("""COMPUTED_VALUE"""),43495.0)</f>
        <v>43495</v>
      </c>
      <c r="B212" s="1" t="str">
        <f>IFERROR(__xludf.DUMMYFUNCTION("""COMPUTED_VALUE"""),"8:00p")</f>
        <v>8:00p</v>
      </c>
      <c r="C212" s="1" t="str">
        <f>IFERROR(__xludf.DUMMYFUNCTION("""COMPUTED_VALUE"""),"Memphis Grizzlies")</f>
        <v>Memphis Grizzlies</v>
      </c>
      <c r="D212" s="1">
        <f>IFERROR(__xludf.DUMMYFUNCTION("""COMPUTED_VALUE"""),97.0)</f>
        <v>97</v>
      </c>
      <c r="E212" s="1" t="str">
        <f>IFERROR(__xludf.DUMMYFUNCTION("""COMPUTED_VALUE"""),"Minnesota Timberwolves")</f>
        <v>Minnesota Timberwolves</v>
      </c>
      <c r="F212" s="1">
        <f>IFERROR(__xludf.DUMMYFUNCTION("""COMPUTED_VALUE"""),99.0)</f>
        <v>99</v>
      </c>
      <c r="G212" s="1" t="str">
        <f>IFERROR(__xludf.DUMMYFUNCTION("""COMPUTED_VALUE"""),"Box Score")</f>
        <v>Box Score</v>
      </c>
      <c r="H212" s="1" t="str">
        <f>IFERROR(__xludf.DUMMYFUNCTION("""COMPUTED_VALUE"""),"OT")</f>
        <v>OT</v>
      </c>
      <c r="I212" s="3">
        <f>IFERROR(__xludf.DUMMYFUNCTION("""COMPUTED_VALUE"""),13615.0)</f>
        <v>13615</v>
      </c>
      <c r="J212" s="1"/>
    </row>
    <row r="213" ht="15.75" customHeight="1">
      <c r="A213" s="2">
        <f>IFERROR(__xludf.DUMMYFUNCTION("""COMPUTED_VALUE"""),43495.0)</f>
        <v>43495</v>
      </c>
      <c r="B213" s="1" t="str">
        <f>IFERROR(__xludf.DUMMYFUNCTION("""COMPUTED_VALUE"""),"8:00p")</f>
        <v>8:00p</v>
      </c>
      <c r="C213" s="1" t="str">
        <f>IFERROR(__xludf.DUMMYFUNCTION("""COMPUTED_VALUE"""),"Denver Nuggets")</f>
        <v>Denver Nuggets</v>
      </c>
      <c r="D213" s="1">
        <f>IFERROR(__xludf.DUMMYFUNCTION("""COMPUTED_VALUE"""),105.0)</f>
        <v>105</v>
      </c>
      <c r="E213" s="1" t="str">
        <f>IFERROR(__xludf.DUMMYFUNCTION("""COMPUTED_VALUE"""),"New Orleans Pelicans")</f>
        <v>New Orleans Pelicans</v>
      </c>
      <c r="F213" s="1">
        <f>IFERROR(__xludf.DUMMYFUNCTION("""COMPUTED_VALUE"""),99.0)</f>
        <v>99</v>
      </c>
      <c r="G213" s="1" t="str">
        <f>IFERROR(__xludf.DUMMYFUNCTION("""COMPUTED_VALUE"""),"Box Score")</f>
        <v>Box Score</v>
      </c>
      <c r="H213" s="1"/>
      <c r="I213" s="3">
        <f>IFERROR(__xludf.DUMMYFUNCTION("""COMPUTED_VALUE"""),14211.0)</f>
        <v>14211</v>
      </c>
      <c r="J213" s="1"/>
    </row>
    <row r="214" ht="15.75" customHeight="1">
      <c r="A214" s="2">
        <f>IFERROR(__xludf.DUMMYFUNCTION("""COMPUTED_VALUE"""),43495.0)</f>
        <v>43495</v>
      </c>
      <c r="B214" s="1" t="str">
        <f>IFERROR(__xludf.DUMMYFUNCTION("""COMPUTED_VALUE"""),"8:00p")</f>
        <v>8:00p</v>
      </c>
      <c r="C214" s="1" t="str">
        <f>IFERROR(__xludf.DUMMYFUNCTION("""COMPUTED_VALUE"""),"Indiana Pacers")</f>
        <v>Indiana Pacers</v>
      </c>
      <c r="D214" s="1">
        <f>IFERROR(__xludf.DUMMYFUNCTION("""COMPUTED_VALUE"""),89.0)</f>
        <v>89</v>
      </c>
      <c r="E214" s="1" t="str">
        <f>IFERROR(__xludf.DUMMYFUNCTION("""COMPUTED_VALUE"""),"Washington Wizards")</f>
        <v>Washington Wizards</v>
      </c>
      <c r="F214" s="1">
        <f>IFERROR(__xludf.DUMMYFUNCTION("""COMPUTED_VALUE"""),107.0)</f>
        <v>107</v>
      </c>
      <c r="G214" s="1" t="str">
        <f>IFERROR(__xludf.DUMMYFUNCTION("""COMPUTED_VALUE"""),"Box Score")</f>
        <v>Box Score</v>
      </c>
      <c r="H214" s="1"/>
      <c r="I214" s="3">
        <f>IFERROR(__xludf.DUMMYFUNCTION("""COMPUTED_VALUE"""),15354.0)</f>
        <v>15354</v>
      </c>
      <c r="J214" s="1"/>
    </row>
    <row r="215" ht="15.75" customHeight="1">
      <c r="A215" s="2">
        <f>IFERROR(__xludf.DUMMYFUNCTION("""COMPUTED_VALUE"""),43495.0)</f>
        <v>43495</v>
      </c>
      <c r="B215" s="1" t="str">
        <f>IFERROR(__xludf.DUMMYFUNCTION("""COMPUTED_VALUE"""),"10:00p")</f>
        <v>10:00p</v>
      </c>
      <c r="C215" s="1" t="str">
        <f>IFERROR(__xludf.DUMMYFUNCTION("""COMPUTED_VALUE"""),"Atlanta Hawks")</f>
        <v>Atlanta Hawks</v>
      </c>
      <c r="D215" s="1">
        <f>IFERROR(__xludf.DUMMYFUNCTION("""COMPUTED_VALUE"""),113.0)</f>
        <v>113</v>
      </c>
      <c r="E215" s="1" t="str">
        <f>IFERROR(__xludf.DUMMYFUNCTION("""COMPUTED_VALUE"""),"Sacramento Kings")</f>
        <v>Sacramento Kings</v>
      </c>
      <c r="F215" s="1">
        <f>IFERROR(__xludf.DUMMYFUNCTION("""COMPUTED_VALUE"""),135.0)</f>
        <v>135</v>
      </c>
      <c r="G215" s="1" t="str">
        <f>IFERROR(__xludf.DUMMYFUNCTION("""COMPUTED_VALUE"""),"Box Score")</f>
        <v>Box Score</v>
      </c>
      <c r="H215" s="1"/>
      <c r="I215" s="3">
        <f>IFERROR(__xludf.DUMMYFUNCTION("""COMPUTED_VALUE"""),17583.0)</f>
        <v>17583</v>
      </c>
      <c r="J215" s="1"/>
    </row>
    <row r="216" ht="15.75" customHeight="1">
      <c r="A216" s="2">
        <f>IFERROR(__xludf.DUMMYFUNCTION("""COMPUTED_VALUE"""),43495.0)</f>
        <v>43495</v>
      </c>
      <c r="B216" s="1" t="str">
        <f>IFERROR(__xludf.DUMMYFUNCTION("""COMPUTED_VALUE"""),"10:30p")</f>
        <v>10:30p</v>
      </c>
      <c r="C216" s="1" t="str">
        <f>IFERROR(__xludf.DUMMYFUNCTION("""COMPUTED_VALUE"""),"Utah Jazz")</f>
        <v>Utah Jazz</v>
      </c>
      <c r="D216" s="1">
        <f>IFERROR(__xludf.DUMMYFUNCTION("""COMPUTED_VALUE"""),105.0)</f>
        <v>105</v>
      </c>
      <c r="E216" s="1" t="str">
        <f>IFERROR(__xludf.DUMMYFUNCTION("""COMPUTED_VALUE"""),"Portland Trail Blazers")</f>
        <v>Portland Trail Blazers</v>
      </c>
      <c r="F216" s="1">
        <f>IFERROR(__xludf.DUMMYFUNCTION("""COMPUTED_VALUE"""),132.0)</f>
        <v>132</v>
      </c>
      <c r="G216" s="1" t="str">
        <f>IFERROR(__xludf.DUMMYFUNCTION("""COMPUTED_VALUE"""),"Box Score")</f>
        <v>Box Score</v>
      </c>
      <c r="H216" s="1"/>
      <c r="I216" s="3">
        <f>IFERROR(__xludf.DUMMYFUNCTION("""COMPUTED_VALUE"""),19393.0)</f>
        <v>19393</v>
      </c>
      <c r="J216" s="1"/>
    </row>
    <row r="217" ht="15.75" customHeight="1">
      <c r="A217" s="2">
        <f>IFERROR(__xludf.DUMMYFUNCTION("""COMPUTED_VALUE"""),43496.0)</f>
        <v>43496</v>
      </c>
      <c r="B217" s="1" t="str">
        <f>IFERROR(__xludf.DUMMYFUNCTION("""COMPUTED_VALUE"""),"7:00p")</f>
        <v>7:00p</v>
      </c>
      <c r="C217" s="1" t="str">
        <f>IFERROR(__xludf.DUMMYFUNCTION("""COMPUTED_VALUE"""),"Dallas Mavericks")</f>
        <v>Dallas Mavericks</v>
      </c>
      <c r="D217" s="1">
        <f>IFERROR(__xludf.DUMMYFUNCTION("""COMPUTED_VALUE"""),89.0)</f>
        <v>89</v>
      </c>
      <c r="E217" s="1" t="str">
        <f>IFERROR(__xludf.DUMMYFUNCTION("""COMPUTED_VALUE"""),"Detroit Pistons")</f>
        <v>Detroit Pistons</v>
      </c>
      <c r="F217" s="1">
        <f>IFERROR(__xludf.DUMMYFUNCTION("""COMPUTED_VALUE"""),93.0)</f>
        <v>93</v>
      </c>
      <c r="G217" s="1" t="str">
        <f>IFERROR(__xludf.DUMMYFUNCTION("""COMPUTED_VALUE"""),"Box Score")</f>
        <v>Box Score</v>
      </c>
      <c r="H217" s="1"/>
      <c r="I217" s="3">
        <f>IFERROR(__xludf.DUMMYFUNCTION("""COMPUTED_VALUE"""),14075.0)</f>
        <v>14075</v>
      </c>
      <c r="J217" s="1"/>
    </row>
    <row r="218" ht="15.75" customHeight="1">
      <c r="A218" s="2">
        <f>IFERROR(__xludf.DUMMYFUNCTION("""COMPUTED_VALUE"""),43496.0)</f>
        <v>43496</v>
      </c>
      <c r="B218" s="1" t="str">
        <f>IFERROR(__xludf.DUMMYFUNCTION("""COMPUTED_VALUE"""),"7:00p")</f>
        <v>7:00p</v>
      </c>
      <c r="C218" s="1" t="str">
        <f>IFERROR(__xludf.DUMMYFUNCTION("""COMPUTED_VALUE"""),"Indiana Pacers")</f>
        <v>Indiana Pacers</v>
      </c>
      <c r="D218" s="1">
        <f>IFERROR(__xludf.DUMMYFUNCTION("""COMPUTED_VALUE"""),100.0)</f>
        <v>100</v>
      </c>
      <c r="E218" s="1" t="str">
        <f>IFERROR(__xludf.DUMMYFUNCTION("""COMPUTED_VALUE"""),"Orlando Magic")</f>
        <v>Orlando Magic</v>
      </c>
      <c r="F218" s="1">
        <f>IFERROR(__xludf.DUMMYFUNCTION("""COMPUTED_VALUE"""),107.0)</f>
        <v>107</v>
      </c>
      <c r="G218" s="1" t="str">
        <f>IFERROR(__xludf.DUMMYFUNCTION("""COMPUTED_VALUE"""),"Box Score")</f>
        <v>Box Score</v>
      </c>
      <c r="H218" s="1"/>
      <c r="I218" s="3">
        <f>IFERROR(__xludf.DUMMYFUNCTION("""COMPUTED_VALUE"""),16625.0)</f>
        <v>16625</v>
      </c>
      <c r="J218" s="1"/>
    </row>
    <row r="219" ht="15.75" customHeight="1">
      <c r="A219" s="2">
        <f>IFERROR(__xludf.DUMMYFUNCTION("""COMPUTED_VALUE"""),43496.0)</f>
        <v>43496</v>
      </c>
      <c r="B219" s="1" t="str">
        <f>IFERROR(__xludf.DUMMYFUNCTION("""COMPUTED_VALUE"""),"8:00p")</f>
        <v>8:00p</v>
      </c>
      <c r="C219" s="1" t="str">
        <f>IFERROR(__xludf.DUMMYFUNCTION("""COMPUTED_VALUE"""),"Milwaukee Bucks")</f>
        <v>Milwaukee Bucks</v>
      </c>
      <c r="D219" s="1">
        <f>IFERROR(__xludf.DUMMYFUNCTION("""COMPUTED_VALUE"""),105.0)</f>
        <v>105</v>
      </c>
      <c r="E219" s="1" t="str">
        <f>IFERROR(__xludf.DUMMYFUNCTION("""COMPUTED_VALUE"""),"Toronto Raptors")</f>
        <v>Toronto Raptors</v>
      </c>
      <c r="F219" s="1">
        <f>IFERROR(__xludf.DUMMYFUNCTION("""COMPUTED_VALUE"""),92.0)</f>
        <v>92</v>
      </c>
      <c r="G219" s="1" t="str">
        <f>IFERROR(__xludf.DUMMYFUNCTION("""COMPUTED_VALUE"""),"Box Score")</f>
        <v>Box Score</v>
      </c>
      <c r="H219" s="1"/>
      <c r="I219" s="3">
        <f>IFERROR(__xludf.DUMMYFUNCTION("""COMPUTED_VALUE"""),19800.0)</f>
        <v>19800</v>
      </c>
      <c r="J219" s="1"/>
    </row>
    <row r="220" ht="15.75" customHeight="1">
      <c r="A220" s="2">
        <f>IFERROR(__xludf.DUMMYFUNCTION("""COMPUTED_VALUE"""),43496.0)</f>
        <v>43496</v>
      </c>
      <c r="B220" s="1" t="str">
        <f>IFERROR(__xludf.DUMMYFUNCTION("""COMPUTED_VALUE"""),"8:30p")</f>
        <v>8:30p</v>
      </c>
      <c r="C220" s="1" t="str">
        <f>IFERROR(__xludf.DUMMYFUNCTION("""COMPUTED_VALUE"""),"Brooklyn Nets")</f>
        <v>Brooklyn Nets</v>
      </c>
      <c r="D220" s="1">
        <f>IFERROR(__xludf.DUMMYFUNCTION("""COMPUTED_VALUE"""),114.0)</f>
        <v>114</v>
      </c>
      <c r="E220" s="1" t="str">
        <f>IFERROR(__xludf.DUMMYFUNCTION("""COMPUTED_VALUE"""),"San Antonio Spurs")</f>
        <v>San Antonio Spurs</v>
      </c>
      <c r="F220" s="1">
        <f>IFERROR(__xludf.DUMMYFUNCTION("""COMPUTED_VALUE"""),117.0)</f>
        <v>117</v>
      </c>
      <c r="G220" s="1" t="str">
        <f>IFERROR(__xludf.DUMMYFUNCTION("""COMPUTED_VALUE"""),"Box Score")</f>
        <v>Box Score</v>
      </c>
      <c r="H220" s="1"/>
      <c r="I220" s="3">
        <f>IFERROR(__xludf.DUMMYFUNCTION("""COMPUTED_VALUE"""),18057.0)</f>
        <v>18057</v>
      </c>
      <c r="J220" s="1"/>
    </row>
    <row r="221" ht="15.75" customHeight="1">
      <c r="A221" s="2">
        <f>IFERROR(__xludf.DUMMYFUNCTION("""COMPUTED_VALUE"""),43496.0)</f>
        <v>43496</v>
      </c>
      <c r="B221" s="1" t="str">
        <f>IFERROR(__xludf.DUMMYFUNCTION("""COMPUTED_VALUE"""),"10:30p")</f>
        <v>10:30p</v>
      </c>
      <c r="C221" s="1" t="str">
        <f>IFERROR(__xludf.DUMMYFUNCTION("""COMPUTED_VALUE"""),"Philadelphia 76ers")</f>
        <v>Philadelphia 76ers</v>
      </c>
      <c r="D221" s="1">
        <f>IFERROR(__xludf.DUMMYFUNCTION("""COMPUTED_VALUE"""),113.0)</f>
        <v>113</v>
      </c>
      <c r="E221" s="1" t="str">
        <f>IFERROR(__xludf.DUMMYFUNCTION("""COMPUTED_VALUE"""),"Golden State Warriors")</f>
        <v>Golden State Warriors</v>
      </c>
      <c r="F221" s="1">
        <f>IFERROR(__xludf.DUMMYFUNCTION("""COMPUTED_VALUE"""),104.0)</f>
        <v>104</v>
      </c>
      <c r="G221" s="1" t="str">
        <f>IFERROR(__xludf.DUMMYFUNCTION("""COMPUTED_VALUE"""),"Box Score")</f>
        <v>Box Score</v>
      </c>
      <c r="H221" s="1"/>
      <c r="I221" s="3">
        <f>IFERROR(__xludf.DUMMYFUNCTION("""COMPUTED_VALUE"""),19596.0)</f>
        <v>19596</v>
      </c>
      <c r="J221" s="1"/>
    </row>
    <row r="222" ht="15.75" customHeight="1">
      <c r="A222" s="2">
        <f>IFERROR(__xludf.DUMMYFUNCTION("""COMPUTED_VALUE"""),43496.0)</f>
        <v>43496</v>
      </c>
      <c r="B222" s="1" t="str">
        <f>IFERROR(__xludf.DUMMYFUNCTION("""COMPUTED_VALUE"""),"10:30p")</f>
        <v>10:30p</v>
      </c>
      <c r="C222" s="1" t="str">
        <f>IFERROR(__xludf.DUMMYFUNCTION("""COMPUTED_VALUE"""),"Los Angeles Lakers")</f>
        <v>Los Angeles Lakers</v>
      </c>
      <c r="D222" s="1">
        <f>IFERROR(__xludf.DUMMYFUNCTION("""COMPUTED_VALUE"""),123.0)</f>
        <v>123</v>
      </c>
      <c r="E222" s="1" t="str">
        <f>IFERROR(__xludf.DUMMYFUNCTION("""COMPUTED_VALUE"""),"Los Angeles Clippers")</f>
        <v>Los Angeles Clippers</v>
      </c>
      <c r="F222" s="1">
        <f>IFERROR(__xludf.DUMMYFUNCTION("""COMPUTED_VALUE"""),120.0)</f>
        <v>120</v>
      </c>
      <c r="G222" s="1" t="str">
        <f>IFERROR(__xludf.DUMMYFUNCTION("""COMPUTED_VALUE"""),"Box Score")</f>
        <v>Box Score</v>
      </c>
      <c r="H222" s="1" t="str">
        <f>IFERROR(__xludf.DUMMYFUNCTION("""COMPUTED_VALUE"""),"OT")</f>
        <v>OT</v>
      </c>
      <c r="I222" s="3">
        <f>IFERROR(__xludf.DUMMYFUNCTION("""COMPUTED_VALUE"""),19068.0)</f>
        <v>19068</v>
      </c>
      <c r="J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tr">
        <f>IFERROR(__xludf.DUMMYFUNCTION("IMPORTHTML(""https://www.basketball-reference.com/leagues/NBA_2019_games-february.html"",""table"",1)"),"Date")</f>
        <v>Date</v>
      </c>
      <c r="B1" s="1" t="str">
        <f>IFERROR(__xludf.DUMMYFUNCTION("""COMPUTED_VALUE"""),"Start (ET)")</f>
        <v>Start (ET)</v>
      </c>
      <c r="C1" s="1" t="str">
        <f>IFERROR(__xludf.DUMMYFUNCTION("""COMPUTED_VALUE"""),"Visitor/Neutral")</f>
        <v>Visitor/Neutral</v>
      </c>
      <c r="D1" s="1" t="str">
        <f>IFERROR(__xludf.DUMMYFUNCTION("""COMPUTED_VALUE"""),"PTS")</f>
        <v>PTS</v>
      </c>
      <c r="E1" s="1" t="str">
        <f>IFERROR(__xludf.DUMMYFUNCTION("""COMPUTED_VALUE"""),"Home/Neutral")</f>
        <v>Home/Neutral</v>
      </c>
      <c r="F1" s="1" t="str">
        <f>IFERROR(__xludf.DUMMYFUNCTION("""COMPUTED_VALUE"""),"PTS")</f>
        <v>PTS</v>
      </c>
      <c r="G1" s="1"/>
      <c r="H1" s="1"/>
      <c r="I1" s="1" t="str">
        <f>IFERROR(__xludf.DUMMYFUNCTION("""COMPUTED_VALUE"""),"Attend.")</f>
        <v>Attend.</v>
      </c>
      <c r="J1" s="1" t="str">
        <f>IFERROR(__xludf.DUMMYFUNCTION("""COMPUTED_VALUE"""),"Notes")</f>
        <v>Notes</v>
      </c>
    </row>
    <row r="2" ht="15.75" customHeight="1">
      <c r="A2" s="2">
        <f>IFERROR(__xludf.DUMMYFUNCTION("""COMPUTED_VALUE"""),43497.0)</f>
        <v>43497</v>
      </c>
      <c r="B2" s="1" t="str">
        <f>IFERROR(__xludf.DUMMYFUNCTION("""COMPUTED_VALUE"""),"7:00p")</f>
        <v>7:00p</v>
      </c>
      <c r="C2" s="1" t="str">
        <f>IFERROR(__xludf.DUMMYFUNCTION("""COMPUTED_VALUE"""),"Memphis Grizzlies")</f>
        <v>Memphis Grizzlies</v>
      </c>
      <c r="D2" s="1">
        <f>IFERROR(__xludf.DUMMYFUNCTION("""COMPUTED_VALUE"""),92.0)</f>
        <v>92</v>
      </c>
      <c r="E2" s="1" t="str">
        <f>IFERROR(__xludf.DUMMYFUNCTION("""COMPUTED_VALUE"""),"Charlotte Hornets")</f>
        <v>Charlotte Hornets</v>
      </c>
      <c r="F2" s="1">
        <f>IFERROR(__xludf.DUMMYFUNCTION("""COMPUTED_VALUE"""),100.0)</f>
        <v>100</v>
      </c>
      <c r="G2" s="1" t="str">
        <f>IFERROR(__xludf.DUMMYFUNCTION("""COMPUTED_VALUE"""),"Box Score")</f>
        <v>Box Score</v>
      </c>
      <c r="H2" s="1"/>
      <c r="I2" s="3">
        <f>IFERROR(__xludf.DUMMYFUNCTION("""COMPUTED_VALUE"""),15387.0)</f>
        <v>15387</v>
      </c>
      <c r="J2" s="1"/>
    </row>
    <row r="3" ht="15.75" customHeight="1">
      <c r="A3" s="2">
        <f>IFERROR(__xludf.DUMMYFUNCTION("""COMPUTED_VALUE"""),43497.0)</f>
        <v>43497</v>
      </c>
      <c r="B3" s="1" t="str">
        <f>IFERROR(__xludf.DUMMYFUNCTION("""COMPUTED_VALUE"""),"7:30p")</f>
        <v>7:30p</v>
      </c>
      <c r="C3" s="1" t="str">
        <f>IFERROR(__xludf.DUMMYFUNCTION("""COMPUTED_VALUE"""),"Boston Celtics")</f>
        <v>Boston Celtics</v>
      </c>
      <c r="D3" s="1">
        <f>IFERROR(__xludf.DUMMYFUNCTION("""COMPUTED_VALUE"""),113.0)</f>
        <v>113</v>
      </c>
      <c r="E3" s="1" t="str">
        <f>IFERROR(__xludf.DUMMYFUNCTION("""COMPUTED_VALUE"""),"New York Knicks")</f>
        <v>New York Knicks</v>
      </c>
      <c r="F3" s="1">
        <f>IFERROR(__xludf.DUMMYFUNCTION("""COMPUTED_VALUE"""),99.0)</f>
        <v>99</v>
      </c>
      <c r="G3" s="1" t="str">
        <f>IFERROR(__xludf.DUMMYFUNCTION("""COMPUTED_VALUE"""),"Box Score")</f>
        <v>Box Score</v>
      </c>
      <c r="H3" s="1"/>
      <c r="I3" s="3">
        <f>IFERROR(__xludf.DUMMYFUNCTION("""COMPUTED_VALUE"""),18343.0)</f>
        <v>18343</v>
      </c>
      <c r="J3" s="1"/>
    </row>
    <row r="4" ht="15.75" customHeight="1">
      <c r="A4" s="2">
        <f>IFERROR(__xludf.DUMMYFUNCTION("""COMPUTED_VALUE"""),43497.0)</f>
        <v>43497</v>
      </c>
      <c r="B4" s="1" t="str">
        <f>IFERROR(__xludf.DUMMYFUNCTION("""COMPUTED_VALUE"""),"8:00p")</f>
        <v>8:00p</v>
      </c>
      <c r="C4" s="1" t="str">
        <f>IFERROR(__xludf.DUMMYFUNCTION("""COMPUTED_VALUE"""),"Oklahoma City Thunder")</f>
        <v>Oklahoma City Thunder</v>
      </c>
      <c r="D4" s="1">
        <f>IFERROR(__xludf.DUMMYFUNCTION("""COMPUTED_VALUE"""),118.0)</f>
        <v>118</v>
      </c>
      <c r="E4" s="1" t="str">
        <f>IFERROR(__xludf.DUMMYFUNCTION("""COMPUTED_VALUE"""),"Miami Heat")</f>
        <v>Miami Heat</v>
      </c>
      <c r="F4" s="1">
        <f>IFERROR(__xludf.DUMMYFUNCTION("""COMPUTED_VALUE"""),102.0)</f>
        <v>102</v>
      </c>
      <c r="G4" s="1" t="str">
        <f>IFERROR(__xludf.DUMMYFUNCTION("""COMPUTED_VALUE"""),"Box Score")</f>
        <v>Box Score</v>
      </c>
      <c r="H4" s="1"/>
      <c r="I4" s="3">
        <f>IFERROR(__xludf.DUMMYFUNCTION("""COMPUTED_VALUE"""),19600.0)</f>
        <v>19600</v>
      </c>
      <c r="J4" s="1"/>
    </row>
    <row r="5" ht="15.75" customHeight="1">
      <c r="A5" s="2">
        <f>IFERROR(__xludf.DUMMYFUNCTION("""COMPUTED_VALUE"""),43497.0)</f>
        <v>43497</v>
      </c>
      <c r="B5" s="1" t="str">
        <f>IFERROR(__xludf.DUMMYFUNCTION("""COMPUTED_VALUE"""),"9:00p")</f>
        <v>9:00p</v>
      </c>
      <c r="C5" s="1" t="str">
        <f>IFERROR(__xludf.DUMMYFUNCTION("""COMPUTED_VALUE"""),"Atlanta Hawks")</f>
        <v>Atlanta Hawks</v>
      </c>
      <c r="D5" s="1">
        <f>IFERROR(__xludf.DUMMYFUNCTION("""COMPUTED_VALUE"""),112.0)</f>
        <v>112</v>
      </c>
      <c r="E5" s="1" t="str">
        <f>IFERROR(__xludf.DUMMYFUNCTION("""COMPUTED_VALUE"""),"Utah Jazz")</f>
        <v>Utah Jazz</v>
      </c>
      <c r="F5" s="1">
        <f>IFERROR(__xludf.DUMMYFUNCTION("""COMPUTED_VALUE"""),128.0)</f>
        <v>128</v>
      </c>
      <c r="G5" s="1" t="str">
        <f>IFERROR(__xludf.DUMMYFUNCTION("""COMPUTED_VALUE"""),"Box Score")</f>
        <v>Box Score</v>
      </c>
      <c r="H5" s="1"/>
      <c r="I5" s="3">
        <f>IFERROR(__xludf.DUMMYFUNCTION("""COMPUTED_VALUE"""),18306.0)</f>
        <v>18306</v>
      </c>
      <c r="J5" s="1"/>
    </row>
    <row r="6" ht="15.75" customHeight="1">
      <c r="A6" s="2">
        <f>IFERROR(__xludf.DUMMYFUNCTION("""COMPUTED_VALUE"""),43497.0)</f>
        <v>43497</v>
      </c>
      <c r="B6" s="1" t="str">
        <f>IFERROR(__xludf.DUMMYFUNCTION("""COMPUTED_VALUE"""),"10:00p")</f>
        <v>10:00p</v>
      </c>
      <c r="C6" s="1" t="str">
        <f>IFERROR(__xludf.DUMMYFUNCTION("""COMPUTED_VALUE"""),"Houston Rockets")</f>
        <v>Houston Rockets</v>
      </c>
      <c r="D6" s="1">
        <f>IFERROR(__xludf.DUMMYFUNCTION("""COMPUTED_VALUE"""),122.0)</f>
        <v>122</v>
      </c>
      <c r="E6" s="1" t="str">
        <f>IFERROR(__xludf.DUMMYFUNCTION("""COMPUTED_VALUE"""),"Denver Nuggets")</f>
        <v>Denver Nuggets</v>
      </c>
      <c r="F6" s="1">
        <f>IFERROR(__xludf.DUMMYFUNCTION("""COMPUTED_VALUE"""),136.0)</f>
        <v>136</v>
      </c>
      <c r="G6" s="1" t="str">
        <f>IFERROR(__xludf.DUMMYFUNCTION("""COMPUTED_VALUE"""),"Box Score")</f>
        <v>Box Score</v>
      </c>
      <c r="H6" s="1"/>
      <c r="I6" s="3">
        <f>IFERROR(__xludf.DUMMYFUNCTION("""COMPUTED_VALUE"""),20106.0)</f>
        <v>20106</v>
      </c>
      <c r="J6" s="1"/>
    </row>
    <row r="7" ht="15.75" customHeight="1">
      <c r="A7" s="2">
        <f>IFERROR(__xludf.DUMMYFUNCTION("""COMPUTED_VALUE"""),43498.0)</f>
        <v>43498</v>
      </c>
      <c r="B7" s="1" t="str">
        <f>IFERROR(__xludf.DUMMYFUNCTION("""COMPUTED_VALUE"""),"5:00p")</f>
        <v>5:00p</v>
      </c>
      <c r="C7" s="1" t="str">
        <f>IFERROR(__xludf.DUMMYFUNCTION("""COMPUTED_VALUE"""),"Los Angeles Clippers")</f>
        <v>Los Angeles Clippers</v>
      </c>
      <c r="D7" s="1">
        <f>IFERROR(__xludf.DUMMYFUNCTION("""COMPUTED_VALUE"""),111.0)</f>
        <v>111</v>
      </c>
      <c r="E7" s="1" t="str">
        <f>IFERROR(__xludf.DUMMYFUNCTION("""COMPUTED_VALUE"""),"Detroit Pistons")</f>
        <v>Detroit Pistons</v>
      </c>
      <c r="F7" s="1">
        <f>IFERROR(__xludf.DUMMYFUNCTION("""COMPUTED_VALUE"""),101.0)</f>
        <v>101</v>
      </c>
      <c r="G7" s="1" t="str">
        <f>IFERROR(__xludf.DUMMYFUNCTION("""COMPUTED_VALUE"""),"Box Score")</f>
        <v>Box Score</v>
      </c>
      <c r="H7" s="1"/>
      <c r="I7" s="3">
        <f>IFERROR(__xludf.DUMMYFUNCTION("""COMPUTED_VALUE"""),17862.0)</f>
        <v>17862</v>
      </c>
      <c r="J7" s="1"/>
    </row>
    <row r="8" ht="15.75" customHeight="1">
      <c r="A8" s="2">
        <f>IFERROR(__xludf.DUMMYFUNCTION("""COMPUTED_VALUE"""),43498.0)</f>
        <v>43498</v>
      </c>
      <c r="B8" s="1" t="str">
        <f>IFERROR(__xludf.DUMMYFUNCTION("""COMPUTED_VALUE"""),"7:00p")</f>
        <v>7:00p</v>
      </c>
      <c r="C8" s="1" t="str">
        <f>IFERROR(__xludf.DUMMYFUNCTION("""COMPUTED_VALUE"""),"Chicago Bulls")</f>
        <v>Chicago Bulls</v>
      </c>
      <c r="D8" s="1">
        <f>IFERROR(__xludf.DUMMYFUNCTION("""COMPUTED_VALUE"""),118.0)</f>
        <v>118</v>
      </c>
      <c r="E8" s="1" t="str">
        <f>IFERROR(__xludf.DUMMYFUNCTION("""COMPUTED_VALUE"""),"Charlotte Hornets")</f>
        <v>Charlotte Hornets</v>
      </c>
      <c r="F8" s="1">
        <f>IFERROR(__xludf.DUMMYFUNCTION("""COMPUTED_VALUE"""),125.0)</f>
        <v>125</v>
      </c>
      <c r="G8" s="1" t="str">
        <f>IFERROR(__xludf.DUMMYFUNCTION("""COMPUTED_VALUE"""),"Box Score")</f>
        <v>Box Score</v>
      </c>
      <c r="H8" s="1"/>
      <c r="I8" s="3">
        <f>IFERROR(__xludf.DUMMYFUNCTION("""COMPUTED_VALUE"""),19114.0)</f>
        <v>19114</v>
      </c>
      <c r="J8" s="1"/>
    </row>
    <row r="9" ht="15.75" customHeight="1">
      <c r="A9" s="2">
        <f>IFERROR(__xludf.DUMMYFUNCTION("""COMPUTED_VALUE"""),43498.0)</f>
        <v>43498</v>
      </c>
      <c r="B9" s="1" t="str">
        <f>IFERROR(__xludf.DUMMYFUNCTION("""COMPUTED_VALUE"""),"7:00p")</f>
        <v>7:00p</v>
      </c>
      <c r="C9" s="1" t="str">
        <f>IFERROR(__xludf.DUMMYFUNCTION("""COMPUTED_VALUE"""),"Brooklyn Nets")</f>
        <v>Brooklyn Nets</v>
      </c>
      <c r="D9" s="1">
        <f>IFERROR(__xludf.DUMMYFUNCTION("""COMPUTED_VALUE"""),89.0)</f>
        <v>89</v>
      </c>
      <c r="E9" s="1" t="str">
        <f>IFERROR(__xludf.DUMMYFUNCTION("""COMPUTED_VALUE"""),"Orlando Magic")</f>
        <v>Orlando Magic</v>
      </c>
      <c r="F9" s="1">
        <f>IFERROR(__xludf.DUMMYFUNCTION("""COMPUTED_VALUE"""),102.0)</f>
        <v>102</v>
      </c>
      <c r="G9" s="1" t="str">
        <f>IFERROR(__xludf.DUMMYFUNCTION("""COMPUTED_VALUE"""),"Box Score")</f>
        <v>Box Score</v>
      </c>
      <c r="H9" s="1"/>
      <c r="I9" s="3">
        <f>IFERROR(__xludf.DUMMYFUNCTION("""COMPUTED_VALUE"""),17385.0)</f>
        <v>17385</v>
      </c>
      <c r="J9" s="1"/>
    </row>
    <row r="10" ht="15.75" customHeight="1">
      <c r="A10" s="2">
        <f>IFERROR(__xludf.DUMMYFUNCTION("""COMPUTED_VALUE"""),43498.0)</f>
        <v>43498</v>
      </c>
      <c r="B10" s="1" t="str">
        <f>IFERROR(__xludf.DUMMYFUNCTION("""COMPUTED_VALUE"""),"7:00p")</f>
        <v>7:00p</v>
      </c>
      <c r="C10" s="1" t="str">
        <f>IFERROR(__xludf.DUMMYFUNCTION("""COMPUTED_VALUE"""),"Milwaukee Bucks")</f>
        <v>Milwaukee Bucks</v>
      </c>
      <c r="D10" s="1">
        <f>IFERROR(__xludf.DUMMYFUNCTION("""COMPUTED_VALUE"""),131.0)</f>
        <v>131</v>
      </c>
      <c r="E10" s="1" t="str">
        <f>IFERROR(__xludf.DUMMYFUNCTION("""COMPUTED_VALUE"""),"Washington Wizards")</f>
        <v>Washington Wizards</v>
      </c>
      <c r="F10" s="1">
        <f>IFERROR(__xludf.DUMMYFUNCTION("""COMPUTED_VALUE"""),115.0)</f>
        <v>115</v>
      </c>
      <c r="G10" s="1" t="str">
        <f>IFERROR(__xludf.DUMMYFUNCTION("""COMPUTED_VALUE"""),"Box Score")</f>
        <v>Box Score</v>
      </c>
      <c r="H10" s="1"/>
      <c r="I10" s="3">
        <f>IFERROR(__xludf.DUMMYFUNCTION("""COMPUTED_VALUE"""),20409.0)</f>
        <v>20409</v>
      </c>
      <c r="J10" s="1"/>
    </row>
    <row r="11" ht="15.75" customHeight="1">
      <c r="A11" s="2">
        <f>IFERROR(__xludf.DUMMYFUNCTION("""COMPUTED_VALUE"""),43498.0)</f>
        <v>43498</v>
      </c>
      <c r="B11" s="1" t="str">
        <f>IFERROR(__xludf.DUMMYFUNCTION("""COMPUTED_VALUE"""),"7:30p")</f>
        <v>7:30p</v>
      </c>
      <c r="C11" s="1" t="str">
        <f>IFERROR(__xludf.DUMMYFUNCTION("""COMPUTED_VALUE"""),"Dallas Mavericks")</f>
        <v>Dallas Mavericks</v>
      </c>
      <c r="D11" s="1">
        <f>IFERROR(__xludf.DUMMYFUNCTION("""COMPUTED_VALUE"""),111.0)</f>
        <v>111</v>
      </c>
      <c r="E11" s="1" t="str">
        <f>IFERROR(__xludf.DUMMYFUNCTION("""COMPUTED_VALUE"""),"Cleveland Cavaliers")</f>
        <v>Cleveland Cavaliers</v>
      </c>
      <c r="F11" s="1">
        <f>IFERROR(__xludf.DUMMYFUNCTION("""COMPUTED_VALUE"""),98.0)</f>
        <v>98</v>
      </c>
      <c r="G11" s="1" t="str">
        <f>IFERROR(__xludf.DUMMYFUNCTION("""COMPUTED_VALUE"""),"Box Score")</f>
        <v>Box Score</v>
      </c>
      <c r="H11" s="1"/>
      <c r="I11" s="3">
        <f>IFERROR(__xludf.DUMMYFUNCTION("""COMPUTED_VALUE"""),19432.0)</f>
        <v>19432</v>
      </c>
      <c r="J11" s="1"/>
    </row>
    <row r="12" ht="15.75" customHeight="1">
      <c r="A12" s="2">
        <f>IFERROR(__xludf.DUMMYFUNCTION("""COMPUTED_VALUE"""),43498.0)</f>
        <v>43498</v>
      </c>
      <c r="B12" s="1" t="str">
        <f>IFERROR(__xludf.DUMMYFUNCTION("""COMPUTED_VALUE"""),"7:30p")</f>
        <v>7:30p</v>
      </c>
      <c r="C12" s="1" t="str">
        <f>IFERROR(__xludf.DUMMYFUNCTION("""COMPUTED_VALUE"""),"Indiana Pacers")</f>
        <v>Indiana Pacers</v>
      </c>
      <c r="D12" s="1">
        <f>IFERROR(__xludf.DUMMYFUNCTION("""COMPUTED_VALUE"""),95.0)</f>
        <v>95</v>
      </c>
      <c r="E12" s="1" t="str">
        <f>IFERROR(__xludf.DUMMYFUNCTION("""COMPUTED_VALUE"""),"Miami Heat")</f>
        <v>Miami Heat</v>
      </c>
      <c r="F12" s="1">
        <f>IFERROR(__xludf.DUMMYFUNCTION("""COMPUTED_VALUE"""),88.0)</f>
        <v>88</v>
      </c>
      <c r="G12" s="1" t="str">
        <f>IFERROR(__xludf.DUMMYFUNCTION("""COMPUTED_VALUE"""),"Box Score")</f>
        <v>Box Score</v>
      </c>
      <c r="H12" s="1"/>
      <c r="I12" s="3">
        <f>IFERROR(__xludf.DUMMYFUNCTION("""COMPUTED_VALUE"""),19600.0)</f>
        <v>19600</v>
      </c>
      <c r="J12" s="1"/>
    </row>
    <row r="13" ht="15.75" customHeight="1">
      <c r="A13" s="2">
        <f>IFERROR(__xludf.DUMMYFUNCTION("""COMPUTED_VALUE"""),43498.0)</f>
        <v>43498</v>
      </c>
      <c r="B13" s="1" t="str">
        <f>IFERROR(__xludf.DUMMYFUNCTION("""COMPUTED_VALUE"""),"8:30p")</f>
        <v>8:30p</v>
      </c>
      <c r="C13" s="1" t="str">
        <f>IFERROR(__xludf.DUMMYFUNCTION("""COMPUTED_VALUE"""),"Los Angeles Lakers")</f>
        <v>Los Angeles Lakers</v>
      </c>
      <c r="D13" s="1">
        <f>IFERROR(__xludf.DUMMYFUNCTION("""COMPUTED_VALUE"""),101.0)</f>
        <v>101</v>
      </c>
      <c r="E13" s="1" t="str">
        <f>IFERROR(__xludf.DUMMYFUNCTION("""COMPUTED_VALUE"""),"Golden State Warriors")</f>
        <v>Golden State Warriors</v>
      </c>
      <c r="F13" s="1">
        <f>IFERROR(__xludf.DUMMYFUNCTION("""COMPUTED_VALUE"""),115.0)</f>
        <v>115</v>
      </c>
      <c r="G13" s="1" t="str">
        <f>IFERROR(__xludf.DUMMYFUNCTION("""COMPUTED_VALUE"""),"Box Score")</f>
        <v>Box Score</v>
      </c>
      <c r="H13" s="1"/>
      <c r="I13" s="3">
        <f>IFERROR(__xludf.DUMMYFUNCTION("""COMPUTED_VALUE"""),19596.0)</f>
        <v>19596</v>
      </c>
      <c r="J13" s="1"/>
    </row>
    <row r="14" ht="15.75" customHeight="1">
      <c r="A14" s="2">
        <f>IFERROR(__xludf.DUMMYFUNCTION("""COMPUTED_VALUE"""),43498.0)</f>
        <v>43498</v>
      </c>
      <c r="B14" s="1" t="str">
        <f>IFERROR(__xludf.DUMMYFUNCTION("""COMPUTED_VALUE"""),"8:30p")</f>
        <v>8:30p</v>
      </c>
      <c r="C14" s="1" t="str">
        <f>IFERROR(__xludf.DUMMYFUNCTION("""COMPUTED_VALUE"""),"New Orleans Pelicans")</f>
        <v>New Orleans Pelicans</v>
      </c>
      <c r="D14" s="1">
        <f>IFERROR(__xludf.DUMMYFUNCTION("""COMPUTED_VALUE"""),108.0)</f>
        <v>108</v>
      </c>
      <c r="E14" s="1" t="str">
        <f>IFERROR(__xludf.DUMMYFUNCTION("""COMPUTED_VALUE"""),"San Antonio Spurs")</f>
        <v>San Antonio Spurs</v>
      </c>
      <c r="F14" s="1">
        <f>IFERROR(__xludf.DUMMYFUNCTION("""COMPUTED_VALUE"""),113.0)</f>
        <v>113</v>
      </c>
      <c r="G14" s="1" t="str">
        <f>IFERROR(__xludf.DUMMYFUNCTION("""COMPUTED_VALUE"""),"Box Score")</f>
        <v>Box Score</v>
      </c>
      <c r="H14" s="1"/>
      <c r="I14" s="3">
        <f>IFERROR(__xludf.DUMMYFUNCTION("""COMPUTED_VALUE"""),18354.0)</f>
        <v>18354</v>
      </c>
      <c r="J14" s="1"/>
    </row>
    <row r="15" ht="15.75" customHeight="1">
      <c r="A15" s="2">
        <f>IFERROR(__xludf.DUMMYFUNCTION("""COMPUTED_VALUE"""),43498.0)</f>
        <v>43498</v>
      </c>
      <c r="B15" s="1" t="str">
        <f>IFERROR(__xludf.DUMMYFUNCTION("""COMPUTED_VALUE"""),"9:00p")</f>
        <v>9:00p</v>
      </c>
      <c r="C15" s="1" t="str">
        <f>IFERROR(__xludf.DUMMYFUNCTION("""COMPUTED_VALUE"""),"Denver Nuggets")</f>
        <v>Denver Nuggets</v>
      </c>
      <c r="D15" s="1">
        <f>IFERROR(__xludf.DUMMYFUNCTION("""COMPUTED_VALUE"""),107.0)</f>
        <v>107</v>
      </c>
      <c r="E15" s="1" t="str">
        <f>IFERROR(__xludf.DUMMYFUNCTION("""COMPUTED_VALUE"""),"Minnesota Timberwolves")</f>
        <v>Minnesota Timberwolves</v>
      </c>
      <c r="F15" s="1">
        <f>IFERROR(__xludf.DUMMYFUNCTION("""COMPUTED_VALUE"""),106.0)</f>
        <v>106</v>
      </c>
      <c r="G15" s="1" t="str">
        <f>IFERROR(__xludf.DUMMYFUNCTION("""COMPUTED_VALUE"""),"Box Score")</f>
        <v>Box Score</v>
      </c>
      <c r="H15" s="1"/>
      <c r="I15" s="3">
        <f>IFERROR(__xludf.DUMMYFUNCTION("""COMPUTED_VALUE"""),17208.0)</f>
        <v>17208</v>
      </c>
      <c r="J15" s="1"/>
    </row>
    <row r="16" ht="15.75" customHeight="1">
      <c r="A16" s="2">
        <f>IFERROR(__xludf.DUMMYFUNCTION("""COMPUTED_VALUE"""),43498.0)</f>
        <v>43498</v>
      </c>
      <c r="B16" s="1" t="str">
        <f>IFERROR(__xludf.DUMMYFUNCTION("""COMPUTED_VALUE"""),"9:00p")</f>
        <v>9:00p</v>
      </c>
      <c r="C16" s="1" t="str">
        <f>IFERROR(__xludf.DUMMYFUNCTION("""COMPUTED_VALUE"""),"Atlanta Hawks")</f>
        <v>Atlanta Hawks</v>
      </c>
      <c r="D16" s="1">
        <f>IFERROR(__xludf.DUMMYFUNCTION("""COMPUTED_VALUE"""),118.0)</f>
        <v>118</v>
      </c>
      <c r="E16" s="1" t="str">
        <f>IFERROR(__xludf.DUMMYFUNCTION("""COMPUTED_VALUE"""),"Phoenix Suns")</f>
        <v>Phoenix Suns</v>
      </c>
      <c r="F16" s="1">
        <f>IFERROR(__xludf.DUMMYFUNCTION("""COMPUTED_VALUE"""),112.0)</f>
        <v>112</v>
      </c>
      <c r="G16" s="1" t="str">
        <f>IFERROR(__xludf.DUMMYFUNCTION("""COMPUTED_VALUE"""),"Box Score")</f>
        <v>Box Score</v>
      </c>
      <c r="H16" s="1"/>
      <c r="I16" s="3">
        <f>IFERROR(__xludf.DUMMYFUNCTION("""COMPUTED_VALUE"""),15534.0)</f>
        <v>15534</v>
      </c>
      <c r="J16" s="1"/>
    </row>
    <row r="17" ht="15.75" customHeight="1">
      <c r="A17" s="2">
        <f>IFERROR(__xludf.DUMMYFUNCTION("""COMPUTED_VALUE"""),43498.0)</f>
        <v>43498</v>
      </c>
      <c r="B17" s="1" t="str">
        <f>IFERROR(__xludf.DUMMYFUNCTION("""COMPUTED_VALUE"""),"9:00p")</f>
        <v>9:00p</v>
      </c>
      <c r="C17" s="1" t="str">
        <f>IFERROR(__xludf.DUMMYFUNCTION("""COMPUTED_VALUE"""),"Houston Rockets")</f>
        <v>Houston Rockets</v>
      </c>
      <c r="D17" s="1">
        <f>IFERROR(__xludf.DUMMYFUNCTION("""COMPUTED_VALUE"""),125.0)</f>
        <v>125</v>
      </c>
      <c r="E17" s="1" t="str">
        <f>IFERROR(__xludf.DUMMYFUNCTION("""COMPUTED_VALUE"""),"Utah Jazz")</f>
        <v>Utah Jazz</v>
      </c>
      <c r="F17" s="1">
        <f>IFERROR(__xludf.DUMMYFUNCTION("""COMPUTED_VALUE"""),98.0)</f>
        <v>98</v>
      </c>
      <c r="G17" s="1" t="str">
        <f>IFERROR(__xludf.DUMMYFUNCTION("""COMPUTED_VALUE"""),"Box Score")</f>
        <v>Box Score</v>
      </c>
      <c r="H17" s="1"/>
      <c r="I17" s="3">
        <f>IFERROR(__xludf.DUMMYFUNCTION("""COMPUTED_VALUE"""),18306.0)</f>
        <v>18306</v>
      </c>
      <c r="J17" s="1"/>
    </row>
    <row r="18" ht="15.75" customHeight="1">
      <c r="A18" s="2">
        <f>IFERROR(__xludf.DUMMYFUNCTION("""COMPUTED_VALUE"""),43498.0)</f>
        <v>43498</v>
      </c>
      <c r="B18" s="1" t="str">
        <f>IFERROR(__xludf.DUMMYFUNCTION("""COMPUTED_VALUE"""),"10:00p")</f>
        <v>10:00p</v>
      </c>
      <c r="C18" s="1" t="str">
        <f>IFERROR(__xludf.DUMMYFUNCTION("""COMPUTED_VALUE"""),"Philadelphia 76ers")</f>
        <v>Philadelphia 76ers</v>
      </c>
      <c r="D18" s="1">
        <f>IFERROR(__xludf.DUMMYFUNCTION("""COMPUTED_VALUE"""),108.0)</f>
        <v>108</v>
      </c>
      <c r="E18" s="1" t="str">
        <f>IFERROR(__xludf.DUMMYFUNCTION("""COMPUTED_VALUE"""),"Sacramento Kings")</f>
        <v>Sacramento Kings</v>
      </c>
      <c r="F18" s="1">
        <f>IFERROR(__xludf.DUMMYFUNCTION("""COMPUTED_VALUE"""),115.0)</f>
        <v>115</v>
      </c>
      <c r="G18" s="1" t="str">
        <f>IFERROR(__xludf.DUMMYFUNCTION("""COMPUTED_VALUE"""),"Box Score")</f>
        <v>Box Score</v>
      </c>
      <c r="H18" s="1"/>
      <c r="I18" s="3">
        <f>IFERROR(__xludf.DUMMYFUNCTION("""COMPUTED_VALUE"""),17583.0)</f>
        <v>17583</v>
      </c>
      <c r="J18" s="1"/>
    </row>
    <row r="19" ht="15.75" customHeight="1">
      <c r="A19" s="2">
        <f>IFERROR(__xludf.DUMMYFUNCTION("""COMPUTED_VALUE"""),43499.0)</f>
        <v>43499</v>
      </c>
      <c r="B19" s="1" t="str">
        <f>IFERROR(__xludf.DUMMYFUNCTION("""COMPUTED_VALUE"""),"1:00p")</f>
        <v>1:00p</v>
      </c>
      <c r="C19" s="1" t="str">
        <f>IFERROR(__xludf.DUMMYFUNCTION("""COMPUTED_VALUE"""),"Memphis Grizzlies")</f>
        <v>Memphis Grizzlies</v>
      </c>
      <c r="D19" s="1">
        <f>IFERROR(__xludf.DUMMYFUNCTION("""COMPUTED_VALUE"""),96.0)</f>
        <v>96</v>
      </c>
      <c r="E19" s="1" t="str">
        <f>IFERROR(__xludf.DUMMYFUNCTION("""COMPUTED_VALUE"""),"New York Knicks")</f>
        <v>New York Knicks</v>
      </c>
      <c r="F19" s="1">
        <f>IFERROR(__xludf.DUMMYFUNCTION("""COMPUTED_VALUE"""),84.0)</f>
        <v>84</v>
      </c>
      <c r="G19" s="1" t="str">
        <f>IFERROR(__xludf.DUMMYFUNCTION("""COMPUTED_VALUE"""),"Box Score")</f>
        <v>Box Score</v>
      </c>
      <c r="H19" s="1"/>
      <c r="I19" s="3">
        <f>IFERROR(__xludf.DUMMYFUNCTION("""COMPUTED_VALUE"""),17025.0)</f>
        <v>17025</v>
      </c>
      <c r="J19" s="1"/>
    </row>
    <row r="20" ht="15.75" customHeight="1">
      <c r="A20" s="2">
        <f>IFERROR(__xludf.DUMMYFUNCTION("""COMPUTED_VALUE"""),43499.0)</f>
        <v>43499</v>
      </c>
      <c r="B20" s="1" t="str">
        <f>IFERROR(__xludf.DUMMYFUNCTION("""COMPUTED_VALUE"""),"2:00p")</f>
        <v>2:00p</v>
      </c>
      <c r="C20" s="1" t="str">
        <f>IFERROR(__xludf.DUMMYFUNCTION("""COMPUTED_VALUE"""),"Oklahoma City Thunder")</f>
        <v>Oklahoma City Thunder</v>
      </c>
      <c r="D20" s="1">
        <f>IFERROR(__xludf.DUMMYFUNCTION("""COMPUTED_VALUE"""),129.0)</f>
        <v>129</v>
      </c>
      <c r="E20" s="1" t="str">
        <f>IFERROR(__xludf.DUMMYFUNCTION("""COMPUTED_VALUE"""),"Boston Celtics")</f>
        <v>Boston Celtics</v>
      </c>
      <c r="F20" s="1">
        <f>IFERROR(__xludf.DUMMYFUNCTION("""COMPUTED_VALUE"""),134.0)</f>
        <v>134</v>
      </c>
      <c r="G20" s="1" t="str">
        <f>IFERROR(__xludf.DUMMYFUNCTION("""COMPUTED_VALUE"""),"Box Score")</f>
        <v>Box Score</v>
      </c>
      <c r="H20" s="1"/>
      <c r="I20" s="3">
        <f>IFERROR(__xludf.DUMMYFUNCTION("""COMPUTED_VALUE"""),18624.0)</f>
        <v>18624</v>
      </c>
      <c r="J20" s="1"/>
    </row>
    <row r="21" ht="15.75" customHeight="1">
      <c r="A21" s="2">
        <f>IFERROR(__xludf.DUMMYFUNCTION("""COMPUTED_VALUE"""),43499.0)</f>
        <v>43499</v>
      </c>
      <c r="B21" s="1" t="str">
        <f>IFERROR(__xludf.DUMMYFUNCTION("""COMPUTED_VALUE"""),"3:00p")</f>
        <v>3:00p</v>
      </c>
      <c r="C21" s="1" t="str">
        <f>IFERROR(__xludf.DUMMYFUNCTION("""COMPUTED_VALUE"""),"Los Angeles Clippers")</f>
        <v>Los Angeles Clippers</v>
      </c>
      <c r="D21" s="1">
        <f>IFERROR(__xludf.DUMMYFUNCTION("""COMPUTED_VALUE"""),103.0)</f>
        <v>103</v>
      </c>
      <c r="E21" s="1" t="str">
        <f>IFERROR(__xludf.DUMMYFUNCTION("""COMPUTED_VALUE"""),"Toronto Raptors")</f>
        <v>Toronto Raptors</v>
      </c>
      <c r="F21" s="1">
        <f>IFERROR(__xludf.DUMMYFUNCTION("""COMPUTED_VALUE"""),121.0)</f>
        <v>121</v>
      </c>
      <c r="G21" s="1" t="str">
        <f>IFERROR(__xludf.DUMMYFUNCTION("""COMPUTED_VALUE"""),"Box Score")</f>
        <v>Box Score</v>
      </c>
      <c r="H21" s="1"/>
      <c r="I21" s="3">
        <f>IFERROR(__xludf.DUMMYFUNCTION("""COMPUTED_VALUE"""),19800.0)</f>
        <v>19800</v>
      </c>
      <c r="J21" s="1"/>
    </row>
    <row r="22" ht="15.75" customHeight="1">
      <c r="A22" s="2">
        <f>IFERROR(__xludf.DUMMYFUNCTION("""COMPUTED_VALUE"""),43500.0)</f>
        <v>43500</v>
      </c>
      <c r="B22" s="1" t="str">
        <f>IFERROR(__xludf.DUMMYFUNCTION("""COMPUTED_VALUE"""),"7:00p")</f>
        <v>7:00p</v>
      </c>
      <c r="C22" s="1" t="str">
        <f>IFERROR(__xludf.DUMMYFUNCTION("""COMPUTED_VALUE"""),"Denver Nuggets")</f>
        <v>Denver Nuggets</v>
      </c>
      <c r="D22" s="1">
        <f>IFERROR(__xludf.DUMMYFUNCTION("""COMPUTED_VALUE"""),103.0)</f>
        <v>103</v>
      </c>
      <c r="E22" s="1" t="str">
        <f>IFERROR(__xludf.DUMMYFUNCTION("""COMPUTED_VALUE"""),"Detroit Pistons")</f>
        <v>Detroit Pistons</v>
      </c>
      <c r="F22" s="1">
        <f>IFERROR(__xludf.DUMMYFUNCTION("""COMPUTED_VALUE"""),129.0)</f>
        <v>129</v>
      </c>
      <c r="G22" s="1" t="str">
        <f>IFERROR(__xludf.DUMMYFUNCTION("""COMPUTED_VALUE"""),"Box Score")</f>
        <v>Box Score</v>
      </c>
      <c r="H22" s="1"/>
      <c r="I22" s="3">
        <f>IFERROR(__xludf.DUMMYFUNCTION("""COMPUTED_VALUE"""),12589.0)</f>
        <v>12589</v>
      </c>
      <c r="J22" s="1"/>
    </row>
    <row r="23" ht="15.75" customHeight="1">
      <c r="A23" s="2">
        <f>IFERROR(__xludf.DUMMYFUNCTION("""COMPUTED_VALUE"""),43500.0)</f>
        <v>43500</v>
      </c>
      <c r="B23" s="1" t="str">
        <f>IFERROR(__xludf.DUMMYFUNCTION("""COMPUTED_VALUE"""),"7:00p")</f>
        <v>7:00p</v>
      </c>
      <c r="C23" s="1" t="str">
        <f>IFERROR(__xludf.DUMMYFUNCTION("""COMPUTED_VALUE"""),"Atlanta Hawks")</f>
        <v>Atlanta Hawks</v>
      </c>
      <c r="D23" s="1">
        <f>IFERROR(__xludf.DUMMYFUNCTION("""COMPUTED_VALUE"""),137.0)</f>
        <v>137</v>
      </c>
      <c r="E23" s="1" t="str">
        <f>IFERROR(__xludf.DUMMYFUNCTION("""COMPUTED_VALUE"""),"Washington Wizards")</f>
        <v>Washington Wizards</v>
      </c>
      <c r="F23" s="1">
        <f>IFERROR(__xludf.DUMMYFUNCTION("""COMPUTED_VALUE"""),129.0)</f>
        <v>129</v>
      </c>
      <c r="G23" s="1" t="str">
        <f>IFERROR(__xludf.DUMMYFUNCTION("""COMPUTED_VALUE"""),"Box Score")</f>
        <v>Box Score</v>
      </c>
      <c r="H23" s="1"/>
      <c r="I23" s="3">
        <f>IFERROR(__xludf.DUMMYFUNCTION("""COMPUTED_VALUE"""),15025.0)</f>
        <v>15025</v>
      </c>
      <c r="J23" s="1"/>
    </row>
    <row r="24" ht="15.75" customHeight="1">
      <c r="A24" s="2">
        <f>IFERROR(__xludf.DUMMYFUNCTION("""COMPUTED_VALUE"""),43500.0)</f>
        <v>43500</v>
      </c>
      <c r="B24" s="1" t="str">
        <f>IFERROR(__xludf.DUMMYFUNCTION("""COMPUTED_VALUE"""),"7:30p")</f>
        <v>7:30p</v>
      </c>
      <c r="C24" s="1" t="str">
        <f>IFERROR(__xludf.DUMMYFUNCTION("""COMPUTED_VALUE"""),"Milwaukee Bucks")</f>
        <v>Milwaukee Bucks</v>
      </c>
      <c r="D24" s="1">
        <f>IFERROR(__xludf.DUMMYFUNCTION("""COMPUTED_VALUE"""),113.0)</f>
        <v>113</v>
      </c>
      <c r="E24" s="1" t="str">
        <f>IFERROR(__xludf.DUMMYFUNCTION("""COMPUTED_VALUE"""),"Brooklyn Nets")</f>
        <v>Brooklyn Nets</v>
      </c>
      <c r="F24" s="1">
        <f>IFERROR(__xludf.DUMMYFUNCTION("""COMPUTED_VALUE"""),94.0)</f>
        <v>94</v>
      </c>
      <c r="G24" s="1" t="str">
        <f>IFERROR(__xludf.DUMMYFUNCTION("""COMPUTED_VALUE"""),"Box Score")</f>
        <v>Box Score</v>
      </c>
      <c r="H24" s="1"/>
      <c r="I24" s="3">
        <f>IFERROR(__xludf.DUMMYFUNCTION("""COMPUTED_VALUE"""),16209.0)</f>
        <v>16209</v>
      </c>
      <c r="J24" s="1"/>
    </row>
    <row r="25" ht="15.75" customHeight="1">
      <c r="A25" s="2">
        <f>IFERROR(__xludf.DUMMYFUNCTION("""COMPUTED_VALUE"""),43500.0)</f>
        <v>43500</v>
      </c>
      <c r="B25" s="1" t="str">
        <f>IFERROR(__xludf.DUMMYFUNCTION("""COMPUTED_VALUE"""),"8:00p")</f>
        <v>8:00p</v>
      </c>
      <c r="C25" s="1" t="str">
        <f>IFERROR(__xludf.DUMMYFUNCTION("""COMPUTED_VALUE"""),"Indiana Pacers")</f>
        <v>Indiana Pacers</v>
      </c>
      <c r="D25" s="1">
        <f>IFERROR(__xludf.DUMMYFUNCTION("""COMPUTED_VALUE"""),109.0)</f>
        <v>109</v>
      </c>
      <c r="E25" s="1" t="str">
        <f>IFERROR(__xludf.DUMMYFUNCTION("""COMPUTED_VALUE"""),"New Orleans Pelicans")</f>
        <v>New Orleans Pelicans</v>
      </c>
      <c r="F25" s="1">
        <f>IFERROR(__xludf.DUMMYFUNCTION("""COMPUTED_VALUE"""),107.0)</f>
        <v>107</v>
      </c>
      <c r="G25" s="1" t="str">
        <f>IFERROR(__xludf.DUMMYFUNCTION("""COMPUTED_VALUE"""),"Box Score")</f>
        <v>Box Score</v>
      </c>
      <c r="H25" s="1"/>
      <c r="I25" s="3">
        <f>IFERROR(__xludf.DUMMYFUNCTION("""COMPUTED_VALUE"""),15780.0)</f>
        <v>15780</v>
      </c>
      <c r="J25" s="1"/>
    </row>
    <row r="26" ht="15.75" customHeight="1">
      <c r="A26" s="2">
        <f>IFERROR(__xludf.DUMMYFUNCTION("""COMPUTED_VALUE"""),43500.0)</f>
        <v>43500</v>
      </c>
      <c r="B26" s="1" t="str">
        <f>IFERROR(__xludf.DUMMYFUNCTION("""COMPUTED_VALUE"""),"9:00p")</f>
        <v>9:00p</v>
      </c>
      <c r="C26" s="1" t="str">
        <f>IFERROR(__xludf.DUMMYFUNCTION("""COMPUTED_VALUE"""),"Houston Rockets")</f>
        <v>Houston Rockets</v>
      </c>
      <c r="D26" s="1">
        <f>IFERROR(__xludf.DUMMYFUNCTION("""COMPUTED_VALUE"""),118.0)</f>
        <v>118</v>
      </c>
      <c r="E26" s="1" t="str">
        <f>IFERROR(__xludf.DUMMYFUNCTION("""COMPUTED_VALUE"""),"Phoenix Suns")</f>
        <v>Phoenix Suns</v>
      </c>
      <c r="F26" s="1">
        <f>IFERROR(__xludf.DUMMYFUNCTION("""COMPUTED_VALUE"""),110.0)</f>
        <v>110</v>
      </c>
      <c r="G26" s="1" t="str">
        <f>IFERROR(__xludf.DUMMYFUNCTION("""COMPUTED_VALUE"""),"Box Score")</f>
        <v>Box Score</v>
      </c>
      <c r="H26" s="1"/>
      <c r="I26" s="3">
        <f>IFERROR(__xludf.DUMMYFUNCTION("""COMPUTED_VALUE"""),15740.0)</f>
        <v>15740</v>
      </c>
      <c r="J26" s="1"/>
    </row>
    <row r="27" ht="15.75" customHeight="1">
      <c r="A27" s="2">
        <f>IFERROR(__xludf.DUMMYFUNCTION("""COMPUTED_VALUE"""),43500.0)</f>
        <v>43500</v>
      </c>
      <c r="B27" s="1" t="str">
        <f>IFERROR(__xludf.DUMMYFUNCTION("""COMPUTED_VALUE"""),"10:00p")</f>
        <v>10:00p</v>
      </c>
      <c r="C27" s="1" t="str">
        <f>IFERROR(__xludf.DUMMYFUNCTION("""COMPUTED_VALUE"""),"San Antonio Spurs")</f>
        <v>San Antonio Spurs</v>
      </c>
      <c r="D27" s="1">
        <f>IFERROR(__xludf.DUMMYFUNCTION("""COMPUTED_VALUE"""),112.0)</f>
        <v>112</v>
      </c>
      <c r="E27" s="1" t="str">
        <f>IFERROR(__xludf.DUMMYFUNCTION("""COMPUTED_VALUE"""),"Sacramento Kings")</f>
        <v>Sacramento Kings</v>
      </c>
      <c r="F27" s="1">
        <f>IFERROR(__xludf.DUMMYFUNCTION("""COMPUTED_VALUE"""),127.0)</f>
        <v>127</v>
      </c>
      <c r="G27" s="1" t="str">
        <f>IFERROR(__xludf.DUMMYFUNCTION("""COMPUTED_VALUE"""),"Box Score")</f>
        <v>Box Score</v>
      </c>
      <c r="H27" s="1"/>
      <c r="I27" s="3">
        <f>IFERROR(__xludf.DUMMYFUNCTION("""COMPUTED_VALUE"""),16245.0)</f>
        <v>16245</v>
      </c>
      <c r="J27" s="1"/>
    </row>
    <row r="28" ht="15.75" customHeight="1">
      <c r="A28" s="2">
        <f>IFERROR(__xludf.DUMMYFUNCTION("""COMPUTED_VALUE"""),43501.0)</f>
        <v>43501</v>
      </c>
      <c r="B28" s="1" t="str">
        <f>IFERROR(__xludf.DUMMYFUNCTION("""COMPUTED_VALUE"""),"7:00p")</f>
        <v>7:00p</v>
      </c>
      <c r="C28" s="1" t="str">
        <f>IFERROR(__xludf.DUMMYFUNCTION("""COMPUTED_VALUE"""),"Los Angeles Clippers")</f>
        <v>Los Angeles Clippers</v>
      </c>
      <c r="D28" s="1">
        <f>IFERROR(__xludf.DUMMYFUNCTION("""COMPUTED_VALUE"""),117.0)</f>
        <v>117</v>
      </c>
      <c r="E28" s="1" t="str">
        <f>IFERROR(__xludf.DUMMYFUNCTION("""COMPUTED_VALUE"""),"Charlotte Hornets")</f>
        <v>Charlotte Hornets</v>
      </c>
      <c r="F28" s="1">
        <f>IFERROR(__xludf.DUMMYFUNCTION("""COMPUTED_VALUE"""),115.0)</f>
        <v>115</v>
      </c>
      <c r="G28" s="1" t="str">
        <f>IFERROR(__xludf.DUMMYFUNCTION("""COMPUTED_VALUE"""),"Box Score")</f>
        <v>Box Score</v>
      </c>
      <c r="H28" s="1"/>
      <c r="I28" s="3">
        <f>IFERROR(__xludf.DUMMYFUNCTION("""COMPUTED_VALUE"""),14300.0)</f>
        <v>14300</v>
      </c>
      <c r="J28" s="1"/>
    </row>
    <row r="29" ht="15.75" customHeight="1">
      <c r="A29" s="2">
        <f>IFERROR(__xludf.DUMMYFUNCTION("""COMPUTED_VALUE"""),43501.0)</f>
        <v>43501</v>
      </c>
      <c r="B29" s="1" t="str">
        <f>IFERROR(__xludf.DUMMYFUNCTION("""COMPUTED_VALUE"""),"7:00p")</f>
        <v>7:00p</v>
      </c>
      <c r="C29" s="1" t="str">
        <f>IFERROR(__xludf.DUMMYFUNCTION("""COMPUTED_VALUE"""),"Boston Celtics")</f>
        <v>Boston Celtics</v>
      </c>
      <c r="D29" s="1">
        <f>IFERROR(__xludf.DUMMYFUNCTION("""COMPUTED_VALUE"""),103.0)</f>
        <v>103</v>
      </c>
      <c r="E29" s="1" t="str">
        <f>IFERROR(__xludf.DUMMYFUNCTION("""COMPUTED_VALUE"""),"Cleveland Cavaliers")</f>
        <v>Cleveland Cavaliers</v>
      </c>
      <c r="F29" s="1">
        <f>IFERROR(__xludf.DUMMYFUNCTION("""COMPUTED_VALUE"""),96.0)</f>
        <v>96</v>
      </c>
      <c r="G29" s="1" t="str">
        <f>IFERROR(__xludf.DUMMYFUNCTION("""COMPUTED_VALUE"""),"Box Score")</f>
        <v>Box Score</v>
      </c>
      <c r="H29" s="1"/>
      <c r="I29" s="3">
        <f>IFERROR(__xludf.DUMMYFUNCTION("""COMPUTED_VALUE"""),19432.0)</f>
        <v>19432</v>
      </c>
      <c r="J29" s="1"/>
    </row>
    <row r="30" ht="15.75" customHeight="1">
      <c r="A30" s="2">
        <f>IFERROR(__xludf.DUMMYFUNCTION("""COMPUTED_VALUE"""),43501.0)</f>
        <v>43501</v>
      </c>
      <c r="B30" s="1" t="str">
        <f>IFERROR(__xludf.DUMMYFUNCTION("""COMPUTED_VALUE"""),"7:00p")</f>
        <v>7:00p</v>
      </c>
      <c r="C30" s="1" t="str">
        <f>IFERROR(__xludf.DUMMYFUNCTION("""COMPUTED_VALUE"""),"Los Angeles Lakers")</f>
        <v>Los Angeles Lakers</v>
      </c>
      <c r="D30" s="1">
        <f>IFERROR(__xludf.DUMMYFUNCTION("""COMPUTED_VALUE"""),94.0)</f>
        <v>94</v>
      </c>
      <c r="E30" s="1" t="str">
        <f>IFERROR(__xludf.DUMMYFUNCTION("""COMPUTED_VALUE"""),"Indiana Pacers")</f>
        <v>Indiana Pacers</v>
      </c>
      <c r="F30" s="1">
        <f>IFERROR(__xludf.DUMMYFUNCTION("""COMPUTED_VALUE"""),136.0)</f>
        <v>136</v>
      </c>
      <c r="G30" s="1" t="str">
        <f>IFERROR(__xludf.DUMMYFUNCTION("""COMPUTED_VALUE"""),"Box Score")</f>
        <v>Box Score</v>
      </c>
      <c r="H30" s="1"/>
      <c r="I30" s="3">
        <f>IFERROR(__xludf.DUMMYFUNCTION("""COMPUTED_VALUE"""),17265.0)</f>
        <v>17265</v>
      </c>
      <c r="J30" s="1"/>
    </row>
    <row r="31" ht="15.75" customHeight="1">
      <c r="A31" s="2">
        <f>IFERROR(__xludf.DUMMYFUNCTION("""COMPUTED_VALUE"""),43501.0)</f>
        <v>43501</v>
      </c>
      <c r="B31" s="1" t="str">
        <f>IFERROR(__xludf.DUMMYFUNCTION("""COMPUTED_VALUE"""),"7:30p")</f>
        <v>7:30p</v>
      </c>
      <c r="C31" s="1" t="str">
        <f>IFERROR(__xludf.DUMMYFUNCTION("""COMPUTED_VALUE"""),"Detroit Pistons")</f>
        <v>Detroit Pistons</v>
      </c>
      <c r="D31" s="1">
        <f>IFERROR(__xludf.DUMMYFUNCTION("""COMPUTED_VALUE"""),105.0)</f>
        <v>105</v>
      </c>
      <c r="E31" s="1" t="str">
        <f>IFERROR(__xludf.DUMMYFUNCTION("""COMPUTED_VALUE"""),"New York Knicks")</f>
        <v>New York Knicks</v>
      </c>
      <c r="F31" s="1">
        <f>IFERROR(__xludf.DUMMYFUNCTION("""COMPUTED_VALUE"""),92.0)</f>
        <v>92</v>
      </c>
      <c r="G31" s="1" t="str">
        <f>IFERROR(__xludf.DUMMYFUNCTION("""COMPUTED_VALUE"""),"Box Score")</f>
        <v>Box Score</v>
      </c>
      <c r="H31" s="1"/>
      <c r="I31" s="3">
        <f>IFERROR(__xludf.DUMMYFUNCTION("""COMPUTED_VALUE"""),17853.0)</f>
        <v>17853</v>
      </c>
      <c r="J31" s="1"/>
    </row>
    <row r="32" ht="15.75" customHeight="1">
      <c r="A32" s="2">
        <f>IFERROR(__xludf.DUMMYFUNCTION("""COMPUTED_VALUE"""),43501.0)</f>
        <v>43501</v>
      </c>
      <c r="B32" s="1" t="str">
        <f>IFERROR(__xludf.DUMMYFUNCTION("""COMPUTED_VALUE"""),"8:00p")</f>
        <v>8:00p</v>
      </c>
      <c r="C32" s="1" t="str">
        <f>IFERROR(__xludf.DUMMYFUNCTION("""COMPUTED_VALUE"""),"Minnesota Timberwolves")</f>
        <v>Minnesota Timberwolves</v>
      </c>
      <c r="D32" s="1">
        <f>IFERROR(__xludf.DUMMYFUNCTION("""COMPUTED_VALUE"""),106.0)</f>
        <v>106</v>
      </c>
      <c r="E32" s="1" t="str">
        <f>IFERROR(__xludf.DUMMYFUNCTION("""COMPUTED_VALUE"""),"Memphis Grizzlies")</f>
        <v>Memphis Grizzlies</v>
      </c>
      <c r="F32" s="1">
        <f>IFERROR(__xludf.DUMMYFUNCTION("""COMPUTED_VALUE"""),108.0)</f>
        <v>108</v>
      </c>
      <c r="G32" s="1" t="str">
        <f>IFERROR(__xludf.DUMMYFUNCTION("""COMPUTED_VALUE"""),"Box Score")</f>
        <v>Box Score</v>
      </c>
      <c r="H32" s="1"/>
      <c r="I32" s="3">
        <f>IFERROR(__xludf.DUMMYFUNCTION("""COMPUTED_VALUE"""),13454.0)</f>
        <v>13454</v>
      </c>
      <c r="J32" s="1"/>
    </row>
    <row r="33" ht="15.75" customHeight="1">
      <c r="A33" s="2">
        <f>IFERROR(__xludf.DUMMYFUNCTION("""COMPUTED_VALUE"""),43501.0)</f>
        <v>43501</v>
      </c>
      <c r="B33" s="1" t="str">
        <f>IFERROR(__xludf.DUMMYFUNCTION("""COMPUTED_VALUE"""),"8:00p")</f>
        <v>8:00p</v>
      </c>
      <c r="C33" s="1" t="str">
        <f>IFERROR(__xludf.DUMMYFUNCTION("""COMPUTED_VALUE"""),"Orlando Magic")</f>
        <v>Orlando Magic</v>
      </c>
      <c r="D33" s="1">
        <f>IFERROR(__xludf.DUMMYFUNCTION("""COMPUTED_VALUE"""),122.0)</f>
        <v>122</v>
      </c>
      <c r="E33" s="1" t="str">
        <f>IFERROR(__xludf.DUMMYFUNCTION("""COMPUTED_VALUE"""),"Oklahoma City Thunder")</f>
        <v>Oklahoma City Thunder</v>
      </c>
      <c r="F33" s="1">
        <f>IFERROR(__xludf.DUMMYFUNCTION("""COMPUTED_VALUE"""),132.0)</f>
        <v>132</v>
      </c>
      <c r="G33" s="1" t="str">
        <f>IFERROR(__xludf.DUMMYFUNCTION("""COMPUTED_VALUE"""),"Box Score")</f>
        <v>Box Score</v>
      </c>
      <c r="H33" s="1"/>
      <c r="I33" s="3">
        <f>IFERROR(__xludf.DUMMYFUNCTION("""COMPUTED_VALUE"""),18203.0)</f>
        <v>18203</v>
      </c>
      <c r="J33" s="1"/>
    </row>
    <row r="34" ht="15.75" customHeight="1">
      <c r="A34" s="2">
        <f>IFERROR(__xludf.DUMMYFUNCTION("""COMPUTED_VALUE"""),43501.0)</f>
        <v>43501</v>
      </c>
      <c r="B34" s="1" t="str">
        <f>IFERROR(__xludf.DUMMYFUNCTION("""COMPUTED_VALUE"""),"8:00p")</f>
        <v>8:00p</v>
      </c>
      <c r="C34" s="1" t="str">
        <f>IFERROR(__xludf.DUMMYFUNCTION("""COMPUTED_VALUE"""),"Toronto Raptors")</f>
        <v>Toronto Raptors</v>
      </c>
      <c r="D34" s="1">
        <f>IFERROR(__xludf.DUMMYFUNCTION("""COMPUTED_VALUE"""),119.0)</f>
        <v>119</v>
      </c>
      <c r="E34" s="1" t="str">
        <f>IFERROR(__xludf.DUMMYFUNCTION("""COMPUTED_VALUE"""),"Philadelphia 76ers")</f>
        <v>Philadelphia 76ers</v>
      </c>
      <c r="F34" s="1">
        <f>IFERROR(__xludf.DUMMYFUNCTION("""COMPUTED_VALUE"""),107.0)</f>
        <v>107</v>
      </c>
      <c r="G34" s="1" t="str">
        <f>IFERROR(__xludf.DUMMYFUNCTION("""COMPUTED_VALUE"""),"Box Score")</f>
        <v>Box Score</v>
      </c>
      <c r="H34" s="1"/>
      <c r="I34" s="3">
        <f>IFERROR(__xludf.DUMMYFUNCTION("""COMPUTED_VALUE"""),20472.0)</f>
        <v>20472</v>
      </c>
      <c r="J34" s="1"/>
    </row>
    <row r="35" ht="15.75" customHeight="1">
      <c r="A35" s="2">
        <f>IFERROR(__xludf.DUMMYFUNCTION("""COMPUTED_VALUE"""),43501.0)</f>
        <v>43501</v>
      </c>
      <c r="B35" s="1" t="str">
        <f>IFERROR(__xludf.DUMMYFUNCTION("""COMPUTED_VALUE"""),"10:30p")</f>
        <v>10:30p</v>
      </c>
      <c r="C35" s="1" t="str">
        <f>IFERROR(__xludf.DUMMYFUNCTION("""COMPUTED_VALUE"""),"Miami Heat")</f>
        <v>Miami Heat</v>
      </c>
      <c r="D35" s="1">
        <f>IFERROR(__xludf.DUMMYFUNCTION("""COMPUTED_VALUE"""),118.0)</f>
        <v>118</v>
      </c>
      <c r="E35" s="1" t="str">
        <f>IFERROR(__xludf.DUMMYFUNCTION("""COMPUTED_VALUE"""),"Portland Trail Blazers")</f>
        <v>Portland Trail Blazers</v>
      </c>
      <c r="F35" s="1">
        <f>IFERROR(__xludf.DUMMYFUNCTION("""COMPUTED_VALUE"""),108.0)</f>
        <v>108</v>
      </c>
      <c r="G35" s="1" t="str">
        <f>IFERROR(__xludf.DUMMYFUNCTION("""COMPUTED_VALUE"""),"Box Score")</f>
        <v>Box Score</v>
      </c>
      <c r="H35" s="1"/>
      <c r="I35" s="3">
        <f>IFERROR(__xludf.DUMMYFUNCTION("""COMPUTED_VALUE"""),19468.0)</f>
        <v>19468</v>
      </c>
      <c r="J35" s="1"/>
    </row>
    <row r="36" ht="15.75" customHeight="1">
      <c r="A36" s="2">
        <f>IFERROR(__xludf.DUMMYFUNCTION("""COMPUTED_VALUE"""),43502.0)</f>
        <v>43502</v>
      </c>
      <c r="B36" s="1" t="str">
        <f>IFERROR(__xludf.DUMMYFUNCTION("""COMPUTED_VALUE"""),"7:30p")</f>
        <v>7:30p</v>
      </c>
      <c r="C36" s="1" t="str">
        <f>IFERROR(__xludf.DUMMYFUNCTION("""COMPUTED_VALUE"""),"Denver Nuggets")</f>
        <v>Denver Nuggets</v>
      </c>
      <c r="D36" s="1">
        <f>IFERROR(__xludf.DUMMYFUNCTION("""COMPUTED_VALUE"""),130.0)</f>
        <v>130</v>
      </c>
      <c r="E36" s="1" t="str">
        <f>IFERROR(__xludf.DUMMYFUNCTION("""COMPUTED_VALUE"""),"Brooklyn Nets")</f>
        <v>Brooklyn Nets</v>
      </c>
      <c r="F36" s="1">
        <f>IFERROR(__xludf.DUMMYFUNCTION("""COMPUTED_VALUE"""),135.0)</f>
        <v>135</v>
      </c>
      <c r="G36" s="1" t="str">
        <f>IFERROR(__xludf.DUMMYFUNCTION("""COMPUTED_VALUE"""),"Box Score")</f>
        <v>Box Score</v>
      </c>
      <c r="H36" s="1"/>
      <c r="I36" s="3">
        <f>IFERROR(__xludf.DUMMYFUNCTION("""COMPUTED_VALUE"""),14516.0)</f>
        <v>14516</v>
      </c>
      <c r="J36" s="1"/>
    </row>
    <row r="37" ht="15.75" customHeight="1">
      <c r="A37" s="2">
        <f>IFERROR(__xludf.DUMMYFUNCTION("""COMPUTED_VALUE"""),43502.0)</f>
        <v>43502</v>
      </c>
      <c r="B37" s="1" t="str">
        <f>IFERROR(__xludf.DUMMYFUNCTION("""COMPUTED_VALUE"""),"8:00p")</f>
        <v>8:00p</v>
      </c>
      <c r="C37" s="1" t="str">
        <f>IFERROR(__xludf.DUMMYFUNCTION("""COMPUTED_VALUE"""),"New Orleans Pelicans")</f>
        <v>New Orleans Pelicans</v>
      </c>
      <c r="D37" s="1">
        <f>IFERROR(__xludf.DUMMYFUNCTION("""COMPUTED_VALUE"""),125.0)</f>
        <v>125</v>
      </c>
      <c r="E37" s="1" t="str">
        <f>IFERROR(__xludf.DUMMYFUNCTION("""COMPUTED_VALUE"""),"Chicago Bulls")</f>
        <v>Chicago Bulls</v>
      </c>
      <c r="F37" s="1">
        <f>IFERROR(__xludf.DUMMYFUNCTION("""COMPUTED_VALUE"""),120.0)</f>
        <v>120</v>
      </c>
      <c r="G37" s="1" t="str">
        <f>IFERROR(__xludf.DUMMYFUNCTION("""COMPUTED_VALUE"""),"Box Score")</f>
        <v>Box Score</v>
      </c>
      <c r="H37" s="1"/>
      <c r="I37" s="3">
        <f>IFERROR(__xludf.DUMMYFUNCTION("""COMPUTED_VALUE"""),18116.0)</f>
        <v>18116</v>
      </c>
      <c r="J37" s="1"/>
    </row>
    <row r="38" ht="15.75" customHeight="1">
      <c r="A38" s="2">
        <f>IFERROR(__xludf.DUMMYFUNCTION("""COMPUTED_VALUE"""),43502.0)</f>
        <v>43502</v>
      </c>
      <c r="B38" s="1" t="str">
        <f>IFERROR(__xludf.DUMMYFUNCTION("""COMPUTED_VALUE"""),"8:00p")</f>
        <v>8:00p</v>
      </c>
      <c r="C38" s="1" t="str">
        <f>IFERROR(__xludf.DUMMYFUNCTION("""COMPUTED_VALUE"""),"Washington Wizards")</f>
        <v>Washington Wizards</v>
      </c>
      <c r="D38" s="1">
        <f>IFERROR(__xludf.DUMMYFUNCTION("""COMPUTED_VALUE"""),129.0)</f>
        <v>129</v>
      </c>
      <c r="E38" s="1" t="str">
        <f>IFERROR(__xludf.DUMMYFUNCTION("""COMPUTED_VALUE"""),"Milwaukee Bucks")</f>
        <v>Milwaukee Bucks</v>
      </c>
      <c r="F38" s="1">
        <f>IFERROR(__xludf.DUMMYFUNCTION("""COMPUTED_VALUE"""),148.0)</f>
        <v>148</v>
      </c>
      <c r="G38" s="1" t="str">
        <f>IFERROR(__xludf.DUMMYFUNCTION("""COMPUTED_VALUE"""),"Box Score")</f>
        <v>Box Score</v>
      </c>
      <c r="H38" s="1"/>
      <c r="I38" s="3">
        <f>IFERROR(__xludf.DUMMYFUNCTION("""COMPUTED_VALUE"""),17360.0)</f>
        <v>17360</v>
      </c>
      <c r="J38" s="1"/>
    </row>
    <row r="39" ht="15.75" customHeight="1">
      <c r="A39" s="2">
        <f>IFERROR(__xludf.DUMMYFUNCTION("""COMPUTED_VALUE"""),43502.0)</f>
        <v>43502</v>
      </c>
      <c r="B39" s="1" t="str">
        <f>IFERROR(__xludf.DUMMYFUNCTION("""COMPUTED_VALUE"""),"8:30p")</f>
        <v>8:30p</v>
      </c>
      <c r="C39" s="1" t="str">
        <f>IFERROR(__xludf.DUMMYFUNCTION("""COMPUTED_VALUE"""),"Charlotte Hornets")</f>
        <v>Charlotte Hornets</v>
      </c>
      <c r="D39" s="1">
        <f>IFERROR(__xludf.DUMMYFUNCTION("""COMPUTED_VALUE"""),93.0)</f>
        <v>93</v>
      </c>
      <c r="E39" s="1" t="str">
        <f>IFERROR(__xludf.DUMMYFUNCTION("""COMPUTED_VALUE"""),"Dallas Mavericks")</f>
        <v>Dallas Mavericks</v>
      </c>
      <c r="F39" s="1">
        <f>IFERROR(__xludf.DUMMYFUNCTION("""COMPUTED_VALUE"""),99.0)</f>
        <v>99</v>
      </c>
      <c r="G39" s="1" t="str">
        <f>IFERROR(__xludf.DUMMYFUNCTION("""COMPUTED_VALUE"""),"Box Score")</f>
        <v>Box Score</v>
      </c>
      <c r="H39" s="1"/>
      <c r="I39" s="3">
        <f>IFERROR(__xludf.DUMMYFUNCTION("""COMPUTED_VALUE"""),19606.0)</f>
        <v>19606</v>
      </c>
      <c r="J39" s="1"/>
    </row>
    <row r="40" ht="15.75" customHeight="1">
      <c r="A40" s="2">
        <f>IFERROR(__xludf.DUMMYFUNCTION("""COMPUTED_VALUE"""),43502.0)</f>
        <v>43502</v>
      </c>
      <c r="B40" s="1" t="str">
        <f>IFERROR(__xludf.DUMMYFUNCTION("""COMPUTED_VALUE"""),"9:00p")</f>
        <v>9:00p</v>
      </c>
      <c r="C40" s="1" t="str">
        <f>IFERROR(__xludf.DUMMYFUNCTION("""COMPUTED_VALUE"""),"Phoenix Suns")</f>
        <v>Phoenix Suns</v>
      </c>
      <c r="D40" s="1">
        <f>IFERROR(__xludf.DUMMYFUNCTION("""COMPUTED_VALUE"""),88.0)</f>
        <v>88</v>
      </c>
      <c r="E40" s="1" t="str">
        <f>IFERROR(__xludf.DUMMYFUNCTION("""COMPUTED_VALUE"""),"Utah Jazz")</f>
        <v>Utah Jazz</v>
      </c>
      <c r="F40" s="1">
        <f>IFERROR(__xludf.DUMMYFUNCTION("""COMPUTED_VALUE"""),116.0)</f>
        <v>116</v>
      </c>
      <c r="G40" s="1" t="str">
        <f>IFERROR(__xludf.DUMMYFUNCTION("""COMPUTED_VALUE"""),"Box Score")</f>
        <v>Box Score</v>
      </c>
      <c r="H40" s="1"/>
      <c r="I40" s="3">
        <f>IFERROR(__xludf.DUMMYFUNCTION("""COMPUTED_VALUE"""),18306.0)</f>
        <v>18306</v>
      </c>
      <c r="J40" s="1"/>
    </row>
    <row r="41" ht="15.75" customHeight="1">
      <c r="A41" s="2">
        <f>IFERROR(__xludf.DUMMYFUNCTION("""COMPUTED_VALUE"""),43502.0)</f>
        <v>43502</v>
      </c>
      <c r="B41" s="1" t="str">
        <f>IFERROR(__xludf.DUMMYFUNCTION("""COMPUTED_VALUE"""),"10:00p")</f>
        <v>10:00p</v>
      </c>
      <c r="C41" s="1" t="str">
        <f>IFERROR(__xludf.DUMMYFUNCTION("""COMPUTED_VALUE"""),"Houston Rockets")</f>
        <v>Houston Rockets</v>
      </c>
      <c r="D41" s="1">
        <f>IFERROR(__xludf.DUMMYFUNCTION("""COMPUTED_VALUE"""),127.0)</f>
        <v>127</v>
      </c>
      <c r="E41" s="1" t="str">
        <f>IFERROR(__xludf.DUMMYFUNCTION("""COMPUTED_VALUE"""),"Sacramento Kings")</f>
        <v>Sacramento Kings</v>
      </c>
      <c r="F41" s="1">
        <f>IFERROR(__xludf.DUMMYFUNCTION("""COMPUTED_VALUE"""),101.0)</f>
        <v>101</v>
      </c>
      <c r="G41" s="1" t="str">
        <f>IFERROR(__xludf.DUMMYFUNCTION("""COMPUTED_VALUE"""),"Box Score")</f>
        <v>Box Score</v>
      </c>
      <c r="H41" s="1"/>
      <c r="I41" s="3">
        <f>IFERROR(__xludf.DUMMYFUNCTION("""COMPUTED_VALUE"""),17583.0)</f>
        <v>17583</v>
      </c>
      <c r="J41" s="1"/>
    </row>
    <row r="42" ht="15.75" customHeight="1">
      <c r="A42" s="2">
        <f>IFERROR(__xludf.DUMMYFUNCTION("""COMPUTED_VALUE"""),43502.0)</f>
        <v>43502</v>
      </c>
      <c r="B42" s="1" t="str">
        <f>IFERROR(__xludf.DUMMYFUNCTION("""COMPUTED_VALUE"""),"10:30p")</f>
        <v>10:30p</v>
      </c>
      <c r="C42" s="1" t="str">
        <f>IFERROR(__xludf.DUMMYFUNCTION("""COMPUTED_VALUE"""),"San Antonio Spurs")</f>
        <v>San Antonio Spurs</v>
      </c>
      <c r="D42" s="1">
        <f>IFERROR(__xludf.DUMMYFUNCTION("""COMPUTED_VALUE"""),102.0)</f>
        <v>102</v>
      </c>
      <c r="E42" s="1" t="str">
        <f>IFERROR(__xludf.DUMMYFUNCTION("""COMPUTED_VALUE"""),"Golden State Warriors")</f>
        <v>Golden State Warriors</v>
      </c>
      <c r="F42" s="1">
        <f>IFERROR(__xludf.DUMMYFUNCTION("""COMPUTED_VALUE"""),141.0)</f>
        <v>141</v>
      </c>
      <c r="G42" s="1" t="str">
        <f>IFERROR(__xludf.DUMMYFUNCTION("""COMPUTED_VALUE"""),"Box Score")</f>
        <v>Box Score</v>
      </c>
      <c r="H42" s="1"/>
      <c r="I42" s="3">
        <f>IFERROR(__xludf.DUMMYFUNCTION("""COMPUTED_VALUE"""),19596.0)</f>
        <v>19596</v>
      </c>
      <c r="J42" s="1"/>
    </row>
    <row r="43" ht="15.75" customHeight="1">
      <c r="A43" s="2">
        <f>IFERROR(__xludf.DUMMYFUNCTION("""COMPUTED_VALUE"""),43503.0)</f>
        <v>43503</v>
      </c>
      <c r="B43" s="1" t="str">
        <f>IFERROR(__xludf.DUMMYFUNCTION("""COMPUTED_VALUE"""),"7:00p")</f>
        <v>7:00p</v>
      </c>
      <c r="C43" s="1" t="str">
        <f>IFERROR(__xludf.DUMMYFUNCTION("""COMPUTED_VALUE"""),"Los Angeles Clippers")</f>
        <v>Los Angeles Clippers</v>
      </c>
      <c r="D43" s="1">
        <f>IFERROR(__xludf.DUMMYFUNCTION("""COMPUTED_VALUE"""),92.0)</f>
        <v>92</v>
      </c>
      <c r="E43" s="1" t="str">
        <f>IFERROR(__xludf.DUMMYFUNCTION("""COMPUTED_VALUE"""),"Indiana Pacers")</f>
        <v>Indiana Pacers</v>
      </c>
      <c r="F43" s="1">
        <f>IFERROR(__xludf.DUMMYFUNCTION("""COMPUTED_VALUE"""),116.0)</f>
        <v>116</v>
      </c>
      <c r="G43" s="1" t="str">
        <f>IFERROR(__xludf.DUMMYFUNCTION("""COMPUTED_VALUE"""),"Box Score")</f>
        <v>Box Score</v>
      </c>
      <c r="H43" s="1"/>
      <c r="I43" s="3">
        <f>IFERROR(__xludf.DUMMYFUNCTION("""COMPUTED_VALUE"""),15756.0)</f>
        <v>15756</v>
      </c>
      <c r="J43" s="1"/>
    </row>
    <row r="44" ht="15.75" customHeight="1">
      <c r="A44" s="2">
        <f>IFERROR(__xludf.DUMMYFUNCTION("""COMPUTED_VALUE"""),43503.0)</f>
        <v>43503</v>
      </c>
      <c r="B44" s="1" t="str">
        <f>IFERROR(__xludf.DUMMYFUNCTION("""COMPUTED_VALUE"""),"7:00p")</f>
        <v>7:00p</v>
      </c>
      <c r="C44" s="1" t="str">
        <f>IFERROR(__xludf.DUMMYFUNCTION("""COMPUTED_VALUE"""),"Minnesota Timberwolves")</f>
        <v>Minnesota Timberwolves</v>
      </c>
      <c r="D44" s="1">
        <f>IFERROR(__xludf.DUMMYFUNCTION("""COMPUTED_VALUE"""),112.0)</f>
        <v>112</v>
      </c>
      <c r="E44" s="1" t="str">
        <f>IFERROR(__xludf.DUMMYFUNCTION("""COMPUTED_VALUE"""),"Orlando Magic")</f>
        <v>Orlando Magic</v>
      </c>
      <c r="F44" s="1">
        <f>IFERROR(__xludf.DUMMYFUNCTION("""COMPUTED_VALUE"""),122.0)</f>
        <v>122</v>
      </c>
      <c r="G44" s="1" t="str">
        <f>IFERROR(__xludf.DUMMYFUNCTION("""COMPUTED_VALUE"""),"Box Score")</f>
        <v>Box Score</v>
      </c>
      <c r="H44" s="1"/>
      <c r="I44" s="3">
        <f>IFERROR(__xludf.DUMMYFUNCTION("""COMPUTED_VALUE"""),17184.0)</f>
        <v>17184</v>
      </c>
      <c r="J44" s="1"/>
    </row>
    <row r="45" ht="15.75" customHeight="1">
      <c r="A45" s="2">
        <f>IFERROR(__xludf.DUMMYFUNCTION("""COMPUTED_VALUE"""),43503.0)</f>
        <v>43503</v>
      </c>
      <c r="B45" s="1" t="str">
        <f>IFERROR(__xludf.DUMMYFUNCTION("""COMPUTED_VALUE"""),"7:30p")</f>
        <v>7:30p</v>
      </c>
      <c r="C45" s="1" t="str">
        <f>IFERROR(__xludf.DUMMYFUNCTION("""COMPUTED_VALUE"""),"Toronto Raptors")</f>
        <v>Toronto Raptors</v>
      </c>
      <c r="D45" s="1">
        <f>IFERROR(__xludf.DUMMYFUNCTION("""COMPUTED_VALUE"""),119.0)</f>
        <v>119</v>
      </c>
      <c r="E45" s="1" t="str">
        <f>IFERROR(__xludf.DUMMYFUNCTION("""COMPUTED_VALUE"""),"Atlanta Hawks")</f>
        <v>Atlanta Hawks</v>
      </c>
      <c r="F45" s="1">
        <f>IFERROR(__xludf.DUMMYFUNCTION("""COMPUTED_VALUE"""),101.0)</f>
        <v>101</v>
      </c>
      <c r="G45" s="1" t="str">
        <f>IFERROR(__xludf.DUMMYFUNCTION("""COMPUTED_VALUE"""),"Box Score")</f>
        <v>Box Score</v>
      </c>
      <c r="H45" s="1"/>
      <c r="I45" s="3">
        <f>IFERROR(__xludf.DUMMYFUNCTION("""COMPUTED_VALUE"""),16036.0)</f>
        <v>16036</v>
      </c>
      <c r="J45" s="1"/>
    </row>
    <row r="46" ht="15.75" customHeight="1">
      <c r="A46" s="2">
        <f>IFERROR(__xludf.DUMMYFUNCTION("""COMPUTED_VALUE"""),43503.0)</f>
        <v>43503</v>
      </c>
      <c r="B46" s="1" t="str">
        <f>IFERROR(__xludf.DUMMYFUNCTION("""COMPUTED_VALUE"""),"8:00p")</f>
        <v>8:00p</v>
      </c>
      <c r="C46" s="1" t="str">
        <f>IFERROR(__xludf.DUMMYFUNCTION("""COMPUTED_VALUE"""),"Los Angeles Lakers")</f>
        <v>Los Angeles Lakers</v>
      </c>
      <c r="D46" s="1">
        <f>IFERROR(__xludf.DUMMYFUNCTION("""COMPUTED_VALUE"""),129.0)</f>
        <v>129</v>
      </c>
      <c r="E46" s="1" t="str">
        <f>IFERROR(__xludf.DUMMYFUNCTION("""COMPUTED_VALUE"""),"Boston Celtics")</f>
        <v>Boston Celtics</v>
      </c>
      <c r="F46" s="1">
        <f>IFERROR(__xludf.DUMMYFUNCTION("""COMPUTED_VALUE"""),128.0)</f>
        <v>128</v>
      </c>
      <c r="G46" s="1" t="str">
        <f>IFERROR(__xludf.DUMMYFUNCTION("""COMPUTED_VALUE"""),"Box Score")</f>
        <v>Box Score</v>
      </c>
      <c r="H46" s="1"/>
      <c r="I46" s="3">
        <f>IFERROR(__xludf.DUMMYFUNCTION("""COMPUTED_VALUE"""),18624.0)</f>
        <v>18624</v>
      </c>
      <c r="J46" s="1"/>
    </row>
    <row r="47" ht="15.75" customHeight="1">
      <c r="A47" s="2">
        <f>IFERROR(__xludf.DUMMYFUNCTION("""COMPUTED_VALUE"""),43503.0)</f>
        <v>43503</v>
      </c>
      <c r="B47" s="1" t="str">
        <f>IFERROR(__xludf.DUMMYFUNCTION("""COMPUTED_VALUE"""),"8:00p")</f>
        <v>8:00p</v>
      </c>
      <c r="C47" s="1" t="str">
        <f>IFERROR(__xludf.DUMMYFUNCTION("""COMPUTED_VALUE"""),"Memphis Grizzlies")</f>
        <v>Memphis Grizzlies</v>
      </c>
      <c r="D47" s="1">
        <f>IFERROR(__xludf.DUMMYFUNCTION("""COMPUTED_VALUE"""),95.0)</f>
        <v>95</v>
      </c>
      <c r="E47" s="1" t="str">
        <f>IFERROR(__xludf.DUMMYFUNCTION("""COMPUTED_VALUE"""),"Oklahoma City Thunder")</f>
        <v>Oklahoma City Thunder</v>
      </c>
      <c r="F47" s="1">
        <f>IFERROR(__xludf.DUMMYFUNCTION("""COMPUTED_VALUE"""),117.0)</f>
        <v>117</v>
      </c>
      <c r="G47" s="1" t="str">
        <f>IFERROR(__xludf.DUMMYFUNCTION("""COMPUTED_VALUE"""),"Box Score")</f>
        <v>Box Score</v>
      </c>
      <c r="H47" s="1"/>
      <c r="I47" s="3">
        <f>IFERROR(__xludf.DUMMYFUNCTION("""COMPUTED_VALUE"""),18203.0)</f>
        <v>18203</v>
      </c>
      <c r="J47" s="1"/>
    </row>
    <row r="48" ht="15.75" customHeight="1">
      <c r="A48" s="2">
        <f>IFERROR(__xludf.DUMMYFUNCTION("""COMPUTED_VALUE"""),43503.0)</f>
        <v>43503</v>
      </c>
      <c r="B48" s="1" t="str">
        <f>IFERROR(__xludf.DUMMYFUNCTION("""COMPUTED_VALUE"""),"10:30p")</f>
        <v>10:30p</v>
      </c>
      <c r="C48" s="1" t="str">
        <f>IFERROR(__xludf.DUMMYFUNCTION("""COMPUTED_VALUE"""),"San Antonio Spurs")</f>
        <v>San Antonio Spurs</v>
      </c>
      <c r="D48" s="1">
        <f>IFERROR(__xludf.DUMMYFUNCTION("""COMPUTED_VALUE"""),118.0)</f>
        <v>118</v>
      </c>
      <c r="E48" s="1" t="str">
        <f>IFERROR(__xludf.DUMMYFUNCTION("""COMPUTED_VALUE"""),"Portland Trail Blazers")</f>
        <v>Portland Trail Blazers</v>
      </c>
      <c r="F48" s="1">
        <f>IFERROR(__xludf.DUMMYFUNCTION("""COMPUTED_VALUE"""),127.0)</f>
        <v>127</v>
      </c>
      <c r="G48" s="1" t="str">
        <f>IFERROR(__xludf.DUMMYFUNCTION("""COMPUTED_VALUE"""),"Box Score")</f>
        <v>Box Score</v>
      </c>
      <c r="H48" s="1"/>
      <c r="I48" s="3">
        <f>IFERROR(__xludf.DUMMYFUNCTION("""COMPUTED_VALUE"""),19393.0)</f>
        <v>19393</v>
      </c>
      <c r="J48" s="1"/>
    </row>
    <row r="49" ht="15.75" customHeight="1">
      <c r="A49" s="2">
        <f>IFERROR(__xludf.DUMMYFUNCTION("""COMPUTED_VALUE"""),43504.0)</f>
        <v>43504</v>
      </c>
      <c r="B49" s="1" t="str">
        <f>IFERROR(__xludf.DUMMYFUNCTION("""COMPUTED_VALUE"""),"7:00p")</f>
        <v>7:00p</v>
      </c>
      <c r="C49" s="1" t="str">
        <f>IFERROR(__xludf.DUMMYFUNCTION("""COMPUTED_VALUE"""),"New York Knicks")</f>
        <v>New York Knicks</v>
      </c>
      <c r="D49" s="1">
        <f>IFERROR(__xludf.DUMMYFUNCTION("""COMPUTED_VALUE"""),103.0)</f>
        <v>103</v>
      </c>
      <c r="E49" s="1" t="str">
        <f>IFERROR(__xludf.DUMMYFUNCTION("""COMPUTED_VALUE"""),"Detroit Pistons")</f>
        <v>Detroit Pistons</v>
      </c>
      <c r="F49" s="1">
        <f>IFERROR(__xludf.DUMMYFUNCTION("""COMPUTED_VALUE"""),120.0)</f>
        <v>120</v>
      </c>
      <c r="G49" s="1" t="str">
        <f>IFERROR(__xludf.DUMMYFUNCTION("""COMPUTED_VALUE"""),"Box Score")</f>
        <v>Box Score</v>
      </c>
      <c r="H49" s="1"/>
      <c r="I49" s="3">
        <f>IFERROR(__xludf.DUMMYFUNCTION("""COMPUTED_VALUE"""),14430.0)</f>
        <v>14430</v>
      </c>
      <c r="J49" s="1"/>
    </row>
    <row r="50" ht="15.75" customHeight="1">
      <c r="A50" s="2">
        <f>IFERROR(__xludf.DUMMYFUNCTION("""COMPUTED_VALUE"""),43504.0)</f>
        <v>43504</v>
      </c>
      <c r="B50" s="1" t="str">
        <f>IFERROR(__xludf.DUMMYFUNCTION("""COMPUTED_VALUE"""),"7:00p")</f>
        <v>7:00p</v>
      </c>
      <c r="C50" s="1" t="str">
        <f>IFERROR(__xludf.DUMMYFUNCTION("""COMPUTED_VALUE"""),"Denver Nuggets")</f>
        <v>Denver Nuggets</v>
      </c>
      <c r="D50" s="1">
        <f>IFERROR(__xludf.DUMMYFUNCTION("""COMPUTED_VALUE"""),110.0)</f>
        <v>110</v>
      </c>
      <c r="E50" s="1" t="str">
        <f>IFERROR(__xludf.DUMMYFUNCTION("""COMPUTED_VALUE"""),"Philadelphia 76ers")</f>
        <v>Philadelphia 76ers</v>
      </c>
      <c r="F50" s="1">
        <f>IFERROR(__xludf.DUMMYFUNCTION("""COMPUTED_VALUE"""),117.0)</f>
        <v>117</v>
      </c>
      <c r="G50" s="1" t="str">
        <f>IFERROR(__xludf.DUMMYFUNCTION("""COMPUTED_VALUE"""),"Box Score")</f>
        <v>Box Score</v>
      </c>
      <c r="H50" s="1"/>
      <c r="I50" s="3">
        <f>IFERROR(__xludf.DUMMYFUNCTION("""COMPUTED_VALUE"""),20627.0)</f>
        <v>20627</v>
      </c>
      <c r="J50" s="1"/>
    </row>
    <row r="51" ht="15.75" customHeight="1">
      <c r="A51" s="2">
        <f>IFERROR(__xludf.DUMMYFUNCTION("""COMPUTED_VALUE"""),43504.0)</f>
        <v>43504</v>
      </c>
      <c r="B51" s="1" t="str">
        <f>IFERROR(__xludf.DUMMYFUNCTION("""COMPUTED_VALUE"""),"7:00p")</f>
        <v>7:00p</v>
      </c>
      <c r="C51" s="1" t="str">
        <f>IFERROR(__xludf.DUMMYFUNCTION("""COMPUTED_VALUE"""),"Cleveland Cavaliers")</f>
        <v>Cleveland Cavaliers</v>
      </c>
      <c r="D51" s="1">
        <f>IFERROR(__xludf.DUMMYFUNCTION("""COMPUTED_VALUE"""),106.0)</f>
        <v>106</v>
      </c>
      <c r="E51" s="1" t="str">
        <f>IFERROR(__xludf.DUMMYFUNCTION("""COMPUTED_VALUE"""),"Washington Wizards")</f>
        <v>Washington Wizards</v>
      </c>
      <c r="F51" s="1">
        <f>IFERROR(__xludf.DUMMYFUNCTION("""COMPUTED_VALUE"""),119.0)</f>
        <v>119</v>
      </c>
      <c r="G51" s="1" t="str">
        <f>IFERROR(__xludf.DUMMYFUNCTION("""COMPUTED_VALUE"""),"Box Score")</f>
        <v>Box Score</v>
      </c>
      <c r="H51" s="1"/>
      <c r="I51" s="3">
        <f>IFERROR(__xludf.DUMMYFUNCTION("""COMPUTED_VALUE"""),16682.0)</f>
        <v>16682</v>
      </c>
      <c r="J51" s="1"/>
    </row>
    <row r="52" ht="15.75" customHeight="1">
      <c r="A52" s="2">
        <f>IFERROR(__xludf.DUMMYFUNCTION("""COMPUTED_VALUE"""),43504.0)</f>
        <v>43504</v>
      </c>
      <c r="B52" s="1" t="str">
        <f>IFERROR(__xludf.DUMMYFUNCTION("""COMPUTED_VALUE"""),"7:30p")</f>
        <v>7:30p</v>
      </c>
      <c r="C52" s="1" t="str">
        <f>IFERROR(__xludf.DUMMYFUNCTION("""COMPUTED_VALUE"""),"Chicago Bulls")</f>
        <v>Chicago Bulls</v>
      </c>
      <c r="D52" s="1">
        <f>IFERROR(__xludf.DUMMYFUNCTION("""COMPUTED_VALUE"""),125.0)</f>
        <v>125</v>
      </c>
      <c r="E52" s="1" t="str">
        <f>IFERROR(__xludf.DUMMYFUNCTION("""COMPUTED_VALUE"""),"Brooklyn Nets")</f>
        <v>Brooklyn Nets</v>
      </c>
      <c r="F52" s="1">
        <f>IFERROR(__xludf.DUMMYFUNCTION("""COMPUTED_VALUE"""),106.0)</f>
        <v>106</v>
      </c>
      <c r="G52" s="1" t="str">
        <f>IFERROR(__xludf.DUMMYFUNCTION("""COMPUTED_VALUE"""),"Box Score")</f>
        <v>Box Score</v>
      </c>
      <c r="H52" s="1"/>
      <c r="I52" s="3">
        <f>IFERROR(__xludf.DUMMYFUNCTION("""COMPUTED_VALUE"""),15267.0)</f>
        <v>15267</v>
      </c>
      <c r="J52" s="1"/>
    </row>
    <row r="53" ht="15.75" customHeight="1">
      <c r="A53" s="2">
        <f>IFERROR(__xludf.DUMMYFUNCTION("""COMPUTED_VALUE"""),43504.0)</f>
        <v>43504</v>
      </c>
      <c r="B53" s="1" t="str">
        <f>IFERROR(__xludf.DUMMYFUNCTION("""COMPUTED_VALUE"""),"8:30p")</f>
        <v>8:30p</v>
      </c>
      <c r="C53" s="1" t="str">
        <f>IFERROR(__xludf.DUMMYFUNCTION("""COMPUTED_VALUE"""),"Milwaukee Bucks")</f>
        <v>Milwaukee Bucks</v>
      </c>
      <c r="D53" s="1">
        <f>IFERROR(__xludf.DUMMYFUNCTION("""COMPUTED_VALUE"""),122.0)</f>
        <v>122</v>
      </c>
      <c r="E53" s="1" t="str">
        <f>IFERROR(__xludf.DUMMYFUNCTION("""COMPUTED_VALUE"""),"Dallas Mavericks")</f>
        <v>Dallas Mavericks</v>
      </c>
      <c r="F53" s="1">
        <f>IFERROR(__xludf.DUMMYFUNCTION("""COMPUTED_VALUE"""),107.0)</f>
        <v>107</v>
      </c>
      <c r="G53" s="1" t="str">
        <f>IFERROR(__xludf.DUMMYFUNCTION("""COMPUTED_VALUE"""),"Box Score")</f>
        <v>Box Score</v>
      </c>
      <c r="H53" s="1"/>
      <c r="I53" s="3">
        <f>IFERROR(__xludf.DUMMYFUNCTION("""COMPUTED_VALUE"""),20420.0)</f>
        <v>20420</v>
      </c>
      <c r="J53" s="1"/>
    </row>
    <row r="54" ht="15.75" customHeight="1">
      <c r="A54" s="2">
        <f>IFERROR(__xludf.DUMMYFUNCTION("""COMPUTED_VALUE"""),43504.0)</f>
        <v>43504</v>
      </c>
      <c r="B54" s="1" t="str">
        <f>IFERROR(__xludf.DUMMYFUNCTION("""COMPUTED_VALUE"""),"9:00p")</f>
        <v>9:00p</v>
      </c>
      <c r="C54" s="1" t="str">
        <f>IFERROR(__xludf.DUMMYFUNCTION("""COMPUTED_VALUE"""),"Golden State Warriors")</f>
        <v>Golden State Warriors</v>
      </c>
      <c r="D54" s="1">
        <f>IFERROR(__xludf.DUMMYFUNCTION("""COMPUTED_VALUE"""),117.0)</f>
        <v>117</v>
      </c>
      <c r="E54" s="1" t="str">
        <f>IFERROR(__xludf.DUMMYFUNCTION("""COMPUTED_VALUE"""),"Phoenix Suns")</f>
        <v>Phoenix Suns</v>
      </c>
      <c r="F54" s="1">
        <f>IFERROR(__xludf.DUMMYFUNCTION("""COMPUTED_VALUE"""),107.0)</f>
        <v>107</v>
      </c>
      <c r="G54" s="1" t="str">
        <f>IFERROR(__xludf.DUMMYFUNCTION("""COMPUTED_VALUE"""),"Box Score")</f>
        <v>Box Score</v>
      </c>
      <c r="H54" s="1"/>
      <c r="I54" s="3">
        <f>IFERROR(__xludf.DUMMYFUNCTION("""COMPUTED_VALUE"""),17081.0)</f>
        <v>17081</v>
      </c>
      <c r="J54" s="1"/>
    </row>
    <row r="55" ht="15.75" customHeight="1">
      <c r="A55" s="2">
        <f>IFERROR(__xludf.DUMMYFUNCTION("""COMPUTED_VALUE"""),43504.0)</f>
        <v>43504</v>
      </c>
      <c r="B55" s="1" t="str">
        <f>IFERROR(__xludf.DUMMYFUNCTION("""COMPUTED_VALUE"""),"9:30p")</f>
        <v>9:30p</v>
      </c>
      <c r="C55" s="1" t="str">
        <f>IFERROR(__xludf.DUMMYFUNCTION("""COMPUTED_VALUE"""),"Minnesota Timberwolves")</f>
        <v>Minnesota Timberwolves</v>
      </c>
      <c r="D55" s="1">
        <f>IFERROR(__xludf.DUMMYFUNCTION("""COMPUTED_VALUE"""),117.0)</f>
        <v>117</v>
      </c>
      <c r="E55" s="1" t="str">
        <f>IFERROR(__xludf.DUMMYFUNCTION("""COMPUTED_VALUE"""),"New Orleans Pelicans")</f>
        <v>New Orleans Pelicans</v>
      </c>
      <c r="F55" s="1">
        <f>IFERROR(__xludf.DUMMYFUNCTION("""COMPUTED_VALUE"""),122.0)</f>
        <v>122</v>
      </c>
      <c r="G55" s="1" t="str">
        <f>IFERROR(__xludf.DUMMYFUNCTION("""COMPUTED_VALUE"""),"Box Score")</f>
        <v>Box Score</v>
      </c>
      <c r="H55" s="1"/>
      <c r="I55" s="3">
        <f>IFERROR(__xludf.DUMMYFUNCTION("""COMPUTED_VALUE"""),16980.0)</f>
        <v>16980</v>
      </c>
      <c r="J55" s="1"/>
    </row>
    <row r="56" ht="15.75" customHeight="1">
      <c r="A56" s="2">
        <f>IFERROR(__xludf.DUMMYFUNCTION("""COMPUTED_VALUE"""),43504.0)</f>
        <v>43504</v>
      </c>
      <c r="B56" s="1" t="str">
        <f>IFERROR(__xludf.DUMMYFUNCTION("""COMPUTED_VALUE"""),"10:00p")</f>
        <v>10:00p</v>
      </c>
      <c r="C56" s="1" t="str">
        <f>IFERROR(__xludf.DUMMYFUNCTION("""COMPUTED_VALUE"""),"Miami Heat")</f>
        <v>Miami Heat</v>
      </c>
      <c r="D56" s="1">
        <f>IFERROR(__xludf.DUMMYFUNCTION("""COMPUTED_VALUE"""),96.0)</f>
        <v>96</v>
      </c>
      <c r="E56" s="1" t="str">
        <f>IFERROR(__xludf.DUMMYFUNCTION("""COMPUTED_VALUE"""),"Sacramento Kings")</f>
        <v>Sacramento Kings</v>
      </c>
      <c r="F56" s="1">
        <f>IFERROR(__xludf.DUMMYFUNCTION("""COMPUTED_VALUE"""),102.0)</f>
        <v>102</v>
      </c>
      <c r="G56" s="1" t="str">
        <f>IFERROR(__xludf.DUMMYFUNCTION("""COMPUTED_VALUE"""),"Box Score")</f>
        <v>Box Score</v>
      </c>
      <c r="H56" s="1"/>
      <c r="I56" s="3">
        <f>IFERROR(__xludf.DUMMYFUNCTION("""COMPUTED_VALUE"""),17583.0)</f>
        <v>17583</v>
      </c>
      <c r="J56" s="1"/>
    </row>
    <row r="57" ht="15.75" customHeight="1">
      <c r="A57" s="2">
        <f>IFERROR(__xludf.DUMMYFUNCTION("""COMPUTED_VALUE"""),43505.0)</f>
        <v>43505</v>
      </c>
      <c r="B57" s="1" t="str">
        <f>IFERROR(__xludf.DUMMYFUNCTION("""COMPUTED_VALUE"""),"5:00p")</f>
        <v>5:00p</v>
      </c>
      <c r="C57" s="1" t="str">
        <f>IFERROR(__xludf.DUMMYFUNCTION("""COMPUTED_VALUE"""),"San Antonio Spurs")</f>
        <v>San Antonio Spurs</v>
      </c>
      <c r="D57" s="1">
        <f>IFERROR(__xludf.DUMMYFUNCTION("""COMPUTED_VALUE"""),105.0)</f>
        <v>105</v>
      </c>
      <c r="E57" s="1" t="str">
        <f>IFERROR(__xludf.DUMMYFUNCTION("""COMPUTED_VALUE"""),"Utah Jazz")</f>
        <v>Utah Jazz</v>
      </c>
      <c r="F57" s="1">
        <f>IFERROR(__xludf.DUMMYFUNCTION("""COMPUTED_VALUE"""),125.0)</f>
        <v>125</v>
      </c>
      <c r="G57" s="1" t="str">
        <f>IFERROR(__xludf.DUMMYFUNCTION("""COMPUTED_VALUE"""),"Box Score")</f>
        <v>Box Score</v>
      </c>
      <c r="H57" s="1"/>
      <c r="I57" s="3">
        <f>IFERROR(__xludf.DUMMYFUNCTION("""COMPUTED_VALUE"""),18306.0)</f>
        <v>18306</v>
      </c>
      <c r="J57" s="1"/>
    </row>
    <row r="58" ht="15.75" customHeight="1">
      <c r="A58" s="2">
        <f>IFERROR(__xludf.DUMMYFUNCTION("""COMPUTED_VALUE"""),43505.0)</f>
        <v>43505</v>
      </c>
      <c r="B58" s="1" t="str">
        <f>IFERROR(__xludf.DUMMYFUNCTION("""COMPUTED_VALUE"""),"7:00p")</f>
        <v>7:00p</v>
      </c>
      <c r="C58" s="1" t="str">
        <f>IFERROR(__xludf.DUMMYFUNCTION("""COMPUTED_VALUE"""),"Cleveland Cavaliers")</f>
        <v>Cleveland Cavaliers</v>
      </c>
      <c r="D58" s="1">
        <f>IFERROR(__xludf.DUMMYFUNCTION("""COMPUTED_VALUE"""),90.0)</f>
        <v>90</v>
      </c>
      <c r="E58" s="1" t="str">
        <f>IFERROR(__xludf.DUMMYFUNCTION("""COMPUTED_VALUE"""),"Indiana Pacers")</f>
        <v>Indiana Pacers</v>
      </c>
      <c r="F58" s="1">
        <f>IFERROR(__xludf.DUMMYFUNCTION("""COMPUTED_VALUE"""),105.0)</f>
        <v>105</v>
      </c>
      <c r="G58" s="1" t="str">
        <f>IFERROR(__xludf.DUMMYFUNCTION("""COMPUTED_VALUE"""),"Box Score")</f>
        <v>Box Score</v>
      </c>
      <c r="H58" s="1"/>
      <c r="I58" s="3">
        <f>IFERROR(__xludf.DUMMYFUNCTION("""COMPUTED_VALUE"""),17923.0)</f>
        <v>17923</v>
      </c>
      <c r="J58" s="1"/>
    </row>
    <row r="59" ht="15.75" customHeight="1">
      <c r="A59" s="2">
        <f>IFERROR(__xludf.DUMMYFUNCTION("""COMPUTED_VALUE"""),43505.0)</f>
        <v>43505</v>
      </c>
      <c r="B59" s="1" t="str">
        <f>IFERROR(__xludf.DUMMYFUNCTION("""COMPUTED_VALUE"""),"7:30p")</f>
        <v>7:30p</v>
      </c>
      <c r="C59" s="1" t="str">
        <f>IFERROR(__xludf.DUMMYFUNCTION("""COMPUTED_VALUE"""),"Charlotte Hornets")</f>
        <v>Charlotte Hornets</v>
      </c>
      <c r="D59" s="1">
        <f>IFERROR(__xludf.DUMMYFUNCTION("""COMPUTED_VALUE"""),129.0)</f>
        <v>129</v>
      </c>
      <c r="E59" s="1" t="str">
        <f>IFERROR(__xludf.DUMMYFUNCTION("""COMPUTED_VALUE"""),"Atlanta Hawks")</f>
        <v>Atlanta Hawks</v>
      </c>
      <c r="F59" s="1">
        <f>IFERROR(__xludf.DUMMYFUNCTION("""COMPUTED_VALUE"""),120.0)</f>
        <v>120</v>
      </c>
      <c r="G59" s="1" t="str">
        <f>IFERROR(__xludf.DUMMYFUNCTION("""COMPUTED_VALUE"""),"Box Score")</f>
        <v>Box Score</v>
      </c>
      <c r="H59" s="1"/>
      <c r="I59" s="3">
        <f>IFERROR(__xludf.DUMMYFUNCTION("""COMPUTED_VALUE"""),15048.0)</f>
        <v>15048</v>
      </c>
      <c r="J59" s="1"/>
    </row>
    <row r="60" ht="15.75" customHeight="1">
      <c r="A60" s="2">
        <f>IFERROR(__xludf.DUMMYFUNCTION("""COMPUTED_VALUE"""),43505.0)</f>
        <v>43505</v>
      </c>
      <c r="B60" s="1" t="str">
        <f>IFERROR(__xludf.DUMMYFUNCTION("""COMPUTED_VALUE"""),"7:30p")</f>
        <v>7:30p</v>
      </c>
      <c r="C60" s="1" t="str">
        <f>IFERROR(__xludf.DUMMYFUNCTION("""COMPUTED_VALUE"""),"Toronto Raptors")</f>
        <v>Toronto Raptors</v>
      </c>
      <c r="D60" s="1">
        <f>IFERROR(__xludf.DUMMYFUNCTION("""COMPUTED_VALUE"""),104.0)</f>
        <v>104</v>
      </c>
      <c r="E60" s="1" t="str">
        <f>IFERROR(__xludf.DUMMYFUNCTION("""COMPUTED_VALUE"""),"New York Knicks")</f>
        <v>New York Knicks</v>
      </c>
      <c r="F60" s="1">
        <f>IFERROR(__xludf.DUMMYFUNCTION("""COMPUTED_VALUE"""),99.0)</f>
        <v>99</v>
      </c>
      <c r="G60" s="1" t="str">
        <f>IFERROR(__xludf.DUMMYFUNCTION("""COMPUTED_VALUE"""),"Box Score")</f>
        <v>Box Score</v>
      </c>
      <c r="H60" s="1"/>
      <c r="I60" s="3">
        <f>IFERROR(__xludf.DUMMYFUNCTION("""COMPUTED_VALUE"""),18886.0)</f>
        <v>18886</v>
      </c>
      <c r="J60" s="1"/>
    </row>
    <row r="61" ht="15.75" customHeight="1">
      <c r="A61" s="2">
        <f>IFERROR(__xludf.DUMMYFUNCTION("""COMPUTED_VALUE"""),43505.0)</f>
        <v>43505</v>
      </c>
      <c r="B61" s="1" t="str">
        <f>IFERROR(__xludf.DUMMYFUNCTION("""COMPUTED_VALUE"""),"8:00p")</f>
        <v>8:00p</v>
      </c>
      <c r="C61" s="1" t="str">
        <f>IFERROR(__xludf.DUMMYFUNCTION("""COMPUTED_VALUE"""),"Los Angeles Clippers")</f>
        <v>Los Angeles Clippers</v>
      </c>
      <c r="D61" s="1">
        <f>IFERROR(__xludf.DUMMYFUNCTION("""COMPUTED_VALUE"""),123.0)</f>
        <v>123</v>
      </c>
      <c r="E61" s="1" t="str">
        <f>IFERROR(__xludf.DUMMYFUNCTION("""COMPUTED_VALUE"""),"Boston Celtics")</f>
        <v>Boston Celtics</v>
      </c>
      <c r="F61" s="1">
        <f>IFERROR(__xludf.DUMMYFUNCTION("""COMPUTED_VALUE"""),112.0)</f>
        <v>112</v>
      </c>
      <c r="G61" s="1" t="str">
        <f>IFERROR(__xludf.DUMMYFUNCTION("""COMPUTED_VALUE"""),"Box Score")</f>
        <v>Box Score</v>
      </c>
      <c r="H61" s="1"/>
      <c r="I61" s="3">
        <f>IFERROR(__xludf.DUMMYFUNCTION("""COMPUTED_VALUE"""),18624.0)</f>
        <v>18624</v>
      </c>
      <c r="J61" s="1"/>
    </row>
    <row r="62" ht="15.75" customHeight="1">
      <c r="A62" s="2">
        <f>IFERROR(__xludf.DUMMYFUNCTION("""COMPUTED_VALUE"""),43505.0)</f>
        <v>43505</v>
      </c>
      <c r="B62" s="1" t="str">
        <f>IFERROR(__xludf.DUMMYFUNCTION("""COMPUTED_VALUE"""),"8:00p")</f>
        <v>8:00p</v>
      </c>
      <c r="C62" s="1" t="str">
        <f>IFERROR(__xludf.DUMMYFUNCTION("""COMPUTED_VALUE"""),"Washington Wizards")</f>
        <v>Washington Wizards</v>
      </c>
      <c r="D62" s="1">
        <f>IFERROR(__xludf.DUMMYFUNCTION("""COMPUTED_VALUE"""),134.0)</f>
        <v>134</v>
      </c>
      <c r="E62" s="1" t="str">
        <f>IFERROR(__xludf.DUMMYFUNCTION("""COMPUTED_VALUE"""),"Chicago Bulls")</f>
        <v>Chicago Bulls</v>
      </c>
      <c r="F62" s="1">
        <f>IFERROR(__xludf.DUMMYFUNCTION("""COMPUTED_VALUE"""),125.0)</f>
        <v>125</v>
      </c>
      <c r="G62" s="1" t="str">
        <f>IFERROR(__xludf.DUMMYFUNCTION("""COMPUTED_VALUE"""),"Box Score")</f>
        <v>Box Score</v>
      </c>
      <c r="H62" s="1"/>
      <c r="I62" s="3">
        <f>IFERROR(__xludf.DUMMYFUNCTION("""COMPUTED_VALUE"""),19942.0)</f>
        <v>19942</v>
      </c>
      <c r="J62" s="1"/>
    </row>
    <row r="63" ht="15.75" customHeight="1">
      <c r="A63" s="2">
        <f>IFERROR(__xludf.DUMMYFUNCTION("""COMPUTED_VALUE"""),43505.0)</f>
        <v>43505</v>
      </c>
      <c r="B63" s="1" t="str">
        <f>IFERROR(__xludf.DUMMYFUNCTION("""COMPUTED_VALUE"""),"8:00p")</f>
        <v>8:00p</v>
      </c>
      <c r="C63" s="1" t="str">
        <f>IFERROR(__xludf.DUMMYFUNCTION("""COMPUTED_VALUE"""),"New Orleans Pelicans")</f>
        <v>New Orleans Pelicans</v>
      </c>
      <c r="D63" s="1">
        <f>IFERROR(__xludf.DUMMYFUNCTION("""COMPUTED_VALUE"""),90.0)</f>
        <v>90</v>
      </c>
      <c r="E63" s="1" t="str">
        <f>IFERROR(__xludf.DUMMYFUNCTION("""COMPUTED_VALUE"""),"Memphis Grizzlies")</f>
        <v>Memphis Grizzlies</v>
      </c>
      <c r="F63" s="1">
        <f>IFERROR(__xludf.DUMMYFUNCTION("""COMPUTED_VALUE"""),99.0)</f>
        <v>99</v>
      </c>
      <c r="G63" s="1" t="str">
        <f>IFERROR(__xludf.DUMMYFUNCTION("""COMPUTED_VALUE"""),"Box Score")</f>
        <v>Box Score</v>
      </c>
      <c r="H63" s="1"/>
      <c r="I63" s="3">
        <f>IFERROR(__xludf.DUMMYFUNCTION("""COMPUTED_VALUE"""),16841.0)</f>
        <v>16841</v>
      </c>
      <c r="J63" s="1"/>
    </row>
    <row r="64" ht="15.75" customHeight="1">
      <c r="A64" s="2">
        <f>IFERROR(__xludf.DUMMYFUNCTION("""COMPUTED_VALUE"""),43505.0)</f>
        <v>43505</v>
      </c>
      <c r="B64" s="1" t="str">
        <f>IFERROR(__xludf.DUMMYFUNCTION("""COMPUTED_VALUE"""),"8:30p")</f>
        <v>8:30p</v>
      </c>
      <c r="C64" s="1" t="str">
        <f>IFERROR(__xludf.DUMMYFUNCTION("""COMPUTED_VALUE"""),"Oklahoma City Thunder")</f>
        <v>Oklahoma City Thunder</v>
      </c>
      <c r="D64" s="1">
        <f>IFERROR(__xludf.DUMMYFUNCTION("""COMPUTED_VALUE"""),117.0)</f>
        <v>117</v>
      </c>
      <c r="E64" s="1" t="str">
        <f>IFERROR(__xludf.DUMMYFUNCTION("""COMPUTED_VALUE"""),"Houston Rockets")</f>
        <v>Houston Rockets</v>
      </c>
      <c r="F64" s="1">
        <f>IFERROR(__xludf.DUMMYFUNCTION("""COMPUTED_VALUE"""),112.0)</f>
        <v>112</v>
      </c>
      <c r="G64" s="1" t="str">
        <f>IFERROR(__xludf.DUMMYFUNCTION("""COMPUTED_VALUE"""),"Box Score")</f>
        <v>Box Score</v>
      </c>
      <c r="H64" s="1"/>
      <c r="I64" s="3">
        <f>IFERROR(__xludf.DUMMYFUNCTION("""COMPUTED_VALUE"""),18061.0)</f>
        <v>18061</v>
      </c>
      <c r="J64" s="1"/>
    </row>
    <row r="65" ht="15.75" customHeight="1">
      <c r="A65" s="2">
        <f>IFERROR(__xludf.DUMMYFUNCTION("""COMPUTED_VALUE"""),43505.0)</f>
        <v>43505</v>
      </c>
      <c r="B65" s="1" t="str">
        <f>IFERROR(__xludf.DUMMYFUNCTION("""COMPUTED_VALUE"""),"9:00p")</f>
        <v>9:00p</v>
      </c>
      <c r="C65" s="1" t="str">
        <f>IFERROR(__xludf.DUMMYFUNCTION("""COMPUTED_VALUE"""),"Orlando Magic")</f>
        <v>Orlando Magic</v>
      </c>
      <c r="D65" s="1">
        <f>IFERROR(__xludf.DUMMYFUNCTION("""COMPUTED_VALUE"""),103.0)</f>
        <v>103</v>
      </c>
      <c r="E65" s="1" t="str">
        <f>IFERROR(__xludf.DUMMYFUNCTION("""COMPUTED_VALUE"""),"Milwaukee Bucks")</f>
        <v>Milwaukee Bucks</v>
      </c>
      <c r="F65" s="1">
        <f>IFERROR(__xludf.DUMMYFUNCTION("""COMPUTED_VALUE"""),83.0)</f>
        <v>83</v>
      </c>
      <c r="G65" s="1" t="str">
        <f>IFERROR(__xludf.DUMMYFUNCTION("""COMPUTED_VALUE"""),"Box Score")</f>
        <v>Box Score</v>
      </c>
      <c r="H65" s="1"/>
      <c r="I65" s="3">
        <f>IFERROR(__xludf.DUMMYFUNCTION("""COMPUTED_VALUE"""),17812.0)</f>
        <v>17812</v>
      </c>
      <c r="J65" s="1"/>
    </row>
    <row r="66" ht="15.75" customHeight="1">
      <c r="A66" s="2">
        <f>IFERROR(__xludf.DUMMYFUNCTION("""COMPUTED_VALUE"""),43506.0)</f>
        <v>43506</v>
      </c>
      <c r="B66" s="1" t="str">
        <f>IFERROR(__xludf.DUMMYFUNCTION("""COMPUTED_VALUE"""),"3:00p")</f>
        <v>3:00p</v>
      </c>
      <c r="C66" s="1" t="str">
        <f>IFERROR(__xludf.DUMMYFUNCTION("""COMPUTED_VALUE"""),"Portland Trail Blazers")</f>
        <v>Portland Trail Blazers</v>
      </c>
      <c r="D66" s="1">
        <f>IFERROR(__xludf.DUMMYFUNCTION("""COMPUTED_VALUE"""),101.0)</f>
        <v>101</v>
      </c>
      <c r="E66" s="1" t="str">
        <f>IFERROR(__xludf.DUMMYFUNCTION("""COMPUTED_VALUE"""),"Dallas Mavericks")</f>
        <v>Dallas Mavericks</v>
      </c>
      <c r="F66" s="1">
        <f>IFERROR(__xludf.DUMMYFUNCTION("""COMPUTED_VALUE"""),102.0)</f>
        <v>102</v>
      </c>
      <c r="G66" s="1" t="str">
        <f>IFERROR(__xludf.DUMMYFUNCTION("""COMPUTED_VALUE"""),"Box Score")</f>
        <v>Box Score</v>
      </c>
      <c r="H66" s="1"/>
      <c r="I66" s="3">
        <f>IFERROR(__xludf.DUMMYFUNCTION("""COMPUTED_VALUE"""),20340.0)</f>
        <v>20340</v>
      </c>
      <c r="J66" s="1"/>
    </row>
    <row r="67" ht="15.75" customHeight="1">
      <c r="A67" s="2">
        <f>IFERROR(__xludf.DUMMYFUNCTION("""COMPUTED_VALUE"""),43506.0)</f>
        <v>43506</v>
      </c>
      <c r="B67" s="1" t="str">
        <f>IFERROR(__xludf.DUMMYFUNCTION("""COMPUTED_VALUE"""),"3:30p")</f>
        <v>3:30p</v>
      </c>
      <c r="C67" s="1" t="str">
        <f>IFERROR(__xludf.DUMMYFUNCTION("""COMPUTED_VALUE"""),"Los Angeles Lakers")</f>
        <v>Los Angeles Lakers</v>
      </c>
      <c r="D67" s="1">
        <f>IFERROR(__xludf.DUMMYFUNCTION("""COMPUTED_VALUE"""),120.0)</f>
        <v>120</v>
      </c>
      <c r="E67" s="1" t="str">
        <f>IFERROR(__xludf.DUMMYFUNCTION("""COMPUTED_VALUE"""),"Philadelphia 76ers")</f>
        <v>Philadelphia 76ers</v>
      </c>
      <c r="F67" s="1">
        <f>IFERROR(__xludf.DUMMYFUNCTION("""COMPUTED_VALUE"""),143.0)</f>
        <v>143</v>
      </c>
      <c r="G67" s="1" t="str">
        <f>IFERROR(__xludf.DUMMYFUNCTION("""COMPUTED_VALUE"""),"Box Score")</f>
        <v>Box Score</v>
      </c>
      <c r="H67" s="1"/>
      <c r="I67" s="3">
        <f>IFERROR(__xludf.DUMMYFUNCTION("""COMPUTED_VALUE"""),20683.0)</f>
        <v>20683</v>
      </c>
      <c r="J67" s="1"/>
    </row>
    <row r="68" ht="15.75" customHeight="1">
      <c r="A68" s="2">
        <f>IFERROR(__xludf.DUMMYFUNCTION("""COMPUTED_VALUE"""),43506.0)</f>
        <v>43506</v>
      </c>
      <c r="B68" s="1" t="str">
        <f>IFERROR(__xludf.DUMMYFUNCTION("""COMPUTED_VALUE"""),"6:00p")</f>
        <v>6:00p</v>
      </c>
      <c r="C68" s="1" t="str">
        <f>IFERROR(__xludf.DUMMYFUNCTION("""COMPUTED_VALUE"""),"Phoenix Suns")</f>
        <v>Phoenix Suns</v>
      </c>
      <c r="D68" s="1">
        <f>IFERROR(__xludf.DUMMYFUNCTION("""COMPUTED_VALUE"""),104.0)</f>
        <v>104</v>
      </c>
      <c r="E68" s="1" t="str">
        <f>IFERROR(__xludf.DUMMYFUNCTION("""COMPUTED_VALUE"""),"Sacramento Kings")</f>
        <v>Sacramento Kings</v>
      </c>
      <c r="F68" s="1">
        <f>IFERROR(__xludf.DUMMYFUNCTION("""COMPUTED_VALUE"""),117.0)</f>
        <v>117</v>
      </c>
      <c r="G68" s="1" t="str">
        <f>IFERROR(__xludf.DUMMYFUNCTION("""COMPUTED_VALUE"""),"Box Score")</f>
        <v>Box Score</v>
      </c>
      <c r="H68" s="1"/>
      <c r="I68" s="3">
        <f>IFERROR(__xludf.DUMMYFUNCTION("""COMPUTED_VALUE"""),17583.0)</f>
        <v>17583</v>
      </c>
      <c r="J68" s="1"/>
    </row>
    <row r="69" ht="15.75" customHeight="1">
      <c r="A69" s="2">
        <f>IFERROR(__xludf.DUMMYFUNCTION("""COMPUTED_VALUE"""),43506.0)</f>
        <v>43506</v>
      </c>
      <c r="B69" s="1" t="str">
        <f>IFERROR(__xludf.DUMMYFUNCTION("""COMPUTED_VALUE"""),"7:30p")</f>
        <v>7:30p</v>
      </c>
      <c r="C69" s="1" t="str">
        <f>IFERROR(__xludf.DUMMYFUNCTION("""COMPUTED_VALUE"""),"Orlando Magic")</f>
        <v>Orlando Magic</v>
      </c>
      <c r="D69" s="1">
        <f>IFERROR(__xludf.DUMMYFUNCTION("""COMPUTED_VALUE"""),124.0)</f>
        <v>124</v>
      </c>
      <c r="E69" s="1" t="str">
        <f>IFERROR(__xludf.DUMMYFUNCTION("""COMPUTED_VALUE"""),"Atlanta Hawks")</f>
        <v>Atlanta Hawks</v>
      </c>
      <c r="F69" s="1">
        <f>IFERROR(__xludf.DUMMYFUNCTION("""COMPUTED_VALUE"""),108.0)</f>
        <v>108</v>
      </c>
      <c r="G69" s="1" t="str">
        <f>IFERROR(__xludf.DUMMYFUNCTION("""COMPUTED_VALUE"""),"Box Score")</f>
        <v>Box Score</v>
      </c>
      <c r="H69" s="1"/>
      <c r="I69" s="3">
        <f>IFERROR(__xludf.DUMMYFUNCTION("""COMPUTED_VALUE"""),13370.0)</f>
        <v>13370</v>
      </c>
      <c r="J69" s="1"/>
    </row>
    <row r="70" ht="15.75" customHeight="1">
      <c r="A70" s="2">
        <f>IFERROR(__xludf.DUMMYFUNCTION("""COMPUTED_VALUE"""),43506.0)</f>
        <v>43506</v>
      </c>
      <c r="B70" s="1" t="str">
        <f>IFERROR(__xludf.DUMMYFUNCTION("""COMPUTED_VALUE"""),"8:30p")</f>
        <v>8:30p</v>
      </c>
      <c r="C70" s="1" t="str">
        <f>IFERROR(__xludf.DUMMYFUNCTION("""COMPUTED_VALUE"""),"Miami Heat")</f>
        <v>Miami Heat</v>
      </c>
      <c r="D70" s="1">
        <f>IFERROR(__xludf.DUMMYFUNCTION("""COMPUTED_VALUE"""),118.0)</f>
        <v>118</v>
      </c>
      <c r="E70" s="1" t="str">
        <f>IFERROR(__xludf.DUMMYFUNCTION("""COMPUTED_VALUE"""),"Golden State Warriors")</f>
        <v>Golden State Warriors</v>
      </c>
      <c r="F70" s="1">
        <f>IFERROR(__xludf.DUMMYFUNCTION("""COMPUTED_VALUE"""),120.0)</f>
        <v>120</v>
      </c>
      <c r="G70" s="1" t="str">
        <f>IFERROR(__xludf.DUMMYFUNCTION("""COMPUTED_VALUE"""),"Box Score")</f>
        <v>Box Score</v>
      </c>
      <c r="H70" s="1"/>
      <c r="I70" s="3">
        <f>IFERROR(__xludf.DUMMYFUNCTION("""COMPUTED_VALUE"""),19596.0)</f>
        <v>19596</v>
      </c>
      <c r="J70" s="1"/>
    </row>
    <row r="71" ht="15.75" customHeight="1">
      <c r="A71" s="2">
        <f>IFERROR(__xludf.DUMMYFUNCTION("""COMPUTED_VALUE"""),43507.0)</f>
        <v>43507</v>
      </c>
      <c r="B71" s="1" t="str">
        <f>IFERROR(__xludf.DUMMYFUNCTION("""COMPUTED_VALUE"""),"7:00p")</f>
        <v>7:00p</v>
      </c>
      <c r="C71" s="1" t="str">
        <f>IFERROR(__xludf.DUMMYFUNCTION("""COMPUTED_VALUE"""),"New York Knicks")</f>
        <v>New York Knicks</v>
      </c>
      <c r="D71" s="1">
        <f>IFERROR(__xludf.DUMMYFUNCTION("""COMPUTED_VALUE"""),104.0)</f>
        <v>104</v>
      </c>
      <c r="E71" s="1" t="str">
        <f>IFERROR(__xludf.DUMMYFUNCTION("""COMPUTED_VALUE"""),"Cleveland Cavaliers")</f>
        <v>Cleveland Cavaliers</v>
      </c>
      <c r="F71" s="1">
        <f>IFERROR(__xludf.DUMMYFUNCTION("""COMPUTED_VALUE"""),107.0)</f>
        <v>107</v>
      </c>
      <c r="G71" s="1" t="str">
        <f>IFERROR(__xludf.DUMMYFUNCTION("""COMPUTED_VALUE"""),"Box Score")</f>
        <v>Box Score</v>
      </c>
      <c r="H71" s="1"/>
      <c r="I71" s="3">
        <f>IFERROR(__xludf.DUMMYFUNCTION("""COMPUTED_VALUE"""),19432.0)</f>
        <v>19432</v>
      </c>
      <c r="J71" s="1"/>
    </row>
    <row r="72" ht="15.75" customHeight="1">
      <c r="A72" s="2">
        <f>IFERROR(__xludf.DUMMYFUNCTION("""COMPUTED_VALUE"""),43507.0)</f>
        <v>43507</v>
      </c>
      <c r="B72" s="1" t="str">
        <f>IFERROR(__xludf.DUMMYFUNCTION("""COMPUTED_VALUE"""),"7:00p")</f>
        <v>7:00p</v>
      </c>
      <c r="C72" s="1" t="str">
        <f>IFERROR(__xludf.DUMMYFUNCTION("""COMPUTED_VALUE"""),"Washington Wizards")</f>
        <v>Washington Wizards</v>
      </c>
      <c r="D72" s="1">
        <f>IFERROR(__xludf.DUMMYFUNCTION("""COMPUTED_VALUE"""),112.0)</f>
        <v>112</v>
      </c>
      <c r="E72" s="1" t="str">
        <f>IFERROR(__xludf.DUMMYFUNCTION("""COMPUTED_VALUE"""),"Detroit Pistons")</f>
        <v>Detroit Pistons</v>
      </c>
      <c r="F72" s="1">
        <f>IFERROR(__xludf.DUMMYFUNCTION("""COMPUTED_VALUE"""),121.0)</f>
        <v>121</v>
      </c>
      <c r="G72" s="1" t="str">
        <f>IFERROR(__xludf.DUMMYFUNCTION("""COMPUTED_VALUE"""),"Box Score")</f>
        <v>Box Score</v>
      </c>
      <c r="H72" s="1"/>
      <c r="I72" s="3">
        <f>IFERROR(__xludf.DUMMYFUNCTION("""COMPUTED_VALUE"""),15246.0)</f>
        <v>15246</v>
      </c>
      <c r="J72" s="1"/>
    </row>
    <row r="73" ht="15.75" customHeight="1">
      <c r="A73" s="2">
        <f>IFERROR(__xludf.DUMMYFUNCTION("""COMPUTED_VALUE"""),43507.0)</f>
        <v>43507</v>
      </c>
      <c r="B73" s="1" t="str">
        <f>IFERROR(__xludf.DUMMYFUNCTION("""COMPUTED_VALUE"""),"7:00p")</f>
        <v>7:00p</v>
      </c>
      <c r="C73" s="1" t="str">
        <f>IFERROR(__xludf.DUMMYFUNCTION("""COMPUTED_VALUE"""),"Charlotte Hornets")</f>
        <v>Charlotte Hornets</v>
      </c>
      <c r="D73" s="1">
        <f>IFERROR(__xludf.DUMMYFUNCTION("""COMPUTED_VALUE"""),90.0)</f>
        <v>90</v>
      </c>
      <c r="E73" s="1" t="str">
        <f>IFERROR(__xludf.DUMMYFUNCTION("""COMPUTED_VALUE"""),"Indiana Pacers")</f>
        <v>Indiana Pacers</v>
      </c>
      <c r="F73" s="1">
        <f>IFERROR(__xludf.DUMMYFUNCTION("""COMPUTED_VALUE"""),99.0)</f>
        <v>99</v>
      </c>
      <c r="G73" s="1" t="str">
        <f>IFERROR(__xludf.DUMMYFUNCTION("""COMPUTED_VALUE"""),"Box Score")</f>
        <v>Box Score</v>
      </c>
      <c r="H73" s="1"/>
      <c r="I73" s="3">
        <f>IFERROR(__xludf.DUMMYFUNCTION("""COMPUTED_VALUE"""),15734.0)</f>
        <v>15734</v>
      </c>
      <c r="J73" s="1"/>
    </row>
    <row r="74" ht="15.75" customHeight="1">
      <c r="A74" s="2">
        <f>IFERROR(__xludf.DUMMYFUNCTION("""COMPUTED_VALUE"""),43507.0)</f>
        <v>43507</v>
      </c>
      <c r="B74" s="1" t="str">
        <f>IFERROR(__xludf.DUMMYFUNCTION("""COMPUTED_VALUE"""),"7:30p")</f>
        <v>7:30p</v>
      </c>
      <c r="C74" s="1" t="str">
        <f>IFERROR(__xludf.DUMMYFUNCTION("""COMPUTED_VALUE"""),"Brooklyn Nets")</f>
        <v>Brooklyn Nets</v>
      </c>
      <c r="D74" s="1">
        <f>IFERROR(__xludf.DUMMYFUNCTION("""COMPUTED_VALUE"""),125.0)</f>
        <v>125</v>
      </c>
      <c r="E74" s="1" t="str">
        <f>IFERROR(__xludf.DUMMYFUNCTION("""COMPUTED_VALUE"""),"Toronto Raptors")</f>
        <v>Toronto Raptors</v>
      </c>
      <c r="F74" s="1">
        <f>IFERROR(__xludf.DUMMYFUNCTION("""COMPUTED_VALUE"""),127.0)</f>
        <v>127</v>
      </c>
      <c r="G74" s="1" t="str">
        <f>IFERROR(__xludf.DUMMYFUNCTION("""COMPUTED_VALUE"""),"Box Score")</f>
        <v>Box Score</v>
      </c>
      <c r="H74" s="1"/>
      <c r="I74" s="3">
        <f>IFERROR(__xludf.DUMMYFUNCTION("""COMPUTED_VALUE"""),19800.0)</f>
        <v>19800</v>
      </c>
      <c r="J74" s="1"/>
    </row>
    <row r="75" ht="15.75" customHeight="1">
      <c r="A75" s="2">
        <f>IFERROR(__xludf.DUMMYFUNCTION("""COMPUTED_VALUE"""),43507.0)</f>
        <v>43507</v>
      </c>
      <c r="B75" s="1" t="str">
        <f>IFERROR(__xludf.DUMMYFUNCTION("""COMPUTED_VALUE"""),"8:00p")</f>
        <v>8:00p</v>
      </c>
      <c r="C75" s="1" t="str">
        <f>IFERROR(__xludf.DUMMYFUNCTION("""COMPUTED_VALUE"""),"Milwaukee Bucks")</f>
        <v>Milwaukee Bucks</v>
      </c>
      <c r="D75" s="1">
        <f>IFERROR(__xludf.DUMMYFUNCTION("""COMPUTED_VALUE"""),112.0)</f>
        <v>112</v>
      </c>
      <c r="E75" s="1" t="str">
        <f>IFERROR(__xludf.DUMMYFUNCTION("""COMPUTED_VALUE"""),"Chicago Bulls")</f>
        <v>Chicago Bulls</v>
      </c>
      <c r="F75" s="1">
        <f>IFERROR(__xludf.DUMMYFUNCTION("""COMPUTED_VALUE"""),99.0)</f>
        <v>99</v>
      </c>
      <c r="G75" s="1" t="str">
        <f>IFERROR(__xludf.DUMMYFUNCTION("""COMPUTED_VALUE"""),"Box Score")</f>
        <v>Box Score</v>
      </c>
      <c r="H75" s="1"/>
      <c r="I75" s="3">
        <f>IFERROR(__xludf.DUMMYFUNCTION("""COMPUTED_VALUE"""),18833.0)</f>
        <v>18833</v>
      </c>
      <c r="J75" s="1"/>
    </row>
    <row r="76" ht="15.75" customHeight="1">
      <c r="A76" s="2">
        <f>IFERROR(__xludf.DUMMYFUNCTION("""COMPUTED_VALUE"""),43507.0)</f>
        <v>43507</v>
      </c>
      <c r="B76" s="1" t="str">
        <f>IFERROR(__xludf.DUMMYFUNCTION("""COMPUTED_VALUE"""),"8:00p")</f>
        <v>8:00p</v>
      </c>
      <c r="C76" s="1" t="str">
        <f>IFERROR(__xludf.DUMMYFUNCTION("""COMPUTED_VALUE"""),"Dallas Mavericks")</f>
        <v>Dallas Mavericks</v>
      </c>
      <c r="D76" s="1">
        <f>IFERROR(__xludf.DUMMYFUNCTION("""COMPUTED_VALUE"""),104.0)</f>
        <v>104</v>
      </c>
      <c r="E76" s="1" t="str">
        <f>IFERROR(__xludf.DUMMYFUNCTION("""COMPUTED_VALUE"""),"Houston Rockets")</f>
        <v>Houston Rockets</v>
      </c>
      <c r="F76" s="1">
        <f>IFERROR(__xludf.DUMMYFUNCTION("""COMPUTED_VALUE"""),120.0)</f>
        <v>120</v>
      </c>
      <c r="G76" s="1" t="str">
        <f>IFERROR(__xludf.DUMMYFUNCTION("""COMPUTED_VALUE"""),"Box Score")</f>
        <v>Box Score</v>
      </c>
      <c r="H76" s="1"/>
      <c r="I76" s="3">
        <f>IFERROR(__xludf.DUMMYFUNCTION("""COMPUTED_VALUE"""),18055.0)</f>
        <v>18055</v>
      </c>
      <c r="J76" s="1"/>
    </row>
    <row r="77" ht="15.75" customHeight="1">
      <c r="A77" s="2">
        <f>IFERROR(__xludf.DUMMYFUNCTION("""COMPUTED_VALUE"""),43507.0)</f>
        <v>43507</v>
      </c>
      <c r="B77" s="1" t="str">
        <f>IFERROR(__xludf.DUMMYFUNCTION("""COMPUTED_VALUE"""),"8:00p")</f>
        <v>8:00p</v>
      </c>
      <c r="C77" s="1" t="str">
        <f>IFERROR(__xludf.DUMMYFUNCTION("""COMPUTED_VALUE"""),"Los Angeles Clippers")</f>
        <v>Los Angeles Clippers</v>
      </c>
      <c r="D77" s="1">
        <f>IFERROR(__xludf.DUMMYFUNCTION("""COMPUTED_VALUE"""),120.0)</f>
        <v>120</v>
      </c>
      <c r="E77" s="1" t="str">
        <f>IFERROR(__xludf.DUMMYFUNCTION("""COMPUTED_VALUE"""),"Minnesota Timberwolves")</f>
        <v>Minnesota Timberwolves</v>
      </c>
      <c r="F77" s="1">
        <f>IFERROR(__xludf.DUMMYFUNCTION("""COMPUTED_VALUE"""),130.0)</f>
        <v>130</v>
      </c>
      <c r="G77" s="1" t="str">
        <f>IFERROR(__xludf.DUMMYFUNCTION("""COMPUTED_VALUE"""),"Box Score")</f>
        <v>Box Score</v>
      </c>
      <c r="H77" s="1"/>
      <c r="I77" s="3">
        <f>IFERROR(__xludf.DUMMYFUNCTION("""COMPUTED_VALUE"""),13782.0)</f>
        <v>13782</v>
      </c>
      <c r="J77" s="1"/>
    </row>
    <row r="78" ht="15.75" customHeight="1">
      <c r="A78" s="2">
        <f>IFERROR(__xludf.DUMMYFUNCTION("""COMPUTED_VALUE"""),43507.0)</f>
        <v>43507</v>
      </c>
      <c r="B78" s="1" t="str">
        <f>IFERROR(__xludf.DUMMYFUNCTION("""COMPUTED_VALUE"""),"8:00p")</f>
        <v>8:00p</v>
      </c>
      <c r="C78" s="1" t="str">
        <f>IFERROR(__xludf.DUMMYFUNCTION("""COMPUTED_VALUE"""),"Portland Trail Blazers")</f>
        <v>Portland Trail Blazers</v>
      </c>
      <c r="D78" s="1">
        <f>IFERROR(__xludf.DUMMYFUNCTION("""COMPUTED_VALUE"""),111.0)</f>
        <v>111</v>
      </c>
      <c r="E78" s="1" t="str">
        <f>IFERROR(__xludf.DUMMYFUNCTION("""COMPUTED_VALUE"""),"Oklahoma City Thunder")</f>
        <v>Oklahoma City Thunder</v>
      </c>
      <c r="F78" s="1">
        <f>IFERROR(__xludf.DUMMYFUNCTION("""COMPUTED_VALUE"""),120.0)</f>
        <v>120</v>
      </c>
      <c r="G78" s="1" t="str">
        <f>IFERROR(__xludf.DUMMYFUNCTION("""COMPUTED_VALUE"""),"Box Score")</f>
        <v>Box Score</v>
      </c>
      <c r="H78" s="1"/>
      <c r="I78" s="3">
        <f>IFERROR(__xludf.DUMMYFUNCTION("""COMPUTED_VALUE"""),18203.0)</f>
        <v>18203</v>
      </c>
      <c r="J78" s="1"/>
    </row>
    <row r="79" ht="15.75" customHeight="1">
      <c r="A79" s="2">
        <f>IFERROR(__xludf.DUMMYFUNCTION("""COMPUTED_VALUE"""),43507.0)</f>
        <v>43507</v>
      </c>
      <c r="B79" s="1" t="str">
        <f>IFERROR(__xludf.DUMMYFUNCTION("""COMPUTED_VALUE"""),"9:00p")</f>
        <v>9:00p</v>
      </c>
      <c r="C79" s="1" t="str">
        <f>IFERROR(__xludf.DUMMYFUNCTION("""COMPUTED_VALUE"""),"Miami Heat")</f>
        <v>Miami Heat</v>
      </c>
      <c r="D79" s="1">
        <f>IFERROR(__xludf.DUMMYFUNCTION("""COMPUTED_VALUE"""),87.0)</f>
        <v>87</v>
      </c>
      <c r="E79" s="1" t="str">
        <f>IFERROR(__xludf.DUMMYFUNCTION("""COMPUTED_VALUE"""),"Denver Nuggets")</f>
        <v>Denver Nuggets</v>
      </c>
      <c r="F79" s="1">
        <f>IFERROR(__xludf.DUMMYFUNCTION("""COMPUTED_VALUE"""),103.0)</f>
        <v>103</v>
      </c>
      <c r="G79" s="1" t="str">
        <f>IFERROR(__xludf.DUMMYFUNCTION("""COMPUTED_VALUE"""),"Box Score")</f>
        <v>Box Score</v>
      </c>
      <c r="H79" s="1"/>
      <c r="I79" s="3">
        <f>IFERROR(__xludf.DUMMYFUNCTION("""COMPUTED_VALUE"""),18378.0)</f>
        <v>18378</v>
      </c>
      <c r="J79" s="1"/>
    </row>
    <row r="80" ht="15.75" customHeight="1">
      <c r="A80" s="2">
        <f>IFERROR(__xludf.DUMMYFUNCTION("""COMPUTED_VALUE"""),43508.0)</f>
        <v>43508</v>
      </c>
      <c r="B80" s="1" t="str">
        <f>IFERROR(__xludf.DUMMYFUNCTION("""COMPUTED_VALUE"""),"7:30p")</f>
        <v>7:30p</v>
      </c>
      <c r="C80" s="1" t="str">
        <f>IFERROR(__xludf.DUMMYFUNCTION("""COMPUTED_VALUE"""),"Los Angeles Lakers")</f>
        <v>Los Angeles Lakers</v>
      </c>
      <c r="D80" s="1">
        <f>IFERROR(__xludf.DUMMYFUNCTION("""COMPUTED_VALUE"""),113.0)</f>
        <v>113</v>
      </c>
      <c r="E80" s="1" t="str">
        <f>IFERROR(__xludf.DUMMYFUNCTION("""COMPUTED_VALUE"""),"Atlanta Hawks")</f>
        <v>Atlanta Hawks</v>
      </c>
      <c r="F80" s="1">
        <f>IFERROR(__xludf.DUMMYFUNCTION("""COMPUTED_VALUE"""),117.0)</f>
        <v>117</v>
      </c>
      <c r="G80" s="1" t="str">
        <f>IFERROR(__xludf.DUMMYFUNCTION("""COMPUTED_VALUE"""),"Box Score")</f>
        <v>Box Score</v>
      </c>
      <c r="H80" s="1"/>
      <c r="I80" s="3">
        <f>IFERROR(__xludf.DUMMYFUNCTION("""COMPUTED_VALUE"""),16824.0)</f>
        <v>16824</v>
      </c>
      <c r="J80" s="1"/>
    </row>
    <row r="81" ht="15.75" customHeight="1">
      <c r="A81" s="2">
        <f>IFERROR(__xludf.DUMMYFUNCTION("""COMPUTED_VALUE"""),43508.0)</f>
        <v>43508</v>
      </c>
      <c r="B81" s="1" t="str">
        <f>IFERROR(__xludf.DUMMYFUNCTION("""COMPUTED_VALUE"""),"8:00p")</f>
        <v>8:00p</v>
      </c>
      <c r="C81" s="1" t="str">
        <f>IFERROR(__xludf.DUMMYFUNCTION("""COMPUTED_VALUE"""),"San Antonio Spurs")</f>
        <v>San Antonio Spurs</v>
      </c>
      <c r="D81" s="1">
        <f>IFERROR(__xludf.DUMMYFUNCTION("""COMPUTED_VALUE"""),108.0)</f>
        <v>108</v>
      </c>
      <c r="E81" s="1" t="str">
        <f>IFERROR(__xludf.DUMMYFUNCTION("""COMPUTED_VALUE"""),"Memphis Grizzlies")</f>
        <v>Memphis Grizzlies</v>
      </c>
      <c r="F81" s="1">
        <f>IFERROR(__xludf.DUMMYFUNCTION("""COMPUTED_VALUE"""),107.0)</f>
        <v>107</v>
      </c>
      <c r="G81" s="1" t="str">
        <f>IFERROR(__xludf.DUMMYFUNCTION("""COMPUTED_VALUE"""),"Box Score")</f>
        <v>Box Score</v>
      </c>
      <c r="H81" s="1"/>
      <c r="I81" s="3">
        <f>IFERROR(__xludf.DUMMYFUNCTION("""COMPUTED_VALUE"""),13788.0)</f>
        <v>13788</v>
      </c>
      <c r="J81" s="1"/>
    </row>
    <row r="82" ht="15.75" customHeight="1">
      <c r="A82" s="2">
        <f>IFERROR(__xludf.DUMMYFUNCTION("""COMPUTED_VALUE"""),43508.0)</f>
        <v>43508</v>
      </c>
      <c r="B82" s="1" t="str">
        <f>IFERROR(__xludf.DUMMYFUNCTION("""COMPUTED_VALUE"""),"8:00p")</f>
        <v>8:00p</v>
      </c>
      <c r="C82" s="1" t="str">
        <f>IFERROR(__xludf.DUMMYFUNCTION("""COMPUTED_VALUE"""),"Orlando Magic")</f>
        <v>Orlando Magic</v>
      </c>
      <c r="D82" s="1">
        <f>IFERROR(__xludf.DUMMYFUNCTION("""COMPUTED_VALUE"""),118.0)</f>
        <v>118</v>
      </c>
      <c r="E82" s="1" t="str">
        <f>IFERROR(__xludf.DUMMYFUNCTION("""COMPUTED_VALUE"""),"New Orleans Pelicans")</f>
        <v>New Orleans Pelicans</v>
      </c>
      <c r="F82" s="1">
        <f>IFERROR(__xludf.DUMMYFUNCTION("""COMPUTED_VALUE"""),88.0)</f>
        <v>88</v>
      </c>
      <c r="G82" s="1" t="str">
        <f>IFERROR(__xludf.DUMMYFUNCTION("""COMPUTED_VALUE"""),"Box Score")</f>
        <v>Box Score</v>
      </c>
      <c r="H82" s="1"/>
      <c r="I82" s="3">
        <f>IFERROR(__xludf.DUMMYFUNCTION("""COMPUTED_VALUE"""),15733.0)</f>
        <v>15733</v>
      </c>
      <c r="J82" s="1"/>
    </row>
    <row r="83" ht="15.75" customHeight="1">
      <c r="A83" s="2">
        <f>IFERROR(__xludf.DUMMYFUNCTION("""COMPUTED_VALUE"""),43508.0)</f>
        <v>43508</v>
      </c>
      <c r="B83" s="1" t="str">
        <f>IFERROR(__xludf.DUMMYFUNCTION("""COMPUTED_VALUE"""),"8:00p")</f>
        <v>8:00p</v>
      </c>
      <c r="C83" s="1" t="str">
        <f>IFERROR(__xludf.DUMMYFUNCTION("""COMPUTED_VALUE"""),"Boston Celtics")</f>
        <v>Boston Celtics</v>
      </c>
      <c r="D83" s="1">
        <f>IFERROR(__xludf.DUMMYFUNCTION("""COMPUTED_VALUE"""),112.0)</f>
        <v>112</v>
      </c>
      <c r="E83" s="1" t="str">
        <f>IFERROR(__xludf.DUMMYFUNCTION("""COMPUTED_VALUE"""),"Philadelphia 76ers")</f>
        <v>Philadelphia 76ers</v>
      </c>
      <c r="F83" s="1">
        <f>IFERROR(__xludf.DUMMYFUNCTION("""COMPUTED_VALUE"""),109.0)</f>
        <v>109</v>
      </c>
      <c r="G83" s="1" t="str">
        <f>IFERROR(__xludf.DUMMYFUNCTION("""COMPUTED_VALUE"""),"Box Score")</f>
        <v>Box Score</v>
      </c>
      <c r="H83" s="1"/>
      <c r="I83" s="3">
        <f>IFERROR(__xludf.DUMMYFUNCTION("""COMPUTED_VALUE"""),20582.0)</f>
        <v>20582</v>
      </c>
      <c r="J83" s="1"/>
    </row>
    <row r="84" ht="15.75" customHeight="1">
      <c r="A84" s="2">
        <f>IFERROR(__xludf.DUMMYFUNCTION("""COMPUTED_VALUE"""),43508.0)</f>
        <v>43508</v>
      </c>
      <c r="B84" s="1" t="str">
        <f>IFERROR(__xludf.DUMMYFUNCTION("""COMPUTED_VALUE"""),"10:30p")</f>
        <v>10:30p</v>
      </c>
      <c r="C84" s="1" t="str">
        <f>IFERROR(__xludf.DUMMYFUNCTION("""COMPUTED_VALUE"""),"Utah Jazz")</f>
        <v>Utah Jazz</v>
      </c>
      <c r="D84" s="1">
        <f>IFERROR(__xludf.DUMMYFUNCTION("""COMPUTED_VALUE"""),108.0)</f>
        <v>108</v>
      </c>
      <c r="E84" s="1" t="str">
        <f>IFERROR(__xludf.DUMMYFUNCTION("""COMPUTED_VALUE"""),"Golden State Warriors")</f>
        <v>Golden State Warriors</v>
      </c>
      <c r="F84" s="1">
        <f>IFERROR(__xludf.DUMMYFUNCTION("""COMPUTED_VALUE"""),115.0)</f>
        <v>115</v>
      </c>
      <c r="G84" s="1" t="str">
        <f>IFERROR(__xludf.DUMMYFUNCTION("""COMPUTED_VALUE"""),"Box Score")</f>
        <v>Box Score</v>
      </c>
      <c r="H84" s="1"/>
      <c r="I84" s="3">
        <f>IFERROR(__xludf.DUMMYFUNCTION("""COMPUTED_VALUE"""),19596.0)</f>
        <v>19596</v>
      </c>
      <c r="J84" s="1"/>
    </row>
    <row r="85" ht="15.75" customHeight="1">
      <c r="A85" s="2">
        <f>IFERROR(__xludf.DUMMYFUNCTION("""COMPUTED_VALUE"""),43509.0)</f>
        <v>43509</v>
      </c>
      <c r="B85" s="1" t="str">
        <f>IFERROR(__xludf.DUMMYFUNCTION("""COMPUTED_VALUE"""),"7:00p")</f>
        <v>7:00p</v>
      </c>
      <c r="C85" s="1" t="str">
        <f>IFERROR(__xludf.DUMMYFUNCTION("""COMPUTED_VALUE"""),"Brooklyn Nets")</f>
        <v>Brooklyn Nets</v>
      </c>
      <c r="D85" s="1">
        <f>IFERROR(__xludf.DUMMYFUNCTION("""COMPUTED_VALUE"""),148.0)</f>
        <v>148</v>
      </c>
      <c r="E85" s="1" t="str">
        <f>IFERROR(__xludf.DUMMYFUNCTION("""COMPUTED_VALUE"""),"Cleveland Cavaliers")</f>
        <v>Cleveland Cavaliers</v>
      </c>
      <c r="F85" s="1">
        <f>IFERROR(__xludf.DUMMYFUNCTION("""COMPUTED_VALUE"""),139.0)</f>
        <v>139</v>
      </c>
      <c r="G85" s="1" t="str">
        <f>IFERROR(__xludf.DUMMYFUNCTION("""COMPUTED_VALUE"""),"Box Score")</f>
        <v>Box Score</v>
      </c>
      <c r="H85" s="1" t="str">
        <f>IFERROR(__xludf.DUMMYFUNCTION("""COMPUTED_VALUE"""),"3OT")</f>
        <v>3OT</v>
      </c>
      <c r="I85" s="3">
        <f>IFERROR(__xludf.DUMMYFUNCTION("""COMPUTED_VALUE"""),17434.0)</f>
        <v>17434</v>
      </c>
      <c r="J85" s="1"/>
    </row>
    <row r="86" ht="15.75" customHeight="1">
      <c r="A86" s="2">
        <f>IFERROR(__xludf.DUMMYFUNCTION("""COMPUTED_VALUE"""),43509.0)</f>
        <v>43509</v>
      </c>
      <c r="B86" s="1" t="str">
        <f>IFERROR(__xludf.DUMMYFUNCTION("""COMPUTED_VALUE"""),"7:00p")</f>
        <v>7:00p</v>
      </c>
      <c r="C86" s="1" t="str">
        <f>IFERROR(__xludf.DUMMYFUNCTION("""COMPUTED_VALUE"""),"Milwaukee Bucks")</f>
        <v>Milwaukee Bucks</v>
      </c>
      <c r="D86" s="1">
        <f>IFERROR(__xludf.DUMMYFUNCTION("""COMPUTED_VALUE"""),106.0)</f>
        <v>106</v>
      </c>
      <c r="E86" s="1" t="str">
        <f>IFERROR(__xludf.DUMMYFUNCTION("""COMPUTED_VALUE"""),"Indiana Pacers")</f>
        <v>Indiana Pacers</v>
      </c>
      <c r="F86" s="1">
        <f>IFERROR(__xludf.DUMMYFUNCTION("""COMPUTED_VALUE"""),97.0)</f>
        <v>97</v>
      </c>
      <c r="G86" s="1" t="str">
        <f>IFERROR(__xludf.DUMMYFUNCTION("""COMPUTED_VALUE"""),"Box Score")</f>
        <v>Box Score</v>
      </c>
      <c r="H86" s="1"/>
      <c r="I86" s="3">
        <f>IFERROR(__xludf.DUMMYFUNCTION("""COMPUTED_VALUE"""),17311.0)</f>
        <v>17311</v>
      </c>
      <c r="J86" s="1"/>
    </row>
    <row r="87" ht="15.75" customHeight="1">
      <c r="A87" s="2">
        <f>IFERROR(__xludf.DUMMYFUNCTION("""COMPUTED_VALUE"""),43509.0)</f>
        <v>43509</v>
      </c>
      <c r="B87" s="1" t="str">
        <f>IFERROR(__xludf.DUMMYFUNCTION("""COMPUTED_VALUE"""),"7:30p")</f>
        <v>7:30p</v>
      </c>
      <c r="C87" s="1" t="str">
        <f>IFERROR(__xludf.DUMMYFUNCTION("""COMPUTED_VALUE"""),"Detroit Pistons")</f>
        <v>Detroit Pistons</v>
      </c>
      <c r="D87" s="1">
        <f>IFERROR(__xludf.DUMMYFUNCTION("""COMPUTED_VALUE"""),110.0)</f>
        <v>110</v>
      </c>
      <c r="E87" s="1" t="str">
        <f>IFERROR(__xludf.DUMMYFUNCTION("""COMPUTED_VALUE"""),"Boston Celtics")</f>
        <v>Boston Celtics</v>
      </c>
      <c r="F87" s="1">
        <f>IFERROR(__xludf.DUMMYFUNCTION("""COMPUTED_VALUE"""),118.0)</f>
        <v>118</v>
      </c>
      <c r="G87" s="1" t="str">
        <f>IFERROR(__xludf.DUMMYFUNCTION("""COMPUTED_VALUE"""),"Box Score")</f>
        <v>Box Score</v>
      </c>
      <c r="H87" s="1"/>
      <c r="I87" s="3">
        <f>IFERROR(__xludf.DUMMYFUNCTION("""COMPUTED_VALUE"""),18624.0)</f>
        <v>18624</v>
      </c>
      <c r="J87" s="1"/>
    </row>
    <row r="88" ht="15.75" customHeight="1">
      <c r="A88" s="2">
        <f>IFERROR(__xludf.DUMMYFUNCTION("""COMPUTED_VALUE"""),43509.0)</f>
        <v>43509</v>
      </c>
      <c r="B88" s="1" t="str">
        <f>IFERROR(__xludf.DUMMYFUNCTION("""COMPUTED_VALUE"""),"7:30p")</f>
        <v>7:30p</v>
      </c>
      <c r="C88" s="1" t="str">
        <f>IFERROR(__xludf.DUMMYFUNCTION("""COMPUTED_VALUE"""),"Philadelphia 76ers")</f>
        <v>Philadelphia 76ers</v>
      </c>
      <c r="D88" s="1">
        <f>IFERROR(__xludf.DUMMYFUNCTION("""COMPUTED_VALUE"""),126.0)</f>
        <v>126</v>
      </c>
      <c r="E88" s="1" t="str">
        <f>IFERROR(__xludf.DUMMYFUNCTION("""COMPUTED_VALUE"""),"New York Knicks")</f>
        <v>New York Knicks</v>
      </c>
      <c r="F88" s="1">
        <f>IFERROR(__xludf.DUMMYFUNCTION("""COMPUTED_VALUE"""),111.0)</f>
        <v>111</v>
      </c>
      <c r="G88" s="1" t="str">
        <f>IFERROR(__xludf.DUMMYFUNCTION("""COMPUTED_VALUE"""),"Box Score")</f>
        <v>Box Score</v>
      </c>
      <c r="H88" s="1"/>
      <c r="I88" s="3">
        <f>IFERROR(__xludf.DUMMYFUNCTION("""COMPUTED_VALUE"""),18983.0)</f>
        <v>18983</v>
      </c>
      <c r="J88" s="1"/>
    </row>
    <row r="89" ht="15.75" customHeight="1">
      <c r="A89" s="2">
        <f>IFERROR(__xludf.DUMMYFUNCTION("""COMPUTED_VALUE"""),43509.0)</f>
        <v>43509</v>
      </c>
      <c r="B89" s="1" t="str">
        <f>IFERROR(__xludf.DUMMYFUNCTION("""COMPUTED_VALUE"""),"7:30p")</f>
        <v>7:30p</v>
      </c>
      <c r="C89" s="1" t="str">
        <f>IFERROR(__xludf.DUMMYFUNCTION("""COMPUTED_VALUE"""),"Washington Wizards")</f>
        <v>Washington Wizards</v>
      </c>
      <c r="D89" s="1">
        <f>IFERROR(__xludf.DUMMYFUNCTION("""COMPUTED_VALUE"""),120.0)</f>
        <v>120</v>
      </c>
      <c r="E89" s="1" t="str">
        <f>IFERROR(__xludf.DUMMYFUNCTION("""COMPUTED_VALUE"""),"Toronto Raptors")</f>
        <v>Toronto Raptors</v>
      </c>
      <c r="F89" s="1">
        <f>IFERROR(__xludf.DUMMYFUNCTION("""COMPUTED_VALUE"""),129.0)</f>
        <v>129</v>
      </c>
      <c r="G89" s="1" t="str">
        <f>IFERROR(__xludf.DUMMYFUNCTION("""COMPUTED_VALUE"""),"Box Score")</f>
        <v>Box Score</v>
      </c>
      <c r="H89" s="1"/>
      <c r="I89" s="3">
        <f>IFERROR(__xludf.DUMMYFUNCTION("""COMPUTED_VALUE"""),19800.0)</f>
        <v>19800</v>
      </c>
      <c r="J89" s="1"/>
    </row>
    <row r="90" ht="15.75" customHeight="1">
      <c r="A90" s="2">
        <f>IFERROR(__xludf.DUMMYFUNCTION("""COMPUTED_VALUE"""),43509.0)</f>
        <v>43509</v>
      </c>
      <c r="B90" s="1" t="str">
        <f>IFERROR(__xludf.DUMMYFUNCTION("""COMPUTED_VALUE"""),"8:00p")</f>
        <v>8:00p</v>
      </c>
      <c r="C90" s="1" t="str">
        <f>IFERROR(__xludf.DUMMYFUNCTION("""COMPUTED_VALUE"""),"Memphis Grizzlies")</f>
        <v>Memphis Grizzlies</v>
      </c>
      <c r="D90" s="1">
        <f>IFERROR(__xludf.DUMMYFUNCTION("""COMPUTED_VALUE"""),110.0)</f>
        <v>110</v>
      </c>
      <c r="E90" s="1" t="str">
        <f>IFERROR(__xludf.DUMMYFUNCTION("""COMPUTED_VALUE"""),"Chicago Bulls")</f>
        <v>Chicago Bulls</v>
      </c>
      <c r="F90" s="1">
        <f>IFERROR(__xludf.DUMMYFUNCTION("""COMPUTED_VALUE"""),122.0)</f>
        <v>122</v>
      </c>
      <c r="G90" s="1" t="str">
        <f>IFERROR(__xludf.DUMMYFUNCTION("""COMPUTED_VALUE"""),"Box Score")</f>
        <v>Box Score</v>
      </c>
      <c r="H90" s="1"/>
      <c r="I90" s="3">
        <f>IFERROR(__xludf.DUMMYFUNCTION("""COMPUTED_VALUE"""),19114.0)</f>
        <v>19114</v>
      </c>
      <c r="J90" s="1"/>
    </row>
    <row r="91" ht="15.75" customHeight="1">
      <c r="A91" s="2">
        <f>IFERROR(__xludf.DUMMYFUNCTION("""COMPUTED_VALUE"""),43509.0)</f>
        <v>43509</v>
      </c>
      <c r="B91" s="1" t="str">
        <f>IFERROR(__xludf.DUMMYFUNCTION("""COMPUTED_VALUE"""),"8:00p")</f>
        <v>8:00p</v>
      </c>
      <c r="C91" s="1" t="str">
        <f>IFERROR(__xludf.DUMMYFUNCTION("""COMPUTED_VALUE"""),"Houston Rockets")</f>
        <v>Houston Rockets</v>
      </c>
      <c r="D91" s="1">
        <f>IFERROR(__xludf.DUMMYFUNCTION("""COMPUTED_VALUE"""),111.0)</f>
        <v>111</v>
      </c>
      <c r="E91" s="1" t="str">
        <f>IFERROR(__xludf.DUMMYFUNCTION("""COMPUTED_VALUE"""),"Minnesota Timberwolves")</f>
        <v>Minnesota Timberwolves</v>
      </c>
      <c r="F91" s="1">
        <f>IFERROR(__xludf.DUMMYFUNCTION("""COMPUTED_VALUE"""),121.0)</f>
        <v>121</v>
      </c>
      <c r="G91" s="1" t="str">
        <f>IFERROR(__xludf.DUMMYFUNCTION("""COMPUTED_VALUE"""),"Box Score")</f>
        <v>Box Score</v>
      </c>
      <c r="H91" s="1"/>
      <c r="I91" s="3">
        <f>IFERROR(__xludf.DUMMYFUNCTION("""COMPUTED_VALUE"""),15131.0)</f>
        <v>15131</v>
      </c>
      <c r="J91" s="1"/>
    </row>
    <row r="92" ht="15.75" customHeight="1">
      <c r="A92" s="2">
        <f>IFERROR(__xludf.DUMMYFUNCTION("""COMPUTED_VALUE"""),43509.0)</f>
        <v>43509</v>
      </c>
      <c r="B92" s="1" t="str">
        <f>IFERROR(__xludf.DUMMYFUNCTION("""COMPUTED_VALUE"""),"8:30p")</f>
        <v>8:30p</v>
      </c>
      <c r="C92" s="1" t="str">
        <f>IFERROR(__xludf.DUMMYFUNCTION("""COMPUTED_VALUE"""),"Miami Heat")</f>
        <v>Miami Heat</v>
      </c>
      <c r="D92" s="1">
        <f>IFERROR(__xludf.DUMMYFUNCTION("""COMPUTED_VALUE"""),112.0)</f>
        <v>112</v>
      </c>
      <c r="E92" s="1" t="str">
        <f>IFERROR(__xludf.DUMMYFUNCTION("""COMPUTED_VALUE"""),"Dallas Mavericks")</f>
        <v>Dallas Mavericks</v>
      </c>
      <c r="F92" s="1">
        <f>IFERROR(__xludf.DUMMYFUNCTION("""COMPUTED_VALUE"""),101.0)</f>
        <v>101</v>
      </c>
      <c r="G92" s="1" t="str">
        <f>IFERROR(__xludf.DUMMYFUNCTION("""COMPUTED_VALUE"""),"Box Score")</f>
        <v>Box Score</v>
      </c>
      <c r="H92" s="1"/>
      <c r="I92" s="3">
        <f>IFERROR(__xludf.DUMMYFUNCTION("""COMPUTED_VALUE"""),20364.0)</f>
        <v>20364</v>
      </c>
      <c r="J92" s="1"/>
    </row>
    <row r="93" ht="15.75" customHeight="1">
      <c r="A93" s="2">
        <f>IFERROR(__xludf.DUMMYFUNCTION("""COMPUTED_VALUE"""),43509.0)</f>
        <v>43509</v>
      </c>
      <c r="B93" s="1" t="str">
        <f>IFERROR(__xludf.DUMMYFUNCTION("""COMPUTED_VALUE"""),"9:00p")</f>
        <v>9:00p</v>
      </c>
      <c r="C93" s="1" t="str">
        <f>IFERROR(__xludf.DUMMYFUNCTION("""COMPUTED_VALUE"""),"Sacramento Kings")</f>
        <v>Sacramento Kings</v>
      </c>
      <c r="D93" s="1">
        <f>IFERROR(__xludf.DUMMYFUNCTION("""COMPUTED_VALUE"""),118.0)</f>
        <v>118</v>
      </c>
      <c r="E93" s="1" t="str">
        <f>IFERROR(__xludf.DUMMYFUNCTION("""COMPUTED_VALUE"""),"Denver Nuggets")</f>
        <v>Denver Nuggets</v>
      </c>
      <c r="F93" s="1">
        <f>IFERROR(__xludf.DUMMYFUNCTION("""COMPUTED_VALUE"""),120.0)</f>
        <v>120</v>
      </c>
      <c r="G93" s="1" t="str">
        <f>IFERROR(__xludf.DUMMYFUNCTION("""COMPUTED_VALUE"""),"Box Score")</f>
        <v>Box Score</v>
      </c>
      <c r="H93" s="1"/>
      <c r="I93" s="3">
        <f>IFERROR(__xludf.DUMMYFUNCTION("""COMPUTED_VALUE"""),17938.0)</f>
        <v>17938</v>
      </c>
      <c r="J93" s="1"/>
    </row>
    <row r="94" ht="15.75" customHeight="1">
      <c r="A94" s="2">
        <f>IFERROR(__xludf.DUMMYFUNCTION("""COMPUTED_VALUE"""),43509.0)</f>
        <v>43509</v>
      </c>
      <c r="B94" s="1" t="str">
        <f>IFERROR(__xludf.DUMMYFUNCTION("""COMPUTED_VALUE"""),"10:30p")</f>
        <v>10:30p</v>
      </c>
      <c r="C94" s="1" t="str">
        <f>IFERROR(__xludf.DUMMYFUNCTION("""COMPUTED_VALUE"""),"Phoenix Suns")</f>
        <v>Phoenix Suns</v>
      </c>
      <c r="D94" s="1">
        <f>IFERROR(__xludf.DUMMYFUNCTION("""COMPUTED_VALUE"""),107.0)</f>
        <v>107</v>
      </c>
      <c r="E94" s="1" t="str">
        <f>IFERROR(__xludf.DUMMYFUNCTION("""COMPUTED_VALUE"""),"Los Angeles Clippers")</f>
        <v>Los Angeles Clippers</v>
      </c>
      <c r="F94" s="1">
        <f>IFERROR(__xludf.DUMMYFUNCTION("""COMPUTED_VALUE"""),134.0)</f>
        <v>134</v>
      </c>
      <c r="G94" s="1" t="str">
        <f>IFERROR(__xludf.DUMMYFUNCTION("""COMPUTED_VALUE"""),"Box Score")</f>
        <v>Box Score</v>
      </c>
      <c r="H94" s="1"/>
      <c r="I94" s="3">
        <f>IFERROR(__xludf.DUMMYFUNCTION("""COMPUTED_VALUE"""),17703.0)</f>
        <v>17703</v>
      </c>
      <c r="J94" s="1"/>
    </row>
    <row r="95" ht="15.75" customHeight="1">
      <c r="A95" s="2">
        <f>IFERROR(__xludf.DUMMYFUNCTION("""COMPUTED_VALUE"""),43509.0)</f>
        <v>43509</v>
      </c>
      <c r="B95" s="1" t="str">
        <f>IFERROR(__xludf.DUMMYFUNCTION("""COMPUTED_VALUE"""),"10:30p")</f>
        <v>10:30p</v>
      </c>
      <c r="C95" s="1" t="str">
        <f>IFERROR(__xludf.DUMMYFUNCTION("""COMPUTED_VALUE"""),"Golden State Warriors")</f>
        <v>Golden State Warriors</v>
      </c>
      <c r="D95" s="1">
        <f>IFERROR(__xludf.DUMMYFUNCTION("""COMPUTED_VALUE"""),107.0)</f>
        <v>107</v>
      </c>
      <c r="E95" s="1" t="str">
        <f>IFERROR(__xludf.DUMMYFUNCTION("""COMPUTED_VALUE"""),"Portland Trail Blazers")</f>
        <v>Portland Trail Blazers</v>
      </c>
      <c r="F95" s="1">
        <f>IFERROR(__xludf.DUMMYFUNCTION("""COMPUTED_VALUE"""),129.0)</f>
        <v>129</v>
      </c>
      <c r="G95" s="1" t="str">
        <f>IFERROR(__xludf.DUMMYFUNCTION("""COMPUTED_VALUE"""),"Box Score")</f>
        <v>Box Score</v>
      </c>
      <c r="H95" s="1"/>
      <c r="I95" s="3">
        <f>IFERROR(__xludf.DUMMYFUNCTION("""COMPUTED_VALUE"""),19549.0)</f>
        <v>19549</v>
      </c>
      <c r="J95" s="1"/>
    </row>
    <row r="96" ht="15.75" customHeight="1">
      <c r="A96" s="2">
        <f>IFERROR(__xludf.DUMMYFUNCTION("""COMPUTED_VALUE"""),43510.0)</f>
        <v>43510</v>
      </c>
      <c r="B96" s="1" t="str">
        <f>IFERROR(__xludf.DUMMYFUNCTION("""COMPUTED_VALUE"""),"7:00p")</f>
        <v>7:00p</v>
      </c>
      <c r="C96" s="1" t="str">
        <f>IFERROR(__xludf.DUMMYFUNCTION("""COMPUTED_VALUE"""),"Charlotte Hornets")</f>
        <v>Charlotte Hornets</v>
      </c>
      <c r="D96" s="1">
        <f>IFERROR(__xludf.DUMMYFUNCTION("""COMPUTED_VALUE"""),89.0)</f>
        <v>89</v>
      </c>
      <c r="E96" s="1" t="str">
        <f>IFERROR(__xludf.DUMMYFUNCTION("""COMPUTED_VALUE"""),"Orlando Magic")</f>
        <v>Orlando Magic</v>
      </c>
      <c r="F96" s="1">
        <f>IFERROR(__xludf.DUMMYFUNCTION("""COMPUTED_VALUE"""),127.0)</f>
        <v>127</v>
      </c>
      <c r="G96" s="1" t="str">
        <f>IFERROR(__xludf.DUMMYFUNCTION("""COMPUTED_VALUE"""),"Box Score")</f>
        <v>Box Score</v>
      </c>
      <c r="H96" s="1"/>
      <c r="I96" s="3">
        <f>IFERROR(__xludf.DUMMYFUNCTION("""COMPUTED_VALUE"""),18846.0)</f>
        <v>18846</v>
      </c>
      <c r="J96" s="1"/>
    </row>
    <row r="97" ht="15.75" customHeight="1">
      <c r="A97" s="2">
        <f>IFERROR(__xludf.DUMMYFUNCTION("""COMPUTED_VALUE"""),43510.0)</f>
        <v>43510</v>
      </c>
      <c r="B97" s="1" t="str">
        <f>IFERROR(__xludf.DUMMYFUNCTION("""COMPUTED_VALUE"""),"7:30p")</f>
        <v>7:30p</v>
      </c>
      <c r="C97" s="1" t="str">
        <f>IFERROR(__xludf.DUMMYFUNCTION("""COMPUTED_VALUE"""),"New York Knicks")</f>
        <v>New York Knicks</v>
      </c>
      <c r="D97" s="1">
        <f>IFERROR(__xludf.DUMMYFUNCTION("""COMPUTED_VALUE"""),106.0)</f>
        <v>106</v>
      </c>
      <c r="E97" s="1" t="str">
        <f>IFERROR(__xludf.DUMMYFUNCTION("""COMPUTED_VALUE"""),"Atlanta Hawks")</f>
        <v>Atlanta Hawks</v>
      </c>
      <c r="F97" s="1">
        <f>IFERROR(__xludf.DUMMYFUNCTION("""COMPUTED_VALUE"""),91.0)</f>
        <v>91</v>
      </c>
      <c r="G97" s="1" t="str">
        <f>IFERROR(__xludf.DUMMYFUNCTION("""COMPUTED_VALUE"""),"Box Score")</f>
        <v>Box Score</v>
      </c>
      <c r="H97" s="1"/>
      <c r="I97" s="3">
        <f>IFERROR(__xludf.DUMMYFUNCTION("""COMPUTED_VALUE"""),14179.0)</f>
        <v>14179</v>
      </c>
      <c r="J97" s="1"/>
    </row>
    <row r="98" ht="15.75" customHeight="1">
      <c r="A98" s="2">
        <f>IFERROR(__xludf.DUMMYFUNCTION("""COMPUTED_VALUE"""),43510.0)</f>
        <v>43510</v>
      </c>
      <c r="B98" s="1" t="str">
        <f>IFERROR(__xludf.DUMMYFUNCTION("""COMPUTED_VALUE"""),"8:00p")</f>
        <v>8:00p</v>
      </c>
      <c r="C98" s="1" t="str">
        <f>IFERROR(__xludf.DUMMYFUNCTION("""COMPUTED_VALUE"""),"Oklahoma City Thunder")</f>
        <v>Oklahoma City Thunder</v>
      </c>
      <c r="D98" s="1">
        <f>IFERROR(__xludf.DUMMYFUNCTION("""COMPUTED_VALUE"""),122.0)</f>
        <v>122</v>
      </c>
      <c r="E98" s="1" t="str">
        <f>IFERROR(__xludf.DUMMYFUNCTION("""COMPUTED_VALUE"""),"New Orleans Pelicans")</f>
        <v>New Orleans Pelicans</v>
      </c>
      <c r="F98" s="1">
        <f>IFERROR(__xludf.DUMMYFUNCTION("""COMPUTED_VALUE"""),131.0)</f>
        <v>131</v>
      </c>
      <c r="G98" s="1" t="str">
        <f>IFERROR(__xludf.DUMMYFUNCTION("""COMPUTED_VALUE"""),"Box Score")</f>
        <v>Box Score</v>
      </c>
      <c r="H98" s="1"/>
      <c r="I98" s="3">
        <f>IFERROR(__xludf.DUMMYFUNCTION("""COMPUTED_VALUE"""),15686.0)</f>
        <v>15686</v>
      </c>
      <c r="J98" s="1"/>
    </row>
    <row r="99" ht="15.75" customHeight="1">
      <c r="A99" s="2">
        <f>IFERROR(__xludf.DUMMYFUNCTION("""COMPUTED_VALUE"""),43517.0)</f>
        <v>43517</v>
      </c>
      <c r="B99" s="1" t="str">
        <f>IFERROR(__xludf.DUMMYFUNCTION("""COMPUTED_VALUE"""),"7:00p")</f>
        <v>7:00p</v>
      </c>
      <c r="C99" s="1" t="str">
        <f>IFERROR(__xludf.DUMMYFUNCTION("""COMPUTED_VALUE"""),"Phoenix Suns")</f>
        <v>Phoenix Suns</v>
      </c>
      <c r="D99" s="1">
        <f>IFERROR(__xludf.DUMMYFUNCTION("""COMPUTED_VALUE"""),98.0)</f>
        <v>98</v>
      </c>
      <c r="E99" s="1" t="str">
        <f>IFERROR(__xludf.DUMMYFUNCTION("""COMPUTED_VALUE"""),"Cleveland Cavaliers")</f>
        <v>Cleveland Cavaliers</v>
      </c>
      <c r="F99" s="1">
        <f>IFERROR(__xludf.DUMMYFUNCTION("""COMPUTED_VALUE"""),111.0)</f>
        <v>111</v>
      </c>
      <c r="G99" s="1" t="str">
        <f>IFERROR(__xludf.DUMMYFUNCTION("""COMPUTED_VALUE"""),"Box Score")</f>
        <v>Box Score</v>
      </c>
      <c r="H99" s="1"/>
      <c r="I99" s="3">
        <f>IFERROR(__xludf.DUMMYFUNCTION("""COMPUTED_VALUE"""),19022.0)</f>
        <v>19022</v>
      </c>
      <c r="J99" s="1"/>
    </row>
    <row r="100" ht="15.75" customHeight="1">
      <c r="A100" s="2">
        <f>IFERROR(__xludf.DUMMYFUNCTION("""COMPUTED_VALUE"""),43517.0)</f>
        <v>43517</v>
      </c>
      <c r="B100" s="1" t="str">
        <f>IFERROR(__xludf.DUMMYFUNCTION("""COMPUTED_VALUE"""),"7:00p")</f>
        <v>7:00p</v>
      </c>
      <c r="C100" s="1" t="str">
        <f>IFERROR(__xludf.DUMMYFUNCTION("""COMPUTED_VALUE"""),"Miami Heat")</f>
        <v>Miami Heat</v>
      </c>
      <c r="D100" s="1">
        <f>IFERROR(__xludf.DUMMYFUNCTION("""COMPUTED_VALUE"""),102.0)</f>
        <v>102</v>
      </c>
      <c r="E100" s="1" t="str">
        <f>IFERROR(__xludf.DUMMYFUNCTION("""COMPUTED_VALUE"""),"Philadelphia 76ers")</f>
        <v>Philadelphia 76ers</v>
      </c>
      <c r="F100" s="1">
        <f>IFERROR(__xludf.DUMMYFUNCTION("""COMPUTED_VALUE"""),106.0)</f>
        <v>106</v>
      </c>
      <c r="G100" s="1" t="str">
        <f>IFERROR(__xludf.DUMMYFUNCTION("""COMPUTED_VALUE"""),"Box Score")</f>
        <v>Box Score</v>
      </c>
      <c r="H100" s="1"/>
      <c r="I100" s="3">
        <f>IFERROR(__xludf.DUMMYFUNCTION("""COMPUTED_VALUE"""),20505.0)</f>
        <v>20505</v>
      </c>
      <c r="J100" s="1"/>
    </row>
    <row r="101" ht="15.75" customHeight="1">
      <c r="A101" s="2">
        <f>IFERROR(__xludf.DUMMYFUNCTION("""COMPUTED_VALUE"""),43517.0)</f>
        <v>43517</v>
      </c>
      <c r="B101" s="1" t="str">
        <f>IFERROR(__xludf.DUMMYFUNCTION("""COMPUTED_VALUE"""),"7:30p")</f>
        <v>7:30p</v>
      </c>
      <c r="C101" s="1" t="str">
        <f>IFERROR(__xludf.DUMMYFUNCTION("""COMPUTED_VALUE"""),"Portland Trail Blazers")</f>
        <v>Portland Trail Blazers</v>
      </c>
      <c r="D101" s="1">
        <f>IFERROR(__xludf.DUMMYFUNCTION("""COMPUTED_VALUE"""),113.0)</f>
        <v>113</v>
      </c>
      <c r="E101" s="1" t="str">
        <f>IFERROR(__xludf.DUMMYFUNCTION("""COMPUTED_VALUE"""),"Brooklyn Nets")</f>
        <v>Brooklyn Nets</v>
      </c>
      <c r="F101" s="1">
        <f>IFERROR(__xludf.DUMMYFUNCTION("""COMPUTED_VALUE"""),99.0)</f>
        <v>99</v>
      </c>
      <c r="G101" s="1" t="str">
        <f>IFERROR(__xludf.DUMMYFUNCTION("""COMPUTED_VALUE"""),"Box Score")</f>
        <v>Box Score</v>
      </c>
      <c r="H101" s="1"/>
      <c r="I101" s="3">
        <f>IFERROR(__xludf.DUMMYFUNCTION("""COMPUTED_VALUE"""),17732.0)</f>
        <v>17732</v>
      </c>
      <c r="J101" s="1"/>
    </row>
    <row r="102" ht="15.75" customHeight="1">
      <c r="A102" s="2">
        <f>IFERROR(__xludf.DUMMYFUNCTION("""COMPUTED_VALUE"""),43517.0)</f>
        <v>43517</v>
      </c>
      <c r="B102" s="1" t="str">
        <f>IFERROR(__xludf.DUMMYFUNCTION("""COMPUTED_VALUE"""),"8:00p")</f>
        <v>8:00p</v>
      </c>
      <c r="C102" s="1" t="str">
        <f>IFERROR(__xludf.DUMMYFUNCTION("""COMPUTED_VALUE"""),"Boston Celtics")</f>
        <v>Boston Celtics</v>
      </c>
      <c r="D102" s="1">
        <f>IFERROR(__xludf.DUMMYFUNCTION("""COMPUTED_VALUE"""),97.0)</f>
        <v>97</v>
      </c>
      <c r="E102" s="1" t="str">
        <f>IFERROR(__xludf.DUMMYFUNCTION("""COMPUTED_VALUE"""),"Milwaukee Bucks")</f>
        <v>Milwaukee Bucks</v>
      </c>
      <c r="F102" s="1">
        <f>IFERROR(__xludf.DUMMYFUNCTION("""COMPUTED_VALUE"""),98.0)</f>
        <v>98</v>
      </c>
      <c r="G102" s="1" t="str">
        <f>IFERROR(__xludf.DUMMYFUNCTION("""COMPUTED_VALUE"""),"Box Score")</f>
        <v>Box Score</v>
      </c>
      <c r="H102" s="1"/>
      <c r="I102" s="3">
        <f>IFERROR(__xludf.DUMMYFUNCTION("""COMPUTED_VALUE"""),17926.0)</f>
        <v>17926</v>
      </c>
      <c r="J102" s="1"/>
    </row>
    <row r="103" ht="15.75" customHeight="1">
      <c r="A103" s="2">
        <f>IFERROR(__xludf.DUMMYFUNCTION("""COMPUTED_VALUE"""),43517.0)</f>
        <v>43517</v>
      </c>
      <c r="B103" s="1" t="str">
        <f>IFERROR(__xludf.DUMMYFUNCTION("""COMPUTED_VALUE"""),"10:30p")</f>
        <v>10:30p</v>
      </c>
      <c r="C103" s="1" t="str">
        <f>IFERROR(__xludf.DUMMYFUNCTION("""COMPUTED_VALUE"""),"Sacramento Kings")</f>
        <v>Sacramento Kings</v>
      </c>
      <c r="D103" s="1">
        <f>IFERROR(__xludf.DUMMYFUNCTION("""COMPUTED_VALUE"""),123.0)</f>
        <v>123</v>
      </c>
      <c r="E103" s="1" t="str">
        <f>IFERROR(__xludf.DUMMYFUNCTION("""COMPUTED_VALUE"""),"Golden State Warriors")</f>
        <v>Golden State Warriors</v>
      </c>
      <c r="F103" s="1">
        <f>IFERROR(__xludf.DUMMYFUNCTION("""COMPUTED_VALUE"""),125.0)</f>
        <v>125</v>
      </c>
      <c r="G103" s="1" t="str">
        <f>IFERROR(__xludf.DUMMYFUNCTION("""COMPUTED_VALUE"""),"Box Score")</f>
        <v>Box Score</v>
      </c>
      <c r="H103" s="1"/>
      <c r="I103" s="3">
        <f>IFERROR(__xludf.DUMMYFUNCTION("""COMPUTED_VALUE"""),19596.0)</f>
        <v>19596</v>
      </c>
      <c r="J103" s="1"/>
    </row>
    <row r="104" ht="15.75" customHeight="1">
      <c r="A104" s="2">
        <f>IFERROR(__xludf.DUMMYFUNCTION("""COMPUTED_VALUE"""),43517.0)</f>
        <v>43517</v>
      </c>
      <c r="B104" s="1" t="str">
        <f>IFERROR(__xludf.DUMMYFUNCTION("""COMPUTED_VALUE"""),"10:30p")</f>
        <v>10:30p</v>
      </c>
      <c r="C104" s="1" t="str">
        <f>IFERROR(__xludf.DUMMYFUNCTION("""COMPUTED_VALUE"""),"Houston Rockets")</f>
        <v>Houston Rockets</v>
      </c>
      <c r="D104" s="1">
        <f>IFERROR(__xludf.DUMMYFUNCTION("""COMPUTED_VALUE"""),106.0)</f>
        <v>106</v>
      </c>
      <c r="E104" s="1" t="str">
        <f>IFERROR(__xludf.DUMMYFUNCTION("""COMPUTED_VALUE"""),"Los Angeles Lakers")</f>
        <v>Los Angeles Lakers</v>
      </c>
      <c r="F104" s="1">
        <f>IFERROR(__xludf.DUMMYFUNCTION("""COMPUTED_VALUE"""),111.0)</f>
        <v>111</v>
      </c>
      <c r="G104" s="1" t="str">
        <f>IFERROR(__xludf.DUMMYFUNCTION("""COMPUTED_VALUE"""),"Box Score")</f>
        <v>Box Score</v>
      </c>
      <c r="H104" s="1"/>
      <c r="I104" s="3">
        <f>IFERROR(__xludf.DUMMYFUNCTION("""COMPUTED_VALUE"""),18997.0)</f>
        <v>18997</v>
      </c>
      <c r="J104" s="1"/>
    </row>
    <row r="105" ht="15.75" customHeight="1">
      <c r="A105" s="2">
        <f>IFERROR(__xludf.DUMMYFUNCTION("""COMPUTED_VALUE"""),43518.0)</f>
        <v>43518</v>
      </c>
      <c r="B105" s="1" t="str">
        <f>IFERROR(__xludf.DUMMYFUNCTION("""COMPUTED_VALUE"""),"7:00p")</f>
        <v>7:00p</v>
      </c>
      <c r="C105" s="1" t="str">
        <f>IFERROR(__xludf.DUMMYFUNCTION("""COMPUTED_VALUE"""),"Washington Wizards")</f>
        <v>Washington Wizards</v>
      </c>
      <c r="D105" s="1">
        <f>IFERROR(__xludf.DUMMYFUNCTION("""COMPUTED_VALUE"""),110.0)</f>
        <v>110</v>
      </c>
      <c r="E105" s="1" t="str">
        <f>IFERROR(__xludf.DUMMYFUNCTION("""COMPUTED_VALUE"""),"Charlotte Hornets")</f>
        <v>Charlotte Hornets</v>
      </c>
      <c r="F105" s="1">
        <f>IFERROR(__xludf.DUMMYFUNCTION("""COMPUTED_VALUE"""),123.0)</f>
        <v>123</v>
      </c>
      <c r="G105" s="1" t="str">
        <f>IFERROR(__xludf.DUMMYFUNCTION("""COMPUTED_VALUE"""),"Box Score")</f>
        <v>Box Score</v>
      </c>
      <c r="H105" s="1"/>
      <c r="I105" s="3">
        <f>IFERROR(__xludf.DUMMYFUNCTION("""COMPUTED_VALUE"""),15572.0)</f>
        <v>15572</v>
      </c>
      <c r="J105" s="1"/>
    </row>
    <row r="106" ht="15.75" customHeight="1">
      <c r="A106" s="2">
        <f>IFERROR(__xludf.DUMMYFUNCTION("""COMPUTED_VALUE"""),43518.0)</f>
        <v>43518</v>
      </c>
      <c r="B106" s="1" t="str">
        <f>IFERROR(__xludf.DUMMYFUNCTION("""COMPUTED_VALUE"""),"7:00p")</f>
        <v>7:00p</v>
      </c>
      <c r="C106" s="1" t="str">
        <f>IFERROR(__xludf.DUMMYFUNCTION("""COMPUTED_VALUE"""),"New Orleans Pelicans")</f>
        <v>New Orleans Pelicans</v>
      </c>
      <c r="D106" s="1">
        <f>IFERROR(__xludf.DUMMYFUNCTION("""COMPUTED_VALUE"""),111.0)</f>
        <v>111</v>
      </c>
      <c r="E106" s="1" t="str">
        <f>IFERROR(__xludf.DUMMYFUNCTION("""COMPUTED_VALUE"""),"Indiana Pacers")</f>
        <v>Indiana Pacers</v>
      </c>
      <c r="F106" s="1">
        <f>IFERROR(__xludf.DUMMYFUNCTION("""COMPUTED_VALUE"""),126.0)</f>
        <v>126</v>
      </c>
      <c r="G106" s="1" t="str">
        <f>IFERROR(__xludf.DUMMYFUNCTION("""COMPUTED_VALUE"""),"Box Score")</f>
        <v>Box Score</v>
      </c>
      <c r="H106" s="1"/>
      <c r="I106" s="3">
        <f>IFERROR(__xludf.DUMMYFUNCTION("""COMPUTED_VALUE"""),16962.0)</f>
        <v>16962</v>
      </c>
      <c r="J106" s="1"/>
    </row>
    <row r="107" ht="15.75" customHeight="1">
      <c r="A107" s="2">
        <f>IFERROR(__xludf.DUMMYFUNCTION("""COMPUTED_VALUE"""),43518.0)</f>
        <v>43518</v>
      </c>
      <c r="B107" s="1" t="str">
        <f>IFERROR(__xludf.DUMMYFUNCTION("""COMPUTED_VALUE"""),"7:00p")</f>
        <v>7:00p</v>
      </c>
      <c r="C107" s="1" t="str">
        <f>IFERROR(__xludf.DUMMYFUNCTION("""COMPUTED_VALUE"""),"Chicago Bulls")</f>
        <v>Chicago Bulls</v>
      </c>
      <c r="D107" s="1">
        <f>IFERROR(__xludf.DUMMYFUNCTION("""COMPUTED_VALUE"""),110.0)</f>
        <v>110</v>
      </c>
      <c r="E107" s="1" t="str">
        <f>IFERROR(__xludf.DUMMYFUNCTION("""COMPUTED_VALUE"""),"Orlando Magic")</f>
        <v>Orlando Magic</v>
      </c>
      <c r="F107" s="1">
        <f>IFERROR(__xludf.DUMMYFUNCTION("""COMPUTED_VALUE"""),109.0)</f>
        <v>109</v>
      </c>
      <c r="G107" s="1" t="str">
        <f>IFERROR(__xludf.DUMMYFUNCTION("""COMPUTED_VALUE"""),"Box Score")</f>
        <v>Box Score</v>
      </c>
      <c r="H107" s="1"/>
      <c r="I107" s="3">
        <f>IFERROR(__xludf.DUMMYFUNCTION("""COMPUTED_VALUE"""),18846.0)</f>
        <v>18846</v>
      </c>
      <c r="J107" s="1"/>
    </row>
    <row r="108" ht="15.75" customHeight="1">
      <c r="A108" s="2">
        <f>IFERROR(__xludf.DUMMYFUNCTION("""COMPUTED_VALUE"""),43518.0)</f>
        <v>43518</v>
      </c>
      <c r="B108" s="1" t="str">
        <f>IFERROR(__xludf.DUMMYFUNCTION("""COMPUTED_VALUE"""),"7:00p")</f>
        <v>7:00p</v>
      </c>
      <c r="C108" s="1" t="str">
        <f>IFERROR(__xludf.DUMMYFUNCTION("""COMPUTED_VALUE"""),"San Antonio Spurs")</f>
        <v>San Antonio Spurs</v>
      </c>
      <c r="D108" s="1">
        <f>IFERROR(__xludf.DUMMYFUNCTION("""COMPUTED_VALUE"""),117.0)</f>
        <v>117</v>
      </c>
      <c r="E108" s="1" t="str">
        <f>IFERROR(__xludf.DUMMYFUNCTION("""COMPUTED_VALUE"""),"Toronto Raptors")</f>
        <v>Toronto Raptors</v>
      </c>
      <c r="F108" s="1">
        <f>IFERROR(__xludf.DUMMYFUNCTION("""COMPUTED_VALUE"""),120.0)</f>
        <v>120</v>
      </c>
      <c r="G108" s="1" t="str">
        <f>IFERROR(__xludf.DUMMYFUNCTION("""COMPUTED_VALUE"""),"Box Score")</f>
        <v>Box Score</v>
      </c>
      <c r="H108" s="1"/>
      <c r="I108" s="3">
        <f>IFERROR(__xludf.DUMMYFUNCTION("""COMPUTED_VALUE"""),20058.0)</f>
        <v>20058</v>
      </c>
      <c r="J108" s="1"/>
    </row>
    <row r="109" ht="15.75" customHeight="1">
      <c r="A109" s="2">
        <f>IFERROR(__xludf.DUMMYFUNCTION("""COMPUTED_VALUE"""),43518.0)</f>
        <v>43518</v>
      </c>
      <c r="B109" s="1" t="str">
        <f>IFERROR(__xludf.DUMMYFUNCTION("""COMPUTED_VALUE"""),"7:30p")</f>
        <v>7:30p</v>
      </c>
      <c r="C109" s="1" t="str">
        <f>IFERROR(__xludf.DUMMYFUNCTION("""COMPUTED_VALUE"""),"Detroit Pistons")</f>
        <v>Detroit Pistons</v>
      </c>
      <c r="D109" s="1">
        <f>IFERROR(__xludf.DUMMYFUNCTION("""COMPUTED_VALUE"""),125.0)</f>
        <v>125</v>
      </c>
      <c r="E109" s="1" t="str">
        <f>IFERROR(__xludf.DUMMYFUNCTION("""COMPUTED_VALUE"""),"Atlanta Hawks")</f>
        <v>Atlanta Hawks</v>
      </c>
      <c r="F109" s="1">
        <f>IFERROR(__xludf.DUMMYFUNCTION("""COMPUTED_VALUE"""),122.0)</f>
        <v>122</v>
      </c>
      <c r="G109" s="1" t="str">
        <f>IFERROR(__xludf.DUMMYFUNCTION("""COMPUTED_VALUE"""),"Box Score")</f>
        <v>Box Score</v>
      </c>
      <c r="H109" s="1"/>
      <c r="I109" s="3">
        <f>IFERROR(__xludf.DUMMYFUNCTION("""COMPUTED_VALUE"""),14067.0)</f>
        <v>14067</v>
      </c>
      <c r="J109" s="1"/>
    </row>
    <row r="110" ht="15.75" customHeight="1">
      <c r="A110" s="2">
        <f>IFERROR(__xludf.DUMMYFUNCTION("""COMPUTED_VALUE"""),43518.0)</f>
        <v>43518</v>
      </c>
      <c r="B110" s="1" t="str">
        <f>IFERROR(__xludf.DUMMYFUNCTION("""COMPUTED_VALUE"""),"7:30p")</f>
        <v>7:30p</v>
      </c>
      <c r="C110" s="1" t="str">
        <f>IFERROR(__xludf.DUMMYFUNCTION("""COMPUTED_VALUE"""),"Minnesota Timberwolves")</f>
        <v>Minnesota Timberwolves</v>
      </c>
      <c r="D110" s="1">
        <f>IFERROR(__xludf.DUMMYFUNCTION("""COMPUTED_VALUE"""),115.0)</f>
        <v>115</v>
      </c>
      <c r="E110" s="1" t="str">
        <f>IFERROR(__xludf.DUMMYFUNCTION("""COMPUTED_VALUE"""),"New York Knicks")</f>
        <v>New York Knicks</v>
      </c>
      <c r="F110" s="1">
        <f>IFERROR(__xludf.DUMMYFUNCTION("""COMPUTED_VALUE"""),104.0)</f>
        <v>104</v>
      </c>
      <c r="G110" s="1" t="str">
        <f>IFERROR(__xludf.DUMMYFUNCTION("""COMPUTED_VALUE"""),"Box Score")</f>
        <v>Box Score</v>
      </c>
      <c r="H110" s="1"/>
      <c r="I110" s="3">
        <f>IFERROR(__xludf.DUMMYFUNCTION("""COMPUTED_VALUE"""),19096.0)</f>
        <v>19096</v>
      </c>
      <c r="J110" s="1"/>
    </row>
    <row r="111" ht="15.75" customHeight="1">
      <c r="A111" s="2">
        <f>IFERROR(__xludf.DUMMYFUNCTION("""COMPUTED_VALUE"""),43518.0)</f>
        <v>43518</v>
      </c>
      <c r="B111" s="1" t="str">
        <f>IFERROR(__xludf.DUMMYFUNCTION("""COMPUTED_VALUE"""),"8:00p")</f>
        <v>8:00p</v>
      </c>
      <c r="C111" s="1" t="str">
        <f>IFERROR(__xludf.DUMMYFUNCTION("""COMPUTED_VALUE"""),"Los Angeles Clippers")</f>
        <v>Los Angeles Clippers</v>
      </c>
      <c r="D111" s="1">
        <f>IFERROR(__xludf.DUMMYFUNCTION("""COMPUTED_VALUE"""),112.0)</f>
        <v>112</v>
      </c>
      <c r="E111" s="1" t="str">
        <f>IFERROR(__xludf.DUMMYFUNCTION("""COMPUTED_VALUE"""),"Memphis Grizzlies")</f>
        <v>Memphis Grizzlies</v>
      </c>
      <c r="F111" s="1">
        <f>IFERROR(__xludf.DUMMYFUNCTION("""COMPUTED_VALUE"""),106.0)</f>
        <v>106</v>
      </c>
      <c r="G111" s="1" t="str">
        <f>IFERROR(__xludf.DUMMYFUNCTION("""COMPUTED_VALUE"""),"Box Score")</f>
        <v>Box Score</v>
      </c>
      <c r="H111" s="1"/>
      <c r="I111" s="3">
        <f>IFERROR(__xludf.DUMMYFUNCTION("""COMPUTED_VALUE"""),16444.0)</f>
        <v>16444</v>
      </c>
      <c r="J111" s="1"/>
    </row>
    <row r="112" ht="15.75" customHeight="1">
      <c r="A112" s="2">
        <f>IFERROR(__xludf.DUMMYFUNCTION("""COMPUTED_VALUE"""),43518.0)</f>
        <v>43518</v>
      </c>
      <c r="B112" s="1" t="str">
        <f>IFERROR(__xludf.DUMMYFUNCTION("""COMPUTED_VALUE"""),"8:30p")</f>
        <v>8:30p</v>
      </c>
      <c r="C112" s="1" t="str">
        <f>IFERROR(__xludf.DUMMYFUNCTION("""COMPUTED_VALUE"""),"Denver Nuggets")</f>
        <v>Denver Nuggets</v>
      </c>
      <c r="D112" s="1">
        <f>IFERROR(__xludf.DUMMYFUNCTION("""COMPUTED_VALUE"""),114.0)</f>
        <v>114</v>
      </c>
      <c r="E112" s="1" t="str">
        <f>IFERROR(__xludf.DUMMYFUNCTION("""COMPUTED_VALUE"""),"Dallas Mavericks")</f>
        <v>Dallas Mavericks</v>
      </c>
      <c r="F112" s="1">
        <f>IFERROR(__xludf.DUMMYFUNCTION("""COMPUTED_VALUE"""),104.0)</f>
        <v>104</v>
      </c>
      <c r="G112" s="1" t="str">
        <f>IFERROR(__xludf.DUMMYFUNCTION("""COMPUTED_VALUE"""),"Box Score")</f>
        <v>Box Score</v>
      </c>
      <c r="H112" s="1"/>
      <c r="I112" s="3">
        <f>IFERROR(__xludf.DUMMYFUNCTION("""COMPUTED_VALUE"""),20382.0)</f>
        <v>20382</v>
      </c>
      <c r="J112" s="1"/>
    </row>
    <row r="113" ht="15.75" customHeight="1">
      <c r="A113" s="2">
        <f>IFERROR(__xludf.DUMMYFUNCTION("""COMPUTED_VALUE"""),43518.0)</f>
        <v>43518</v>
      </c>
      <c r="B113" s="1" t="str">
        <f>IFERROR(__xludf.DUMMYFUNCTION("""COMPUTED_VALUE"""),"9:30p")</f>
        <v>9:30p</v>
      </c>
      <c r="C113" s="1" t="str">
        <f>IFERROR(__xludf.DUMMYFUNCTION("""COMPUTED_VALUE"""),"Utah Jazz")</f>
        <v>Utah Jazz</v>
      </c>
      <c r="D113" s="1">
        <f>IFERROR(__xludf.DUMMYFUNCTION("""COMPUTED_VALUE"""),147.0)</f>
        <v>147</v>
      </c>
      <c r="E113" s="1" t="str">
        <f>IFERROR(__xludf.DUMMYFUNCTION("""COMPUTED_VALUE"""),"Oklahoma City Thunder")</f>
        <v>Oklahoma City Thunder</v>
      </c>
      <c r="F113" s="1">
        <f>IFERROR(__xludf.DUMMYFUNCTION("""COMPUTED_VALUE"""),148.0)</f>
        <v>148</v>
      </c>
      <c r="G113" s="1" t="str">
        <f>IFERROR(__xludf.DUMMYFUNCTION("""COMPUTED_VALUE"""),"Box Score")</f>
        <v>Box Score</v>
      </c>
      <c r="H113" s="1" t="str">
        <f>IFERROR(__xludf.DUMMYFUNCTION("""COMPUTED_VALUE"""),"2OT")</f>
        <v>2OT</v>
      </c>
      <c r="I113" s="3">
        <f>IFERROR(__xludf.DUMMYFUNCTION("""COMPUTED_VALUE"""),18203.0)</f>
        <v>18203</v>
      </c>
      <c r="J113" s="1"/>
    </row>
    <row r="114" ht="15.75" customHeight="1">
      <c r="A114" s="2">
        <f>IFERROR(__xludf.DUMMYFUNCTION("""COMPUTED_VALUE"""),43519.0)</f>
        <v>43519</v>
      </c>
      <c r="B114" s="1" t="str">
        <f>IFERROR(__xludf.DUMMYFUNCTION("""COMPUTED_VALUE"""),"1:00p")</f>
        <v>1:00p</v>
      </c>
      <c r="C114" s="1" t="str">
        <f>IFERROR(__xludf.DUMMYFUNCTION("""COMPUTED_VALUE"""),"Portland Trail Blazers")</f>
        <v>Portland Trail Blazers</v>
      </c>
      <c r="D114" s="1">
        <f>IFERROR(__xludf.DUMMYFUNCTION("""COMPUTED_VALUE"""),130.0)</f>
        <v>130</v>
      </c>
      <c r="E114" s="1" t="str">
        <f>IFERROR(__xludf.DUMMYFUNCTION("""COMPUTED_VALUE"""),"Philadelphia 76ers")</f>
        <v>Philadelphia 76ers</v>
      </c>
      <c r="F114" s="1">
        <f>IFERROR(__xludf.DUMMYFUNCTION("""COMPUTED_VALUE"""),115.0)</f>
        <v>115</v>
      </c>
      <c r="G114" s="1" t="str">
        <f>IFERROR(__xludf.DUMMYFUNCTION("""COMPUTED_VALUE"""),"Box Score")</f>
        <v>Box Score</v>
      </c>
      <c r="H114" s="1"/>
      <c r="I114" s="3">
        <f>IFERROR(__xludf.DUMMYFUNCTION("""COMPUTED_VALUE"""),20619.0)</f>
        <v>20619</v>
      </c>
      <c r="J114" s="1"/>
    </row>
    <row r="115" ht="15.75" customHeight="1">
      <c r="A115" s="2">
        <f>IFERROR(__xludf.DUMMYFUNCTION("""COMPUTED_VALUE"""),43519.0)</f>
        <v>43519</v>
      </c>
      <c r="B115" s="1" t="str">
        <f>IFERROR(__xludf.DUMMYFUNCTION("""COMPUTED_VALUE"""),"7:00p")</f>
        <v>7:00p</v>
      </c>
      <c r="C115" s="1" t="str">
        <f>IFERROR(__xludf.DUMMYFUNCTION("""COMPUTED_VALUE"""),"Phoenix Suns")</f>
        <v>Phoenix Suns</v>
      </c>
      <c r="D115" s="1">
        <f>IFERROR(__xludf.DUMMYFUNCTION("""COMPUTED_VALUE"""),112.0)</f>
        <v>112</v>
      </c>
      <c r="E115" s="1" t="str">
        <f>IFERROR(__xludf.DUMMYFUNCTION("""COMPUTED_VALUE"""),"Atlanta Hawks")</f>
        <v>Atlanta Hawks</v>
      </c>
      <c r="F115" s="1">
        <f>IFERROR(__xludf.DUMMYFUNCTION("""COMPUTED_VALUE"""),120.0)</f>
        <v>120</v>
      </c>
      <c r="G115" s="1" t="str">
        <f>IFERROR(__xludf.DUMMYFUNCTION("""COMPUTED_VALUE"""),"Box Score")</f>
        <v>Box Score</v>
      </c>
      <c r="H115" s="1"/>
      <c r="I115" s="3">
        <f>IFERROR(__xludf.DUMMYFUNCTION("""COMPUTED_VALUE"""),15214.0)</f>
        <v>15214</v>
      </c>
      <c r="J115" s="1"/>
    </row>
    <row r="116" ht="15.75" customHeight="1">
      <c r="A116" s="2">
        <f>IFERROR(__xludf.DUMMYFUNCTION("""COMPUTED_VALUE"""),43519.0)</f>
        <v>43519</v>
      </c>
      <c r="B116" s="1" t="str">
        <f>IFERROR(__xludf.DUMMYFUNCTION("""COMPUTED_VALUE"""),"7:00p")</f>
        <v>7:00p</v>
      </c>
      <c r="C116" s="1" t="str">
        <f>IFERROR(__xludf.DUMMYFUNCTION("""COMPUTED_VALUE"""),"Brooklyn Nets")</f>
        <v>Brooklyn Nets</v>
      </c>
      <c r="D116" s="1">
        <f>IFERROR(__xludf.DUMMYFUNCTION("""COMPUTED_VALUE"""),117.0)</f>
        <v>117</v>
      </c>
      <c r="E116" s="1" t="str">
        <f>IFERROR(__xludf.DUMMYFUNCTION("""COMPUTED_VALUE"""),"Charlotte Hornets")</f>
        <v>Charlotte Hornets</v>
      </c>
      <c r="F116" s="1">
        <f>IFERROR(__xludf.DUMMYFUNCTION("""COMPUTED_VALUE"""),115.0)</f>
        <v>115</v>
      </c>
      <c r="G116" s="1" t="str">
        <f>IFERROR(__xludf.DUMMYFUNCTION("""COMPUTED_VALUE"""),"Box Score")</f>
        <v>Box Score</v>
      </c>
      <c r="H116" s="1"/>
      <c r="I116" s="3">
        <f>IFERROR(__xludf.DUMMYFUNCTION("""COMPUTED_VALUE"""),19158.0)</f>
        <v>19158</v>
      </c>
      <c r="J116" s="1"/>
    </row>
    <row r="117" ht="15.75" customHeight="1">
      <c r="A117" s="2">
        <f>IFERROR(__xludf.DUMMYFUNCTION("""COMPUTED_VALUE"""),43519.0)</f>
        <v>43519</v>
      </c>
      <c r="B117" s="1" t="str">
        <f>IFERROR(__xludf.DUMMYFUNCTION("""COMPUTED_VALUE"""),"7:00p")</f>
        <v>7:00p</v>
      </c>
      <c r="C117" s="1" t="str">
        <f>IFERROR(__xludf.DUMMYFUNCTION("""COMPUTED_VALUE"""),"Memphis Grizzlies")</f>
        <v>Memphis Grizzlies</v>
      </c>
      <c r="D117" s="1">
        <f>IFERROR(__xludf.DUMMYFUNCTION("""COMPUTED_VALUE"""),107.0)</f>
        <v>107</v>
      </c>
      <c r="E117" s="1" t="str">
        <f>IFERROR(__xludf.DUMMYFUNCTION("""COMPUTED_VALUE"""),"Cleveland Cavaliers")</f>
        <v>Cleveland Cavaliers</v>
      </c>
      <c r="F117" s="1">
        <f>IFERROR(__xludf.DUMMYFUNCTION("""COMPUTED_VALUE"""),112.0)</f>
        <v>112</v>
      </c>
      <c r="G117" s="1" t="str">
        <f>IFERROR(__xludf.DUMMYFUNCTION("""COMPUTED_VALUE"""),"Box Score")</f>
        <v>Box Score</v>
      </c>
      <c r="H117" s="1"/>
      <c r="I117" s="3">
        <f>IFERROR(__xludf.DUMMYFUNCTION("""COMPUTED_VALUE"""),19432.0)</f>
        <v>19432</v>
      </c>
      <c r="J117" s="1"/>
    </row>
    <row r="118" ht="15.75" customHeight="1">
      <c r="A118" s="2">
        <f>IFERROR(__xludf.DUMMYFUNCTION("""COMPUTED_VALUE"""),43519.0)</f>
        <v>43519</v>
      </c>
      <c r="B118" s="1" t="str">
        <f>IFERROR(__xludf.DUMMYFUNCTION("""COMPUTED_VALUE"""),"7:00p")</f>
        <v>7:00p</v>
      </c>
      <c r="C118" s="1" t="str">
        <f>IFERROR(__xludf.DUMMYFUNCTION("""COMPUTED_VALUE"""),"Los Angeles Lakers")</f>
        <v>Los Angeles Lakers</v>
      </c>
      <c r="D118" s="1">
        <f>IFERROR(__xludf.DUMMYFUNCTION("""COMPUTED_VALUE"""),115.0)</f>
        <v>115</v>
      </c>
      <c r="E118" s="1" t="str">
        <f>IFERROR(__xludf.DUMMYFUNCTION("""COMPUTED_VALUE"""),"New Orleans Pelicans")</f>
        <v>New Orleans Pelicans</v>
      </c>
      <c r="F118" s="1">
        <f>IFERROR(__xludf.DUMMYFUNCTION("""COMPUTED_VALUE"""),128.0)</f>
        <v>128</v>
      </c>
      <c r="G118" s="1" t="str">
        <f>IFERROR(__xludf.DUMMYFUNCTION("""COMPUTED_VALUE"""),"Box Score")</f>
        <v>Box Score</v>
      </c>
      <c r="H118" s="1"/>
      <c r="I118" s="3">
        <f>IFERROR(__xludf.DUMMYFUNCTION("""COMPUTED_VALUE"""),18626.0)</f>
        <v>18626</v>
      </c>
      <c r="J118" s="1"/>
    </row>
    <row r="119" ht="15.75" customHeight="1">
      <c r="A119" s="2">
        <f>IFERROR(__xludf.DUMMYFUNCTION("""COMPUTED_VALUE"""),43519.0)</f>
        <v>43519</v>
      </c>
      <c r="B119" s="1" t="str">
        <f>IFERROR(__xludf.DUMMYFUNCTION("""COMPUTED_VALUE"""),"7:00p")</f>
        <v>7:00p</v>
      </c>
      <c r="C119" s="1" t="str">
        <f>IFERROR(__xludf.DUMMYFUNCTION("""COMPUTED_VALUE"""),"Indiana Pacers")</f>
        <v>Indiana Pacers</v>
      </c>
      <c r="D119" s="1">
        <f>IFERROR(__xludf.DUMMYFUNCTION("""COMPUTED_VALUE"""),119.0)</f>
        <v>119</v>
      </c>
      <c r="E119" s="1" t="str">
        <f>IFERROR(__xludf.DUMMYFUNCTION("""COMPUTED_VALUE"""),"Washington Wizards")</f>
        <v>Washington Wizards</v>
      </c>
      <c r="F119" s="1">
        <f>IFERROR(__xludf.DUMMYFUNCTION("""COMPUTED_VALUE"""),112.0)</f>
        <v>112</v>
      </c>
      <c r="G119" s="1" t="str">
        <f>IFERROR(__xludf.DUMMYFUNCTION("""COMPUTED_VALUE"""),"Box Score")</f>
        <v>Box Score</v>
      </c>
      <c r="H119" s="1"/>
      <c r="I119" s="3">
        <f>IFERROR(__xludf.DUMMYFUNCTION("""COMPUTED_VALUE"""),19648.0)</f>
        <v>19648</v>
      </c>
      <c r="J119" s="1"/>
    </row>
    <row r="120" ht="15.75" customHeight="1">
      <c r="A120" s="2">
        <f>IFERROR(__xludf.DUMMYFUNCTION("""COMPUTED_VALUE"""),43519.0)</f>
        <v>43519</v>
      </c>
      <c r="B120" s="1" t="str">
        <f>IFERROR(__xludf.DUMMYFUNCTION("""COMPUTED_VALUE"""),"7:30p")</f>
        <v>7:30p</v>
      </c>
      <c r="C120" s="1" t="str">
        <f>IFERROR(__xludf.DUMMYFUNCTION("""COMPUTED_VALUE"""),"Detroit Pistons")</f>
        <v>Detroit Pistons</v>
      </c>
      <c r="D120" s="1">
        <f>IFERROR(__xludf.DUMMYFUNCTION("""COMPUTED_VALUE"""),119.0)</f>
        <v>119</v>
      </c>
      <c r="E120" s="1" t="str">
        <f>IFERROR(__xludf.DUMMYFUNCTION("""COMPUTED_VALUE"""),"Miami Heat")</f>
        <v>Miami Heat</v>
      </c>
      <c r="F120" s="1">
        <f>IFERROR(__xludf.DUMMYFUNCTION("""COMPUTED_VALUE"""),96.0)</f>
        <v>96</v>
      </c>
      <c r="G120" s="1" t="str">
        <f>IFERROR(__xludf.DUMMYFUNCTION("""COMPUTED_VALUE"""),"Box Score")</f>
        <v>Box Score</v>
      </c>
      <c r="H120" s="1"/>
      <c r="I120" s="3">
        <f>IFERROR(__xludf.DUMMYFUNCTION("""COMPUTED_VALUE"""),19600.0)</f>
        <v>19600</v>
      </c>
      <c r="J120" s="1"/>
    </row>
    <row r="121" ht="15.75" customHeight="1">
      <c r="A121" s="2">
        <f>IFERROR(__xludf.DUMMYFUNCTION("""COMPUTED_VALUE"""),43519.0)</f>
        <v>43519</v>
      </c>
      <c r="B121" s="1" t="str">
        <f>IFERROR(__xludf.DUMMYFUNCTION("""COMPUTED_VALUE"""),"8:00p")</f>
        <v>8:00p</v>
      </c>
      <c r="C121" s="1" t="str">
        <f>IFERROR(__xludf.DUMMYFUNCTION("""COMPUTED_VALUE"""),"Boston Celtics")</f>
        <v>Boston Celtics</v>
      </c>
      <c r="D121" s="1">
        <f>IFERROR(__xludf.DUMMYFUNCTION("""COMPUTED_VALUE"""),116.0)</f>
        <v>116</v>
      </c>
      <c r="E121" s="1" t="str">
        <f>IFERROR(__xludf.DUMMYFUNCTION("""COMPUTED_VALUE"""),"Chicago Bulls")</f>
        <v>Chicago Bulls</v>
      </c>
      <c r="F121" s="1">
        <f>IFERROR(__xludf.DUMMYFUNCTION("""COMPUTED_VALUE"""),126.0)</f>
        <v>126</v>
      </c>
      <c r="G121" s="1" t="str">
        <f>IFERROR(__xludf.DUMMYFUNCTION("""COMPUTED_VALUE"""),"Box Score")</f>
        <v>Box Score</v>
      </c>
      <c r="H121" s="1"/>
      <c r="I121" s="3">
        <f>IFERROR(__xludf.DUMMYFUNCTION("""COMPUTED_VALUE"""),21295.0)</f>
        <v>21295</v>
      </c>
      <c r="J121" s="1"/>
    </row>
    <row r="122" ht="15.75" customHeight="1">
      <c r="A122" s="2">
        <f>IFERROR(__xludf.DUMMYFUNCTION("""COMPUTED_VALUE"""),43519.0)</f>
        <v>43519</v>
      </c>
      <c r="B122" s="1" t="str">
        <f>IFERROR(__xludf.DUMMYFUNCTION("""COMPUTED_VALUE"""),"8:00p")</f>
        <v>8:00p</v>
      </c>
      <c r="C122" s="1" t="str">
        <f>IFERROR(__xludf.DUMMYFUNCTION("""COMPUTED_VALUE"""),"Sacramento Kings")</f>
        <v>Sacramento Kings</v>
      </c>
      <c r="D122" s="1">
        <f>IFERROR(__xludf.DUMMYFUNCTION("""COMPUTED_VALUE"""),119.0)</f>
        <v>119</v>
      </c>
      <c r="E122" s="1" t="str">
        <f>IFERROR(__xludf.DUMMYFUNCTION("""COMPUTED_VALUE"""),"Oklahoma City Thunder")</f>
        <v>Oklahoma City Thunder</v>
      </c>
      <c r="F122" s="1">
        <f>IFERROR(__xludf.DUMMYFUNCTION("""COMPUTED_VALUE"""),116.0)</f>
        <v>116</v>
      </c>
      <c r="G122" s="1" t="str">
        <f>IFERROR(__xludf.DUMMYFUNCTION("""COMPUTED_VALUE"""),"Box Score")</f>
        <v>Box Score</v>
      </c>
      <c r="H122" s="1"/>
      <c r="I122" s="3">
        <f>IFERROR(__xludf.DUMMYFUNCTION("""COMPUTED_VALUE"""),18203.0)</f>
        <v>18203</v>
      </c>
      <c r="J122" s="1"/>
    </row>
    <row r="123" ht="15.75" customHeight="1">
      <c r="A123" s="2">
        <f>IFERROR(__xludf.DUMMYFUNCTION("""COMPUTED_VALUE"""),43519.0)</f>
        <v>43519</v>
      </c>
      <c r="B123" s="1" t="str">
        <f>IFERROR(__xludf.DUMMYFUNCTION("""COMPUTED_VALUE"""),"8:30p")</f>
        <v>8:30p</v>
      </c>
      <c r="C123" s="1" t="str">
        <f>IFERROR(__xludf.DUMMYFUNCTION("""COMPUTED_VALUE"""),"Houston Rockets")</f>
        <v>Houston Rockets</v>
      </c>
      <c r="D123" s="1">
        <f>IFERROR(__xludf.DUMMYFUNCTION("""COMPUTED_VALUE"""),118.0)</f>
        <v>118</v>
      </c>
      <c r="E123" s="1" t="str">
        <f>IFERROR(__xludf.DUMMYFUNCTION("""COMPUTED_VALUE"""),"Golden State Warriors")</f>
        <v>Golden State Warriors</v>
      </c>
      <c r="F123" s="1">
        <f>IFERROR(__xludf.DUMMYFUNCTION("""COMPUTED_VALUE"""),112.0)</f>
        <v>112</v>
      </c>
      <c r="G123" s="1" t="str">
        <f>IFERROR(__xludf.DUMMYFUNCTION("""COMPUTED_VALUE"""),"Box Score")</f>
        <v>Box Score</v>
      </c>
      <c r="H123" s="1"/>
      <c r="I123" s="3">
        <f>IFERROR(__xludf.DUMMYFUNCTION("""COMPUTED_VALUE"""),19596.0)</f>
        <v>19596</v>
      </c>
      <c r="J123" s="1"/>
    </row>
    <row r="124" ht="15.75" customHeight="1">
      <c r="A124" s="2">
        <f>IFERROR(__xludf.DUMMYFUNCTION("""COMPUTED_VALUE"""),43519.0)</f>
        <v>43519</v>
      </c>
      <c r="B124" s="1" t="str">
        <f>IFERROR(__xludf.DUMMYFUNCTION("""COMPUTED_VALUE"""),"8:30p")</f>
        <v>8:30p</v>
      </c>
      <c r="C124" s="1" t="str">
        <f>IFERROR(__xludf.DUMMYFUNCTION("""COMPUTED_VALUE"""),"Minnesota Timberwolves")</f>
        <v>Minnesota Timberwolves</v>
      </c>
      <c r="D124" s="1">
        <f>IFERROR(__xludf.DUMMYFUNCTION("""COMPUTED_VALUE"""),128.0)</f>
        <v>128</v>
      </c>
      <c r="E124" s="1" t="str">
        <f>IFERROR(__xludf.DUMMYFUNCTION("""COMPUTED_VALUE"""),"Milwaukee Bucks")</f>
        <v>Milwaukee Bucks</v>
      </c>
      <c r="F124" s="1">
        <f>IFERROR(__xludf.DUMMYFUNCTION("""COMPUTED_VALUE"""),140.0)</f>
        <v>140</v>
      </c>
      <c r="G124" s="1" t="str">
        <f>IFERROR(__xludf.DUMMYFUNCTION("""COMPUTED_VALUE"""),"Box Score")</f>
        <v>Box Score</v>
      </c>
      <c r="H124" s="1"/>
      <c r="I124" s="3">
        <f>IFERROR(__xludf.DUMMYFUNCTION("""COMPUTED_VALUE"""),17972.0)</f>
        <v>17972</v>
      </c>
      <c r="J124" s="1"/>
    </row>
    <row r="125" ht="15.75" customHeight="1">
      <c r="A125" s="2">
        <f>IFERROR(__xludf.DUMMYFUNCTION("""COMPUTED_VALUE"""),43519.0)</f>
        <v>43519</v>
      </c>
      <c r="B125" s="1" t="str">
        <f>IFERROR(__xludf.DUMMYFUNCTION("""COMPUTED_VALUE"""),"10:00p")</f>
        <v>10:00p</v>
      </c>
      <c r="C125" s="1" t="str">
        <f>IFERROR(__xludf.DUMMYFUNCTION("""COMPUTED_VALUE"""),"Dallas Mavericks")</f>
        <v>Dallas Mavericks</v>
      </c>
      <c r="D125" s="1">
        <f>IFERROR(__xludf.DUMMYFUNCTION("""COMPUTED_VALUE"""),109.0)</f>
        <v>109</v>
      </c>
      <c r="E125" s="1" t="str">
        <f>IFERROR(__xludf.DUMMYFUNCTION("""COMPUTED_VALUE"""),"Utah Jazz")</f>
        <v>Utah Jazz</v>
      </c>
      <c r="F125" s="1">
        <f>IFERROR(__xludf.DUMMYFUNCTION("""COMPUTED_VALUE"""),125.0)</f>
        <v>125</v>
      </c>
      <c r="G125" s="1" t="str">
        <f>IFERROR(__xludf.DUMMYFUNCTION("""COMPUTED_VALUE"""),"Box Score")</f>
        <v>Box Score</v>
      </c>
      <c r="H125" s="1"/>
      <c r="I125" s="3">
        <f>IFERROR(__xludf.DUMMYFUNCTION("""COMPUTED_VALUE"""),18306.0)</f>
        <v>18306</v>
      </c>
      <c r="J125" s="1"/>
    </row>
    <row r="126" ht="15.75" customHeight="1">
      <c r="A126" s="2">
        <f>IFERROR(__xludf.DUMMYFUNCTION("""COMPUTED_VALUE"""),43520.0)</f>
        <v>43520</v>
      </c>
      <c r="B126" s="1" t="str">
        <f>IFERROR(__xludf.DUMMYFUNCTION("""COMPUTED_VALUE"""),"3:30p")</f>
        <v>3:30p</v>
      </c>
      <c r="C126" s="1" t="str">
        <f>IFERROR(__xludf.DUMMYFUNCTION("""COMPUTED_VALUE"""),"Orlando Magic")</f>
        <v>Orlando Magic</v>
      </c>
      <c r="D126" s="1">
        <f>IFERROR(__xludf.DUMMYFUNCTION("""COMPUTED_VALUE"""),113.0)</f>
        <v>113</v>
      </c>
      <c r="E126" s="1" t="str">
        <f>IFERROR(__xludf.DUMMYFUNCTION("""COMPUTED_VALUE"""),"Toronto Raptors")</f>
        <v>Toronto Raptors</v>
      </c>
      <c r="F126" s="1">
        <f>IFERROR(__xludf.DUMMYFUNCTION("""COMPUTED_VALUE"""),98.0)</f>
        <v>98</v>
      </c>
      <c r="G126" s="1" t="str">
        <f>IFERROR(__xludf.DUMMYFUNCTION("""COMPUTED_VALUE"""),"Box Score")</f>
        <v>Box Score</v>
      </c>
      <c r="H126" s="1"/>
      <c r="I126" s="3">
        <f>IFERROR(__xludf.DUMMYFUNCTION("""COMPUTED_VALUE"""),19800.0)</f>
        <v>19800</v>
      </c>
      <c r="J126" s="1"/>
    </row>
    <row r="127" ht="15.75" customHeight="1">
      <c r="A127" s="2">
        <f>IFERROR(__xludf.DUMMYFUNCTION("""COMPUTED_VALUE"""),43520.0)</f>
        <v>43520</v>
      </c>
      <c r="B127" s="1" t="str">
        <f>IFERROR(__xludf.DUMMYFUNCTION("""COMPUTED_VALUE"""),"5:00p")</f>
        <v>5:00p</v>
      </c>
      <c r="C127" s="1" t="str">
        <f>IFERROR(__xludf.DUMMYFUNCTION("""COMPUTED_VALUE"""),"Los Angeles Clippers")</f>
        <v>Los Angeles Clippers</v>
      </c>
      <c r="D127" s="1">
        <f>IFERROR(__xludf.DUMMYFUNCTION("""COMPUTED_VALUE"""),96.0)</f>
        <v>96</v>
      </c>
      <c r="E127" s="1" t="str">
        <f>IFERROR(__xludf.DUMMYFUNCTION("""COMPUTED_VALUE"""),"Denver Nuggets")</f>
        <v>Denver Nuggets</v>
      </c>
      <c r="F127" s="1">
        <f>IFERROR(__xludf.DUMMYFUNCTION("""COMPUTED_VALUE"""),123.0)</f>
        <v>123</v>
      </c>
      <c r="G127" s="1" t="str">
        <f>IFERROR(__xludf.DUMMYFUNCTION("""COMPUTED_VALUE"""),"Box Score")</f>
        <v>Box Score</v>
      </c>
      <c r="H127" s="1"/>
      <c r="I127" s="3">
        <f>IFERROR(__xludf.DUMMYFUNCTION("""COMPUTED_VALUE"""),19956.0)</f>
        <v>19956</v>
      </c>
      <c r="J127" s="1"/>
    </row>
    <row r="128" ht="15.75" customHeight="1">
      <c r="A128" s="2">
        <f>IFERROR(__xludf.DUMMYFUNCTION("""COMPUTED_VALUE"""),43520.0)</f>
        <v>43520</v>
      </c>
      <c r="B128" s="1" t="str">
        <f>IFERROR(__xludf.DUMMYFUNCTION("""COMPUTED_VALUE"""),"7:30p")</f>
        <v>7:30p</v>
      </c>
      <c r="C128" s="1" t="str">
        <f>IFERROR(__xludf.DUMMYFUNCTION("""COMPUTED_VALUE"""),"San Antonio Spurs")</f>
        <v>San Antonio Spurs</v>
      </c>
      <c r="D128" s="1">
        <f>IFERROR(__xludf.DUMMYFUNCTION("""COMPUTED_VALUE"""),118.0)</f>
        <v>118</v>
      </c>
      <c r="E128" s="1" t="str">
        <f>IFERROR(__xludf.DUMMYFUNCTION("""COMPUTED_VALUE"""),"New York Knicks")</f>
        <v>New York Knicks</v>
      </c>
      <c r="F128" s="1">
        <f>IFERROR(__xludf.DUMMYFUNCTION("""COMPUTED_VALUE"""),130.0)</f>
        <v>130</v>
      </c>
      <c r="G128" s="1" t="str">
        <f>IFERROR(__xludf.DUMMYFUNCTION("""COMPUTED_VALUE"""),"Box Score")</f>
        <v>Box Score</v>
      </c>
      <c r="H128" s="1"/>
      <c r="I128" s="3">
        <f>IFERROR(__xludf.DUMMYFUNCTION("""COMPUTED_VALUE"""),18019.0)</f>
        <v>18019</v>
      </c>
      <c r="J128" s="1"/>
    </row>
    <row r="129" ht="15.75" customHeight="1">
      <c r="A129" s="2">
        <f>IFERROR(__xludf.DUMMYFUNCTION("""COMPUTED_VALUE"""),43521.0)</f>
        <v>43521</v>
      </c>
      <c r="B129" s="1" t="str">
        <f>IFERROR(__xludf.DUMMYFUNCTION("""COMPUTED_VALUE"""),"7:00p")</f>
        <v>7:00p</v>
      </c>
      <c r="C129" s="1" t="str">
        <f>IFERROR(__xludf.DUMMYFUNCTION("""COMPUTED_VALUE"""),"Golden State Warriors")</f>
        <v>Golden State Warriors</v>
      </c>
      <c r="D129" s="1">
        <f>IFERROR(__xludf.DUMMYFUNCTION("""COMPUTED_VALUE"""),121.0)</f>
        <v>121</v>
      </c>
      <c r="E129" s="1" t="str">
        <f>IFERROR(__xludf.DUMMYFUNCTION("""COMPUTED_VALUE"""),"Charlotte Hornets")</f>
        <v>Charlotte Hornets</v>
      </c>
      <c r="F129" s="1">
        <f>IFERROR(__xludf.DUMMYFUNCTION("""COMPUTED_VALUE"""),110.0)</f>
        <v>110</v>
      </c>
      <c r="G129" s="1" t="str">
        <f>IFERROR(__xludf.DUMMYFUNCTION("""COMPUTED_VALUE"""),"Box Score")</f>
        <v>Box Score</v>
      </c>
      <c r="H129" s="1"/>
      <c r="I129" s="3">
        <f>IFERROR(__xludf.DUMMYFUNCTION("""COMPUTED_VALUE"""),19419.0)</f>
        <v>19419</v>
      </c>
      <c r="J129" s="1"/>
    </row>
    <row r="130" ht="15.75" customHeight="1">
      <c r="A130" s="2">
        <f>IFERROR(__xludf.DUMMYFUNCTION("""COMPUTED_VALUE"""),43521.0)</f>
        <v>43521</v>
      </c>
      <c r="B130" s="1" t="str">
        <f>IFERROR(__xludf.DUMMYFUNCTION("""COMPUTED_VALUE"""),"7:00p")</f>
        <v>7:00p</v>
      </c>
      <c r="C130" s="1" t="str">
        <f>IFERROR(__xludf.DUMMYFUNCTION("""COMPUTED_VALUE"""),"Portland Trail Blazers")</f>
        <v>Portland Trail Blazers</v>
      </c>
      <c r="D130" s="1">
        <f>IFERROR(__xludf.DUMMYFUNCTION("""COMPUTED_VALUE"""),123.0)</f>
        <v>123</v>
      </c>
      <c r="E130" s="1" t="str">
        <f>IFERROR(__xludf.DUMMYFUNCTION("""COMPUTED_VALUE"""),"Cleveland Cavaliers")</f>
        <v>Cleveland Cavaliers</v>
      </c>
      <c r="F130" s="1">
        <f>IFERROR(__xludf.DUMMYFUNCTION("""COMPUTED_VALUE"""),110.0)</f>
        <v>110</v>
      </c>
      <c r="G130" s="1" t="str">
        <f>IFERROR(__xludf.DUMMYFUNCTION("""COMPUTED_VALUE"""),"Box Score")</f>
        <v>Box Score</v>
      </c>
      <c r="H130" s="1"/>
      <c r="I130" s="3">
        <f>IFERROR(__xludf.DUMMYFUNCTION("""COMPUTED_VALUE"""),19432.0)</f>
        <v>19432</v>
      </c>
      <c r="J130" s="1"/>
    </row>
    <row r="131" ht="15.75" customHeight="1">
      <c r="A131" s="2">
        <f>IFERROR(__xludf.DUMMYFUNCTION("""COMPUTED_VALUE"""),43521.0)</f>
        <v>43521</v>
      </c>
      <c r="B131" s="1" t="str">
        <f>IFERROR(__xludf.DUMMYFUNCTION("""COMPUTED_VALUE"""),"7:00p")</f>
        <v>7:00p</v>
      </c>
      <c r="C131" s="1" t="str">
        <f>IFERROR(__xludf.DUMMYFUNCTION("""COMPUTED_VALUE"""),"Indiana Pacers")</f>
        <v>Indiana Pacers</v>
      </c>
      <c r="D131" s="1">
        <f>IFERROR(__xludf.DUMMYFUNCTION("""COMPUTED_VALUE"""),109.0)</f>
        <v>109</v>
      </c>
      <c r="E131" s="1" t="str">
        <f>IFERROR(__xludf.DUMMYFUNCTION("""COMPUTED_VALUE"""),"Detroit Pistons")</f>
        <v>Detroit Pistons</v>
      </c>
      <c r="F131" s="1">
        <f>IFERROR(__xludf.DUMMYFUNCTION("""COMPUTED_VALUE"""),113.0)</f>
        <v>113</v>
      </c>
      <c r="G131" s="1" t="str">
        <f>IFERROR(__xludf.DUMMYFUNCTION("""COMPUTED_VALUE"""),"Box Score")</f>
        <v>Box Score</v>
      </c>
      <c r="H131" s="1"/>
      <c r="I131" s="3">
        <f>IFERROR(__xludf.DUMMYFUNCTION("""COMPUTED_VALUE"""),15321.0)</f>
        <v>15321</v>
      </c>
      <c r="J131" s="1"/>
    </row>
    <row r="132" ht="15.75" customHeight="1">
      <c r="A132" s="2">
        <f>IFERROR(__xludf.DUMMYFUNCTION("""COMPUTED_VALUE"""),43521.0)</f>
        <v>43521</v>
      </c>
      <c r="B132" s="1" t="str">
        <f>IFERROR(__xludf.DUMMYFUNCTION("""COMPUTED_VALUE"""),"7:30p")</f>
        <v>7:30p</v>
      </c>
      <c r="C132" s="1" t="str">
        <f>IFERROR(__xludf.DUMMYFUNCTION("""COMPUTED_VALUE"""),"San Antonio Spurs")</f>
        <v>San Antonio Spurs</v>
      </c>
      <c r="D132" s="1">
        <f>IFERROR(__xludf.DUMMYFUNCTION("""COMPUTED_VALUE"""),85.0)</f>
        <v>85</v>
      </c>
      <c r="E132" s="1" t="str">
        <f>IFERROR(__xludf.DUMMYFUNCTION("""COMPUTED_VALUE"""),"Brooklyn Nets")</f>
        <v>Brooklyn Nets</v>
      </c>
      <c r="F132" s="1">
        <f>IFERROR(__xludf.DUMMYFUNCTION("""COMPUTED_VALUE"""),101.0)</f>
        <v>101</v>
      </c>
      <c r="G132" s="1" t="str">
        <f>IFERROR(__xludf.DUMMYFUNCTION("""COMPUTED_VALUE"""),"Box Score")</f>
        <v>Box Score</v>
      </c>
      <c r="H132" s="1"/>
      <c r="I132" s="3">
        <f>IFERROR(__xludf.DUMMYFUNCTION("""COMPUTED_VALUE"""),13479.0)</f>
        <v>13479</v>
      </c>
      <c r="J132" s="1"/>
    </row>
    <row r="133" ht="15.75" customHeight="1">
      <c r="A133" s="2">
        <f>IFERROR(__xludf.DUMMYFUNCTION("""COMPUTED_VALUE"""),43521.0)</f>
        <v>43521</v>
      </c>
      <c r="B133" s="1" t="str">
        <f>IFERROR(__xludf.DUMMYFUNCTION("""COMPUTED_VALUE"""),"7:30p")</f>
        <v>7:30p</v>
      </c>
      <c r="C133" s="1" t="str">
        <f>IFERROR(__xludf.DUMMYFUNCTION("""COMPUTED_VALUE"""),"Phoenix Suns")</f>
        <v>Phoenix Suns</v>
      </c>
      <c r="D133" s="1">
        <f>IFERROR(__xludf.DUMMYFUNCTION("""COMPUTED_VALUE"""),124.0)</f>
        <v>124</v>
      </c>
      <c r="E133" s="1" t="str">
        <f>IFERROR(__xludf.DUMMYFUNCTION("""COMPUTED_VALUE"""),"Miami Heat")</f>
        <v>Miami Heat</v>
      </c>
      <c r="F133" s="1">
        <f>IFERROR(__xludf.DUMMYFUNCTION("""COMPUTED_VALUE"""),121.0)</f>
        <v>121</v>
      </c>
      <c r="G133" s="1" t="str">
        <f>IFERROR(__xludf.DUMMYFUNCTION("""COMPUTED_VALUE"""),"Box Score")</f>
        <v>Box Score</v>
      </c>
      <c r="H133" s="1"/>
      <c r="I133" s="3">
        <f>IFERROR(__xludf.DUMMYFUNCTION("""COMPUTED_VALUE"""),19600.0)</f>
        <v>19600</v>
      </c>
      <c r="J133" s="1"/>
    </row>
    <row r="134" ht="15.75" customHeight="1">
      <c r="A134" s="2">
        <f>IFERROR(__xludf.DUMMYFUNCTION("""COMPUTED_VALUE"""),43521.0)</f>
        <v>43521</v>
      </c>
      <c r="B134" s="1" t="str">
        <f>IFERROR(__xludf.DUMMYFUNCTION("""COMPUTED_VALUE"""),"8:00p")</f>
        <v>8:00p</v>
      </c>
      <c r="C134" s="1" t="str">
        <f>IFERROR(__xludf.DUMMYFUNCTION("""COMPUTED_VALUE"""),"Milwaukee Bucks")</f>
        <v>Milwaukee Bucks</v>
      </c>
      <c r="D134" s="1">
        <f>IFERROR(__xludf.DUMMYFUNCTION("""COMPUTED_VALUE"""),117.0)</f>
        <v>117</v>
      </c>
      <c r="E134" s="1" t="str">
        <f>IFERROR(__xludf.DUMMYFUNCTION("""COMPUTED_VALUE"""),"Chicago Bulls")</f>
        <v>Chicago Bulls</v>
      </c>
      <c r="F134" s="1">
        <f>IFERROR(__xludf.DUMMYFUNCTION("""COMPUTED_VALUE"""),106.0)</f>
        <v>106</v>
      </c>
      <c r="G134" s="1" t="str">
        <f>IFERROR(__xludf.DUMMYFUNCTION("""COMPUTED_VALUE"""),"Box Score")</f>
        <v>Box Score</v>
      </c>
      <c r="H134" s="1"/>
      <c r="I134" s="3">
        <f>IFERROR(__xludf.DUMMYFUNCTION("""COMPUTED_VALUE"""),20936.0)</f>
        <v>20936</v>
      </c>
      <c r="J134" s="1"/>
    </row>
    <row r="135" ht="15.75" customHeight="1">
      <c r="A135" s="2">
        <f>IFERROR(__xludf.DUMMYFUNCTION("""COMPUTED_VALUE"""),43521.0)</f>
        <v>43521</v>
      </c>
      <c r="B135" s="1" t="str">
        <f>IFERROR(__xludf.DUMMYFUNCTION("""COMPUTED_VALUE"""),"8:00p")</f>
        <v>8:00p</v>
      </c>
      <c r="C135" s="1" t="str">
        <f>IFERROR(__xludf.DUMMYFUNCTION("""COMPUTED_VALUE"""),"Atlanta Hawks")</f>
        <v>Atlanta Hawks</v>
      </c>
      <c r="D135" s="1">
        <f>IFERROR(__xludf.DUMMYFUNCTION("""COMPUTED_VALUE"""),111.0)</f>
        <v>111</v>
      </c>
      <c r="E135" s="1" t="str">
        <f>IFERROR(__xludf.DUMMYFUNCTION("""COMPUTED_VALUE"""),"Houston Rockets")</f>
        <v>Houston Rockets</v>
      </c>
      <c r="F135" s="1">
        <f>IFERROR(__xludf.DUMMYFUNCTION("""COMPUTED_VALUE"""),119.0)</f>
        <v>119</v>
      </c>
      <c r="G135" s="1" t="str">
        <f>IFERROR(__xludf.DUMMYFUNCTION("""COMPUTED_VALUE"""),"Box Score")</f>
        <v>Box Score</v>
      </c>
      <c r="H135" s="1"/>
      <c r="I135" s="3">
        <f>IFERROR(__xludf.DUMMYFUNCTION("""COMPUTED_VALUE"""),18055.0)</f>
        <v>18055</v>
      </c>
      <c r="J135" s="1"/>
    </row>
    <row r="136" ht="15.75" customHeight="1">
      <c r="A136" s="2">
        <f>IFERROR(__xludf.DUMMYFUNCTION("""COMPUTED_VALUE"""),43521.0)</f>
        <v>43521</v>
      </c>
      <c r="B136" s="1" t="str">
        <f>IFERROR(__xludf.DUMMYFUNCTION("""COMPUTED_VALUE"""),"8:00p")</f>
        <v>8:00p</v>
      </c>
      <c r="C136" s="1" t="str">
        <f>IFERROR(__xludf.DUMMYFUNCTION("""COMPUTED_VALUE"""),"Los Angeles Lakers")</f>
        <v>Los Angeles Lakers</v>
      </c>
      <c r="D136" s="1">
        <f>IFERROR(__xludf.DUMMYFUNCTION("""COMPUTED_VALUE"""),105.0)</f>
        <v>105</v>
      </c>
      <c r="E136" s="1" t="str">
        <f>IFERROR(__xludf.DUMMYFUNCTION("""COMPUTED_VALUE"""),"Memphis Grizzlies")</f>
        <v>Memphis Grizzlies</v>
      </c>
      <c r="F136" s="1">
        <f>IFERROR(__xludf.DUMMYFUNCTION("""COMPUTED_VALUE"""),110.0)</f>
        <v>110</v>
      </c>
      <c r="G136" s="1" t="str">
        <f>IFERROR(__xludf.DUMMYFUNCTION("""COMPUTED_VALUE"""),"Box Score")</f>
        <v>Box Score</v>
      </c>
      <c r="H136" s="1"/>
      <c r="I136" s="3">
        <f>IFERROR(__xludf.DUMMYFUNCTION("""COMPUTED_VALUE"""),17794.0)</f>
        <v>17794</v>
      </c>
      <c r="J136" s="1"/>
    </row>
    <row r="137" ht="15.75" customHeight="1">
      <c r="A137" s="2">
        <f>IFERROR(__xludf.DUMMYFUNCTION("""COMPUTED_VALUE"""),43521.0)</f>
        <v>43521</v>
      </c>
      <c r="B137" s="1" t="str">
        <f>IFERROR(__xludf.DUMMYFUNCTION("""COMPUTED_VALUE"""),"8:00p")</f>
        <v>8:00p</v>
      </c>
      <c r="C137" s="1" t="str">
        <f>IFERROR(__xludf.DUMMYFUNCTION("""COMPUTED_VALUE"""),"Sacramento Kings")</f>
        <v>Sacramento Kings</v>
      </c>
      <c r="D137" s="1">
        <f>IFERROR(__xludf.DUMMYFUNCTION("""COMPUTED_VALUE"""),105.0)</f>
        <v>105</v>
      </c>
      <c r="E137" s="1" t="str">
        <f>IFERROR(__xludf.DUMMYFUNCTION("""COMPUTED_VALUE"""),"Minnesota Timberwolves")</f>
        <v>Minnesota Timberwolves</v>
      </c>
      <c r="F137" s="1">
        <f>IFERROR(__xludf.DUMMYFUNCTION("""COMPUTED_VALUE"""),112.0)</f>
        <v>112</v>
      </c>
      <c r="G137" s="1" t="str">
        <f>IFERROR(__xludf.DUMMYFUNCTION("""COMPUTED_VALUE"""),"Box Score")</f>
        <v>Box Score</v>
      </c>
      <c r="H137" s="1"/>
      <c r="I137" s="3">
        <f>IFERROR(__xludf.DUMMYFUNCTION("""COMPUTED_VALUE"""),13691.0)</f>
        <v>13691</v>
      </c>
      <c r="J137" s="1"/>
    </row>
    <row r="138" ht="15.75" customHeight="1">
      <c r="A138" s="2">
        <f>IFERROR(__xludf.DUMMYFUNCTION("""COMPUTED_VALUE"""),43521.0)</f>
        <v>43521</v>
      </c>
      <c r="B138" s="1" t="str">
        <f>IFERROR(__xludf.DUMMYFUNCTION("""COMPUTED_VALUE"""),"8:00p")</f>
        <v>8:00p</v>
      </c>
      <c r="C138" s="1" t="str">
        <f>IFERROR(__xludf.DUMMYFUNCTION("""COMPUTED_VALUE"""),"Philadelphia 76ers")</f>
        <v>Philadelphia 76ers</v>
      </c>
      <c r="D138" s="1">
        <f>IFERROR(__xludf.DUMMYFUNCTION("""COMPUTED_VALUE"""),111.0)</f>
        <v>111</v>
      </c>
      <c r="E138" s="1" t="str">
        <f>IFERROR(__xludf.DUMMYFUNCTION("""COMPUTED_VALUE"""),"New Orleans Pelicans")</f>
        <v>New Orleans Pelicans</v>
      </c>
      <c r="F138" s="1">
        <f>IFERROR(__xludf.DUMMYFUNCTION("""COMPUTED_VALUE"""),110.0)</f>
        <v>110</v>
      </c>
      <c r="G138" s="1" t="str">
        <f>IFERROR(__xludf.DUMMYFUNCTION("""COMPUTED_VALUE"""),"Box Score")</f>
        <v>Box Score</v>
      </c>
      <c r="H138" s="1"/>
      <c r="I138" s="3">
        <f>IFERROR(__xludf.DUMMYFUNCTION("""COMPUTED_VALUE"""),17194.0)</f>
        <v>17194</v>
      </c>
      <c r="J138" s="1"/>
    </row>
    <row r="139" ht="15.75" customHeight="1">
      <c r="A139" s="2">
        <f>IFERROR(__xludf.DUMMYFUNCTION("""COMPUTED_VALUE"""),43521.0)</f>
        <v>43521</v>
      </c>
      <c r="B139" s="1" t="str">
        <f>IFERROR(__xludf.DUMMYFUNCTION("""COMPUTED_VALUE"""),"10:30p")</f>
        <v>10:30p</v>
      </c>
      <c r="C139" s="1" t="str">
        <f>IFERROR(__xludf.DUMMYFUNCTION("""COMPUTED_VALUE"""),"Dallas Mavericks")</f>
        <v>Dallas Mavericks</v>
      </c>
      <c r="D139" s="1">
        <f>IFERROR(__xludf.DUMMYFUNCTION("""COMPUTED_VALUE"""),112.0)</f>
        <v>112</v>
      </c>
      <c r="E139" s="1" t="str">
        <f>IFERROR(__xludf.DUMMYFUNCTION("""COMPUTED_VALUE"""),"Los Angeles Clippers")</f>
        <v>Los Angeles Clippers</v>
      </c>
      <c r="F139" s="1">
        <f>IFERROR(__xludf.DUMMYFUNCTION("""COMPUTED_VALUE"""),121.0)</f>
        <v>121</v>
      </c>
      <c r="G139" s="1" t="str">
        <f>IFERROR(__xludf.DUMMYFUNCTION("""COMPUTED_VALUE"""),"Box Score")</f>
        <v>Box Score</v>
      </c>
      <c r="H139" s="1"/>
      <c r="I139" s="3">
        <f>IFERROR(__xludf.DUMMYFUNCTION("""COMPUTED_VALUE"""),19068.0)</f>
        <v>19068</v>
      </c>
      <c r="J139" s="1"/>
    </row>
    <row r="140" ht="15.75" customHeight="1">
      <c r="A140" s="2">
        <f>IFERROR(__xludf.DUMMYFUNCTION("""COMPUTED_VALUE"""),43522.0)</f>
        <v>43522</v>
      </c>
      <c r="B140" s="1" t="str">
        <f>IFERROR(__xludf.DUMMYFUNCTION("""COMPUTED_VALUE"""),"7:30p")</f>
        <v>7:30p</v>
      </c>
      <c r="C140" s="1" t="str">
        <f>IFERROR(__xludf.DUMMYFUNCTION("""COMPUTED_VALUE"""),"Orlando Magic")</f>
        <v>Orlando Magic</v>
      </c>
      <c r="D140" s="1">
        <f>IFERROR(__xludf.DUMMYFUNCTION("""COMPUTED_VALUE"""),103.0)</f>
        <v>103</v>
      </c>
      <c r="E140" s="1" t="str">
        <f>IFERROR(__xludf.DUMMYFUNCTION("""COMPUTED_VALUE"""),"New York Knicks")</f>
        <v>New York Knicks</v>
      </c>
      <c r="F140" s="1">
        <f>IFERROR(__xludf.DUMMYFUNCTION("""COMPUTED_VALUE"""),108.0)</f>
        <v>108</v>
      </c>
      <c r="G140" s="1" t="str">
        <f>IFERROR(__xludf.DUMMYFUNCTION("""COMPUTED_VALUE"""),"Box Score")</f>
        <v>Box Score</v>
      </c>
      <c r="H140" s="1"/>
      <c r="I140" s="3">
        <f>IFERROR(__xludf.DUMMYFUNCTION("""COMPUTED_VALUE"""),17833.0)</f>
        <v>17833</v>
      </c>
      <c r="J140" s="1"/>
    </row>
    <row r="141" ht="15.75" customHeight="1">
      <c r="A141" s="2">
        <f>IFERROR(__xludf.DUMMYFUNCTION("""COMPUTED_VALUE"""),43522.0)</f>
        <v>43522</v>
      </c>
      <c r="B141" s="1" t="str">
        <f>IFERROR(__xludf.DUMMYFUNCTION("""COMPUTED_VALUE"""),"8:00p")</f>
        <v>8:00p</v>
      </c>
      <c r="C141" s="1" t="str">
        <f>IFERROR(__xludf.DUMMYFUNCTION("""COMPUTED_VALUE"""),"Boston Celtics")</f>
        <v>Boston Celtics</v>
      </c>
      <c r="D141" s="1">
        <f>IFERROR(__xludf.DUMMYFUNCTION("""COMPUTED_VALUE"""),95.0)</f>
        <v>95</v>
      </c>
      <c r="E141" s="1" t="str">
        <f>IFERROR(__xludf.DUMMYFUNCTION("""COMPUTED_VALUE"""),"Toronto Raptors")</f>
        <v>Toronto Raptors</v>
      </c>
      <c r="F141" s="1">
        <f>IFERROR(__xludf.DUMMYFUNCTION("""COMPUTED_VALUE"""),118.0)</f>
        <v>118</v>
      </c>
      <c r="G141" s="1" t="str">
        <f>IFERROR(__xludf.DUMMYFUNCTION("""COMPUTED_VALUE"""),"Box Score")</f>
        <v>Box Score</v>
      </c>
      <c r="H141" s="1"/>
      <c r="I141" s="3">
        <f>IFERROR(__xludf.DUMMYFUNCTION("""COMPUTED_VALUE"""),19800.0)</f>
        <v>19800</v>
      </c>
      <c r="J141" s="1"/>
    </row>
    <row r="142" ht="15.75" customHeight="1">
      <c r="A142" s="2">
        <f>IFERROR(__xludf.DUMMYFUNCTION("""COMPUTED_VALUE"""),43522.0)</f>
        <v>43522</v>
      </c>
      <c r="B142" s="1" t="str">
        <f>IFERROR(__xludf.DUMMYFUNCTION("""COMPUTED_VALUE"""),"10:30p")</f>
        <v>10:30p</v>
      </c>
      <c r="C142" s="1" t="str">
        <f>IFERROR(__xludf.DUMMYFUNCTION("""COMPUTED_VALUE"""),"Oklahoma City Thunder")</f>
        <v>Oklahoma City Thunder</v>
      </c>
      <c r="D142" s="1">
        <f>IFERROR(__xludf.DUMMYFUNCTION("""COMPUTED_VALUE"""),112.0)</f>
        <v>112</v>
      </c>
      <c r="E142" s="1" t="str">
        <f>IFERROR(__xludf.DUMMYFUNCTION("""COMPUTED_VALUE"""),"Denver Nuggets")</f>
        <v>Denver Nuggets</v>
      </c>
      <c r="F142" s="1">
        <f>IFERROR(__xludf.DUMMYFUNCTION("""COMPUTED_VALUE"""),121.0)</f>
        <v>121</v>
      </c>
      <c r="G142" s="1" t="str">
        <f>IFERROR(__xludf.DUMMYFUNCTION("""COMPUTED_VALUE"""),"Box Score")</f>
        <v>Box Score</v>
      </c>
      <c r="H142" s="1"/>
      <c r="I142" s="3">
        <f>IFERROR(__xludf.DUMMYFUNCTION("""COMPUTED_VALUE"""),18378.0)</f>
        <v>18378</v>
      </c>
      <c r="J142" s="1"/>
    </row>
    <row r="143" ht="15.75" customHeight="1">
      <c r="A143" s="2">
        <f>IFERROR(__xludf.DUMMYFUNCTION("""COMPUTED_VALUE"""),43523.0)</f>
        <v>43523</v>
      </c>
      <c r="B143" s="1" t="str">
        <f>IFERROR(__xludf.DUMMYFUNCTION("""COMPUTED_VALUE"""),"7:00p")</f>
        <v>7:00p</v>
      </c>
      <c r="C143" s="1" t="str">
        <f>IFERROR(__xludf.DUMMYFUNCTION("""COMPUTED_VALUE"""),"Houston Rockets")</f>
        <v>Houston Rockets</v>
      </c>
      <c r="D143" s="1">
        <f>IFERROR(__xludf.DUMMYFUNCTION("""COMPUTED_VALUE"""),118.0)</f>
        <v>118</v>
      </c>
      <c r="E143" s="1" t="str">
        <f>IFERROR(__xludf.DUMMYFUNCTION("""COMPUTED_VALUE"""),"Charlotte Hornets")</f>
        <v>Charlotte Hornets</v>
      </c>
      <c r="F143" s="1">
        <f>IFERROR(__xludf.DUMMYFUNCTION("""COMPUTED_VALUE"""),113.0)</f>
        <v>113</v>
      </c>
      <c r="G143" s="1" t="str">
        <f>IFERROR(__xludf.DUMMYFUNCTION("""COMPUTED_VALUE"""),"Box Score")</f>
        <v>Box Score</v>
      </c>
      <c r="H143" s="1"/>
      <c r="I143" s="3">
        <f>IFERROR(__xludf.DUMMYFUNCTION("""COMPUTED_VALUE"""),17903.0)</f>
        <v>17903</v>
      </c>
      <c r="J143" s="1"/>
    </row>
    <row r="144" ht="15.75" customHeight="1">
      <c r="A144" s="2">
        <f>IFERROR(__xludf.DUMMYFUNCTION("""COMPUTED_VALUE"""),43523.0)</f>
        <v>43523</v>
      </c>
      <c r="B144" s="1" t="str">
        <f>IFERROR(__xludf.DUMMYFUNCTION("""COMPUTED_VALUE"""),"7:30p")</f>
        <v>7:30p</v>
      </c>
      <c r="C144" s="1" t="str">
        <f>IFERROR(__xludf.DUMMYFUNCTION("""COMPUTED_VALUE"""),"Minnesota Timberwolves")</f>
        <v>Minnesota Timberwolves</v>
      </c>
      <c r="D144" s="1">
        <f>IFERROR(__xludf.DUMMYFUNCTION("""COMPUTED_VALUE"""),123.0)</f>
        <v>123</v>
      </c>
      <c r="E144" s="1" t="str">
        <f>IFERROR(__xludf.DUMMYFUNCTION("""COMPUTED_VALUE"""),"Atlanta Hawks")</f>
        <v>Atlanta Hawks</v>
      </c>
      <c r="F144" s="1">
        <f>IFERROR(__xludf.DUMMYFUNCTION("""COMPUTED_VALUE"""),131.0)</f>
        <v>131</v>
      </c>
      <c r="G144" s="1" t="str">
        <f>IFERROR(__xludf.DUMMYFUNCTION("""COMPUTED_VALUE"""),"Box Score")</f>
        <v>Box Score</v>
      </c>
      <c r="H144" s="1" t="str">
        <f>IFERROR(__xludf.DUMMYFUNCTION("""COMPUTED_VALUE"""),"OT")</f>
        <v>OT</v>
      </c>
      <c r="I144" s="3">
        <f>IFERROR(__xludf.DUMMYFUNCTION("""COMPUTED_VALUE"""),14101.0)</f>
        <v>14101</v>
      </c>
      <c r="J144" s="1"/>
    </row>
    <row r="145" ht="15.75" customHeight="1">
      <c r="A145" s="2">
        <f>IFERROR(__xludf.DUMMYFUNCTION("""COMPUTED_VALUE"""),43523.0)</f>
        <v>43523</v>
      </c>
      <c r="B145" s="1" t="str">
        <f>IFERROR(__xludf.DUMMYFUNCTION("""COMPUTED_VALUE"""),"7:30p")</f>
        <v>7:30p</v>
      </c>
      <c r="C145" s="1" t="str">
        <f>IFERROR(__xludf.DUMMYFUNCTION("""COMPUTED_VALUE"""),"Washington Wizards")</f>
        <v>Washington Wizards</v>
      </c>
      <c r="D145" s="1">
        <f>IFERROR(__xludf.DUMMYFUNCTION("""COMPUTED_VALUE"""),125.0)</f>
        <v>125</v>
      </c>
      <c r="E145" s="1" t="str">
        <f>IFERROR(__xludf.DUMMYFUNCTION("""COMPUTED_VALUE"""),"Brooklyn Nets")</f>
        <v>Brooklyn Nets</v>
      </c>
      <c r="F145" s="1">
        <f>IFERROR(__xludf.DUMMYFUNCTION("""COMPUTED_VALUE"""),116.0)</f>
        <v>116</v>
      </c>
      <c r="G145" s="1" t="str">
        <f>IFERROR(__xludf.DUMMYFUNCTION("""COMPUTED_VALUE"""),"Box Score")</f>
        <v>Box Score</v>
      </c>
      <c r="H145" s="1"/>
      <c r="I145" s="3">
        <f>IFERROR(__xludf.DUMMYFUNCTION("""COMPUTED_VALUE"""),13683.0)</f>
        <v>13683</v>
      </c>
      <c r="J145" s="1"/>
    </row>
    <row r="146" ht="15.75" customHeight="1">
      <c r="A146" s="2">
        <f>IFERROR(__xludf.DUMMYFUNCTION("""COMPUTED_VALUE"""),43523.0)</f>
        <v>43523</v>
      </c>
      <c r="B146" s="1" t="str">
        <f>IFERROR(__xludf.DUMMYFUNCTION("""COMPUTED_VALUE"""),"7:30p")</f>
        <v>7:30p</v>
      </c>
      <c r="C146" s="1" t="str">
        <f>IFERROR(__xludf.DUMMYFUNCTION("""COMPUTED_VALUE"""),"Golden State Warriors")</f>
        <v>Golden State Warriors</v>
      </c>
      <c r="D146" s="1">
        <f>IFERROR(__xludf.DUMMYFUNCTION("""COMPUTED_VALUE"""),125.0)</f>
        <v>125</v>
      </c>
      <c r="E146" s="1" t="str">
        <f>IFERROR(__xludf.DUMMYFUNCTION("""COMPUTED_VALUE"""),"Miami Heat")</f>
        <v>Miami Heat</v>
      </c>
      <c r="F146" s="1">
        <f>IFERROR(__xludf.DUMMYFUNCTION("""COMPUTED_VALUE"""),126.0)</f>
        <v>126</v>
      </c>
      <c r="G146" s="1" t="str">
        <f>IFERROR(__xludf.DUMMYFUNCTION("""COMPUTED_VALUE"""),"Box Score")</f>
        <v>Box Score</v>
      </c>
      <c r="H146" s="1"/>
      <c r="I146" s="3">
        <f>IFERROR(__xludf.DUMMYFUNCTION("""COMPUTED_VALUE"""),19647.0)</f>
        <v>19647</v>
      </c>
      <c r="J146" s="1"/>
    </row>
    <row r="147" ht="15.75" customHeight="1">
      <c r="A147" s="2">
        <f>IFERROR(__xludf.DUMMYFUNCTION("""COMPUTED_VALUE"""),43523.0)</f>
        <v>43523</v>
      </c>
      <c r="B147" s="1" t="str">
        <f>IFERROR(__xludf.DUMMYFUNCTION("""COMPUTED_VALUE"""),"8:00p")</f>
        <v>8:00p</v>
      </c>
      <c r="C147" s="1" t="str">
        <f>IFERROR(__xludf.DUMMYFUNCTION("""COMPUTED_VALUE"""),"Portland Trail Blazers")</f>
        <v>Portland Trail Blazers</v>
      </c>
      <c r="D147" s="1">
        <f>IFERROR(__xludf.DUMMYFUNCTION("""COMPUTED_VALUE"""),97.0)</f>
        <v>97</v>
      </c>
      <c r="E147" s="1" t="str">
        <f>IFERROR(__xludf.DUMMYFUNCTION("""COMPUTED_VALUE"""),"Boston Celtics")</f>
        <v>Boston Celtics</v>
      </c>
      <c r="F147" s="1">
        <f>IFERROR(__xludf.DUMMYFUNCTION("""COMPUTED_VALUE"""),92.0)</f>
        <v>92</v>
      </c>
      <c r="G147" s="1" t="str">
        <f>IFERROR(__xludf.DUMMYFUNCTION("""COMPUTED_VALUE"""),"Box Score")</f>
        <v>Box Score</v>
      </c>
      <c r="H147" s="1"/>
      <c r="I147" s="3">
        <f>IFERROR(__xludf.DUMMYFUNCTION("""COMPUTED_VALUE"""),18624.0)</f>
        <v>18624</v>
      </c>
      <c r="J147" s="1"/>
    </row>
    <row r="148" ht="15.75" customHeight="1">
      <c r="A148" s="2">
        <f>IFERROR(__xludf.DUMMYFUNCTION("""COMPUTED_VALUE"""),43523.0)</f>
        <v>43523</v>
      </c>
      <c r="B148" s="1" t="str">
        <f>IFERROR(__xludf.DUMMYFUNCTION("""COMPUTED_VALUE"""),"8:00p")</f>
        <v>8:00p</v>
      </c>
      <c r="C148" s="1" t="str">
        <f>IFERROR(__xludf.DUMMYFUNCTION("""COMPUTED_VALUE"""),"Chicago Bulls")</f>
        <v>Chicago Bulls</v>
      </c>
      <c r="D148" s="1">
        <f>IFERROR(__xludf.DUMMYFUNCTION("""COMPUTED_VALUE"""),109.0)</f>
        <v>109</v>
      </c>
      <c r="E148" s="1" t="str">
        <f>IFERROR(__xludf.DUMMYFUNCTION("""COMPUTED_VALUE"""),"Memphis Grizzlies")</f>
        <v>Memphis Grizzlies</v>
      </c>
      <c r="F148" s="1">
        <f>IFERROR(__xludf.DUMMYFUNCTION("""COMPUTED_VALUE"""),107.0)</f>
        <v>107</v>
      </c>
      <c r="G148" s="1" t="str">
        <f>IFERROR(__xludf.DUMMYFUNCTION("""COMPUTED_VALUE"""),"Box Score")</f>
        <v>Box Score</v>
      </c>
      <c r="H148" s="1"/>
      <c r="I148" s="3">
        <f>IFERROR(__xludf.DUMMYFUNCTION("""COMPUTED_VALUE"""),13711.0)</f>
        <v>13711</v>
      </c>
      <c r="J148" s="1"/>
    </row>
    <row r="149" ht="15.75" customHeight="1">
      <c r="A149" s="2">
        <f>IFERROR(__xludf.DUMMYFUNCTION("""COMPUTED_VALUE"""),43523.0)</f>
        <v>43523</v>
      </c>
      <c r="B149" s="1" t="str">
        <f>IFERROR(__xludf.DUMMYFUNCTION("""COMPUTED_VALUE"""),"8:30p")</f>
        <v>8:30p</v>
      </c>
      <c r="C149" s="1" t="str">
        <f>IFERROR(__xludf.DUMMYFUNCTION("""COMPUTED_VALUE"""),"Indiana Pacers")</f>
        <v>Indiana Pacers</v>
      </c>
      <c r="D149" s="1">
        <f>IFERROR(__xludf.DUMMYFUNCTION("""COMPUTED_VALUE"""),101.0)</f>
        <v>101</v>
      </c>
      <c r="E149" s="1" t="str">
        <f>IFERROR(__xludf.DUMMYFUNCTION("""COMPUTED_VALUE"""),"Dallas Mavericks")</f>
        <v>Dallas Mavericks</v>
      </c>
      <c r="F149" s="1">
        <f>IFERROR(__xludf.DUMMYFUNCTION("""COMPUTED_VALUE"""),110.0)</f>
        <v>110</v>
      </c>
      <c r="G149" s="1" t="str">
        <f>IFERROR(__xludf.DUMMYFUNCTION("""COMPUTED_VALUE"""),"Box Score")</f>
        <v>Box Score</v>
      </c>
      <c r="H149" s="1"/>
      <c r="I149" s="3">
        <f>IFERROR(__xludf.DUMMYFUNCTION("""COMPUTED_VALUE"""),19978.0)</f>
        <v>19978</v>
      </c>
      <c r="J149" s="1"/>
    </row>
    <row r="150" ht="15.75" customHeight="1">
      <c r="A150" s="2">
        <f>IFERROR(__xludf.DUMMYFUNCTION("""COMPUTED_VALUE"""),43523.0)</f>
        <v>43523</v>
      </c>
      <c r="B150" s="1" t="str">
        <f>IFERROR(__xludf.DUMMYFUNCTION("""COMPUTED_VALUE"""),"8:30p")</f>
        <v>8:30p</v>
      </c>
      <c r="C150" s="1" t="str">
        <f>IFERROR(__xludf.DUMMYFUNCTION("""COMPUTED_VALUE"""),"Detroit Pistons")</f>
        <v>Detroit Pistons</v>
      </c>
      <c r="D150" s="1">
        <f>IFERROR(__xludf.DUMMYFUNCTION("""COMPUTED_VALUE"""),93.0)</f>
        <v>93</v>
      </c>
      <c r="E150" s="1" t="str">
        <f>IFERROR(__xludf.DUMMYFUNCTION("""COMPUTED_VALUE"""),"San Antonio Spurs")</f>
        <v>San Antonio Spurs</v>
      </c>
      <c r="F150" s="1">
        <f>IFERROR(__xludf.DUMMYFUNCTION("""COMPUTED_VALUE"""),105.0)</f>
        <v>105</v>
      </c>
      <c r="G150" s="1" t="str">
        <f>IFERROR(__xludf.DUMMYFUNCTION("""COMPUTED_VALUE"""),"Box Score")</f>
        <v>Box Score</v>
      </c>
      <c r="H150" s="1"/>
      <c r="I150" s="3">
        <f>IFERROR(__xludf.DUMMYFUNCTION("""COMPUTED_VALUE"""),18354.0)</f>
        <v>18354</v>
      </c>
      <c r="J150" s="1"/>
    </row>
    <row r="151" ht="15.75" customHeight="1">
      <c r="A151" s="2">
        <f>IFERROR(__xludf.DUMMYFUNCTION("""COMPUTED_VALUE"""),43523.0)</f>
        <v>43523</v>
      </c>
      <c r="B151" s="1" t="str">
        <f>IFERROR(__xludf.DUMMYFUNCTION("""COMPUTED_VALUE"""),"9:00p")</f>
        <v>9:00p</v>
      </c>
      <c r="C151" s="1" t="str">
        <f>IFERROR(__xludf.DUMMYFUNCTION("""COMPUTED_VALUE"""),"Los Angeles Clippers")</f>
        <v>Los Angeles Clippers</v>
      </c>
      <c r="D151" s="1">
        <f>IFERROR(__xludf.DUMMYFUNCTION("""COMPUTED_VALUE"""),105.0)</f>
        <v>105</v>
      </c>
      <c r="E151" s="1" t="str">
        <f>IFERROR(__xludf.DUMMYFUNCTION("""COMPUTED_VALUE"""),"Utah Jazz")</f>
        <v>Utah Jazz</v>
      </c>
      <c r="F151" s="1">
        <f>IFERROR(__xludf.DUMMYFUNCTION("""COMPUTED_VALUE"""),111.0)</f>
        <v>111</v>
      </c>
      <c r="G151" s="1" t="str">
        <f>IFERROR(__xludf.DUMMYFUNCTION("""COMPUTED_VALUE"""),"Box Score")</f>
        <v>Box Score</v>
      </c>
      <c r="H151" s="1"/>
      <c r="I151" s="3">
        <f>IFERROR(__xludf.DUMMYFUNCTION("""COMPUTED_VALUE"""),18306.0)</f>
        <v>18306</v>
      </c>
      <c r="J151" s="1"/>
    </row>
    <row r="152" ht="15.75" customHeight="1">
      <c r="A152" s="2">
        <f>IFERROR(__xludf.DUMMYFUNCTION("""COMPUTED_VALUE"""),43523.0)</f>
        <v>43523</v>
      </c>
      <c r="B152" s="1" t="str">
        <f>IFERROR(__xludf.DUMMYFUNCTION("""COMPUTED_VALUE"""),"10:00p")</f>
        <v>10:00p</v>
      </c>
      <c r="C152" s="1" t="str">
        <f>IFERROR(__xludf.DUMMYFUNCTION("""COMPUTED_VALUE"""),"Milwaukee Bucks")</f>
        <v>Milwaukee Bucks</v>
      </c>
      <c r="D152" s="1">
        <f>IFERROR(__xludf.DUMMYFUNCTION("""COMPUTED_VALUE"""),141.0)</f>
        <v>141</v>
      </c>
      <c r="E152" s="1" t="str">
        <f>IFERROR(__xludf.DUMMYFUNCTION("""COMPUTED_VALUE"""),"Sacramento Kings")</f>
        <v>Sacramento Kings</v>
      </c>
      <c r="F152" s="1">
        <f>IFERROR(__xludf.DUMMYFUNCTION("""COMPUTED_VALUE"""),140.0)</f>
        <v>140</v>
      </c>
      <c r="G152" s="1" t="str">
        <f>IFERROR(__xludf.DUMMYFUNCTION("""COMPUTED_VALUE"""),"Box Score")</f>
        <v>Box Score</v>
      </c>
      <c r="H152" s="1" t="str">
        <f>IFERROR(__xludf.DUMMYFUNCTION("""COMPUTED_VALUE"""),"OT")</f>
        <v>OT</v>
      </c>
      <c r="I152" s="3">
        <f>IFERROR(__xludf.DUMMYFUNCTION("""COMPUTED_VALUE"""),17583.0)</f>
        <v>17583</v>
      </c>
      <c r="J152" s="1"/>
    </row>
    <row r="153" ht="15.75" customHeight="1">
      <c r="A153" s="2">
        <f>IFERROR(__xludf.DUMMYFUNCTION("""COMPUTED_VALUE"""),43523.0)</f>
        <v>43523</v>
      </c>
      <c r="B153" s="1" t="str">
        <f>IFERROR(__xludf.DUMMYFUNCTION("""COMPUTED_VALUE"""),"10:30p")</f>
        <v>10:30p</v>
      </c>
      <c r="C153" s="1" t="str">
        <f>IFERROR(__xludf.DUMMYFUNCTION("""COMPUTED_VALUE"""),"New Orleans Pelicans")</f>
        <v>New Orleans Pelicans</v>
      </c>
      <c r="D153" s="1">
        <f>IFERROR(__xludf.DUMMYFUNCTION("""COMPUTED_VALUE"""),119.0)</f>
        <v>119</v>
      </c>
      <c r="E153" s="1" t="str">
        <f>IFERROR(__xludf.DUMMYFUNCTION("""COMPUTED_VALUE"""),"Los Angeles Lakers")</f>
        <v>Los Angeles Lakers</v>
      </c>
      <c r="F153" s="1">
        <f>IFERROR(__xludf.DUMMYFUNCTION("""COMPUTED_VALUE"""),125.0)</f>
        <v>125</v>
      </c>
      <c r="G153" s="1" t="str">
        <f>IFERROR(__xludf.DUMMYFUNCTION("""COMPUTED_VALUE"""),"Box Score")</f>
        <v>Box Score</v>
      </c>
      <c r="H153" s="1"/>
      <c r="I153" s="3">
        <f>IFERROR(__xludf.DUMMYFUNCTION("""COMPUTED_VALUE"""),18997.0)</f>
        <v>18997</v>
      </c>
      <c r="J153" s="1"/>
    </row>
    <row r="154" ht="15.75" customHeight="1">
      <c r="A154" s="2">
        <f>IFERROR(__xludf.DUMMYFUNCTION("""COMPUTED_VALUE"""),43524.0)</f>
        <v>43524</v>
      </c>
      <c r="B154" s="1" t="str">
        <f>IFERROR(__xludf.DUMMYFUNCTION("""COMPUTED_VALUE"""),"7:00p")</f>
        <v>7:00p</v>
      </c>
      <c r="C154" s="1" t="str">
        <f>IFERROR(__xludf.DUMMYFUNCTION("""COMPUTED_VALUE"""),"Minnesota Timberwolves")</f>
        <v>Minnesota Timberwolves</v>
      </c>
      <c r="D154" s="1">
        <f>IFERROR(__xludf.DUMMYFUNCTION("""COMPUTED_VALUE"""),115.0)</f>
        <v>115</v>
      </c>
      <c r="E154" s="1" t="str">
        <f>IFERROR(__xludf.DUMMYFUNCTION("""COMPUTED_VALUE"""),"Indiana Pacers")</f>
        <v>Indiana Pacers</v>
      </c>
      <c r="F154" s="1">
        <f>IFERROR(__xludf.DUMMYFUNCTION("""COMPUTED_VALUE"""),122.0)</f>
        <v>122</v>
      </c>
      <c r="G154" s="1" t="str">
        <f>IFERROR(__xludf.DUMMYFUNCTION("""COMPUTED_VALUE"""),"Box Score")</f>
        <v>Box Score</v>
      </c>
      <c r="H154" s="1"/>
      <c r="I154" s="3">
        <f>IFERROR(__xludf.DUMMYFUNCTION("""COMPUTED_VALUE"""),17003.0)</f>
        <v>17003</v>
      </c>
      <c r="J154" s="1"/>
    </row>
    <row r="155" ht="15.75" customHeight="1">
      <c r="A155" s="2">
        <f>IFERROR(__xludf.DUMMYFUNCTION("""COMPUTED_VALUE"""),43524.0)</f>
        <v>43524</v>
      </c>
      <c r="B155" s="1" t="str">
        <f>IFERROR(__xludf.DUMMYFUNCTION("""COMPUTED_VALUE"""),"7:00p")</f>
        <v>7:00p</v>
      </c>
      <c r="C155" s="1" t="str">
        <f>IFERROR(__xludf.DUMMYFUNCTION("""COMPUTED_VALUE"""),"Golden State Warriors")</f>
        <v>Golden State Warriors</v>
      </c>
      <c r="D155" s="1">
        <f>IFERROR(__xludf.DUMMYFUNCTION("""COMPUTED_VALUE"""),96.0)</f>
        <v>96</v>
      </c>
      <c r="E155" s="1" t="str">
        <f>IFERROR(__xludf.DUMMYFUNCTION("""COMPUTED_VALUE"""),"Orlando Magic")</f>
        <v>Orlando Magic</v>
      </c>
      <c r="F155" s="1">
        <f>IFERROR(__xludf.DUMMYFUNCTION("""COMPUTED_VALUE"""),103.0)</f>
        <v>103</v>
      </c>
      <c r="G155" s="1" t="str">
        <f>IFERROR(__xludf.DUMMYFUNCTION("""COMPUTED_VALUE"""),"Box Score")</f>
        <v>Box Score</v>
      </c>
      <c r="H155" s="1"/>
      <c r="I155" s="3">
        <f>IFERROR(__xludf.DUMMYFUNCTION("""COMPUTED_VALUE"""),18846.0)</f>
        <v>18846</v>
      </c>
      <c r="J155" s="1"/>
    </row>
    <row r="156" ht="15.75" customHeight="1">
      <c r="A156" s="2">
        <f>IFERROR(__xludf.DUMMYFUNCTION("""COMPUTED_VALUE"""),43524.0)</f>
        <v>43524</v>
      </c>
      <c r="B156" s="1" t="str">
        <f>IFERROR(__xludf.DUMMYFUNCTION("""COMPUTED_VALUE"""),"7:30p")</f>
        <v>7:30p</v>
      </c>
      <c r="C156" s="1" t="str">
        <f>IFERROR(__xludf.DUMMYFUNCTION("""COMPUTED_VALUE"""),"Cleveland Cavaliers")</f>
        <v>Cleveland Cavaliers</v>
      </c>
      <c r="D156" s="1">
        <f>IFERROR(__xludf.DUMMYFUNCTION("""COMPUTED_VALUE"""),125.0)</f>
        <v>125</v>
      </c>
      <c r="E156" s="1" t="str">
        <f>IFERROR(__xludf.DUMMYFUNCTION("""COMPUTED_VALUE"""),"New York Knicks")</f>
        <v>New York Knicks</v>
      </c>
      <c r="F156" s="1">
        <f>IFERROR(__xludf.DUMMYFUNCTION("""COMPUTED_VALUE"""),118.0)</f>
        <v>118</v>
      </c>
      <c r="G156" s="1" t="str">
        <f>IFERROR(__xludf.DUMMYFUNCTION("""COMPUTED_VALUE"""),"Box Score")</f>
        <v>Box Score</v>
      </c>
      <c r="H156" s="1"/>
      <c r="I156" s="3">
        <f>IFERROR(__xludf.DUMMYFUNCTION("""COMPUTED_VALUE"""),17573.0)</f>
        <v>17573</v>
      </c>
      <c r="J156" s="1"/>
    </row>
    <row r="157" ht="15.75" customHeight="1">
      <c r="A157" s="2">
        <f>IFERROR(__xludf.DUMMYFUNCTION("""COMPUTED_VALUE"""),43524.0)</f>
        <v>43524</v>
      </c>
      <c r="B157" s="1" t="str">
        <f>IFERROR(__xludf.DUMMYFUNCTION("""COMPUTED_VALUE"""),"8:00p")</f>
        <v>8:00p</v>
      </c>
      <c r="C157" s="1" t="str">
        <f>IFERROR(__xludf.DUMMYFUNCTION("""COMPUTED_VALUE"""),"Miami Heat")</f>
        <v>Miami Heat</v>
      </c>
      <c r="D157" s="1">
        <f>IFERROR(__xludf.DUMMYFUNCTION("""COMPUTED_VALUE"""),118.0)</f>
        <v>118</v>
      </c>
      <c r="E157" s="1" t="str">
        <f>IFERROR(__xludf.DUMMYFUNCTION("""COMPUTED_VALUE"""),"Houston Rockets")</f>
        <v>Houston Rockets</v>
      </c>
      <c r="F157" s="1">
        <f>IFERROR(__xludf.DUMMYFUNCTION("""COMPUTED_VALUE"""),121.0)</f>
        <v>121</v>
      </c>
      <c r="G157" s="1" t="str">
        <f>IFERROR(__xludf.DUMMYFUNCTION("""COMPUTED_VALUE"""),"Box Score")</f>
        <v>Box Score</v>
      </c>
      <c r="H157" s="1"/>
      <c r="I157" s="3">
        <f>IFERROR(__xludf.DUMMYFUNCTION("""COMPUTED_VALUE"""),18119.0)</f>
        <v>18119</v>
      </c>
      <c r="J157" s="1"/>
    </row>
    <row r="158" ht="15.75" customHeight="1">
      <c r="A158" s="2">
        <f>IFERROR(__xludf.DUMMYFUNCTION("""COMPUTED_VALUE"""),43524.0)</f>
        <v>43524</v>
      </c>
      <c r="B158" s="1" t="str">
        <f>IFERROR(__xludf.DUMMYFUNCTION("""COMPUTED_VALUE"""),"8:00p")</f>
        <v>8:00p</v>
      </c>
      <c r="C158" s="1" t="str">
        <f>IFERROR(__xludf.DUMMYFUNCTION("""COMPUTED_VALUE"""),"Philadelphia 76ers")</f>
        <v>Philadelphia 76ers</v>
      </c>
      <c r="D158" s="1">
        <f>IFERROR(__xludf.DUMMYFUNCTION("""COMPUTED_VALUE"""),108.0)</f>
        <v>108</v>
      </c>
      <c r="E158" s="1" t="str">
        <f>IFERROR(__xludf.DUMMYFUNCTION("""COMPUTED_VALUE"""),"Oklahoma City Thunder")</f>
        <v>Oklahoma City Thunder</v>
      </c>
      <c r="F158" s="1">
        <f>IFERROR(__xludf.DUMMYFUNCTION("""COMPUTED_VALUE"""),104.0)</f>
        <v>104</v>
      </c>
      <c r="G158" s="1" t="str">
        <f>IFERROR(__xludf.DUMMYFUNCTION("""COMPUTED_VALUE"""),"Box Score")</f>
        <v>Box Score</v>
      </c>
      <c r="H158" s="1"/>
      <c r="I158" s="3">
        <f>IFERROR(__xludf.DUMMYFUNCTION("""COMPUTED_VALUE"""),18203.0)</f>
        <v>18203</v>
      </c>
      <c r="J158" s="1"/>
    </row>
    <row r="159" ht="15.75" customHeight="1">
      <c r="A159" s="2">
        <f>IFERROR(__xludf.DUMMYFUNCTION("""COMPUTED_VALUE"""),43524.0)</f>
        <v>43524</v>
      </c>
      <c r="B159" s="1" t="str">
        <f>IFERROR(__xludf.DUMMYFUNCTION("""COMPUTED_VALUE"""),"10:30p")</f>
        <v>10:30p</v>
      </c>
      <c r="C159" s="1" t="str">
        <f>IFERROR(__xludf.DUMMYFUNCTION("""COMPUTED_VALUE"""),"Utah Jazz")</f>
        <v>Utah Jazz</v>
      </c>
      <c r="D159" s="1">
        <f>IFERROR(__xludf.DUMMYFUNCTION("""COMPUTED_VALUE"""),111.0)</f>
        <v>111</v>
      </c>
      <c r="E159" s="1" t="str">
        <f>IFERROR(__xludf.DUMMYFUNCTION("""COMPUTED_VALUE"""),"Denver Nuggets")</f>
        <v>Denver Nuggets</v>
      </c>
      <c r="F159" s="1">
        <f>IFERROR(__xludf.DUMMYFUNCTION("""COMPUTED_VALUE"""),104.0)</f>
        <v>104</v>
      </c>
      <c r="G159" s="1" t="str">
        <f>IFERROR(__xludf.DUMMYFUNCTION("""COMPUTED_VALUE"""),"Box Score")</f>
        <v>Box Score</v>
      </c>
      <c r="H159" s="1"/>
      <c r="I159" s="3">
        <f>IFERROR(__xludf.DUMMYFUNCTION("""COMPUTED_VALUE"""),19520.0)</f>
        <v>19520</v>
      </c>
      <c r="J159" s="1"/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tr">
        <f>IFERROR(__xludf.DUMMYFUNCTION("IMPORTHTML(""https://www.basketball-reference.com/leagues/NBA_2019_games-march.html"",""table"",1)
"),"Date")</f>
        <v>Date</v>
      </c>
      <c r="B1" s="1" t="str">
        <f>IFERROR(__xludf.DUMMYFUNCTION("""COMPUTED_VALUE"""),"Start (ET)")</f>
        <v>Start (ET)</v>
      </c>
      <c r="C1" s="1" t="str">
        <f>IFERROR(__xludf.DUMMYFUNCTION("""COMPUTED_VALUE"""),"Visitor/Neutral")</f>
        <v>Visitor/Neutral</v>
      </c>
      <c r="D1" s="1" t="str">
        <f>IFERROR(__xludf.DUMMYFUNCTION("""COMPUTED_VALUE"""),"PTS")</f>
        <v>PTS</v>
      </c>
      <c r="E1" s="1" t="str">
        <f>IFERROR(__xludf.DUMMYFUNCTION("""COMPUTED_VALUE"""),"Home/Neutral")</f>
        <v>Home/Neutral</v>
      </c>
      <c r="F1" s="1" t="str">
        <f>IFERROR(__xludf.DUMMYFUNCTION("""COMPUTED_VALUE"""),"PTS")</f>
        <v>PTS</v>
      </c>
      <c r="G1" s="1"/>
      <c r="H1" s="1"/>
      <c r="I1" s="1" t="str">
        <f>IFERROR(__xludf.DUMMYFUNCTION("""COMPUTED_VALUE"""),"Attend.")</f>
        <v>Attend.</v>
      </c>
      <c r="J1" s="1" t="str">
        <f>IFERROR(__xludf.DUMMYFUNCTION("""COMPUTED_VALUE"""),"Notes")</f>
        <v>Notes</v>
      </c>
    </row>
    <row r="2" ht="15.75" customHeight="1">
      <c r="A2" s="2">
        <f>IFERROR(__xludf.DUMMYFUNCTION("""COMPUTED_VALUE"""),43525.0)</f>
        <v>43525</v>
      </c>
      <c r="B2" s="1" t="str">
        <f>IFERROR(__xludf.DUMMYFUNCTION("""COMPUTED_VALUE"""),"7:30p")</f>
        <v>7:30p</v>
      </c>
      <c r="C2" s="1" t="str">
        <f>IFERROR(__xludf.DUMMYFUNCTION("""COMPUTED_VALUE"""),"Chicago Bulls")</f>
        <v>Chicago Bulls</v>
      </c>
      <c r="D2" s="1">
        <f>IFERROR(__xludf.DUMMYFUNCTION("""COMPUTED_VALUE"""),168.0)</f>
        <v>168</v>
      </c>
      <c r="E2" s="1" t="str">
        <f>IFERROR(__xludf.DUMMYFUNCTION("""COMPUTED_VALUE"""),"Atlanta Hawks")</f>
        <v>Atlanta Hawks</v>
      </c>
      <c r="F2" s="1">
        <f>IFERROR(__xludf.DUMMYFUNCTION("""COMPUTED_VALUE"""),161.0)</f>
        <v>161</v>
      </c>
      <c r="G2" s="1" t="str">
        <f>IFERROR(__xludf.DUMMYFUNCTION("""COMPUTED_VALUE"""),"Box Score")</f>
        <v>Box Score</v>
      </c>
      <c r="H2" s="1" t="str">
        <f>IFERROR(__xludf.DUMMYFUNCTION("""COMPUTED_VALUE"""),"4OT")</f>
        <v>4OT</v>
      </c>
      <c r="I2" s="3">
        <f>IFERROR(__xludf.DUMMYFUNCTION("""COMPUTED_VALUE"""),15267.0)</f>
        <v>15267</v>
      </c>
      <c r="J2" s="1"/>
    </row>
    <row r="3" ht="15.75" customHeight="1">
      <c r="A3" s="2">
        <f>IFERROR(__xludf.DUMMYFUNCTION("""COMPUTED_VALUE"""),43525.0)</f>
        <v>43525</v>
      </c>
      <c r="B3" s="1" t="str">
        <f>IFERROR(__xludf.DUMMYFUNCTION("""COMPUTED_VALUE"""),"7:30p")</f>
        <v>7:30p</v>
      </c>
      <c r="C3" s="1" t="str">
        <f>IFERROR(__xludf.DUMMYFUNCTION("""COMPUTED_VALUE"""),"Charlotte Hornets")</f>
        <v>Charlotte Hornets</v>
      </c>
      <c r="D3" s="1">
        <f>IFERROR(__xludf.DUMMYFUNCTION("""COMPUTED_VALUE"""),123.0)</f>
        <v>123</v>
      </c>
      <c r="E3" s="1" t="str">
        <f>IFERROR(__xludf.DUMMYFUNCTION("""COMPUTED_VALUE"""),"Brooklyn Nets")</f>
        <v>Brooklyn Nets</v>
      </c>
      <c r="F3" s="1">
        <f>IFERROR(__xludf.DUMMYFUNCTION("""COMPUTED_VALUE"""),112.0)</f>
        <v>112</v>
      </c>
      <c r="G3" s="1" t="str">
        <f>IFERROR(__xludf.DUMMYFUNCTION("""COMPUTED_VALUE"""),"Box Score")</f>
        <v>Box Score</v>
      </c>
      <c r="H3" s="1"/>
      <c r="I3" s="3">
        <f>IFERROR(__xludf.DUMMYFUNCTION("""COMPUTED_VALUE"""),15578.0)</f>
        <v>15578</v>
      </c>
      <c r="J3" s="1"/>
    </row>
    <row r="4" ht="15.75" customHeight="1">
      <c r="A4" s="2">
        <f>IFERROR(__xludf.DUMMYFUNCTION("""COMPUTED_VALUE"""),43525.0)</f>
        <v>43525</v>
      </c>
      <c r="B4" s="1" t="str">
        <f>IFERROR(__xludf.DUMMYFUNCTION("""COMPUTED_VALUE"""),"8:00p")</f>
        <v>8:00p</v>
      </c>
      <c r="C4" s="1" t="str">
        <f>IFERROR(__xludf.DUMMYFUNCTION("""COMPUTED_VALUE"""),"Washington Wizards")</f>
        <v>Washington Wizards</v>
      </c>
      <c r="D4" s="1">
        <f>IFERROR(__xludf.DUMMYFUNCTION("""COMPUTED_VALUE"""),96.0)</f>
        <v>96</v>
      </c>
      <c r="E4" s="1" t="str">
        <f>IFERROR(__xludf.DUMMYFUNCTION("""COMPUTED_VALUE"""),"Boston Celtics")</f>
        <v>Boston Celtics</v>
      </c>
      <c r="F4" s="1">
        <f>IFERROR(__xludf.DUMMYFUNCTION("""COMPUTED_VALUE"""),107.0)</f>
        <v>107</v>
      </c>
      <c r="G4" s="1" t="str">
        <f>IFERROR(__xludf.DUMMYFUNCTION("""COMPUTED_VALUE"""),"Box Score")</f>
        <v>Box Score</v>
      </c>
      <c r="H4" s="1"/>
      <c r="I4" s="3">
        <f>IFERROR(__xludf.DUMMYFUNCTION("""COMPUTED_VALUE"""),18624.0)</f>
        <v>18624</v>
      </c>
      <c r="J4" s="1"/>
    </row>
    <row r="5" ht="15.75" customHeight="1">
      <c r="A5" s="2">
        <f>IFERROR(__xludf.DUMMYFUNCTION("""COMPUTED_VALUE"""),43525.0)</f>
        <v>43525</v>
      </c>
      <c r="B5" s="1" t="str">
        <f>IFERROR(__xludf.DUMMYFUNCTION("""COMPUTED_VALUE"""),"8:00p")</f>
        <v>8:00p</v>
      </c>
      <c r="C5" s="1" t="str">
        <f>IFERROR(__xludf.DUMMYFUNCTION("""COMPUTED_VALUE"""),"Portland Trail Blazers")</f>
        <v>Portland Trail Blazers</v>
      </c>
      <c r="D5" s="1">
        <f>IFERROR(__xludf.DUMMYFUNCTION("""COMPUTED_VALUE"""),117.0)</f>
        <v>117</v>
      </c>
      <c r="E5" s="1" t="str">
        <f>IFERROR(__xludf.DUMMYFUNCTION("""COMPUTED_VALUE"""),"Toronto Raptors")</f>
        <v>Toronto Raptors</v>
      </c>
      <c r="F5" s="1">
        <f>IFERROR(__xludf.DUMMYFUNCTION("""COMPUTED_VALUE"""),119.0)</f>
        <v>119</v>
      </c>
      <c r="G5" s="1" t="str">
        <f>IFERROR(__xludf.DUMMYFUNCTION("""COMPUTED_VALUE"""),"Box Score")</f>
        <v>Box Score</v>
      </c>
      <c r="H5" s="1"/>
      <c r="I5" s="3">
        <f>IFERROR(__xludf.DUMMYFUNCTION("""COMPUTED_VALUE"""),19800.0)</f>
        <v>19800</v>
      </c>
      <c r="J5" s="1"/>
    </row>
    <row r="6" ht="15.75" customHeight="1">
      <c r="A6" s="2">
        <f>IFERROR(__xludf.DUMMYFUNCTION("""COMPUTED_VALUE"""),43525.0)</f>
        <v>43525</v>
      </c>
      <c r="B6" s="1" t="str">
        <f>IFERROR(__xludf.DUMMYFUNCTION("""COMPUTED_VALUE"""),"9:00p")</f>
        <v>9:00p</v>
      </c>
      <c r="C6" s="1" t="str">
        <f>IFERROR(__xludf.DUMMYFUNCTION("""COMPUTED_VALUE"""),"New Orleans Pelicans")</f>
        <v>New Orleans Pelicans</v>
      </c>
      <c r="D6" s="1">
        <f>IFERROR(__xludf.DUMMYFUNCTION("""COMPUTED_VALUE"""),130.0)</f>
        <v>130</v>
      </c>
      <c r="E6" s="1" t="str">
        <f>IFERROR(__xludf.DUMMYFUNCTION("""COMPUTED_VALUE"""),"Phoenix Suns")</f>
        <v>Phoenix Suns</v>
      </c>
      <c r="F6" s="1">
        <f>IFERROR(__xludf.DUMMYFUNCTION("""COMPUTED_VALUE"""),116.0)</f>
        <v>116</v>
      </c>
      <c r="G6" s="1" t="str">
        <f>IFERROR(__xludf.DUMMYFUNCTION("""COMPUTED_VALUE"""),"Box Score")</f>
        <v>Box Score</v>
      </c>
      <c r="H6" s="1"/>
      <c r="I6" s="3">
        <f>IFERROR(__xludf.DUMMYFUNCTION("""COMPUTED_VALUE"""),14123.0)</f>
        <v>14123</v>
      </c>
      <c r="J6" s="1"/>
    </row>
    <row r="7" ht="15.75" customHeight="1">
      <c r="A7" s="2">
        <f>IFERROR(__xludf.DUMMYFUNCTION("""COMPUTED_VALUE"""),43525.0)</f>
        <v>43525</v>
      </c>
      <c r="B7" s="1" t="str">
        <f>IFERROR(__xludf.DUMMYFUNCTION("""COMPUTED_VALUE"""),"10:00p")</f>
        <v>10:00p</v>
      </c>
      <c r="C7" s="1" t="str">
        <f>IFERROR(__xludf.DUMMYFUNCTION("""COMPUTED_VALUE"""),"Los Angeles Clippers")</f>
        <v>Los Angeles Clippers</v>
      </c>
      <c r="D7" s="1">
        <f>IFERROR(__xludf.DUMMYFUNCTION("""COMPUTED_VALUE"""),116.0)</f>
        <v>116</v>
      </c>
      <c r="E7" s="1" t="str">
        <f>IFERROR(__xludf.DUMMYFUNCTION("""COMPUTED_VALUE"""),"Sacramento Kings")</f>
        <v>Sacramento Kings</v>
      </c>
      <c r="F7" s="1">
        <f>IFERROR(__xludf.DUMMYFUNCTION("""COMPUTED_VALUE"""),109.0)</f>
        <v>109</v>
      </c>
      <c r="G7" s="1" t="str">
        <f>IFERROR(__xludf.DUMMYFUNCTION("""COMPUTED_VALUE"""),"Box Score")</f>
        <v>Box Score</v>
      </c>
      <c r="H7" s="1"/>
      <c r="I7" s="3">
        <f>IFERROR(__xludf.DUMMYFUNCTION("""COMPUTED_VALUE"""),17583.0)</f>
        <v>17583</v>
      </c>
      <c r="J7" s="1"/>
    </row>
    <row r="8" ht="15.75" customHeight="1">
      <c r="A8" s="2">
        <f>IFERROR(__xludf.DUMMYFUNCTION("""COMPUTED_VALUE"""),43525.0)</f>
        <v>43525</v>
      </c>
      <c r="B8" s="1" t="str">
        <f>IFERROR(__xludf.DUMMYFUNCTION("""COMPUTED_VALUE"""),"10:30p")</f>
        <v>10:30p</v>
      </c>
      <c r="C8" s="1" t="str">
        <f>IFERROR(__xludf.DUMMYFUNCTION("""COMPUTED_VALUE"""),"Milwaukee Bucks")</f>
        <v>Milwaukee Bucks</v>
      </c>
      <c r="D8" s="1">
        <f>IFERROR(__xludf.DUMMYFUNCTION("""COMPUTED_VALUE"""),131.0)</f>
        <v>131</v>
      </c>
      <c r="E8" s="1" t="str">
        <f>IFERROR(__xludf.DUMMYFUNCTION("""COMPUTED_VALUE"""),"Los Angeles Lakers")</f>
        <v>Los Angeles Lakers</v>
      </c>
      <c r="F8" s="1">
        <f>IFERROR(__xludf.DUMMYFUNCTION("""COMPUTED_VALUE"""),120.0)</f>
        <v>120</v>
      </c>
      <c r="G8" s="1" t="str">
        <f>IFERROR(__xludf.DUMMYFUNCTION("""COMPUTED_VALUE"""),"Box Score")</f>
        <v>Box Score</v>
      </c>
      <c r="H8" s="1"/>
      <c r="I8" s="3">
        <f>IFERROR(__xludf.DUMMYFUNCTION("""COMPUTED_VALUE"""),18997.0)</f>
        <v>18997</v>
      </c>
      <c r="J8" s="1"/>
    </row>
    <row r="9" ht="15.75" customHeight="1">
      <c r="A9" s="2">
        <f>IFERROR(__xludf.DUMMYFUNCTION("""COMPUTED_VALUE"""),43526.0)</f>
        <v>43526</v>
      </c>
      <c r="B9" s="1" t="str">
        <f>IFERROR(__xludf.DUMMYFUNCTION("""COMPUTED_VALUE"""),"5:00p")</f>
        <v>5:00p</v>
      </c>
      <c r="C9" s="1" t="str">
        <f>IFERROR(__xludf.DUMMYFUNCTION("""COMPUTED_VALUE"""),"Detroit Pistons")</f>
        <v>Detroit Pistons</v>
      </c>
      <c r="D9" s="1">
        <f>IFERROR(__xludf.DUMMYFUNCTION("""COMPUTED_VALUE"""),129.0)</f>
        <v>129</v>
      </c>
      <c r="E9" s="1" t="str">
        <f>IFERROR(__xludf.DUMMYFUNCTION("""COMPUTED_VALUE"""),"Cleveland Cavaliers")</f>
        <v>Cleveland Cavaliers</v>
      </c>
      <c r="F9" s="1">
        <f>IFERROR(__xludf.DUMMYFUNCTION("""COMPUTED_VALUE"""),93.0)</f>
        <v>93</v>
      </c>
      <c r="G9" s="1" t="str">
        <f>IFERROR(__xludf.DUMMYFUNCTION("""COMPUTED_VALUE"""),"Box Score")</f>
        <v>Box Score</v>
      </c>
      <c r="H9" s="1"/>
      <c r="I9" s="3">
        <f>IFERROR(__xludf.DUMMYFUNCTION("""COMPUTED_VALUE"""),19432.0)</f>
        <v>19432</v>
      </c>
      <c r="J9" s="1"/>
    </row>
    <row r="10" ht="15.75" customHeight="1">
      <c r="A10" s="2">
        <f>IFERROR(__xludf.DUMMYFUNCTION("""COMPUTED_VALUE"""),43526.0)</f>
        <v>43526</v>
      </c>
      <c r="B10" s="1" t="str">
        <f>IFERROR(__xludf.DUMMYFUNCTION("""COMPUTED_VALUE"""),"7:00p")</f>
        <v>7:00p</v>
      </c>
      <c r="C10" s="1" t="str">
        <f>IFERROR(__xludf.DUMMYFUNCTION("""COMPUTED_VALUE"""),"Orlando Magic")</f>
        <v>Orlando Magic</v>
      </c>
      <c r="D10" s="1">
        <f>IFERROR(__xludf.DUMMYFUNCTION("""COMPUTED_VALUE"""),117.0)</f>
        <v>117</v>
      </c>
      <c r="E10" s="1" t="str">
        <f>IFERROR(__xludf.DUMMYFUNCTION("""COMPUTED_VALUE"""),"Indiana Pacers")</f>
        <v>Indiana Pacers</v>
      </c>
      <c r="F10" s="1">
        <f>IFERROR(__xludf.DUMMYFUNCTION("""COMPUTED_VALUE"""),112.0)</f>
        <v>112</v>
      </c>
      <c r="G10" s="1" t="str">
        <f>IFERROR(__xludf.DUMMYFUNCTION("""COMPUTED_VALUE"""),"Box Score")</f>
        <v>Box Score</v>
      </c>
      <c r="H10" s="1"/>
      <c r="I10" s="3">
        <f>IFERROR(__xludf.DUMMYFUNCTION("""COMPUTED_VALUE"""),17923.0)</f>
        <v>17923</v>
      </c>
      <c r="J10" s="1"/>
    </row>
    <row r="11" ht="15.75" customHeight="1">
      <c r="A11" s="2">
        <f>IFERROR(__xludf.DUMMYFUNCTION("""COMPUTED_VALUE"""),43526.0)</f>
        <v>43526</v>
      </c>
      <c r="B11" s="1" t="str">
        <f>IFERROR(__xludf.DUMMYFUNCTION("""COMPUTED_VALUE"""),"7:30p")</f>
        <v>7:30p</v>
      </c>
      <c r="C11" s="1" t="str">
        <f>IFERROR(__xludf.DUMMYFUNCTION("""COMPUTED_VALUE"""),"Brooklyn Nets")</f>
        <v>Brooklyn Nets</v>
      </c>
      <c r="D11" s="1">
        <f>IFERROR(__xludf.DUMMYFUNCTION("""COMPUTED_VALUE"""),88.0)</f>
        <v>88</v>
      </c>
      <c r="E11" s="1" t="str">
        <f>IFERROR(__xludf.DUMMYFUNCTION("""COMPUTED_VALUE"""),"Miami Heat")</f>
        <v>Miami Heat</v>
      </c>
      <c r="F11" s="1">
        <f>IFERROR(__xludf.DUMMYFUNCTION("""COMPUTED_VALUE"""),117.0)</f>
        <v>117</v>
      </c>
      <c r="G11" s="1" t="str">
        <f>IFERROR(__xludf.DUMMYFUNCTION("""COMPUTED_VALUE"""),"Box Score")</f>
        <v>Box Score</v>
      </c>
      <c r="H11" s="1"/>
      <c r="I11" s="3">
        <f>IFERROR(__xludf.DUMMYFUNCTION("""COMPUTED_VALUE"""),19600.0)</f>
        <v>19600</v>
      </c>
      <c r="J11" s="1"/>
    </row>
    <row r="12" ht="15.75" customHeight="1">
      <c r="A12" s="2">
        <f>IFERROR(__xludf.DUMMYFUNCTION("""COMPUTED_VALUE"""),43526.0)</f>
        <v>43526</v>
      </c>
      <c r="B12" s="1" t="str">
        <f>IFERROR(__xludf.DUMMYFUNCTION("""COMPUTED_VALUE"""),"8:30p")</f>
        <v>8:30p</v>
      </c>
      <c r="C12" s="1" t="str">
        <f>IFERROR(__xludf.DUMMYFUNCTION("""COMPUTED_VALUE"""),"Memphis Grizzlies")</f>
        <v>Memphis Grizzlies</v>
      </c>
      <c r="D12" s="1">
        <f>IFERROR(__xludf.DUMMYFUNCTION("""COMPUTED_VALUE"""),111.0)</f>
        <v>111</v>
      </c>
      <c r="E12" s="1" t="str">
        <f>IFERROR(__xludf.DUMMYFUNCTION("""COMPUTED_VALUE"""),"Dallas Mavericks")</f>
        <v>Dallas Mavericks</v>
      </c>
      <c r="F12" s="1">
        <f>IFERROR(__xludf.DUMMYFUNCTION("""COMPUTED_VALUE"""),81.0)</f>
        <v>81</v>
      </c>
      <c r="G12" s="1" t="str">
        <f>IFERROR(__xludf.DUMMYFUNCTION("""COMPUTED_VALUE"""),"Box Score")</f>
        <v>Box Score</v>
      </c>
      <c r="H12" s="1"/>
      <c r="I12" s="3">
        <f>IFERROR(__xludf.DUMMYFUNCTION("""COMPUTED_VALUE"""),20233.0)</f>
        <v>20233</v>
      </c>
      <c r="J12" s="1"/>
    </row>
    <row r="13" ht="15.75" customHeight="1">
      <c r="A13" s="2">
        <f>IFERROR(__xludf.DUMMYFUNCTION("""COMPUTED_VALUE"""),43526.0)</f>
        <v>43526</v>
      </c>
      <c r="B13" s="1" t="str">
        <f>IFERROR(__xludf.DUMMYFUNCTION("""COMPUTED_VALUE"""),"8:30p")</f>
        <v>8:30p</v>
      </c>
      <c r="C13" s="1" t="str">
        <f>IFERROR(__xludf.DUMMYFUNCTION("""COMPUTED_VALUE"""),"Golden State Warriors")</f>
        <v>Golden State Warriors</v>
      </c>
      <c r="D13" s="1">
        <f>IFERROR(__xludf.DUMMYFUNCTION("""COMPUTED_VALUE"""),120.0)</f>
        <v>120</v>
      </c>
      <c r="E13" s="1" t="str">
        <f>IFERROR(__xludf.DUMMYFUNCTION("""COMPUTED_VALUE"""),"Philadelphia 76ers")</f>
        <v>Philadelphia 76ers</v>
      </c>
      <c r="F13" s="1">
        <f>IFERROR(__xludf.DUMMYFUNCTION("""COMPUTED_VALUE"""),117.0)</f>
        <v>117</v>
      </c>
      <c r="G13" s="1" t="str">
        <f>IFERROR(__xludf.DUMMYFUNCTION("""COMPUTED_VALUE"""),"Box Score")</f>
        <v>Box Score</v>
      </c>
      <c r="H13" s="1"/>
      <c r="I13" s="3">
        <f>IFERROR(__xludf.DUMMYFUNCTION("""COMPUTED_VALUE"""),20624.0)</f>
        <v>20624</v>
      </c>
      <c r="J13" s="1"/>
    </row>
    <row r="14" ht="15.75" customHeight="1">
      <c r="A14" s="2">
        <f>IFERROR(__xludf.DUMMYFUNCTION("""COMPUTED_VALUE"""),43526.0)</f>
        <v>43526</v>
      </c>
      <c r="B14" s="1" t="str">
        <f>IFERROR(__xludf.DUMMYFUNCTION("""COMPUTED_VALUE"""),"8:30p")</f>
        <v>8:30p</v>
      </c>
      <c r="C14" s="1" t="str">
        <f>IFERROR(__xludf.DUMMYFUNCTION("""COMPUTED_VALUE"""),"Oklahoma City Thunder")</f>
        <v>Oklahoma City Thunder</v>
      </c>
      <c r="D14" s="1">
        <f>IFERROR(__xludf.DUMMYFUNCTION("""COMPUTED_VALUE"""),102.0)</f>
        <v>102</v>
      </c>
      <c r="E14" s="1" t="str">
        <f>IFERROR(__xludf.DUMMYFUNCTION("""COMPUTED_VALUE"""),"San Antonio Spurs")</f>
        <v>San Antonio Spurs</v>
      </c>
      <c r="F14" s="1">
        <f>IFERROR(__xludf.DUMMYFUNCTION("""COMPUTED_VALUE"""),116.0)</f>
        <v>116</v>
      </c>
      <c r="G14" s="1" t="str">
        <f>IFERROR(__xludf.DUMMYFUNCTION("""COMPUTED_VALUE"""),"Box Score")</f>
        <v>Box Score</v>
      </c>
      <c r="H14" s="1"/>
      <c r="I14" s="3">
        <f>IFERROR(__xludf.DUMMYFUNCTION("""COMPUTED_VALUE"""),18439.0)</f>
        <v>18439</v>
      </c>
      <c r="J14" s="1"/>
    </row>
    <row r="15" ht="15.75" customHeight="1">
      <c r="A15" s="2">
        <f>IFERROR(__xludf.DUMMYFUNCTION("""COMPUTED_VALUE"""),43526.0)</f>
        <v>43526</v>
      </c>
      <c r="B15" s="1" t="str">
        <f>IFERROR(__xludf.DUMMYFUNCTION("""COMPUTED_VALUE"""),"9:00p")</f>
        <v>9:00p</v>
      </c>
      <c r="C15" s="1" t="str">
        <f>IFERROR(__xludf.DUMMYFUNCTION("""COMPUTED_VALUE"""),"New Orleans Pelicans")</f>
        <v>New Orleans Pelicans</v>
      </c>
      <c r="D15" s="1">
        <f>IFERROR(__xludf.DUMMYFUNCTION("""COMPUTED_VALUE"""),120.0)</f>
        <v>120</v>
      </c>
      <c r="E15" s="1" t="str">
        <f>IFERROR(__xludf.DUMMYFUNCTION("""COMPUTED_VALUE"""),"Denver Nuggets")</f>
        <v>Denver Nuggets</v>
      </c>
      <c r="F15" s="1">
        <f>IFERROR(__xludf.DUMMYFUNCTION("""COMPUTED_VALUE"""),112.0)</f>
        <v>112</v>
      </c>
      <c r="G15" s="1" t="str">
        <f>IFERROR(__xludf.DUMMYFUNCTION("""COMPUTED_VALUE"""),"Box Score")</f>
        <v>Box Score</v>
      </c>
      <c r="H15" s="1"/>
      <c r="I15" s="3">
        <f>IFERROR(__xludf.DUMMYFUNCTION("""COMPUTED_VALUE"""),19978.0)</f>
        <v>19978</v>
      </c>
      <c r="J15" s="1"/>
    </row>
    <row r="16" ht="15.75" customHeight="1">
      <c r="A16" s="2">
        <f>IFERROR(__xludf.DUMMYFUNCTION("""COMPUTED_VALUE"""),43526.0)</f>
        <v>43526</v>
      </c>
      <c r="B16" s="1" t="str">
        <f>IFERROR(__xludf.DUMMYFUNCTION("""COMPUTED_VALUE"""),"9:00p")</f>
        <v>9:00p</v>
      </c>
      <c r="C16" s="1" t="str">
        <f>IFERROR(__xludf.DUMMYFUNCTION("""COMPUTED_VALUE"""),"Los Angeles Lakers")</f>
        <v>Los Angeles Lakers</v>
      </c>
      <c r="D16" s="1">
        <f>IFERROR(__xludf.DUMMYFUNCTION("""COMPUTED_VALUE"""),109.0)</f>
        <v>109</v>
      </c>
      <c r="E16" s="1" t="str">
        <f>IFERROR(__xludf.DUMMYFUNCTION("""COMPUTED_VALUE"""),"Phoenix Suns")</f>
        <v>Phoenix Suns</v>
      </c>
      <c r="F16" s="1">
        <f>IFERROR(__xludf.DUMMYFUNCTION("""COMPUTED_VALUE"""),118.0)</f>
        <v>118</v>
      </c>
      <c r="G16" s="1" t="str">
        <f>IFERROR(__xludf.DUMMYFUNCTION("""COMPUTED_VALUE"""),"Box Score")</f>
        <v>Box Score</v>
      </c>
      <c r="H16" s="1"/>
      <c r="I16" s="3">
        <f>IFERROR(__xludf.DUMMYFUNCTION("""COMPUTED_VALUE"""),18055.0)</f>
        <v>18055</v>
      </c>
      <c r="J16" s="1"/>
    </row>
    <row r="17" ht="15.75" customHeight="1">
      <c r="A17" s="2">
        <f>IFERROR(__xludf.DUMMYFUNCTION("""COMPUTED_VALUE"""),43526.0)</f>
        <v>43526</v>
      </c>
      <c r="B17" s="1" t="str">
        <f>IFERROR(__xludf.DUMMYFUNCTION("""COMPUTED_VALUE"""),"9:00p")</f>
        <v>9:00p</v>
      </c>
      <c r="C17" s="1" t="str">
        <f>IFERROR(__xludf.DUMMYFUNCTION("""COMPUTED_VALUE"""),"Milwaukee Bucks")</f>
        <v>Milwaukee Bucks</v>
      </c>
      <c r="D17" s="1">
        <f>IFERROR(__xludf.DUMMYFUNCTION("""COMPUTED_VALUE"""),111.0)</f>
        <v>111</v>
      </c>
      <c r="E17" s="1" t="str">
        <f>IFERROR(__xludf.DUMMYFUNCTION("""COMPUTED_VALUE"""),"Utah Jazz")</f>
        <v>Utah Jazz</v>
      </c>
      <c r="F17" s="1">
        <f>IFERROR(__xludf.DUMMYFUNCTION("""COMPUTED_VALUE"""),115.0)</f>
        <v>115</v>
      </c>
      <c r="G17" s="1" t="str">
        <f>IFERROR(__xludf.DUMMYFUNCTION("""COMPUTED_VALUE"""),"Box Score")</f>
        <v>Box Score</v>
      </c>
      <c r="H17" s="1"/>
      <c r="I17" s="3">
        <f>IFERROR(__xludf.DUMMYFUNCTION("""COMPUTED_VALUE"""),18306.0)</f>
        <v>18306</v>
      </c>
      <c r="J17" s="1"/>
    </row>
    <row r="18" ht="15.75" customHeight="1">
      <c r="A18" s="2">
        <f>IFERROR(__xludf.DUMMYFUNCTION("""COMPUTED_VALUE"""),43527.0)</f>
        <v>43527</v>
      </c>
      <c r="B18" s="1" t="str">
        <f>IFERROR(__xludf.DUMMYFUNCTION("""COMPUTED_VALUE"""),"1:00p")</f>
        <v>1:00p</v>
      </c>
      <c r="C18" s="1" t="str">
        <f>IFERROR(__xludf.DUMMYFUNCTION("""COMPUTED_VALUE"""),"Portland Trail Blazers")</f>
        <v>Portland Trail Blazers</v>
      </c>
      <c r="D18" s="1">
        <f>IFERROR(__xludf.DUMMYFUNCTION("""COMPUTED_VALUE"""),118.0)</f>
        <v>118</v>
      </c>
      <c r="E18" s="1" t="str">
        <f>IFERROR(__xludf.DUMMYFUNCTION("""COMPUTED_VALUE"""),"Charlotte Hornets")</f>
        <v>Charlotte Hornets</v>
      </c>
      <c r="F18" s="1">
        <f>IFERROR(__xludf.DUMMYFUNCTION("""COMPUTED_VALUE"""),108.0)</f>
        <v>108</v>
      </c>
      <c r="G18" s="1" t="str">
        <f>IFERROR(__xludf.DUMMYFUNCTION("""COMPUTED_VALUE"""),"Box Score")</f>
        <v>Box Score</v>
      </c>
      <c r="H18" s="1"/>
      <c r="I18" s="3">
        <f>IFERROR(__xludf.DUMMYFUNCTION("""COMPUTED_VALUE"""),18355.0)</f>
        <v>18355</v>
      </c>
      <c r="J18" s="1"/>
    </row>
    <row r="19" ht="15.75" customHeight="1">
      <c r="A19" s="2">
        <f>IFERROR(__xludf.DUMMYFUNCTION("""COMPUTED_VALUE"""),43527.0)</f>
        <v>43527</v>
      </c>
      <c r="B19" s="1" t="str">
        <f>IFERROR(__xludf.DUMMYFUNCTION("""COMPUTED_VALUE"""),"3:30p")</f>
        <v>3:30p</v>
      </c>
      <c r="C19" s="1" t="str">
        <f>IFERROR(__xludf.DUMMYFUNCTION("""COMPUTED_VALUE"""),"Houston Rockets")</f>
        <v>Houston Rockets</v>
      </c>
      <c r="D19" s="1">
        <f>IFERROR(__xludf.DUMMYFUNCTION("""COMPUTED_VALUE"""),115.0)</f>
        <v>115</v>
      </c>
      <c r="E19" s="1" t="str">
        <f>IFERROR(__xludf.DUMMYFUNCTION("""COMPUTED_VALUE"""),"Boston Celtics")</f>
        <v>Boston Celtics</v>
      </c>
      <c r="F19" s="1">
        <f>IFERROR(__xludf.DUMMYFUNCTION("""COMPUTED_VALUE"""),104.0)</f>
        <v>104</v>
      </c>
      <c r="G19" s="1" t="str">
        <f>IFERROR(__xludf.DUMMYFUNCTION("""COMPUTED_VALUE"""),"Box Score")</f>
        <v>Box Score</v>
      </c>
      <c r="H19" s="1"/>
      <c r="I19" s="3">
        <f>IFERROR(__xludf.DUMMYFUNCTION("""COMPUTED_VALUE"""),18624.0)</f>
        <v>18624</v>
      </c>
      <c r="J19" s="1"/>
    </row>
    <row r="20" ht="15.75" customHeight="1">
      <c r="A20" s="2">
        <f>IFERROR(__xludf.DUMMYFUNCTION("""COMPUTED_VALUE"""),43527.0)</f>
        <v>43527</v>
      </c>
      <c r="B20" s="1" t="str">
        <f>IFERROR(__xludf.DUMMYFUNCTION("""COMPUTED_VALUE"""),"3:30p")</f>
        <v>3:30p</v>
      </c>
      <c r="C20" s="1" t="str">
        <f>IFERROR(__xludf.DUMMYFUNCTION("""COMPUTED_VALUE"""),"Atlanta Hawks")</f>
        <v>Atlanta Hawks</v>
      </c>
      <c r="D20" s="1">
        <f>IFERROR(__xludf.DUMMYFUNCTION("""COMPUTED_VALUE"""),123.0)</f>
        <v>123</v>
      </c>
      <c r="E20" s="1" t="str">
        <f>IFERROR(__xludf.DUMMYFUNCTION("""COMPUTED_VALUE"""),"Chicago Bulls")</f>
        <v>Chicago Bulls</v>
      </c>
      <c r="F20" s="1">
        <f>IFERROR(__xludf.DUMMYFUNCTION("""COMPUTED_VALUE"""),118.0)</f>
        <v>118</v>
      </c>
      <c r="G20" s="1" t="str">
        <f>IFERROR(__xludf.DUMMYFUNCTION("""COMPUTED_VALUE"""),"Box Score")</f>
        <v>Box Score</v>
      </c>
      <c r="H20" s="1"/>
      <c r="I20" s="3">
        <f>IFERROR(__xludf.DUMMYFUNCTION("""COMPUTED_VALUE"""),20526.0)</f>
        <v>20526</v>
      </c>
      <c r="J20" s="1"/>
    </row>
    <row r="21" ht="15.75" customHeight="1">
      <c r="A21" s="2">
        <f>IFERROR(__xludf.DUMMYFUNCTION("""COMPUTED_VALUE"""),43527.0)</f>
        <v>43527</v>
      </c>
      <c r="B21" s="1" t="str">
        <f>IFERROR(__xludf.DUMMYFUNCTION("""COMPUTED_VALUE"""),"3:30p")</f>
        <v>3:30p</v>
      </c>
      <c r="C21" s="1" t="str">
        <f>IFERROR(__xludf.DUMMYFUNCTION("""COMPUTED_VALUE"""),"New York Knicks")</f>
        <v>New York Knicks</v>
      </c>
      <c r="D21" s="1">
        <f>IFERROR(__xludf.DUMMYFUNCTION("""COMPUTED_VALUE"""),107.0)</f>
        <v>107</v>
      </c>
      <c r="E21" s="1" t="str">
        <f>IFERROR(__xludf.DUMMYFUNCTION("""COMPUTED_VALUE"""),"Los Angeles Clippers")</f>
        <v>Los Angeles Clippers</v>
      </c>
      <c r="F21" s="1">
        <f>IFERROR(__xludf.DUMMYFUNCTION("""COMPUTED_VALUE"""),128.0)</f>
        <v>128</v>
      </c>
      <c r="G21" s="1" t="str">
        <f>IFERROR(__xludf.DUMMYFUNCTION("""COMPUTED_VALUE"""),"Box Score")</f>
        <v>Box Score</v>
      </c>
      <c r="H21" s="1"/>
      <c r="I21" s="3">
        <f>IFERROR(__xludf.DUMMYFUNCTION("""COMPUTED_VALUE"""),19068.0)</f>
        <v>19068</v>
      </c>
      <c r="J21" s="1"/>
    </row>
    <row r="22" ht="15.75" customHeight="1">
      <c r="A22" s="2">
        <f>IFERROR(__xludf.DUMMYFUNCTION("""COMPUTED_VALUE"""),43527.0)</f>
        <v>43527</v>
      </c>
      <c r="B22" s="1" t="str">
        <f>IFERROR(__xludf.DUMMYFUNCTION("""COMPUTED_VALUE"""),"6:00p")</f>
        <v>6:00p</v>
      </c>
      <c r="C22" s="1" t="str">
        <f>IFERROR(__xludf.DUMMYFUNCTION("""COMPUTED_VALUE"""),"Orlando Magic")</f>
        <v>Orlando Magic</v>
      </c>
      <c r="D22" s="1">
        <f>IFERROR(__xludf.DUMMYFUNCTION("""COMPUTED_VALUE"""),93.0)</f>
        <v>93</v>
      </c>
      <c r="E22" s="1" t="str">
        <f>IFERROR(__xludf.DUMMYFUNCTION("""COMPUTED_VALUE"""),"Cleveland Cavaliers")</f>
        <v>Cleveland Cavaliers</v>
      </c>
      <c r="F22" s="1">
        <f>IFERROR(__xludf.DUMMYFUNCTION("""COMPUTED_VALUE"""),107.0)</f>
        <v>107</v>
      </c>
      <c r="G22" s="1" t="str">
        <f>IFERROR(__xludf.DUMMYFUNCTION("""COMPUTED_VALUE"""),"Box Score")</f>
        <v>Box Score</v>
      </c>
      <c r="H22" s="1"/>
      <c r="I22" s="3">
        <f>IFERROR(__xludf.DUMMYFUNCTION("""COMPUTED_VALUE"""),19432.0)</f>
        <v>19432</v>
      </c>
      <c r="J22" s="1"/>
    </row>
    <row r="23" ht="15.75" customHeight="1">
      <c r="A23" s="2">
        <f>IFERROR(__xludf.DUMMYFUNCTION("""COMPUTED_VALUE"""),43527.0)</f>
        <v>43527</v>
      </c>
      <c r="B23" s="1" t="str">
        <f>IFERROR(__xludf.DUMMYFUNCTION("""COMPUTED_VALUE"""),"6:00p")</f>
        <v>6:00p</v>
      </c>
      <c r="C23" s="1" t="str">
        <f>IFERROR(__xludf.DUMMYFUNCTION("""COMPUTED_VALUE"""),"Toronto Raptors")</f>
        <v>Toronto Raptors</v>
      </c>
      <c r="D23" s="1">
        <f>IFERROR(__xludf.DUMMYFUNCTION("""COMPUTED_VALUE"""),107.0)</f>
        <v>107</v>
      </c>
      <c r="E23" s="1" t="str">
        <f>IFERROR(__xludf.DUMMYFUNCTION("""COMPUTED_VALUE"""),"Detroit Pistons")</f>
        <v>Detroit Pistons</v>
      </c>
      <c r="F23" s="1">
        <f>IFERROR(__xludf.DUMMYFUNCTION("""COMPUTED_VALUE"""),112.0)</f>
        <v>112</v>
      </c>
      <c r="G23" s="1" t="str">
        <f>IFERROR(__xludf.DUMMYFUNCTION("""COMPUTED_VALUE"""),"Box Score")</f>
        <v>Box Score</v>
      </c>
      <c r="H23" s="1" t="str">
        <f>IFERROR(__xludf.DUMMYFUNCTION("""COMPUTED_VALUE"""),"OT")</f>
        <v>OT</v>
      </c>
      <c r="I23" s="3">
        <f>IFERROR(__xludf.DUMMYFUNCTION("""COMPUTED_VALUE"""),19161.0)</f>
        <v>19161</v>
      </c>
      <c r="J23" s="1"/>
    </row>
    <row r="24" ht="15.75" customHeight="1">
      <c r="A24" s="2">
        <f>IFERROR(__xludf.DUMMYFUNCTION("""COMPUTED_VALUE"""),43527.0)</f>
        <v>43527</v>
      </c>
      <c r="B24" s="1" t="str">
        <f>IFERROR(__xludf.DUMMYFUNCTION("""COMPUTED_VALUE"""),"6:00p")</f>
        <v>6:00p</v>
      </c>
      <c r="C24" s="1" t="str">
        <f>IFERROR(__xludf.DUMMYFUNCTION("""COMPUTED_VALUE"""),"Minnesota Timberwolves")</f>
        <v>Minnesota Timberwolves</v>
      </c>
      <c r="D24" s="1">
        <f>IFERROR(__xludf.DUMMYFUNCTION("""COMPUTED_VALUE"""),121.0)</f>
        <v>121</v>
      </c>
      <c r="E24" s="1" t="str">
        <f>IFERROR(__xludf.DUMMYFUNCTION("""COMPUTED_VALUE"""),"Washington Wizards")</f>
        <v>Washington Wizards</v>
      </c>
      <c r="F24" s="1">
        <f>IFERROR(__xludf.DUMMYFUNCTION("""COMPUTED_VALUE"""),135.0)</f>
        <v>135</v>
      </c>
      <c r="G24" s="1" t="str">
        <f>IFERROR(__xludf.DUMMYFUNCTION("""COMPUTED_VALUE"""),"Box Score")</f>
        <v>Box Score</v>
      </c>
      <c r="H24" s="1"/>
      <c r="I24" s="3">
        <f>IFERROR(__xludf.DUMMYFUNCTION("""COMPUTED_VALUE"""),17869.0)</f>
        <v>17869</v>
      </c>
      <c r="J24" s="1"/>
    </row>
    <row r="25" ht="15.75" customHeight="1">
      <c r="A25" s="2">
        <f>IFERROR(__xludf.DUMMYFUNCTION("""COMPUTED_VALUE"""),43527.0)</f>
        <v>43527</v>
      </c>
      <c r="B25" s="1" t="str">
        <f>IFERROR(__xludf.DUMMYFUNCTION("""COMPUTED_VALUE"""),"7:00p")</f>
        <v>7:00p</v>
      </c>
      <c r="C25" s="1" t="str">
        <f>IFERROR(__xludf.DUMMYFUNCTION("""COMPUTED_VALUE"""),"Memphis Grizzlies")</f>
        <v>Memphis Grizzlies</v>
      </c>
      <c r="D25" s="1">
        <f>IFERROR(__xludf.DUMMYFUNCTION("""COMPUTED_VALUE"""),95.0)</f>
        <v>95</v>
      </c>
      <c r="E25" s="1" t="str">
        <f>IFERROR(__xludf.DUMMYFUNCTION("""COMPUTED_VALUE"""),"Oklahoma City Thunder")</f>
        <v>Oklahoma City Thunder</v>
      </c>
      <c r="F25" s="1">
        <f>IFERROR(__xludf.DUMMYFUNCTION("""COMPUTED_VALUE"""),99.0)</f>
        <v>99</v>
      </c>
      <c r="G25" s="1" t="str">
        <f>IFERROR(__xludf.DUMMYFUNCTION("""COMPUTED_VALUE"""),"Box Score")</f>
        <v>Box Score</v>
      </c>
      <c r="H25" s="1"/>
      <c r="I25" s="3">
        <f>IFERROR(__xludf.DUMMYFUNCTION("""COMPUTED_VALUE"""),18203.0)</f>
        <v>18203</v>
      </c>
      <c r="J25" s="1"/>
    </row>
    <row r="26" ht="15.75" customHeight="1">
      <c r="A26" s="2">
        <f>IFERROR(__xludf.DUMMYFUNCTION("""COMPUTED_VALUE"""),43528.0)</f>
        <v>43528</v>
      </c>
      <c r="B26" s="1" t="str">
        <f>IFERROR(__xludf.DUMMYFUNCTION("""COMPUTED_VALUE"""),"7:30p")</f>
        <v>7:30p</v>
      </c>
      <c r="C26" s="1" t="str">
        <f>IFERROR(__xludf.DUMMYFUNCTION("""COMPUTED_VALUE"""),"Dallas Mavericks")</f>
        <v>Dallas Mavericks</v>
      </c>
      <c r="D26" s="1">
        <f>IFERROR(__xludf.DUMMYFUNCTION("""COMPUTED_VALUE"""),88.0)</f>
        <v>88</v>
      </c>
      <c r="E26" s="1" t="str">
        <f>IFERROR(__xludf.DUMMYFUNCTION("""COMPUTED_VALUE"""),"Brooklyn Nets")</f>
        <v>Brooklyn Nets</v>
      </c>
      <c r="F26" s="1">
        <f>IFERROR(__xludf.DUMMYFUNCTION("""COMPUTED_VALUE"""),127.0)</f>
        <v>127</v>
      </c>
      <c r="G26" s="1" t="str">
        <f>IFERROR(__xludf.DUMMYFUNCTION("""COMPUTED_VALUE"""),"Box Score")</f>
        <v>Box Score</v>
      </c>
      <c r="H26" s="1"/>
      <c r="I26" s="3">
        <f>IFERROR(__xludf.DUMMYFUNCTION("""COMPUTED_VALUE"""),17064.0)</f>
        <v>17064</v>
      </c>
      <c r="J26" s="1"/>
    </row>
    <row r="27" ht="15.75" customHeight="1">
      <c r="A27" s="2">
        <f>IFERROR(__xludf.DUMMYFUNCTION("""COMPUTED_VALUE"""),43528.0)</f>
        <v>43528</v>
      </c>
      <c r="B27" s="1" t="str">
        <f>IFERROR(__xludf.DUMMYFUNCTION("""COMPUTED_VALUE"""),"7:30p")</f>
        <v>7:30p</v>
      </c>
      <c r="C27" s="1" t="str">
        <f>IFERROR(__xludf.DUMMYFUNCTION("""COMPUTED_VALUE"""),"Atlanta Hawks")</f>
        <v>Atlanta Hawks</v>
      </c>
      <c r="D27" s="1">
        <f>IFERROR(__xludf.DUMMYFUNCTION("""COMPUTED_VALUE"""),113.0)</f>
        <v>113</v>
      </c>
      <c r="E27" s="1" t="str">
        <f>IFERROR(__xludf.DUMMYFUNCTION("""COMPUTED_VALUE"""),"Miami Heat")</f>
        <v>Miami Heat</v>
      </c>
      <c r="F27" s="1">
        <f>IFERROR(__xludf.DUMMYFUNCTION("""COMPUTED_VALUE"""),114.0)</f>
        <v>114</v>
      </c>
      <c r="G27" s="1" t="str">
        <f>IFERROR(__xludf.DUMMYFUNCTION("""COMPUTED_VALUE"""),"Box Score")</f>
        <v>Box Score</v>
      </c>
      <c r="H27" s="1"/>
      <c r="I27" s="3">
        <f>IFERROR(__xludf.DUMMYFUNCTION("""COMPUTED_VALUE"""),19600.0)</f>
        <v>19600</v>
      </c>
      <c r="J27" s="1"/>
    </row>
    <row r="28" ht="15.75" customHeight="1">
      <c r="A28" s="2">
        <f>IFERROR(__xludf.DUMMYFUNCTION("""COMPUTED_VALUE"""),43528.0)</f>
        <v>43528</v>
      </c>
      <c r="B28" s="1" t="str">
        <f>IFERROR(__xludf.DUMMYFUNCTION("""COMPUTED_VALUE"""),"8:30p")</f>
        <v>8:30p</v>
      </c>
      <c r="C28" s="1" t="str">
        <f>IFERROR(__xludf.DUMMYFUNCTION("""COMPUTED_VALUE"""),"Denver Nuggets")</f>
        <v>Denver Nuggets</v>
      </c>
      <c r="D28" s="1">
        <f>IFERROR(__xludf.DUMMYFUNCTION("""COMPUTED_VALUE"""),103.0)</f>
        <v>103</v>
      </c>
      <c r="E28" s="1" t="str">
        <f>IFERROR(__xludf.DUMMYFUNCTION("""COMPUTED_VALUE"""),"San Antonio Spurs")</f>
        <v>San Antonio Spurs</v>
      </c>
      <c r="F28" s="1">
        <f>IFERROR(__xludf.DUMMYFUNCTION("""COMPUTED_VALUE"""),104.0)</f>
        <v>104</v>
      </c>
      <c r="G28" s="1" t="str">
        <f>IFERROR(__xludf.DUMMYFUNCTION("""COMPUTED_VALUE"""),"Box Score")</f>
        <v>Box Score</v>
      </c>
      <c r="H28" s="1"/>
      <c r="I28" s="3">
        <f>IFERROR(__xludf.DUMMYFUNCTION("""COMPUTED_VALUE"""),18354.0)</f>
        <v>18354</v>
      </c>
      <c r="J28" s="1"/>
    </row>
    <row r="29" ht="15.75" customHeight="1">
      <c r="A29" s="2">
        <f>IFERROR(__xludf.DUMMYFUNCTION("""COMPUTED_VALUE"""),43528.0)</f>
        <v>43528</v>
      </c>
      <c r="B29" s="1" t="str">
        <f>IFERROR(__xludf.DUMMYFUNCTION("""COMPUTED_VALUE"""),"9:00p")</f>
        <v>9:00p</v>
      </c>
      <c r="C29" s="1" t="str">
        <f>IFERROR(__xludf.DUMMYFUNCTION("""COMPUTED_VALUE"""),"Milwaukee Bucks")</f>
        <v>Milwaukee Bucks</v>
      </c>
      <c r="D29" s="1">
        <f>IFERROR(__xludf.DUMMYFUNCTION("""COMPUTED_VALUE"""),105.0)</f>
        <v>105</v>
      </c>
      <c r="E29" s="1" t="str">
        <f>IFERROR(__xludf.DUMMYFUNCTION("""COMPUTED_VALUE"""),"Phoenix Suns")</f>
        <v>Phoenix Suns</v>
      </c>
      <c r="F29" s="1">
        <f>IFERROR(__xludf.DUMMYFUNCTION("""COMPUTED_VALUE"""),114.0)</f>
        <v>114</v>
      </c>
      <c r="G29" s="1" t="str">
        <f>IFERROR(__xludf.DUMMYFUNCTION("""COMPUTED_VALUE"""),"Box Score")</f>
        <v>Box Score</v>
      </c>
      <c r="H29" s="1"/>
      <c r="I29" s="3">
        <f>IFERROR(__xludf.DUMMYFUNCTION("""COMPUTED_VALUE"""),18055.0)</f>
        <v>18055</v>
      </c>
      <c r="J29" s="1"/>
    </row>
    <row r="30" ht="15.75" customHeight="1">
      <c r="A30" s="2">
        <f>IFERROR(__xludf.DUMMYFUNCTION("""COMPUTED_VALUE"""),43528.0)</f>
        <v>43528</v>
      </c>
      <c r="B30" s="1" t="str">
        <f>IFERROR(__xludf.DUMMYFUNCTION("""COMPUTED_VALUE"""),"9:00p")</f>
        <v>9:00p</v>
      </c>
      <c r="C30" s="1" t="str">
        <f>IFERROR(__xludf.DUMMYFUNCTION("""COMPUTED_VALUE"""),"New Orleans Pelicans")</f>
        <v>New Orleans Pelicans</v>
      </c>
      <c r="D30" s="1">
        <f>IFERROR(__xludf.DUMMYFUNCTION("""COMPUTED_VALUE"""),115.0)</f>
        <v>115</v>
      </c>
      <c r="E30" s="1" t="str">
        <f>IFERROR(__xludf.DUMMYFUNCTION("""COMPUTED_VALUE"""),"Utah Jazz")</f>
        <v>Utah Jazz</v>
      </c>
      <c r="F30" s="1">
        <f>IFERROR(__xludf.DUMMYFUNCTION("""COMPUTED_VALUE"""),112.0)</f>
        <v>112</v>
      </c>
      <c r="G30" s="1" t="str">
        <f>IFERROR(__xludf.DUMMYFUNCTION("""COMPUTED_VALUE"""),"Box Score")</f>
        <v>Box Score</v>
      </c>
      <c r="H30" s="1"/>
      <c r="I30" s="3">
        <f>IFERROR(__xludf.DUMMYFUNCTION("""COMPUTED_VALUE"""),18306.0)</f>
        <v>18306</v>
      </c>
      <c r="J30" s="1"/>
    </row>
    <row r="31" ht="15.75" customHeight="1">
      <c r="A31" s="2">
        <f>IFERROR(__xludf.DUMMYFUNCTION("""COMPUTED_VALUE"""),43528.0)</f>
        <v>43528</v>
      </c>
      <c r="B31" s="1" t="str">
        <f>IFERROR(__xludf.DUMMYFUNCTION("""COMPUTED_VALUE"""),"10:00p")</f>
        <v>10:00p</v>
      </c>
      <c r="C31" s="1" t="str">
        <f>IFERROR(__xludf.DUMMYFUNCTION("""COMPUTED_VALUE"""),"New York Knicks")</f>
        <v>New York Knicks</v>
      </c>
      <c r="D31" s="1">
        <f>IFERROR(__xludf.DUMMYFUNCTION("""COMPUTED_VALUE"""),108.0)</f>
        <v>108</v>
      </c>
      <c r="E31" s="1" t="str">
        <f>IFERROR(__xludf.DUMMYFUNCTION("""COMPUTED_VALUE"""),"Sacramento Kings")</f>
        <v>Sacramento Kings</v>
      </c>
      <c r="F31" s="1">
        <f>IFERROR(__xludf.DUMMYFUNCTION("""COMPUTED_VALUE"""),115.0)</f>
        <v>115</v>
      </c>
      <c r="G31" s="1" t="str">
        <f>IFERROR(__xludf.DUMMYFUNCTION("""COMPUTED_VALUE"""),"Box Score")</f>
        <v>Box Score</v>
      </c>
      <c r="H31" s="1"/>
      <c r="I31" s="3">
        <f>IFERROR(__xludf.DUMMYFUNCTION("""COMPUTED_VALUE"""),17034.0)</f>
        <v>17034</v>
      </c>
      <c r="J31" s="1"/>
    </row>
    <row r="32" ht="15.75" customHeight="1">
      <c r="A32" s="2">
        <f>IFERROR(__xludf.DUMMYFUNCTION("""COMPUTED_VALUE"""),43528.0)</f>
        <v>43528</v>
      </c>
      <c r="B32" s="1" t="str">
        <f>IFERROR(__xludf.DUMMYFUNCTION("""COMPUTED_VALUE"""),"10:30p")</f>
        <v>10:30p</v>
      </c>
      <c r="C32" s="1" t="str">
        <f>IFERROR(__xludf.DUMMYFUNCTION("""COMPUTED_VALUE"""),"Los Angeles Clippers")</f>
        <v>Los Angeles Clippers</v>
      </c>
      <c r="D32" s="1">
        <f>IFERROR(__xludf.DUMMYFUNCTION("""COMPUTED_VALUE"""),113.0)</f>
        <v>113</v>
      </c>
      <c r="E32" s="1" t="str">
        <f>IFERROR(__xludf.DUMMYFUNCTION("""COMPUTED_VALUE"""),"Los Angeles Lakers")</f>
        <v>Los Angeles Lakers</v>
      </c>
      <c r="F32" s="1">
        <f>IFERROR(__xludf.DUMMYFUNCTION("""COMPUTED_VALUE"""),105.0)</f>
        <v>105</v>
      </c>
      <c r="G32" s="1" t="str">
        <f>IFERROR(__xludf.DUMMYFUNCTION("""COMPUTED_VALUE"""),"Box Score")</f>
        <v>Box Score</v>
      </c>
      <c r="H32" s="1"/>
      <c r="I32" s="3">
        <f>IFERROR(__xludf.DUMMYFUNCTION("""COMPUTED_VALUE"""),18997.0)</f>
        <v>18997</v>
      </c>
      <c r="J32" s="1"/>
    </row>
    <row r="33" ht="15.75" customHeight="1">
      <c r="A33" s="2">
        <f>IFERROR(__xludf.DUMMYFUNCTION("""COMPUTED_VALUE"""),43529.0)</f>
        <v>43529</v>
      </c>
      <c r="B33" s="1" t="str">
        <f>IFERROR(__xludf.DUMMYFUNCTION("""COMPUTED_VALUE"""),"7:00p")</f>
        <v>7:00p</v>
      </c>
      <c r="C33" s="1" t="str">
        <f>IFERROR(__xludf.DUMMYFUNCTION("""COMPUTED_VALUE"""),"Chicago Bulls")</f>
        <v>Chicago Bulls</v>
      </c>
      <c r="D33" s="1">
        <f>IFERROR(__xludf.DUMMYFUNCTION("""COMPUTED_VALUE"""),96.0)</f>
        <v>96</v>
      </c>
      <c r="E33" s="1" t="str">
        <f>IFERROR(__xludf.DUMMYFUNCTION("""COMPUTED_VALUE"""),"Indiana Pacers")</f>
        <v>Indiana Pacers</v>
      </c>
      <c r="F33" s="1">
        <f>IFERROR(__xludf.DUMMYFUNCTION("""COMPUTED_VALUE"""),105.0)</f>
        <v>105</v>
      </c>
      <c r="G33" s="1" t="str">
        <f>IFERROR(__xludf.DUMMYFUNCTION("""COMPUTED_VALUE"""),"Box Score")</f>
        <v>Box Score</v>
      </c>
      <c r="H33" s="1"/>
      <c r="I33" s="3">
        <f>IFERROR(__xludf.DUMMYFUNCTION("""COMPUTED_VALUE"""),15753.0)</f>
        <v>15753</v>
      </c>
      <c r="J33" s="1"/>
    </row>
    <row r="34" ht="15.75" customHeight="1">
      <c r="A34" s="2">
        <f>IFERROR(__xludf.DUMMYFUNCTION("""COMPUTED_VALUE"""),43529.0)</f>
        <v>43529</v>
      </c>
      <c r="B34" s="1" t="str">
        <f>IFERROR(__xludf.DUMMYFUNCTION("""COMPUTED_VALUE"""),"7:00p")</f>
        <v>7:00p</v>
      </c>
      <c r="C34" s="1" t="str">
        <f>IFERROR(__xludf.DUMMYFUNCTION("""COMPUTED_VALUE"""),"Orlando Magic")</f>
        <v>Orlando Magic</v>
      </c>
      <c r="D34" s="1">
        <f>IFERROR(__xludf.DUMMYFUNCTION("""COMPUTED_VALUE"""),106.0)</f>
        <v>106</v>
      </c>
      <c r="E34" s="1" t="str">
        <f>IFERROR(__xludf.DUMMYFUNCTION("""COMPUTED_VALUE"""),"Philadelphia 76ers")</f>
        <v>Philadelphia 76ers</v>
      </c>
      <c r="F34" s="1">
        <f>IFERROR(__xludf.DUMMYFUNCTION("""COMPUTED_VALUE"""),114.0)</f>
        <v>114</v>
      </c>
      <c r="G34" s="1" t="str">
        <f>IFERROR(__xludf.DUMMYFUNCTION("""COMPUTED_VALUE"""),"Box Score")</f>
        <v>Box Score</v>
      </c>
      <c r="H34" s="1"/>
      <c r="I34" s="3">
        <f>IFERROR(__xludf.DUMMYFUNCTION("""COMPUTED_VALUE"""),20379.0)</f>
        <v>20379</v>
      </c>
      <c r="J34" s="1"/>
    </row>
    <row r="35" ht="15.75" customHeight="1">
      <c r="A35" s="2">
        <f>IFERROR(__xludf.DUMMYFUNCTION("""COMPUTED_VALUE"""),43529.0)</f>
        <v>43529</v>
      </c>
      <c r="B35" s="1" t="str">
        <f>IFERROR(__xludf.DUMMYFUNCTION("""COMPUTED_VALUE"""),"8:00p")</f>
        <v>8:00p</v>
      </c>
      <c r="C35" s="1" t="str">
        <f>IFERROR(__xludf.DUMMYFUNCTION("""COMPUTED_VALUE"""),"Portland Trail Blazers")</f>
        <v>Portland Trail Blazers</v>
      </c>
      <c r="D35" s="1">
        <f>IFERROR(__xludf.DUMMYFUNCTION("""COMPUTED_VALUE"""),111.0)</f>
        <v>111</v>
      </c>
      <c r="E35" s="1" t="str">
        <f>IFERROR(__xludf.DUMMYFUNCTION("""COMPUTED_VALUE"""),"Memphis Grizzlies")</f>
        <v>Memphis Grizzlies</v>
      </c>
      <c r="F35" s="1">
        <f>IFERROR(__xludf.DUMMYFUNCTION("""COMPUTED_VALUE"""),120.0)</f>
        <v>120</v>
      </c>
      <c r="G35" s="1" t="str">
        <f>IFERROR(__xludf.DUMMYFUNCTION("""COMPUTED_VALUE"""),"Box Score")</f>
        <v>Box Score</v>
      </c>
      <c r="H35" s="1"/>
      <c r="I35" s="3">
        <f>IFERROR(__xludf.DUMMYFUNCTION("""COMPUTED_VALUE"""),13801.0)</f>
        <v>13801</v>
      </c>
      <c r="J35" s="1"/>
    </row>
    <row r="36" ht="15.75" customHeight="1">
      <c r="A36" s="2">
        <f>IFERROR(__xludf.DUMMYFUNCTION("""COMPUTED_VALUE"""),43529.0)</f>
        <v>43529</v>
      </c>
      <c r="B36" s="1" t="str">
        <f>IFERROR(__xludf.DUMMYFUNCTION("""COMPUTED_VALUE"""),"8:00p")</f>
        <v>8:00p</v>
      </c>
      <c r="C36" s="1" t="str">
        <f>IFERROR(__xludf.DUMMYFUNCTION("""COMPUTED_VALUE"""),"Oklahoma City Thunder")</f>
        <v>Oklahoma City Thunder</v>
      </c>
      <c r="D36" s="1">
        <f>IFERROR(__xludf.DUMMYFUNCTION("""COMPUTED_VALUE"""),120.0)</f>
        <v>120</v>
      </c>
      <c r="E36" s="1" t="str">
        <f>IFERROR(__xludf.DUMMYFUNCTION("""COMPUTED_VALUE"""),"Minnesota Timberwolves")</f>
        <v>Minnesota Timberwolves</v>
      </c>
      <c r="F36" s="1">
        <f>IFERROR(__xludf.DUMMYFUNCTION("""COMPUTED_VALUE"""),131.0)</f>
        <v>131</v>
      </c>
      <c r="G36" s="1" t="str">
        <f>IFERROR(__xludf.DUMMYFUNCTION("""COMPUTED_VALUE"""),"Box Score")</f>
        <v>Box Score</v>
      </c>
      <c r="H36" s="1"/>
      <c r="I36" s="3">
        <f>IFERROR(__xludf.DUMMYFUNCTION("""COMPUTED_VALUE"""),15728.0)</f>
        <v>15728</v>
      </c>
      <c r="J36" s="1"/>
    </row>
    <row r="37" ht="15.75" customHeight="1">
      <c r="A37" s="2">
        <f>IFERROR(__xludf.DUMMYFUNCTION("""COMPUTED_VALUE"""),43529.0)</f>
        <v>43529</v>
      </c>
      <c r="B37" s="1" t="str">
        <f>IFERROR(__xludf.DUMMYFUNCTION("""COMPUTED_VALUE"""),"8:00p")</f>
        <v>8:00p</v>
      </c>
      <c r="C37" s="1" t="str">
        <f>IFERROR(__xludf.DUMMYFUNCTION("""COMPUTED_VALUE"""),"Houston Rockets")</f>
        <v>Houston Rockets</v>
      </c>
      <c r="D37" s="1">
        <f>IFERROR(__xludf.DUMMYFUNCTION("""COMPUTED_VALUE"""),107.0)</f>
        <v>107</v>
      </c>
      <c r="E37" s="1" t="str">
        <f>IFERROR(__xludf.DUMMYFUNCTION("""COMPUTED_VALUE"""),"Toronto Raptors")</f>
        <v>Toronto Raptors</v>
      </c>
      <c r="F37" s="1">
        <f>IFERROR(__xludf.DUMMYFUNCTION("""COMPUTED_VALUE"""),95.0)</f>
        <v>95</v>
      </c>
      <c r="G37" s="1" t="str">
        <f>IFERROR(__xludf.DUMMYFUNCTION("""COMPUTED_VALUE"""),"Box Score")</f>
        <v>Box Score</v>
      </c>
      <c r="H37" s="1"/>
      <c r="I37" s="3">
        <f>IFERROR(__xludf.DUMMYFUNCTION("""COMPUTED_VALUE"""),19800.0)</f>
        <v>19800</v>
      </c>
      <c r="J37" s="1"/>
    </row>
    <row r="38" ht="15.75" customHeight="1">
      <c r="A38" s="2">
        <f>IFERROR(__xludf.DUMMYFUNCTION("""COMPUTED_VALUE"""),43529.0)</f>
        <v>43529</v>
      </c>
      <c r="B38" s="1" t="str">
        <f>IFERROR(__xludf.DUMMYFUNCTION("""COMPUTED_VALUE"""),"10:30p")</f>
        <v>10:30p</v>
      </c>
      <c r="C38" s="1" t="str">
        <f>IFERROR(__xludf.DUMMYFUNCTION("""COMPUTED_VALUE"""),"Boston Celtics")</f>
        <v>Boston Celtics</v>
      </c>
      <c r="D38" s="1">
        <f>IFERROR(__xludf.DUMMYFUNCTION("""COMPUTED_VALUE"""),128.0)</f>
        <v>128</v>
      </c>
      <c r="E38" s="1" t="str">
        <f>IFERROR(__xludf.DUMMYFUNCTION("""COMPUTED_VALUE"""),"Golden State Warriors")</f>
        <v>Golden State Warriors</v>
      </c>
      <c r="F38" s="1">
        <f>IFERROR(__xludf.DUMMYFUNCTION("""COMPUTED_VALUE"""),95.0)</f>
        <v>95</v>
      </c>
      <c r="G38" s="1" t="str">
        <f>IFERROR(__xludf.DUMMYFUNCTION("""COMPUTED_VALUE"""),"Box Score")</f>
        <v>Box Score</v>
      </c>
      <c r="H38" s="1"/>
      <c r="I38" s="3">
        <f>IFERROR(__xludf.DUMMYFUNCTION("""COMPUTED_VALUE"""),19596.0)</f>
        <v>19596</v>
      </c>
      <c r="J38" s="1"/>
    </row>
    <row r="39" ht="15.75" customHeight="1">
      <c r="A39" s="2">
        <f>IFERROR(__xludf.DUMMYFUNCTION("""COMPUTED_VALUE"""),43530.0)</f>
        <v>43530</v>
      </c>
      <c r="B39" s="1" t="str">
        <f>IFERROR(__xludf.DUMMYFUNCTION("""COMPUTED_VALUE"""),"7:00p")</f>
        <v>7:00p</v>
      </c>
      <c r="C39" s="1" t="str">
        <f>IFERROR(__xludf.DUMMYFUNCTION("""COMPUTED_VALUE"""),"Miami Heat")</f>
        <v>Miami Heat</v>
      </c>
      <c r="D39" s="1">
        <f>IFERROR(__xludf.DUMMYFUNCTION("""COMPUTED_VALUE"""),91.0)</f>
        <v>91</v>
      </c>
      <c r="E39" s="1" t="str">
        <f>IFERROR(__xludf.DUMMYFUNCTION("""COMPUTED_VALUE"""),"Charlotte Hornets")</f>
        <v>Charlotte Hornets</v>
      </c>
      <c r="F39" s="1">
        <f>IFERROR(__xludf.DUMMYFUNCTION("""COMPUTED_VALUE"""),84.0)</f>
        <v>84</v>
      </c>
      <c r="G39" s="1" t="str">
        <f>IFERROR(__xludf.DUMMYFUNCTION("""COMPUTED_VALUE"""),"Box Score")</f>
        <v>Box Score</v>
      </c>
      <c r="H39" s="1"/>
      <c r="I39" s="3">
        <f>IFERROR(__xludf.DUMMYFUNCTION("""COMPUTED_VALUE"""),18137.0)</f>
        <v>18137</v>
      </c>
      <c r="J39" s="1"/>
    </row>
    <row r="40" ht="15.75" customHeight="1">
      <c r="A40" s="2">
        <f>IFERROR(__xludf.DUMMYFUNCTION("""COMPUTED_VALUE"""),43530.0)</f>
        <v>43530</v>
      </c>
      <c r="B40" s="1" t="str">
        <f>IFERROR(__xludf.DUMMYFUNCTION("""COMPUTED_VALUE"""),"7:00p")</f>
        <v>7:00p</v>
      </c>
      <c r="C40" s="1" t="str">
        <f>IFERROR(__xludf.DUMMYFUNCTION("""COMPUTED_VALUE"""),"Minnesota Timberwolves")</f>
        <v>Minnesota Timberwolves</v>
      </c>
      <c r="D40" s="1">
        <f>IFERROR(__xludf.DUMMYFUNCTION("""COMPUTED_VALUE"""),114.0)</f>
        <v>114</v>
      </c>
      <c r="E40" s="1" t="str">
        <f>IFERROR(__xludf.DUMMYFUNCTION("""COMPUTED_VALUE"""),"Detroit Pistons")</f>
        <v>Detroit Pistons</v>
      </c>
      <c r="F40" s="1">
        <f>IFERROR(__xludf.DUMMYFUNCTION("""COMPUTED_VALUE"""),131.0)</f>
        <v>131</v>
      </c>
      <c r="G40" s="1" t="str">
        <f>IFERROR(__xludf.DUMMYFUNCTION("""COMPUTED_VALUE"""),"Box Score")</f>
        <v>Box Score</v>
      </c>
      <c r="H40" s="1"/>
      <c r="I40" s="3">
        <f>IFERROR(__xludf.DUMMYFUNCTION("""COMPUTED_VALUE"""),15240.0)</f>
        <v>15240</v>
      </c>
      <c r="J40" s="1"/>
    </row>
    <row r="41" ht="15.75" customHeight="1">
      <c r="A41" s="2">
        <f>IFERROR(__xludf.DUMMYFUNCTION("""COMPUTED_VALUE"""),43530.0)</f>
        <v>43530</v>
      </c>
      <c r="B41" s="1" t="str">
        <f>IFERROR(__xludf.DUMMYFUNCTION("""COMPUTED_VALUE"""),"7:00p")</f>
        <v>7:00p</v>
      </c>
      <c r="C41" s="1" t="str">
        <f>IFERROR(__xludf.DUMMYFUNCTION("""COMPUTED_VALUE"""),"Dallas Mavericks")</f>
        <v>Dallas Mavericks</v>
      </c>
      <c r="D41" s="1">
        <f>IFERROR(__xludf.DUMMYFUNCTION("""COMPUTED_VALUE"""),123.0)</f>
        <v>123</v>
      </c>
      <c r="E41" s="1" t="str">
        <f>IFERROR(__xludf.DUMMYFUNCTION("""COMPUTED_VALUE"""),"Washington Wizards")</f>
        <v>Washington Wizards</v>
      </c>
      <c r="F41" s="1">
        <f>IFERROR(__xludf.DUMMYFUNCTION("""COMPUTED_VALUE"""),132.0)</f>
        <v>132</v>
      </c>
      <c r="G41" s="1" t="str">
        <f>IFERROR(__xludf.DUMMYFUNCTION("""COMPUTED_VALUE"""),"Box Score")</f>
        <v>Box Score</v>
      </c>
      <c r="H41" s="1"/>
      <c r="I41" s="3">
        <f>IFERROR(__xludf.DUMMYFUNCTION("""COMPUTED_VALUE"""),16867.0)</f>
        <v>16867</v>
      </c>
      <c r="J41" s="1"/>
    </row>
    <row r="42" ht="15.75" customHeight="1">
      <c r="A42" s="2">
        <f>IFERROR(__xludf.DUMMYFUNCTION("""COMPUTED_VALUE"""),43530.0)</f>
        <v>43530</v>
      </c>
      <c r="B42" s="1" t="str">
        <f>IFERROR(__xludf.DUMMYFUNCTION("""COMPUTED_VALUE"""),"7:30p")</f>
        <v>7:30p</v>
      </c>
      <c r="C42" s="1" t="str">
        <f>IFERROR(__xludf.DUMMYFUNCTION("""COMPUTED_VALUE"""),"San Antonio Spurs")</f>
        <v>San Antonio Spurs</v>
      </c>
      <c r="D42" s="1">
        <f>IFERROR(__xludf.DUMMYFUNCTION("""COMPUTED_VALUE"""),111.0)</f>
        <v>111</v>
      </c>
      <c r="E42" s="1" t="str">
        <f>IFERROR(__xludf.DUMMYFUNCTION("""COMPUTED_VALUE"""),"Atlanta Hawks")</f>
        <v>Atlanta Hawks</v>
      </c>
      <c r="F42" s="1">
        <f>IFERROR(__xludf.DUMMYFUNCTION("""COMPUTED_VALUE"""),104.0)</f>
        <v>104</v>
      </c>
      <c r="G42" s="1" t="str">
        <f>IFERROR(__xludf.DUMMYFUNCTION("""COMPUTED_VALUE"""),"Box Score")</f>
        <v>Box Score</v>
      </c>
      <c r="H42" s="1"/>
      <c r="I42" s="3">
        <f>IFERROR(__xludf.DUMMYFUNCTION("""COMPUTED_VALUE"""),15208.0)</f>
        <v>15208</v>
      </c>
      <c r="J42" s="1"/>
    </row>
    <row r="43" ht="15.75" customHeight="1">
      <c r="A43" s="2">
        <f>IFERROR(__xludf.DUMMYFUNCTION("""COMPUTED_VALUE"""),43530.0)</f>
        <v>43530</v>
      </c>
      <c r="B43" s="1" t="str">
        <f>IFERROR(__xludf.DUMMYFUNCTION("""COMPUTED_VALUE"""),"7:30p")</f>
        <v>7:30p</v>
      </c>
      <c r="C43" s="1" t="str">
        <f>IFERROR(__xludf.DUMMYFUNCTION("""COMPUTED_VALUE"""),"Cleveland Cavaliers")</f>
        <v>Cleveland Cavaliers</v>
      </c>
      <c r="D43" s="1">
        <f>IFERROR(__xludf.DUMMYFUNCTION("""COMPUTED_VALUE"""),107.0)</f>
        <v>107</v>
      </c>
      <c r="E43" s="1" t="str">
        <f>IFERROR(__xludf.DUMMYFUNCTION("""COMPUTED_VALUE"""),"Brooklyn Nets")</f>
        <v>Brooklyn Nets</v>
      </c>
      <c r="F43" s="1">
        <f>IFERROR(__xludf.DUMMYFUNCTION("""COMPUTED_VALUE"""),113.0)</f>
        <v>113</v>
      </c>
      <c r="G43" s="1" t="str">
        <f>IFERROR(__xludf.DUMMYFUNCTION("""COMPUTED_VALUE"""),"Box Score")</f>
        <v>Box Score</v>
      </c>
      <c r="H43" s="1"/>
      <c r="I43" s="3">
        <f>IFERROR(__xludf.DUMMYFUNCTION("""COMPUTED_VALUE"""),14177.0)</f>
        <v>14177</v>
      </c>
      <c r="J43" s="1"/>
    </row>
    <row r="44" ht="15.75" customHeight="1">
      <c r="A44" s="2">
        <f>IFERROR(__xludf.DUMMYFUNCTION("""COMPUTED_VALUE"""),43530.0)</f>
        <v>43530</v>
      </c>
      <c r="B44" s="1" t="str">
        <f>IFERROR(__xludf.DUMMYFUNCTION("""COMPUTED_VALUE"""),"8:00p")</f>
        <v>8:00p</v>
      </c>
      <c r="C44" s="1" t="str">
        <f>IFERROR(__xludf.DUMMYFUNCTION("""COMPUTED_VALUE"""),"Philadelphia 76ers")</f>
        <v>Philadelphia 76ers</v>
      </c>
      <c r="D44" s="1">
        <f>IFERROR(__xludf.DUMMYFUNCTION("""COMPUTED_VALUE"""),107.0)</f>
        <v>107</v>
      </c>
      <c r="E44" s="1" t="str">
        <f>IFERROR(__xludf.DUMMYFUNCTION("""COMPUTED_VALUE"""),"Chicago Bulls")</f>
        <v>Chicago Bulls</v>
      </c>
      <c r="F44" s="1">
        <f>IFERROR(__xludf.DUMMYFUNCTION("""COMPUTED_VALUE"""),108.0)</f>
        <v>108</v>
      </c>
      <c r="G44" s="1" t="str">
        <f>IFERROR(__xludf.DUMMYFUNCTION("""COMPUTED_VALUE"""),"Box Score")</f>
        <v>Box Score</v>
      </c>
      <c r="H44" s="1"/>
      <c r="I44" s="3">
        <f>IFERROR(__xludf.DUMMYFUNCTION("""COMPUTED_VALUE"""),19927.0)</f>
        <v>19927</v>
      </c>
      <c r="J44" s="1"/>
    </row>
    <row r="45" ht="15.75" customHeight="1">
      <c r="A45" s="2">
        <f>IFERROR(__xludf.DUMMYFUNCTION("""COMPUTED_VALUE"""),43530.0)</f>
        <v>43530</v>
      </c>
      <c r="B45" s="1" t="str">
        <f>IFERROR(__xludf.DUMMYFUNCTION("""COMPUTED_VALUE"""),"8:00p")</f>
        <v>8:00p</v>
      </c>
      <c r="C45" s="1" t="str">
        <f>IFERROR(__xludf.DUMMYFUNCTION("""COMPUTED_VALUE"""),"Utah Jazz")</f>
        <v>Utah Jazz</v>
      </c>
      <c r="D45" s="1">
        <f>IFERROR(__xludf.DUMMYFUNCTION("""COMPUTED_VALUE"""),114.0)</f>
        <v>114</v>
      </c>
      <c r="E45" s="1" t="str">
        <f>IFERROR(__xludf.DUMMYFUNCTION("""COMPUTED_VALUE"""),"New Orleans Pelicans")</f>
        <v>New Orleans Pelicans</v>
      </c>
      <c r="F45" s="1">
        <f>IFERROR(__xludf.DUMMYFUNCTION("""COMPUTED_VALUE"""),104.0)</f>
        <v>104</v>
      </c>
      <c r="G45" s="1" t="str">
        <f>IFERROR(__xludf.DUMMYFUNCTION("""COMPUTED_VALUE"""),"Box Score")</f>
        <v>Box Score</v>
      </c>
      <c r="H45" s="1"/>
      <c r="I45" s="3">
        <f>IFERROR(__xludf.DUMMYFUNCTION("""COMPUTED_VALUE"""),14681.0)</f>
        <v>14681</v>
      </c>
      <c r="J45" s="1"/>
    </row>
    <row r="46" ht="15.75" customHeight="1">
      <c r="A46" s="2">
        <f>IFERROR(__xludf.DUMMYFUNCTION("""COMPUTED_VALUE"""),43530.0)</f>
        <v>43530</v>
      </c>
      <c r="B46" s="1" t="str">
        <f>IFERROR(__xludf.DUMMYFUNCTION("""COMPUTED_VALUE"""),"9:00p")</f>
        <v>9:00p</v>
      </c>
      <c r="C46" s="1" t="str">
        <f>IFERROR(__xludf.DUMMYFUNCTION("""COMPUTED_VALUE"""),"New York Knicks")</f>
        <v>New York Knicks</v>
      </c>
      <c r="D46" s="1">
        <f>IFERROR(__xludf.DUMMYFUNCTION("""COMPUTED_VALUE"""),96.0)</f>
        <v>96</v>
      </c>
      <c r="E46" s="1" t="str">
        <f>IFERROR(__xludf.DUMMYFUNCTION("""COMPUTED_VALUE"""),"Phoenix Suns")</f>
        <v>Phoenix Suns</v>
      </c>
      <c r="F46" s="1">
        <f>IFERROR(__xludf.DUMMYFUNCTION("""COMPUTED_VALUE"""),107.0)</f>
        <v>107</v>
      </c>
      <c r="G46" s="1" t="str">
        <f>IFERROR(__xludf.DUMMYFUNCTION("""COMPUTED_VALUE"""),"Box Score")</f>
        <v>Box Score</v>
      </c>
      <c r="H46" s="1"/>
      <c r="I46" s="3">
        <f>IFERROR(__xludf.DUMMYFUNCTION("""COMPUTED_VALUE"""),14427.0)</f>
        <v>14427</v>
      </c>
      <c r="J46" s="1"/>
    </row>
    <row r="47" ht="15.75" customHeight="1">
      <c r="A47" s="2">
        <f>IFERROR(__xludf.DUMMYFUNCTION("""COMPUTED_VALUE"""),43530.0)</f>
        <v>43530</v>
      </c>
      <c r="B47" s="1" t="str">
        <f>IFERROR(__xludf.DUMMYFUNCTION("""COMPUTED_VALUE"""),"10:00p")</f>
        <v>10:00p</v>
      </c>
      <c r="C47" s="1" t="str">
        <f>IFERROR(__xludf.DUMMYFUNCTION("""COMPUTED_VALUE"""),"Boston Celtics")</f>
        <v>Boston Celtics</v>
      </c>
      <c r="D47" s="1">
        <f>IFERROR(__xludf.DUMMYFUNCTION("""COMPUTED_VALUE"""),111.0)</f>
        <v>111</v>
      </c>
      <c r="E47" s="1" t="str">
        <f>IFERROR(__xludf.DUMMYFUNCTION("""COMPUTED_VALUE"""),"Sacramento Kings")</f>
        <v>Sacramento Kings</v>
      </c>
      <c r="F47" s="1">
        <f>IFERROR(__xludf.DUMMYFUNCTION("""COMPUTED_VALUE"""),109.0)</f>
        <v>109</v>
      </c>
      <c r="G47" s="1" t="str">
        <f>IFERROR(__xludf.DUMMYFUNCTION("""COMPUTED_VALUE"""),"Box Score")</f>
        <v>Box Score</v>
      </c>
      <c r="H47" s="1"/>
      <c r="I47" s="3">
        <f>IFERROR(__xludf.DUMMYFUNCTION("""COMPUTED_VALUE"""),17583.0)</f>
        <v>17583</v>
      </c>
      <c r="J47" s="1"/>
    </row>
    <row r="48" ht="15.75" customHeight="1">
      <c r="A48" s="2">
        <f>IFERROR(__xludf.DUMMYFUNCTION("""COMPUTED_VALUE"""),43530.0)</f>
        <v>43530</v>
      </c>
      <c r="B48" s="1" t="str">
        <f>IFERROR(__xludf.DUMMYFUNCTION("""COMPUTED_VALUE"""),"10:30p")</f>
        <v>10:30p</v>
      </c>
      <c r="C48" s="1" t="str">
        <f>IFERROR(__xludf.DUMMYFUNCTION("""COMPUTED_VALUE"""),"Denver Nuggets")</f>
        <v>Denver Nuggets</v>
      </c>
      <c r="D48" s="1">
        <f>IFERROR(__xludf.DUMMYFUNCTION("""COMPUTED_VALUE"""),115.0)</f>
        <v>115</v>
      </c>
      <c r="E48" s="1" t="str">
        <f>IFERROR(__xludf.DUMMYFUNCTION("""COMPUTED_VALUE"""),"Los Angeles Lakers")</f>
        <v>Los Angeles Lakers</v>
      </c>
      <c r="F48" s="1">
        <f>IFERROR(__xludf.DUMMYFUNCTION("""COMPUTED_VALUE"""),99.0)</f>
        <v>99</v>
      </c>
      <c r="G48" s="1" t="str">
        <f>IFERROR(__xludf.DUMMYFUNCTION("""COMPUTED_VALUE"""),"Box Score")</f>
        <v>Box Score</v>
      </c>
      <c r="H48" s="1"/>
      <c r="I48" s="3">
        <f>IFERROR(__xludf.DUMMYFUNCTION("""COMPUTED_VALUE"""),18997.0)</f>
        <v>18997</v>
      </c>
      <c r="J48" s="1"/>
    </row>
    <row r="49" ht="15.75" customHeight="1">
      <c r="A49" s="2">
        <f>IFERROR(__xludf.DUMMYFUNCTION("""COMPUTED_VALUE"""),43531.0)</f>
        <v>43531</v>
      </c>
      <c r="B49" s="1" t="str">
        <f>IFERROR(__xludf.DUMMYFUNCTION("""COMPUTED_VALUE"""),"8:00p")</f>
        <v>8:00p</v>
      </c>
      <c r="C49" s="1" t="str">
        <f>IFERROR(__xludf.DUMMYFUNCTION("""COMPUTED_VALUE"""),"Indiana Pacers")</f>
        <v>Indiana Pacers</v>
      </c>
      <c r="D49" s="1">
        <f>IFERROR(__xludf.DUMMYFUNCTION("""COMPUTED_VALUE"""),98.0)</f>
        <v>98</v>
      </c>
      <c r="E49" s="1" t="str">
        <f>IFERROR(__xludf.DUMMYFUNCTION("""COMPUTED_VALUE"""),"Milwaukee Bucks")</f>
        <v>Milwaukee Bucks</v>
      </c>
      <c r="F49" s="1">
        <f>IFERROR(__xludf.DUMMYFUNCTION("""COMPUTED_VALUE"""),117.0)</f>
        <v>117</v>
      </c>
      <c r="G49" s="1" t="str">
        <f>IFERROR(__xludf.DUMMYFUNCTION("""COMPUTED_VALUE"""),"Box Score")</f>
        <v>Box Score</v>
      </c>
      <c r="H49" s="1"/>
      <c r="I49" s="3">
        <f>IFERROR(__xludf.DUMMYFUNCTION("""COMPUTED_VALUE"""),17884.0)</f>
        <v>17884</v>
      </c>
      <c r="J49" s="1"/>
    </row>
    <row r="50" ht="15.75" customHeight="1">
      <c r="A50" s="2">
        <f>IFERROR(__xludf.DUMMYFUNCTION("""COMPUTED_VALUE"""),43531.0)</f>
        <v>43531</v>
      </c>
      <c r="B50" s="1" t="str">
        <f>IFERROR(__xludf.DUMMYFUNCTION("""COMPUTED_VALUE"""),"10:30p")</f>
        <v>10:30p</v>
      </c>
      <c r="C50" s="1" t="str">
        <f>IFERROR(__xludf.DUMMYFUNCTION("""COMPUTED_VALUE"""),"Oklahoma City Thunder")</f>
        <v>Oklahoma City Thunder</v>
      </c>
      <c r="D50" s="1">
        <f>IFERROR(__xludf.DUMMYFUNCTION("""COMPUTED_VALUE"""),129.0)</f>
        <v>129</v>
      </c>
      <c r="E50" s="1" t="str">
        <f>IFERROR(__xludf.DUMMYFUNCTION("""COMPUTED_VALUE"""),"Portland Trail Blazers")</f>
        <v>Portland Trail Blazers</v>
      </c>
      <c r="F50" s="1">
        <f>IFERROR(__xludf.DUMMYFUNCTION("""COMPUTED_VALUE"""),121.0)</f>
        <v>121</v>
      </c>
      <c r="G50" s="1" t="str">
        <f>IFERROR(__xludf.DUMMYFUNCTION("""COMPUTED_VALUE"""),"Box Score")</f>
        <v>Box Score</v>
      </c>
      <c r="H50" s="1" t="str">
        <f>IFERROR(__xludf.DUMMYFUNCTION("""COMPUTED_VALUE"""),"OT")</f>
        <v>OT</v>
      </c>
      <c r="I50" s="3">
        <f>IFERROR(__xludf.DUMMYFUNCTION("""COMPUTED_VALUE"""),20037.0)</f>
        <v>20037</v>
      </c>
      <c r="J50" s="1"/>
    </row>
    <row r="51" ht="15.75" customHeight="1">
      <c r="A51" s="2">
        <f>IFERROR(__xludf.DUMMYFUNCTION("""COMPUTED_VALUE"""),43532.0)</f>
        <v>43532</v>
      </c>
      <c r="B51" s="1" t="str">
        <f>IFERROR(__xludf.DUMMYFUNCTION("""COMPUTED_VALUE"""),"7:00p")</f>
        <v>7:00p</v>
      </c>
      <c r="C51" s="1" t="str">
        <f>IFERROR(__xludf.DUMMYFUNCTION("""COMPUTED_VALUE"""),"Washington Wizards")</f>
        <v>Washington Wizards</v>
      </c>
      <c r="D51" s="1">
        <f>IFERROR(__xludf.DUMMYFUNCTION("""COMPUTED_VALUE"""),111.0)</f>
        <v>111</v>
      </c>
      <c r="E51" s="1" t="str">
        <f>IFERROR(__xludf.DUMMYFUNCTION("""COMPUTED_VALUE"""),"Charlotte Hornets")</f>
        <v>Charlotte Hornets</v>
      </c>
      <c r="F51" s="1">
        <f>IFERROR(__xludf.DUMMYFUNCTION("""COMPUTED_VALUE"""),112.0)</f>
        <v>112</v>
      </c>
      <c r="G51" s="1" t="str">
        <f>IFERROR(__xludf.DUMMYFUNCTION("""COMPUTED_VALUE"""),"Box Score")</f>
        <v>Box Score</v>
      </c>
      <c r="H51" s="1"/>
      <c r="I51" s="3">
        <f>IFERROR(__xludf.DUMMYFUNCTION("""COMPUTED_VALUE"""),18144.0)</f>
        <v>18144</v>
      </c>
      <c r="J51" s="1"/>
    </row>
    <row r="52" ht="15.75" customHeight="1">
      <c r="A52" s="2">
        <f>IFERROR(__xludf.DUMMYFUNCTION("""COMPUTED_VALUE"""),43532.0)</f>
        <v>43532</v>
      </c>
      <c r="B52" s="1" t="str">
        <f>IFERROR(__xludf.DUMMYFUNCTION("""COMPUTED_VALUE"""),"7:00p")</f>
        <v>7:00p</v>
      </c>
      <c r="C52" s="1" t="str">
        <f>IFERROR(__xludf.DUMMYFUNCTION("""COMPUTED_VALUE"""),"Dallas Mavericks")</f>
        <v>Dallas Mavericks</v>
      </c>
      <c r="D52" s="1">
        <f>IFERROR(__xludf.DUMMYFUNCTION("""COMPUTED_VALUE"""),106.0)</f>
        <v>106</v>
      </c>
      <c r="E52" s="1" t="str">
        <f>IFERROR(__xludf.DUMMYFUNCTION("""COMPUTED_VALUE"""),"Orlando Magic")</f>
        <v>Orlando Magic</v>
      </c>
      <c r="F52" s="1">
        <f>IFERROR(__xludf.DUMMYFUNCTION("""COMPUTED_VALUE"""),111.0)</f>
        <v>111</v>
      </c>
      <c r="G52" s="1" t="str">
        <f>IFERROR(__xludf.DUMMYFUNCTION("""COMPUTED_VALUE"""),"Box Score")</f>
        <v>Box Score</v>
      </c>
      <c r="H52" s="1"/>
      <c r="I52" s="3">
        <f>IFERROR(__xludf.DUMMYFUNCTION("""COMPUTED_VALUE"""),19196.0)</f>
        <v>19196</v>
      </c>
      <c r="J52" s="1"/>
    </row>
    <row r="53" ht="15.75" customHeight="1">
      <c r="A53" s="2">
        <f>IFERROR(__xludf.DUMMYFUNCTION("""COMPUTED_VALUE"""),43532.0)</f>
        <v>43532</v>
      </c>
      <c r="B53" s="1" t="str">
        <f>IFERROR(__xludf.DUMMYFUNCTION("""COMPUTED_VALUE"""),"8:00p")</f>
        <v>8:00p</v>
      </c>
      <c r="C53" s="1" t="str">
        <f>IFERROR(__xludf.DUMMYFUNCTION("""COMPUTED_VALUE"""),"Detroit Pistons")</f>
        <v>Detroit Pistons</v>
      </c>
      <c r="D53" s="1">
        <f>IFERROR(__xludf.DUMMYFUNCTION("""COMPUTED_VALUE"""),112.0)</f>
        <v>112</v>
      </c>
      <c r="E53" s="1" t="str">
        <f>IFERROR(__xludf.DUMMYFUNCTION("""COMPUTED_VALUE"""),"Chicago Bulls")</f>
        <v>Chicago Bulls</v>
      </c>
      <c r="F53" s="1">
        <f>IFERROR(__xludf.DUMMYFUNCTION("""COMPUTED_VALUE"""),104.0)</f>
        <v>104</v>
      </c>
      <c r="G53" s="1" t="str">
        <f>IFERROR(__xludf.DUMMYFUNCTION("""COMPUTED_VALUE"""),"Box Score")</f>
        <v>Box Score</v>
      </c>
      <c r="H53" s="1"/>
      <c r="I53" s="3">
        <f>IFERROR(__xludf.DUMMYFUNCTION("""COMPUTED_VALUE"""),21048.0)</f>
        <v>21048</v>
      </c>
      <c r="J53" s="1"/>
    </row>
    <row r="54" ht="15.75" customHeight="1">
      <c r="A54" s="2">
        <f>IFERROR(__xludf.DUMMYFUNCTION("""COMPUTED_VALUE"""),43532.0)</f>
        <v>43532</v>
      </c>
      <c r="B54" s="1" t="str">
        <f>IFERROR(__xludf.DUMMYFUNCTION("""COMPUTED_VALUE"""),"8:00p")</f>
        <v>8:00p</v>
      </c>
      <c r="C54" s="1" t="str">
        <f>IFERROR(__xludf.DUMMYFUNCTION("""COMPUTED_VALUE"""),"Philadelphia 76ers")</f>
        <v>Philadelphia 76ers</v>
      </c>
      <c r="D54" s="1">
        <f>IFERROR(__xludf.DUMMYFUNCTION("""COMPUTED_VALUE"""),91.0)</f>
        <v>91</v>
      </c>
      <c r="E54" s="1" t="str">
        <f>IFERROR(__xludf.DUMMYFUNCTION("""COMPUTED_VALUE"""),"Houston Rockets")</f>
        <v>Houston Rockets</v>
      </c>
      <c r="F54" s="1">
        <f>IFERROR(__xludf.DUMMYFUNCTION("""COMPUTED_VALUE"""),107.0)</f>
        <v>107</v>
      </c>
      <c r="G54" s="1" t="str">
        <f>IFERROR(__xludf.DUMMYFUNCTION("""COMPUTED_VALUE"""),"Box Score")</f>
        <v>Box Score</v>
      </c>
      <c r="H54" s="1"/>
      <c r="I54" s="3">
        <f>IFERROR(__xludf.DUMMYFUNCTION("""COMPUTED_VALUE"""),18055.0)</f>
        <v>18055</v>
      </c>
      <c r="J54" s="1"/>
    </row>
    <row r="55" ht="15.75" customHeight="1">
      <c r="A55" s="2">
        <f>IFERROR(__xludf.DUMMYFUNCTION("""COMPUTED_VALUE"""),43532.0)</f>
        <v>43532</v>
      </c>
      <c r="B55" s="1" t="str">
        <f>IFERROR(__xludf.DUMMYFUNCTION("""COMPUTED_VALUE"""),"8:00p")</f>
        <v>8:00p</v>
      </c>
      <c r="C55" s="1" t="str">
        <f>IFERROR(__xludf.DUMMYFUNCTION("""COMPUTED_VALUE"""),"Utah Jazz")</f>
        <v>Utah Jazz</v>
      </c>
      <c r="D55" s="1">
        <f>IFERROR(__xludf.DUMMYFUNCTION("""COMPUTED_VALUE"""),104.0)</f>
        <v>104</v>
      </c>
      <c r="E55" s="1" t="str">
        <f>IFERROR(__xludf.DUMMYFUNCTION("""COMPUTED_VALUE"""),"Memphis Grizzlies")</f>
        <v>Memphis Grizzlies</v>
      </c>
      <c r="F55" s="1">
        <f>IFERROR(__xludf.DUMMYFUNCTION("""COMPUTED_VALUE"""),114.0)</f>
        <v>114</v>
      </c>
      <c r="G55" s="1" t="str">
        <f>IFERROR(__xludf.DUMMYFUNCTION("""COMPUTED_VALUE"""),"Box Score")</f>
        <v>Box Score</v>
      </c>
      <c r="H55" s="1"/>
      <c r="I55" s="3">
        <f>IFERROR(__xludf.DUMMYFUNCTION("""COMPUTED_VALUE"""),15407.0)</f>
        <v>15407</v>
      </c>
      <c r="J55" s="1"/>
    </row>
    <row r="56" ht="15.75" customHeight="1">
      <c r="A56" s="2">
        <f>IFERROR(__xludf.DUMMYFUNCTION("""COMPUTED_VALUE"""),43532.0)</f>
        <v>43532</v>
      </c>
      <c r="B56" s="1" t="str">
        <f>IFERROR(__xludf.DUMMYFUNCTION("""COMPUTED_VALUE"""),"8:00p")</f>
        <v>8:00p</v>
      </c>
      <c r="C56" s="1" t="str">
        <f>IFERROR(__xludf.DUMMYFUNCTION("""COMPUTED_VALUE"""),"Cleveland Cavaliers")</f>
        <v>Cleveland Cavaliers</v>
      </c>
      <c r="D56" s="1">
        <f>IFERROR(__xludf.DUMMYFUNCTION("""COMPUTED_VALUE"""),110.0)</f>
        <v>110</v>
      </c>
      <c r="E56" s="1" t="str">
        <f>IFERROR(__xludf.DUMMYFUNCTION("""COMPUTED_VALUE"""),"Miami Heat")</f>
        <v>Miami Heat</v>
      </c>
      <c r="F56" s="1">
        <f>IFERROR(__xludf.DUMMYFUNCTION("""COMPUTED_VALUE"""),126.0)</f>
        <v>126</v>
      </c>
      <c r="G56" s="1" t="str">
        <f>IFERROR(__xludf.DUMMYFUNCTION("""COMPUTED_VALUE"""),"Box Score")</f>
        <v>Box Score</v>
      </c>
      <c r="H56" s="1"/>
      <c r="I56" s="3">
        <f>IFERROR(__xludf.DUMMYFUNCTION("""COMPUTED_VALUE"""),19600.0)</f>
        <v>19600</v>
      </c>
      <c r="J56" s="1"/>
    </row>
    <row r="57" ht="15.75" customHeight="1">
      <c r="A57" s="2">
        <f>IFERROR(__xludf.DUMMYFUNCTION("""COMPUTED_VALUE"""),43532.0)</f>
        <v>43532</v>
      </c>
      <c r="B57" s="1" t="str">
        <f>IFERROR(__xludf.DUMMYFUNCTION("""COMPUTED_VALUE"""),"8:00p")</f>
        <v>8:00p</v>
      </c>
      <c r="C57" s="1" t="str">
        <f>IFERROR(__xludf.DUMMYFUNCTION("""COMPUTED_VALUE"""),"Toronto Raptors")</f>
        <v>Toronto Raptors</v>
      </c>
      <c r="D57" s="1">
        <f>IFERROR(__xludf.DUMMYFUNCTION("""COMPUTED_VALUE"""),127.0)</f>
        <v>127</v>
      </c>
      <c r="E57" s="1" t="str">
        <f>IFERROR(__xludf.DUMMYFUNCTION("""COMPUTED_VALUE"""),"New Orleans Pelicans")</f>
        <v>New Orleans Pelicans</v>
      </c>
      <c r="F57" s="1">
        <f>IFERROR(__xludf.DUMMYFUNCTION("""COMPUTED_VALUE"""),104.0)</f>
        <v>104</v>
      </c>
      <c r="G57" s="1" t="str">
        <f>IFERROR(__xludf.DUMMYFUNCTION("""COMPUTED_VALUE"""),"Box Score")</f>
        <v>Box Score</v>
      </c>
      <c r="H57" s="1"/>
      <c r="I57" s="3">
        <f>IFERROR(__xludf.DUMMYFUNCTION("""COMPUTED_VALUE"""),17325.0)</f>
        <v>17325</v>
      </c>
      <c r="J57" s="1"/>
    </row>
    <row r="58" ht="15.75" customHeight="1">
      <c r="A58" s="2">
        <f>IFERROR(__xludf.DUMMYFUNCTION("""COMPUTED_VALUE"""),43532.0)</f>
        <v>43532</v>
      </c>
      <c r="B58" s="1" t="str">
        <f>IFERROR(__xludf.DUMMYFUNCTION("""COMPUTED_VALUE"""),"10:30p")</f>
        <v>10:30p</v>
      </c>
      <c r="C58" s="1" t="str">
        <f>IFERROR(__xludf.DUMMYFUNCTION("""COMPUTED_VALUE"""),"Denver Nuggets")</f>
        <v>Denver Nuggets</v>
      </c>
      <c r="D58" s="1">
        <f>IFERROR(__xludf.DUMMYFUNCTION("""COMPUTED_VALUE"""),105.0)</f>
        <v>105</v>
      </c>
      <c r="E58" s="1" t="str">
        <f>IFERROR(__xludf.DUMMYFUNCTION("""COMPUTED_VALUE"""),"Golden State Warriors")</f>
        <v>Golden State Warriors</v>
      </c>
      <c r="F58" s="1">
        <f>IFERROR(__xludf.DUMMYFUNCTION("""COMPUTED_VALUE"""),122.0)</f>
        <v>122</v>
      </c>
      <c r="G58" s="1" t="str">
        <f>IFERROR(__xludf.DUMMYFUNCTION("""COMPUTED_VALUE"""),"Box Score")</f>
        <v>Box Score</v>
      </c>
      <c r="H58" s="1"/>
      <c r="I58" s="3">
        <f>IFERROR(__xludf.DUMMYFUNCTION("""COMPUTED_VALUE"""),19596.0)</f>
        <v>19596</v>
      </c>
      <c r="J58" s="1"/>
    </row>
    <row r="59" ht="15.75" customHeight="1">
      <c r="A59" s="2">
        <f>IFERROR(__xludf.DUMMYFUNCTION("""COMPUTED_VALUE"""),43532.0)</f>
        <v>43532</v>
      </c>
      <c r="B59" s="1" t="str">
        <f>IFERROR(__xludf.DUMMYFUNCTION("""COMPUTED_VALUE"""),"10:30p")</f>
        <v>10:30p</v>
      </c>
      <c r="C59" s="1" t="str">
        <f>IFERROR(__xludf.DUMMYFUNCTION("""COMPUTED_VALUE"""),"Oklahoma City Thunder")</f>
        <v>Oklahoma City Thunder</v>
      </c>
      <c r="D59" s="1">
        <f>IFERROR(__xludf.DUMMYFUNCTION("""COMPUTED_VALUE"""),110.0)</f>
        <v>110</v>
      </c>
      <c r="E59" s="1" t="str">
        <f>IFERROR(__xludf.DUMMYFUNCTION("""COMPUTED_VALUE"""),"Los Angeles Clippers")</f>
        <v>Los Angeles Clippers</v>
      </c>
      <c r="F59" s="1">
        <f>IFERROR(__xludf.DUMMYFUNCTION("""COMPUTED_VALUE"""),118.0)</f>
        <v>118</v>
      </c>
      <c r="G59" s="1" t="str">
        <f>IFERROR(__xludf.DUMMYFUNCTION("""COMPUTED_VALUE"""),"Box Score")</f>
        <v>Box Score</v>
      </c>
      <c r="H59" s="1"/>
      <c r="I59" s="3">
        <f>IFERROR(__xludf.DUMMYFUNCTION("""COMPUTED_VALUE"""),17915.0)</f>
        <v>17915</v>
      </c>
      <c r="J59" s="1"/>
    </row>
    <row r="60" ht="15.75" customHeight="1">
      <c r="A60" s="2">
        <f>IFERROR(__xludf.DUMMYFUNCTION("""COMPUTED_VALUE"""),43533.0)</f>
        <v>43533</v>
      </c>
      <c r="B60" s="1" t="str">
        <f>IFERROR(__xludf.DUMMYFUNCTION("""COMPUTED_VALUE"""),"12:00p")</f>
        <v>12:00p</v>
      </c>
      <c r="C60" s="1" t="str">
        <f>IFERROR(__xludf.DUMMYFUNCTION("""COMPUTED_VALUE"""),"Sacramento Kings")</f>
        <v>Sacramento Kings</v>
      </c>
      <c r="D60" s="1">
        <f>IFERROR(__xludf.DUMMYFUNCTION("""COMPUTED_VALUE"""),102.0)</f>
        <v>102</v>
      </c>
      <c r="E60" s="1" t="str">
        <f>IFERROR(__xludf.DUMMYFUNCTION("""COMPUTED_VALUE"""),"New York Knicks")</f>
        <v>New York Knicks</v>
      </c>
      <c r="F60" s="1">
        <f>IFERROR(__xludf.DUMMYFUNCTION("""COMPUTED_VALUE"""),94.0)</f>
        <v>94</v>
      </c>
      <c r="G60" s="1" t="str">
        <f>IFERROR(__xludf.DUMMYFUNCTION("""COMPUTED_VALUE"""),"Box Score")</f>
        <v>Box Score</v>
      </c>
      <c r="H60" s="1"/>
      <c r="I60" s="3">
        <f>IFERROR(__xludf.DUMMYFUNCTION("""COMPUTED_VALUE"""),19812.0)</f>
        <v>19812</v>
      </c>
      <c r="J60" s="1"/>
    </row>
    <row r="61" ht="15.75" customHeight="1">
      <c r="A61" s="2">
        <f>IFERROR(__xludf.DUMMYFUNCTION("""COMPUTED_VALUE"""),43533.0)</f>
        <v>43533</v>
      </c>
      <c r="B61" s="1" t="str">
        <f>IFERROR(__xludf.DUMMYFUNCTION("""COMPUTED_VALUE"""),"7:00p")</f>
        <v>7:00p</v>
      </c>
      <c r="C61" s="1" t="str">
        <f>IFERROR(__xludf.DUMMYFUNCTION("""COMPUTED_VALUE"""),"Brooklyn Nets")</f>
        <v>Brooklyn Nets</v>
      </c>
      <c r="D61" s="1">
        <f>IFERROR(__xludf.DUMMYFUNCTION("""COMPUTED_VALUE"""),114.0)</f>
        <v>114</v>
      </c>
      <c r="E61" s="1" t="str">
        <f>IFERROR(__xludf.DUMMYFUNCTION("""COMPUTED_VALUE"""),"Atlanta Hawks")</f>
        <v>Atlanta Hawks</v>
      </c>
      <c r="F61" s="1">
        <f>IFERROR(__xludf.DUMMYFUNCTION("""COMPUTED_VALUE"""),112.0)</f>
        <v>112</v>
      </c>
      <c r="G61" s="1" t="str">
        <f>IFERROR(__xludf.DUMMYFUNCTION("""COMPUTED_VALUE"""),"Box Score")</f>
        <v>Box Score</v>
      </c>
      <c r="H61" s="1"/>
      <c r="I61" s="3">
        <f>IFERROR(__xludf.DUMMYFUNCTION("""COMPUTED_VALUE"""),16527.0)</f>
        <v>16527</v>
      </c>
      <c r="J61" s="1"/>
    </row>
    <row r="62" ht="15.75" customHeight="1">
      <c r="A62" s="2">
        <f>IFERROR(__xludf.DUMMYFUNCTION("""COMPUTED_VALUE"""),43533.0)</f>
        <v>43533</v>
      </c>
      <c r="B62" s="1" t="str">
        <f>IFERROR(__xludf.DUMMYFUNCTION("""COMPUTED_VALUE"""),"8:00p")</f>
        <v>8:00p</v>
      </c>
      <c r="C62" s="1" t="str">
        <f>IFERROR(__xludf.DUMMYFUNCTION("""COMPUTED_VALUE"""),"Washington Wizards")</f>
        <v>Washington Wizards</v>
      </c>
      <c r="D62" s="1">
        <f>IFERROR(__xludf.DUMMYFUNCTION("""COMPUTED_VALUE"""),130.0)</f>
        <v>130</v>
      </c>
      <c r="E62" s="1" t="str">
        <f>IFERROR(__xludf.DUMMYFUNCTION("""COMPUTED_VALUE"""),"Minnesota Timberwolves")</f>
        <v>Minnesota Timberwolves</v>
      </c>
      <c r="F62" s="1">
        <f>IFERROR(__xludf.DUMMYFUNCTION("""COMPUTED_VALUE"""),135.0)</f>
        <v>135</v>
      </c>
      <c r="G62" s="1" t="str">
        <f>IFERROR(__xludf.DUMMYFUNCTION("""COMPUTED_VALUE"""),"Box Score")</f>
        <v>Box Score</v>
      </c>
      <c r="H62" s="1" t="str">
        <f>IFERROR(__xludf.DUMMYFUNCTION("""COMPUTED_VALUE"""),"OT")</f>
        <v>OT</v>
      </c>
      <c r="I62" s="3">
        <f>IFERROR(__xludf.DUMMYFUNCTION("""COMPUTED_VALUE"""),14381.0)</f>
        <v>14381</v>
      </c>
      <c r="J62" s="1"/>
    </row>
    <row r="63" ht="15.75" customHeight="1">
      <c r="A63" s="2">
        <f>IFERROR(__xludf.DUMMYFUNCTION("""COMPUTED_VALUE"""),43533.0)</f>
        <v>43533</v>
      </c>
      <c r="B63" s="1" t="str">
        <f>IFERROR(__xludf.DUMMYFUNCTION("""COMPUTED_VALUE"""),"8:30p")</f>
        <v>8:30p</v>
      </c>
      <c r="C63" s="1" t="str">
        <f>IFERROR(__xludf.DUMMYFUNCTION("""COMPUTED_VALUE"""),"Boston Celtics")</f>
        <v>Boston Celtics</v>
      </c>
      <c r="D63" s="1">
        <f>IFERROR(__xludf.DUMMYFUNCTION("""COMPUTED_VALUE"""),120.0)</f>
        <v>120</v>
      </c>
      <c r="E63" s="1" t="str">
        <f>IFERROR(__xludf.DUMMYFUNCTION("""COMPUTED_VALUE"""),"Los Angeles Lakers")</f>
        <v>Los Angeles Lakers</v>
      </c>
      <c r="F63" s="1">
        <f>IFERROR(__xludf.DUMMYFUNCTION("""COMPUTED_VALUE"""),107.0)</f>
        <v>107</v>
      </c>
      <c r="G63" s="1" t="str">
        <f>IFERROR(__xludf.DUMMYFUNCTION("""COMPUTED_VALUE"""),"Box Score")</f>
        <v>Box Score</v>
      </c>
      <c r="H63" s="1"/>
      <c r="I63" s="3">
        <f>IFERROR(__xludf.DUMMYFUNCTION("""COMPUTED_VALUE"""),18997.0)</f>
        <v>18997</v>
      </c>
      <c r="J63" s="1"/>
    </row>
    <row r="64" ht="15.75" customHeight="1">
      <c r="A64" s="2">
        <f>IFERROR(__xludf.DUMMYFUNCTION("""COMPUTED_VALUE"""),43533.0)</f>
        <v>43533</v>
      </c>
      <c r="B64" s="1" t="str">
        <f>IFERROR(__xludf.DUMMYFUNCTION("""COMPUTED_VALUE"""),"9:00p")</f>
        <v>9:00p</v>
      </c>
      <c r="C64" s="1" t="str">
        <f>IFERROR(__xludf.DUMMYFUNCTION("""COMPUTED_VALUE"""),"Charlotte Hornets")</f>
        <v>Charlotte Hornets</v>
      </c>
      <c r="D64" s="1">
        <f>IFERROR(__xludf.DUMMYFUNCTION("""COMPUTED_VALUE"""),114.0)</f>
        <v>114</v>
      </c>
      <c r="E64" s="1" t="str">
        <f>IFERROR(__xludf.DUMMYFUNCTION("""COMPUTED_VALUE"""),"Milwaukee Bucks")</f>
        <v>Milwaukee Bucks</v>
      </c>
      <c r="F64" s="1">
        <f>IFERROR(__xludf.DUMMYFUNCTION("""COMPUTED_VALUE"""),131.0)</f>
        <v>131</v>
      </c>
      <c r="G64" s="1" t="str">
        <f>IFERROR(__xludf.DUMMYFUNCTION("""COMPUTED_VALUE"""),"Box Score")</f>
        <v>Box Score</v>
      </c>
      <c r="H64" s="1"/>
      <c r="I64" s="3">
        <f>IFERROR(__xludf.DUMMYFUNCTION("""COMPUTED_VALUE"""),17996.0)</f>
        <v>17996</v>
      </c>
      <c r="J64" s="1"/>
    </row>
    <row r="65" ht="15.75" customHeight="1">
      <c r="A65" s="2">
        <f>IFERROR(__xludf.DUMMYFUNCTION("""COMPUTED_VALUE"""),43533.0)</f>
        <v>43533</v>
      </c>
      <c r="B65" s="1" t="str">
        <f>IFERROR(__xludf.DUMMYFUNCTION("""COMPUTED_VALUE"""),"10:00p")</f>
        <v>10:00p</v>
      </c>
      <c r="C65" s="1" t="str">
        <f>IFERROR(__xludf.DUMMYFUNCTION("""COMPUTED_VALUE"""),"Phoenix Suns")</f>
        <v>Phoenix Suns</v>
      </c>
      <c r="D65" s="1">
        <f>IFERROR(__xludf.DUMMYFUNCTION("""COMPUTED_VALUE"""),120.0)</f>
        <v>120</v>
      </c>
      <c r="E65" s="1" t="str">
        <f>IFERROR(__xludf.DUMMYFUNCTION("""COMPUTED_VALUE"""),"Portland Trail Blazers")</f>
        <v>Portland Trail Blazers</v>
      </c>
      <c r="F65" s="1">
        <f>IFERROR(__xludf.DUMMYFUNCTION("""COMPUTED_VALUE"""),127.0)</f>
        <v>127</v>
      </c>
      <c r="G65" s="1" t="str">
        <f>IFERROR(__xludf.DUMMYFUNCTION("""COMPUTED_VALUE"""),"Box Score")</f>
        <v>Box Score</v>
      </c>
      <c r="H65" s="1"/>
      <c r="I65" s="3">
        <f>IFERROR(__xludf.DUMMYFUNCTION("""COMPUTED_VALUE"""),19851.0)</f>
        <v>19851</v>
      </c>
      <c r="J65" s="1"/>
    </row>
    <row r="66" ht="15.75" customHeight="1">
      <c r="A66" s="2">
        <f>IFERROR(__xludf.DUMMYFUNCTION("""COMPUTED_VALUE"""),43534.0)</f>
        <v>43534</v>
      </c>
      <c r="B66" s="1" t="str">
        <f>IFERROR(__xludf.DUMMYFUNCTION("""COMPUTED_VALUE"""),"12:00p")</f>
        <v>12:00p</v>
      </c>
      <c r="C66" s="1" t="str">
        <f>IFERROR(__xludf.DUMMYFUNCTION("""COMPUTED_VALUE"""),"Chicago Bulls")</f>
        <v>Chicago Bulls</v>
      </c>
      <c r="D66" s="1">
        <f>IFERROR(__xludf.DUMMYFUNCTION("""COMPUTED_VALUE"""),108.0)</f>
        <v>108</v>
      </c>
      <c r="E66" s="1" t="str">
        <f>IFERROR(__xludf.DUMMYFUNCTION("""COMPUTED_VALUE"""),"Detroit Pistons")</f>
        <v>Detroit Pistons</v>
      </c>
      <c r="F66" s="1">
        <f>IFERROR(__xludf.DUMMYFUNCTION("""COMPUTED_VALUE"""),131.0)</f>
        <v>131</v>
      </c>
      <c r="G66" s="1" t="str">
        <f>IFERROR(__xludf.DUMMYFUNCTION("""COMPUTED_VALUE"""),"Box Score")</f>
        <v>Box Score</v>
      </c>
      <c r="H66" s="1"/>
      <c r="I66" s="3">
        <f>IFERROR(__xludf.DUMMYFUNCTION("""COMPUTED_VALUE"""),19356.0)</f>
        <v>19356</v>
      </c>
      <c r="J66" s="1"/>
    </row>
    <row r="67" ht="15.75" customHeight="1">
      <c r="A67" s="2">
        <f>IFERROR(__xludf.DUMMYFUNCTION("""COMPUTED_VALUE"""),43534.0)</f>
        <v>43534</v>
      </c>
      <c r="B67" s="1" t="str">
        <f>IFERROR(__xludf.DUMMYFUNCTION("""COMPUTED_VALUE"""),"3:30p")</f>
        <v>3:30p</v>
      </c>
      <c r="C67" s="1" t="str">
        <f>IFERROR(__xludf.DUMMYFUNCTION("""COMPUTED_VALUE"""),"Toronto Raptors")</f>
        <v>Toronto Raptors</v>
      </c>
      <c r="D67" s="1">
        <f>IFERROR(__xludf.DUMMYFUNCTION("""COMPUTED_VALUE"""),125.0)</f>
        <v>125</v>
      </c>
      <c r="E67" s="1" t="str">
        <f>IFERROR(__xludf.DUMMYFUNCTION("""COMPUTED_VALUE"""),"Miami Heat")</f>
        <v>Miami Heat</v>
      </c>
      <c r="F67" s="1">
        <f>IFERROR(__xludf.DUMMYFUNCTION("""COMPUTED_VALUE"""),104.0)</f>
        <v>104</v>
      </c>
      <c r="G67" s="1" t="str">
        <f>IFERROR(__xludf.DUMMYFUNCTION("""COMPUTED_VALUE"""),"Box Score")</f>
        <v>Box Score</v>
      </c>
      <c r="H67" s="1"/>
      <c r="I67" s="3">
        <f>IFERROR(__xludf.DUMMYFUNCTION("""COMPUTED_VALUE"""),19600.0)</f>
        <v>19600</v>
      </c>
      <c r="J67" s="1"/>
    </row>
    <row r="68" ht="15.75" customHeight="1">
      <c r="A68" s="2">
        <f>IFERROR(__xludf.DUMMYFUNCTION("""COMPUTED_VALUE"""),43534.0)</f>
        <v>43534</v>
      </c>
      <c r="B68" s="1" t="str">
        <f>IFERROR(__xludf.DUMMYFUNCTION("""COMPUTED_VALUE"""),"3:30p")</f>
        <v>3:30p</v>
      </c>
      <c r="C68" s="1" t="str">
        <f>IFERROR(__xludf.DUMMYFUNCTION("""COMPUTED_VALUE"""),"Indiana Pacers")</f>
        <v>Indiana Pacers</v>
      </c>
      <c r="D68" s="1">
        <f>IFERROR(__xludf.DUMMYFUNCTION("""COMPUTED_VALUE"""),89.0)</f>
        <v>89</v>
      </c>
      <c r="E68" s="1" t="str">
        <f>IFERROR(__xludf.DUMMYFUNCTION("""COMPUTED_VALUE"""),"Philadelphia 76ers")</f>
        <v>Philadelphia 76ers</v>
      </c>
      <c r="F68" s="1">
        <f>IFERROR(__xludf.DUMMYFUNCTION("""COMPUTED_VALUE"""),106.0)</f>
        <v>106</v>
      </c>
      <c r="G68" s="1" t="str">
        <f>IFERROR(__xludf.DUMMYFUNCTION("""COMPUTED_VALUE"""),"Box Score")</f>
        <v>Box Score</v>
      </c>
      <c r="H68" s="1"/>
      <c r="I68" s="3">
        <f>IFERROR(__xludf.DUMMYFUNCTION("""COMPUTED_VALUE"""),20636.0)</f>
        <v>20636</v>
      </c>
      <c r="J68" s="1"/>
    </row>
    <row r="69" ht="15.75" customHeight="1">
      <c r="A69" s="2">
        <f>IFERROR(__xludf.DUMMYFUNCTION("""COMPUTED_VALUE"""),43534.0)</f>
        <v>43534</v>
      </c>
      <c r="B69" s="1" t="str">
        <f>IFERROR(__xludf.DUMMYFUNCTION("""COMPUTED_VALUE"""),"6:00p")</f>
        <v>6:00p</v>
      </c>
      <c r="C69" s="1" t="str">
        <f>IFERROR(__xludf.DUMMYFUNCTION("""COMPUTED_VALUE"""),"New Orleans Pelicans")</f>
        <v>New Orleans Pelicans</v>
      </c>
      <c r="D69" s="1">
        <f>IFERROR(__xludf.DUMMYFUNCTION("""COMPUTED_VALUE"""),116.0)</f>
        <v>116</v>
      </c>
      <c r="E69" s="1" t="str">
        <f>IFERROR(__xludf.DUMMYFUNCTION("""COMPUTED_VALUE"""),"Atlanta Hawks")</f>
        <v>Atlanta Hawks</v>
      </c>
      <c r="F69" s="1">
        <f>IFERROR(__xludf.DUMMYFUNCTION("""COMPUTED_VALUE"""),128.0)</f>
        <v>128</v>
      </c>
      <c r="G69" s="1" t="str">
        <f>IFERROR(__xludf.DUMMYFUNCTION("""COMPUTED_VALUE"""),"Box Score")</f>
        <v>Box Score</v>
      </c>
      <c r="H69" s="1"/>
      <c r="I69" s="3">
        <f>IFERROR(__xludf.DUMMYFUNCTION("""COMPUTED_VALUE"""),14337.0)</f>
        <v>14337</v>
      </c>
      <c r="J69" s="1"/>
    </row>
    <row r="70" ht="15.75" customHeight="1">
      <c r="A70" s="2">
        <f>IFERROR(__xludf.DUMMYFUNCTION("""COMPUTED_VALUE"""),43534.0)</f>
        <v>43534</v>
      </c>
      <c r="B70" s="1" t="str">
        <f>IFERROR(__xludf.DUMMYFUNCTION("""COMPUTED_VALUE"""),"6:00p")</f>
        <v>6:00p</v>
      </c>
      <c r="C70" s="1" t="str">
        <f>IFERROR(__xludf.DUMMYFUNCTION("""COMPUTED_VALUE"""),"Orlando Magic")</f>
        <v>Orlando Magic</v>
      </c>
      <c r="D70" s="1">
        <f>IFERROR(__xludf.DUMMYFUNCTION("""COMPUTED_VALUE"""),97.0)</f>
        <v>97</v>
      </c>
      <c r="E70" s="1" t="str">
        <f>IFERROR(__xludf.DUMMYFUNCTION("""COMPUTED_VALUE"""),"Memphis Grizzlies")</f>
        <v>Memphis Grizzlies</v>
      </c>
      <c r="F70" s="1">
        <f>IFERROR(__xludf.DUMMYFUNCTION("""COMPUTED_VALUE"""),105.0)</f>
        <v>105</v>
      </c>
      <c r="G70" s="1" t="str">
        <f>IFERROR(__xludf.DUMMYFUNCTION("""COMPUTED_VALUE"""),"Box Score")</f>
        <v>Box Score</v>
      </c>
      <c r="H70" s="1"/>
      <c r="I70" s="3">
        <f>IFERROR(__xludf.DUMMYFUNCTION("""COMPUTED_VALUE"""),16627.0)</f>
        <v>16627</v>
      </c>
      <c r="J70" s="1"/>
    </row>
    <row r="71" ht="15.75" customHeight="1">
      <c r="A71" s="2">
        <f>IFERROR(__xludf.DUMMYFUNCTION("""COMPUTED_VALUE"""),43534.0)</f>
        <v>43534</v>
      </c>
      <c r="B71" s="1" t="str">
        <f>IFERROR(__xludf.DUMMYFUNCTION("""COMPUTED_VALUE"""),"7:00p")</f>
        <v>7:00p</v>
      </c>
      <c r="C71" s="1" t="str">
        <f>IFERROR(__xludf.DUMMYFUNCTION("""COMPUTED_VALUE"""),"Houston Rockets")</f>
        <v>Houston Rockets</v>
      </c>
      <c r="D71" s="1">
        <f>IFERROR(__xludf.DUMMYFUNCTION("""COMPUTED_VALUE"""),94.0)</f>
        <v>94</v>
      </c>
      <c r="E71" s="1" t="str">
        <f>IFERROR(__xludf.DUMMYFUNCTION("""COMPUTED_VALUE"""),"Dallas Mavericks")</f>
        <v>Dallas Mavericks</v>
      </c>
      <c r="F71" s="1">
        <f>IFERROR(__xludf.DUMMYFUNCTION("""COMPUTED_VALUE"""),93.0)</f>
        <v>93</v>
      </c>
      <c r="G71" s="1" t="str">
        <f>IFERROR(__xludf.DUMMYFUNCTION("""COMPUTED_VALUE"""),"Box Score")</f>
        <v>Box Score</v>
      </c>
      <c r="H71" s="1"/>
      <c r="I71" s="3">
        <f>IFERROR(__xludf.DUMMYFUNCTION("""COMPUTED_VALUE"""),20423.0)</f>
        <v>20423</v>
      </c>
      <c r="J71" s="1"/>
    </row>
    <row r="72" ht="15.75" customHeight="1">
      <c r="A72" s="2">
        <f>IFERROR(__xludf.DUMMYFUNCTION("""COMPUTED_VALUE"""),43534.0)</f>
        <v>43534</v>
      </c>
      <c r="B72" s="1" t="str">
        <f>IFERROR(__xludf.DUMMYFUNCTION("""COMPUTED_VALUE"""),"8:00p")</f>
        <v>8:00p</v>
      </c>
      <c r="C72" s="1" t="str">
        <f>IFERROR(__xludf.DUMMYFUNCTION("""COMPUTED_VALUE"""),"New York Knicks")</f>
        <v>New York Knicks</v>
      </c>
      <c r="D72" s="1">
        <f>IFERROR(__xludf.DUMMYFUNCTION("""COMPUTED_VALUE"""),92.0)</f>
        <v>92</v>
      </c>
      <c r="E72" s="1" t="str">
        <f>IFERROR(__xludf.DUMMYFUNCTION("""COMPUTED_VALUE"""),"Minnesota Timberwolves")</f>
        <v>Minnesota Timberwolves</v>
      </c>
      <c r="F72" s="1">
        <f>IFERROR(__xludf.DUMMYFUNCTION("""COMPUTED_VALUE"""),103.0)</f>
        <v>103</v>
      </c>
      <c r="G72" s="1" t="str">
        <f>IFERROR(__xludf.DUMMYFUNCTION("""COMPUTED_VALUE"""),"Box Score")</f>
        <v>Box Score</v>
      </c>
      <c r="H72" s="1"/>
      <c r="I72" s="3">
        <f>IFERROR(__xludf.DUMMYFUNCTION("""COMPUTED_VALUE"""),13806.0)</f>
        <v>13806</v>
      </c>
      <c r="J72" s="1"/>
    </row>
    <row r="73" ht="15.75" customHeight="1">
      <c r="A73" s="2">
        <f>IFERROR(__xludf.DUMMYFUNCTION("""COMPUTED_VALUE"""),43534.0)</f>
        <v>43534</v>
      </c>
      <c r="B73" s="1" t="str">
        <f>IFERROR(__xludf.DUMMYFUNCTION("""COMPUTED_VALUE"""),"8:00p")</f>
        <v>8:00p</v>
      </c>
      <c r="C73" s="1" t="str">
        <f>IFERROR(__xludf.DUMMYFUNCTION("""COMPUTED_VALUE"""),"Milwaukee Bucks")</f>
        <v>Milwaukee Bucks</v>
      </c>
      <c r="D73" s="1">
        <f>IFERROR(__xludf.DUMMYFUNCTION("""COMPUTED_VALUE"""),114.0)</f>
        <v>114</v>
      </c>
      <c r="E73" s="1" t="str">
        <f>IFERROR(__xludf.DUMMYFUNCTION("""COMPUTED_VALUE"""),"San Antonio Spurs")</f>
        <v>San Antonio Spurs</v>
      </c>
      <c r="F73" s="1">
        <f>IFERROR(__xludf.DUMMYFUNCTION("""COMPUTED_VALUE"""),121.0)</f>
        <v>121</v>
      </c>
      <c r="G73" s="1" t="str">
        <f>IFERROR(__xludf.DUMMYFUNCTION("""COMPUTED_VALUE"""),"Box Score")</f>
        <v>Box Score</v>
      </c>
      <c r="H73" s="1"/>
      <c r="I73" s="3">
        <f>IFERROR(__xludf.DUMMYFUNCTION("""COMPUTED_VALUE"""),18594.0)</f>
        <v>18594</v>
      </c>
      <c r="J73" s="1"/>
    </row>
    <row r="74" ht="15.75" customHeight="1">
      <c r="A74" s="2">
        <f>IFERROR(__xludf.DUMMYFUNCTION("""COMPUTED_VALUE"""),43534.0)</f>
        <v>43534</v>
      </c>
      <c r="B74" s="1" t="str">
        <f>IFERROR(__xludf.DUMMYFUNCTION("""COMPUTED_VALUE"""),"8:30p")</f>
        <v>8:30p</v>
      </c>
      <c r="C74" s="1" t="str">
        <f>IFERROR(__xludf.DUMMYFUNCTION("""COMPUTED_VALUE"""),"Phoenix Suns")</f>
        <v>Phoenix Suns</v>
      </c>
      <c r="D74" s="1">
        <f>IFERROR(__xludf.DUMMYFUNCTION("""COMPUTED_VALUE"""),115.0)</f>
        <v>115</v>
      </c>
      <c r="E74" s="1" t="str">
        <f>IFERROR(__xludf.DUMMYFUNCTION("""COMPUTED_VALUE"""),"Golden State Warriors")</f>
        <v>Golden State Warriors</v>
      </c>
      <c r="F74" s="1">
        <f>IFERROR(__xludf.DUMMYFUNCTION("""COMPUTED_VALUE"""),111.0)</f>
        <v>111</v>
      </c>
      <c r="G74" s="1" t="str">
        <f>IFERROR(__xludf.DUMMYFUNCTION("""COMPUTED_VALUE"""),"Box Score")</f>
        <v>Box Score</v>
      </c>
      <c r="H74" s="1"/>
      <c r="I74" s="3">
        <f>IFERROR(__xludf.DUMMYFUNCTION("""COMPUTED_VALUE"""),19596.0)</f>
        <v>19596</v>
      </c>
      <c r="J74" s="1"/>
    </row>
    <row r="75" ht="15.75" customHeight="1">
      <c r="A75" s="2">
        <f>IFERROR(__xludf.DUMMYFUNCTION("""COMPUTED_VALUE"""),43535.0)</f>
        <v>43535</v>
      </c>
      <c r="B75" s="1" t="str">
        <f>IFERROR(__xludf.DUMMYFUNCTION("""COMPUTED_VALUE"""),"7:00p")</f>
        <v>7:00p</v>
      </c>
      <c r="C75" s="1" t="str">
        <f>IFERROR(__xludf.DUMMYFUNCTION("""COMPUTED_VALUE"""),"Toronto Raptors")</f>
        <v>Toronto Raptors</v>
      </c>
      <c r="D75" s="1">
        <f>IFERROR(__xludf.DUMMYFUNCTION("""COMPUTED_VALUE"""),101.0)</f>
        <v>101</v>
      </c>
      <c r="E75" s="1" t="str">
        <f>IFERROR(__xludf.DUMMYFUNCTION("""COMPUTED_VALUE"""),"Cleveland Cavaliers")</f>
        <v>Cleveland Cavaliers</v>
      </c>
      <c r="F75" s="1">
        <f>IFERROR(__xludf.DUMMYFUNCTION("""COMPUTED_VALUE"""),126.0)</f>
        <v>126</v>
      </c>
      <c r="G75" s="1" t="str">
        <f>IFERROR(__xludf.DUMMYFUNCTION("""COMPUTED_VALUE"""),"Box Score")</f>
        <v>Box Score</v>
      </c>
      <c r="H75" s="1"/>
      <c r="I75" s="3">
        <f>IFERROR(__xludf.DUMMYFUNCTION("""COMPUTED_VALUE"""),19432.0)</f>
        <v>19432</v>
      </c>
      <c r="J75" s="1"/>
    </row>
    <row r="76" ht="15.75" customHeight="1">
      <c r="A76" s="2">
        <f>IFERROR(__xludf.DUMMYFUNCTION("""COMPUTED_VALUE"""),43535.0)</f>
        <v>43535</v>
      </c>
      <c r="B76" s="1" t="str">
        <f>IFERROR(__xludf.DUMMYFUNCTION("""COMPUTED_VALUE"""),"7:00p")</f>
        <v>7:00p</v>
      </c>
      <c r="C76" s="1" t="str">
        <f>IFERROR(__xludf.DUMMYFUNCTION("""COMPUTED_VALUE"""),"Sacramento Kings")</f>
        <v>Sacramento Kings</v>
      </c>
      <c r="D76" s="1">
        <f>IFERROR(__xludf.DUMMYFUNCTION("""COMPUTED_VALUE"""),115.0)</f>
        <v>115</v>
      </c>
      <c r="E76" s="1" t="str">
        <f>IFERROR(__xludf.DUMMYFUNCTION("""COMPUTED_VALUE"""),"Washington Wizards")</f>
        <v>Washington Wizards</v>
      </c>
      <c r="F76" s="1">
        <f>IFERROR(__xludf.DUMMYFUNCTION("""COMPUTED_VALUE"""),121.0)</f>
        <v>121</v>
      </c>
      <c r="G76" s="1" t="str">
        <f>IFERROR(__xludf.DUMMYFUNCTION("""COMPUTED_VALUE"""),"Box Score")</f>
        <v>Box Score</v>
      </c>
      <c r="H76" s="1"/>
      <c r="I76" s="3">
        <f>IFERROR(__xludf.DUMMYFUNCTION("""COMPUTED_VALUE"""),15012.0)</f>
        <v>15012</v>
      </c>
      <c r="J76" s="1"/>
    </row>
    <row r="77" ht="15.75" customHeight="1">
      <c r="A77" s="2">
        <f>IFERROR(__xludf.DUMMYFUNCTION("""COMPUTED_VALUE"""),43535.0)</f>
        <v>43535</v>
      </c>
      <c r="B77" s="1" t="str">
        <f>IFERROR(__xludf.DUMMYFUNCTION("""COMPUTED_VALUE"""),"7:30p")</f>
        <v>7:30p</v>
      </c>
      <c r="C77" s="1" t="str">
        <f>IFERROR(__xludf.DUMMYFUNCTION("""COMPUTED_VALUE"""),"Detroit Pistons")</f>
        <v>Detroit Pistons</v>
      </c>
      <c r="D77" s="1">
        <f>IFERROR(__xludf.DUMMYFUNCTION("""COMPUTED_VALUE"""),75.0)</f>
        <v>75</v>
      </c>
      <c r="E77" s="1" t="str">
        <f>IFERROR(__xludf.DUMMYFUNCTION("""COMPUTED_VALUE"""),"Brooklyn Nets")</f>
        <v>Brooklyn Nets</v>
      </c>
      <c r="F77" s="1">
        <f>IFERROR(__xludf.DUMMYFUNCTION("""COMPUTED_VALUE"""),103.0)</f>
        <v>103</v>
      </c>
      <c r="G77" s="1" t="str">
        <f>IFERROR(__xludf.DUMMYFUNCTION("""COMPUTED_VALUE"""),"Box Score")</f>
        <v>Box Score</v>
      </c>
      <c r="H77" s="1"/>
      <c r="I77" s="3">
        <f>IFERROR(__xludf.DUMMYFUNCTION("""COMPUTED_VALUE"""),17732.0)</f>
        <v>17732</v>
      </c>
      <c r="J77" s="1"/>
    </row>
    <row r="78" ht="15.75" customHeight="1">
      <c r="A78" s="2">
        <f>IFERROR(__xludf.DUMMYFUNCTION("""COMPUTED_VALUE"""),43535.0)</f>
        <v>43535</v>
      </c>
      <c r="B78" s="1" t="str">
        <f>IFERROR(__xludf.DUMMYFUNCTION("""COMPUTED_VALUE"""),"8:00p")</f>
        <v>8:00p</v>
      </c>
      <c r="C78" s="1" t="str">
        <f>IFERROR(__xludf.DUMMYFUNCTION("""COMPUTED_VALUE"""),"Charlotte Hornets")</f>
        <v>Charlotte Hornets</v>
      </c>
      <c r="D78" s="1">
        <f>IFERROR(__xludf.DUMMYFUNCTION("""COMPUTED_VALUE"""),106.0)</f>
        <v>106</v>
      </c>
      <c r="E78" s="1" t="str">
        <f>IFERROR(__xludf.DUMMYFUNCTION("""COMPUTED_VALUE"""),"Houston Rockets")</f>
        <v>Houston Rockets</v>
      </c>
      <c r="F78" s="1">
        <f>IFERROR(__xludf.DUMMYFUNCTION("""COMPUTED_VALUE"""),118.0)</f>
        <v>118</v>
      </c>
      <c r="G78" s="1" t="str">
        <f>IFERROR(__xludf.DUMMYFUNCTION("""COMPUTED_VALUE"""),"Box Score")</f>
        <v>Box Score</v>
      </c>
      <c r="H78" s="1"/>
      <c r="I78" s="3">
        <f>IFERROR(__xludf.DUMMYFUNCTION("""COMPUTED_VALUE"""),18055.0)</f>
        <v>18055</v>
      </c>
      <c r="J78" s="1"/>
    </row>
    <row r="79" ht="15.75" customHeight="1">
      <c r="A79" s="2">
        <f>IFERROR(__xludf.DUMMYFUNCTION("""COMPUTED_VALUE"""),43535.0)</f>
        <v>43535</v>
      </c>
      <c r="B79" s="1" t="str">
        <f>IFERROR(__xludf.DUMMYFUNCTION("""COMPUTED_VALUE"""),"9:00p")</f>
        <v>9:00p</v>
      </c>
      <c r="C79" s="1" t="str">
        <f>IFERROR(__xludf.DUMMYFUNCTION("""COMPUTED_VALUE"""),"Oklahoma City Thunder")</f>
        <v>Oklahoma City Thunder</v>
      </c>
      <c r="D79" s="1">
        <f>IFERROR(__xludf.DUMMYFUNCTION("""COMPUTED_VALUE"""),98.0)</f>
        <v>98</v>
      </c>
      <c r="E79" s="1" t="str">
        <f>IFERROR(__xludf.DUMMYFUNCTION("""COMPUTED_VALUE"""),"Utah Jazz")</f>
        <v>Utah Jazz</v>
      </c>
      <c r="F79" s="1">
        <f>IFERROR(__xludf.DUMMYFUNCTION("""COMPUTED_VALUE"""),89.0)</f>
        <v>89</v>
      </c>
      <c r="G79" s="1" t="str">
        <f>IFERROR(__xludf.DUMMYFUNCTION("""COMPUTED_VALUE"""),"Box Score")</f>
        <v>Box Score</v>
      </c>
      <c r="H79" s="1"/>
      <c r="I79" s="3">
        <f>IFERROR(__xludf.DUMMYFUNCTION("""COMPUTED_VALUE"""),18306.0)</f>
        <v>18306</v>
      </c>
      <c r="J79" s="1"/>
    </row>
    <row r="80" ht="15.75" customHeight="1">
      <c r="A80" s="2">
        <f>IFERROR(__xludf.DUMMYFUNCTION("""COMPUTED_VALUE"""),43535.0)</f>
        <v>43535</v>
      </c>
      <c r="B80" s="1" t="str">
        <f>IFERROR(__xludf.DUMMYFUNCTION("""COMPUTED_VALUE"""),"10:30p")</f>
        <v>10:30p</v>
      </c>
      <c r="C80" s="1" t="str">
        <f>IFERROR(__xludf.DUMMYFUNCTION("""COMPUTED_VALUE"""),"Boston Celtics")</f>
        <v>Boston Celtics</v>
      </c>
      <c r="D80" s="1">
        <f>IFERROR(__xludf.DUMMYFUNCTION("""COMPUTED_VALUE"""),115.0)</f>
        <v>115</v>
      </c>
      <c r="E80" s="1" t="str">
        <f>IFERROR(__xludf.DUMMYFUNCTION("""COMPUTED_VALUE"""),"Los Angeles Clippers")</f>
        <v>Los Angeles Clippers</v>
      </c>
      <c r="F80" s="1">
        <f>IFERROR(__xludf.DUMMYFUNCTION("""COMPUTED_VALUE"""),140.0)</f>
        <v>140</v>
      </c>
      <c r="G80" s="1" t="str">
        <f>IFERROR(__xludf.DUMMYFUNCTION("""COMPUTED_VALUE"""),"Box Score")</f>
        <v>Box Score</v>
      </c>
      <c r="H80" s="1"/>
      <c r="I80" s="3">
        <f>IFERROR(__xludf.DUMMYFUNCTION("""COMPUTED_VALUE"""),19068.0)</f>
        <v>19068</v>
      </c>
      <c r="J80" s="1"/>
    </row>
    <row r="81" ht="15.75" customHeight="1">
      <c r="A81" s="2">
        <f>IFERROR(__xludf.DUMMYFUNCTION("""COMPUTED_VALUE"""),43536.0)</f>
        <v>43536</v>
      </c>
      <c r="B81" s="1" t="str">
        <f>IFERROR(__xludf.DUMMYFUNCTION("""COMPUTED_VALUE"""),"7:00p")</f>
        <v>7:00p</v>
      </c>
      <c r="C81" s="1" t="str">
        <f>IFERROR(__xludf.DUMMYFUNCTION("""COMPUTED_VALUE"""),"New York Knicks")</f>
        <v>New York Knicks</v>
      </c>
      <c r="D81" s="1">
        <f>IFERROR(__xludf.DUMMYFUNCTION("""COMPUTED_VALUE"""),98.0)</f>
        <v>98</v>
      </c>
      <c r="E81" s="1" t="str">
        <f>IFERROR(__xludf.DUMMYFUNCTION("""COMPUTED_VALUE"""),"Indiana Pacers")</f>
        <v>Indiana Pacers</v>
      </c>
      <c r="F81" s="1">
        <f>IFERROR(__xludf.DUMMYFUNCTION("""COMPUTED_VALUE"""),103.0)</f>
        <v>103</v>
      </c>
      <c r="G81" s="1" t="str">
        <f>IFERROR(__xludf.DUMMYFUNCTION("""COMPUTED_VALUE"""),"Box Score")</f>
        <v>Box Score</v>
      </c>
      <c r="H81" s="1"/>
      <c r="I81" s="3">
        <f>IFERROR(__xludf.DUMMYFUNCTION("""COMPUTED_VALUE"""),16679.0)</f>
        <v>16679</v>
      </c>
      <c r="J81" s="1"/>
    </row>
    <row r="82" ht="15.75" customHeight="1">
      <c r="A82" s="2">
        <f>IFERROR(__xludf.DUMMYFUNCTION("""COMPUTED_VALUE"""),43536.0)</f>
        <v>43536</v>
      </c>
      <c r="B82" s="1" t="str">
        <f>IFERROR(__xludf.DUMMYFUNCTION("""COMPUTED_VALUE"""),"7:00p")</f>
        <v>7:00p</v>
      </c>
      <c r="C82" s="1" t="str">
        <f>IFERROR(__xludf.DUMMYFUNCTION("""COMPUTED_VALUE"""),"Cleveland Cavaliers")</f>
        <v>Cleveland Cavaliers</v>
      </c>
      <c r="D82" s="1">
        <f>IFERROR(__xludf.DUMMYFUNCTION("""COMPUTED_VALUE"""),99.0)</f>
        <v>99</v>
      </c>
      <c r="E82" s="1" t="str">
        <f>IFERROR(__xludf.DUMMYFUNCTION("""COMPUTED_VALUE"""),"Philadelphia 76ers")</f>
        <v>Philadelphia 76ers</v>
      </c>
      <c r="F82" s="1">
        <f>IFERROR(__xludf.DUMMYFUNCTION("""COMPUTED_VALUE"""),106.0)</f>
        <v>106</v>
      </c>
      <c r="G82" s="1" t="str">
        <f>IFERROR(__xludf.DUMMYFUNCTION("""COMPUTED_VALUE"""),"Box Score")</f>
        <v>Box Score</v>
      </c>
      <c r="H82" s="1"/>
      <c r="I82" s="3">
        <f>IFERROR(__xludf.DUMMYFUNCTION("""COMPUTED_VALUE"""),20420.0)</f>
        <v>20420</v>
      </c>
      <c r="J82" s="1"/>
    </row>
    <row r="83" ht="15.75" customHeight="1">
      <c r="A83" s="2">
        <f>IFERROR(__xludf.DUMMYFUNCTION("""COMPUTED_VALUE"""),43536.0)</f>
        <v>43536</v>
      </c>
      <c r="B83" s="1" t="str">
        <f>IFERROR(__xludf.DUMMYFUNCTION("""COMPUTED_VALUE"""),"8:00p")</f>
        <v>8:00p</v>
      </c>
      <c r="C83" s="1" t="str">
        <f>IFERROR(__xludf.DUMMYFUNCTION("""COMPUTED_VALUE"""),"Los Angeles Lakers")</f>
        <v>Los Angeles Lakers</v>
      </c>
      <c r="D83" s="1">
        <f>IFERROR(__xludf.DUMMYFUNCTION("""COMPUTED_VALUE"""),123.0)</f>
        <v>123</v>
      </c>
      <c r="E83" s="1" t="str">
        <f>IFERROR(__xludf.DUMMYFUNCTION("""COMPUTED_VALUE"""),"Chicago Bulls")</f>
        <v>Chicago Bulls</v>
      </c>
      <c r="F83" s="1">
        <f>IFERROR(__xludf.DUMMYFUNCTION("""COMPUTED_VALUE"""),107.0)</f>
        <v>107</v>
      </c>
      <c r="G83" s="1" t="str">
        <f>IFERROR(__xludf.DUMMYFUNCTION("""COMPUTED_VALUE"""),"Box Score")</f>
        <v>Box Score</v>
      </c>
      <c r="H83" s="1"/>
      <c r="I83" s="3">
        <f>IFERROR(__xludf.DUMMYFUNCTION("""COMPUTED_VALUE"""),21359.0)</f>
        <v>21359</v>
      </c>
      <c r="J83" s="1"/>
    </row>
    <row r="84" ht="15.75" customHeight="1">
      <c r="A84" s="2">
        <f>IFERROR(__xludf.DUMMYFUNCTION("""COMPUTED_VALUE"""),43536.0)</f>
        <v>43536</v>
      </c>
      <c r="B84" s="1" t="str">
        <f>IFERROR(__xludf.DUMMYFUNCTION("""COMPUTED_VALUE"""),"8:00p")</f>
        <v>8:00p</v>
      </c>
      <c r="C84" s="1" t="str">
        <f>IFERROR(__xludf.DUMMYFUNCTION("""COMPUTED_VALUE"""),"San Antonio Spurs")</f>
        <v>San Antonio Spurs</v>
      </c>
      <c r="D84" s="1">
        <f>IFERROR(__xludf.DUMMYFUNCTION("""COMPUTED_VALUE"""),112.0)</f>
        <v>112</v>
      </c>
      <c r="E84" s="1" t="str">
        <f>IFERROR(__xludf.DUMMYFUNCTION("""COMPUTED_VALUE"""),"Dallas Mavericks")</f>
        <v>Dallas Mavericks</v>
      </c>
      <c r="F84" s="1">
        <f>IFERROR(__xludf.DUMMYFUNCTION("""COMPUTED_VALUE"""),105.0)</f>
        <v>105</v>
      </c>
      <c r="G84" s="1" t="str">
        <f>IFERROR(__xludf.DUMMYFUNCTION("""COMPUTED_VALUE"""),"Box Score")</f>
        <v>Box Score</v>
      </c>
      <c r="H84" s="1"/>
      <c r="I84" s="3">
        <f>IFERROR(__xludf.DUMMYFUNCTION("""COMPUTED_VALUE"""),20366.0)</f>
        <v>20366</v>
      </c>
      <c r="J84" s="1"/>
    </row>
    <row r="85" ht="15.75" customHeight="1">
      <c r="A85" s="2">
        <f>IFERROR(__xludf.DUMMYFUNCTION("""COMPUTED_VALUE"""),43536.0)</f>
        <v>43536</v>
      </c>
      <c r="B85" s="1" t="str">
        <f>IFERROR(__xludf.DUMMYFUNCTION("""COMPUTED_VALUE"""),"8:00p")</f>
        <v>8:00p</v>
      </c>
      <c r="C85" s="1" t="str">
        <f>IFERROR(__xludf.DUMMYFUNCTION("""COMPUTED_VALUE"""),"Milwaukee Bucks")</f>
        <v>Milwaukee Bucks</v>
      </c>
      <c r="D85" s="1">
        <f>IFERROR(__xludf.DUMMYFUNCTION("""COMPUTED_VALUE"""),130.0)</f>
        <v>130</v>
      </c>
      <c r="E85" s="1" t="str">
        <f>IFERROR(__xludf.DUMMYFUNCTION("""COMPUTED_VALUE"""),"New Orleans Pelicans")</f>
        <v>New Orleans Pelicans</v>
      </c>
      <c r="F85" s="1">
        <f>IFERROR(__xludf.DUMMYFUNCTION("""COMPUTED_VALUE"""),113.0)</f>
        <v>113</v>
      </c>
      <c r="G85" s="1" t="str">
        <f>IFERROR(__xludf.DUMMYFUNCTION("""COMPUTED_VALUE"""),"Box Score")</f>
        <v>Box Score</v>
      </c>
      <c r="H85" s="1"/>
      <c r="I85" s="3">
        <f>IFERROR(__xludf.DUMMYFUNCTION("""COMPUTED_VALUE"""),15562.0)</f>
        <v>15562</v>
      </c>
      <c r="J85" s="1"/>
    </row>
    <row r="86" ht="15.75" customHeight="1">
      <c r="A86" s="2">
        <f>IFERROR(__xludf.DUMMYFUNCTION("""COMPUTED_VALUE"""),43536.0)</f>
        <v>43536</v>
      </c>
      <c r="B86" s="1" t="str">
        <f>IFERROR(__xludf.DUMMYFUNCTION("""COMPUTED_VALUE"""),"10:30p")</f>
        <v>10:30p</v>
      </c>
      <c r="C86" s="1" t="str">
        <f>IFERROR(__xludf.DUMMYFUNCTION("""COMPUTED_VALUE"""),"Minnesota Timberwolves")</f>
        <v>Minnesota Timberwolves</v>
      </c>
      <c r="D86" s="1">
        <f>IFERROR(__xludf.DUMMYFUNCTION("""COMPUTED_VALUE"""),107.0)</f>
        <v>107</v>
      </c>
      <c r="E86" s="1" t="str">
        <f>IFERROR(__xludf.DUMMYFUNCTION("""COMPUTED_VALUE"""),"Denver Nuggets")</f>
        <v>Denver Nuggets</v>
      </c>
      <c r="F86" s="1">
        <f>IFERROR(__xludf.DUMMYFUNCTION("""COMPUTED_VALUE"""),133.0)</f>
        <v>133</v>
      </c>
      <c r="G86" s="1" t="str">
        <f>IFERROR(__xludf.DUMMYFUNCTION("""COMPUTED_VALUE"""),"Box Score")</f>
        <v>Box Score</v>
      </c>
      <c r="H86" s="1"/>
      <c r="I86" s="3">
        <f>IFERROR(__xludf.DUMMYFUNCTION("""COMPUTED_VALUE"""),16874.0)</f>
        <v>16874</v>
      </c>
      <c r="J86" s="1"/>
    </row>
    <row r="87" ht="15.75" customHeight="1">
      <c r="A87" s="2">
        <f>IFERROR(__xludf.DUMMYFUNCTION("""COMPUTED_VALUE"""),43536.0)</f>
        <v>43536</v>
      </c>
      <c r="B87" s="1" t="str">
        <f>IFERROR(__xludf.DUMMYFUNCTION("""COMPUTED_VALUE"""),"10:30p")</f>
        <v>10:30p</v>
      </c>
      <c r="C87" s="1" t="str">
        <f>IFERROR(__xludf.DUMMYFUNCTION("""COMPUTED_VALUE"""),"Portland Trail Blazers")</f>
        <v>Portland Trail Blazers</v>
      </c>
      <c r="D87" s="1">
        <f>IFERROR(__xludf.DUMMYFUNCTION("""COMPUTED_VALUE"""),125.0)</f>
        <v>125</v>
      </c>
      <c r="E87" s="1" t="str">
        <f>IFERROR(__xludf.DUMMYFUNCTION("""COMPUTED_VALUE"""),"Los Angeles Clippers")</f>
        <v>Los Angeles Clippers</v>
      </c>
      <c r="F87" s="1">
        <f>IFERROR(__xludf.DUMMYFUNCTION("""COMPUTED_VALUE"""),104.0)</f>
        <v>104</v>
      </c>
      <c r="G87" s="1" t="str">
        <f>IFERROR(__xludf.DUMMYFUNCTION("""COMPUTED_VALUE"""),"Box Score")</f>
        <v>Box Score</v>
      </c>
      <c r="H87" s="1"/>
      <c r="I87" s="3">
        <f>IFERROR(__xludf.DUMMYFUNCTION("""COMPUTED_VALUE"""),16686.0)</f>
        <v>16686</v>
      </c>
      <c r="J87" s="1"/>
    </row>
    <row r="88" ht="15.75" customHeight="1">
      <c r="A88" s="2">
        <f>IFERROR(__xludf.DUMMYFUNCTION("""COMPUTED_VALUE"""),43537.0)</f>
        <v>43537</v>
      </c>
      <c r="B88" s="1" t="str">
        <f>IFERROR(__xludf.DUMMYFUNCTION("""COMPUTED_VALUE"""),"7:00p")</f>
        <v>7:00p</v>
      </c>
      <c r="C88" s="1" t="str">
        <f>IFERROR(__xludf.DUMMYFUNCTION("""COMPUTED_VALUE"""),"Brooklyn Nets")</f>
        <v>Brooklyn Nets</v>
      </c>
      <c r="D88" s="1">
        <f>IFERROR(__xludf.DUMMYFUNCTION("""COMPUTED_VALUE"""),96.0)</f>
        <v>96</v>
      </c>
      <c r="E88" s="1" t="str">
        <f>IFERROR(__xludf.DUMMYFUNCTION("""COMPUTED_VALUE"""),"Oklahoma City Thunder")</f>
        <v>Oklahoma City Thunder</v>
      </c>
      <c r="F88" s="1">
        <f>IFERROR(__xludf.DUMMYFUNCTION("""COMPUTED_VALUE"""),108.0)</f>
        <v>108</v>
      </c>
      <c r="G88" s="1" t="str">
        <f>IFERROR(__xludf.DUMMYFUNCTION("""COMPUTED_VALUE"""),"Box Score")</f>
        <v>Box Score</v>
      </c>
      <c r="H88" s="1"/>
      <c r="I88" s="3">
        <f>IFERROR(__xludf.DUMMYFUNCTION("""COMPUTED_VALUE"""),18203.0)</f>
        <v>18203</v>
      </c>
      <c r="J88" s="1"/>
    </row>
    <row r="89" ht="15.75" customHeight="1">
      <c r="A89" s="2">
        <f>IFERROR(__xludf.DUMMYFUNCTION("""COMPUTED_VALUE"""),43537.0)</f>
        <v>43537</v>
      </c>
      <c r="B89" s="1" t="str">
        <f>IFERROR(__xludf.DUMMYFUNCTION("""COMPUTED_VALUE"""),"7:00p")</f>
        <v>7:00p</v>
      </c>
      <c r="C89" s="1" t="str">
        <f>IFERROR(__xludf.DUMMYFUNCTION("""COMPUTED_VALUE"""),"Orlando Magic")</f>
        <v>Orlando Magic</v>
      </c>
      <c r="D89" s="1">
        <f>IFERROR(__xludf.DUMMYFUNCTION("""COMPUTED_VALUE"""),90.0)</f>
        <v>90</v>
      </c>
      <c r="E89" s="1" t="str">
        <f>IFERROR(__xludf.DUMMYFUNCTION("""COMPUTED_VALUE"""),"Washington Wizards")</f>
        <v>Washington Wizards</v>
      </c>
      <c r="F89" s="1">
        <f>IFERROR(__xludf.DUMMYFUNCTION("""COMPUTED_VALUE"""),100.0)</f>
        <v>100</v>
      </c>
      <c r="G89" s="1" t="str">
        <f>IFERROR(__xludf.DUMMYFUNCTION("""COMPUTED_VALUE"""),"Box Score")</f>
        <v>Box Score</v>
      </c>
      <c r="H89" s="1"/>
      <c r="I89" s="3">
        <f>IFERROR(__xludf.DUMMYFUNCTION("""COMPUTED_VALUE"""),15107.0)</f>
        <v>15107</v>
      </c>
      <c r="J89" s="1"/>
    </row>
    <row r="90" ht="15.75" customHeight="1">
      <c r="A90" s="2">
        <f>IFERROR(__xludf.DUMMYFUNCTION("""COMPUTED_VALUE"""),43537.0)</f>
        <v>43537</v>
      </c>
      <c r="B90" s="1" t="str">
        <f>IFERROR(__xludf.DUMMYFUNCTION("""COMPUTED_VALUE"""),"7:30p")</f>
        <v>7:30p</v>
      </c>
      <c r="C90" s="1" t="str">
        <f>IFERROR(__xludf.DUMMYFUNCTION("""COMPUTED_VALUE"""),"Memphis Grizzlies")</f>
        <v>Memphis Grizzlies</v>
      </c>
      <c r="D90" s="1">
        <f>IFERROR(__xludf.DUMMYFUNCTION("""COMPUTED_VALUE"""),111.0)</f>
        <v>111</v>
      </c>
      <c r="E90" s="1" t="str">
        <f>IFERROR(__xludf.DUMMYFUNCTION("""COMPUTED_VALUE"""),"Atlanta Hawks")</f>
        <v>Atlanta Hawks</v>
      </c>
      <c r="F90" s="1">
        <f>IFERROR(__xludf.DUMMYFUNCTION("""COMPUTED_VALUE"""),132.0)</f>
        <v>132</v>
      </c>
      <c r="G90" s="1" t="str">
        <f>IFERROR(__xludf.DUMMYFUNCTION("""COMPUTED_VALUE"""),"Box Score")</f>
        <v>Box Score</v>
      </c>
      <c r="H90" s="1"/>
      <c r="I90" s="3">
        <f>IFERROR(__xludf.DUMMYFUNCTION("""COMPUTED_VALUE"""),15169.0)</f>
        <v>15169</v>
      </c>
      <c r="J90" s="1"/>
    </row>
    <row r="91" ht="15.75" customHeight="1">
      <c r="A91" s="2">
        <f>IFERROR(__xludf.DUMMYFUNCTION("""COMPUTED_VALUE"""),43537.0)</f>
        <v>43537</v>
      </c>
      <c r="B91" s="1" t="str">
        <f>IFERROR(__xludf.DUMMYFUNCTION("""COMPUTED_VALUE"""),"7:30p")</f>
        <v>7:30p</v>
      </c>
      <c r="C91" s="1" t="str">
        <f>IFERROR(__xludf.DUMMYFUNCTION("""COMPUTED_VALUE"""),"Detroit Pistons")</f>
        <v>Detroit Pistons</v>
      </c>
      <c r="D91" s="1">
        <f>IFERROR(__xludf.DUMMYFUNCTION("""COMPUTED_VALUE"""),74.0)</f>
        <v>74</v>
      </c>
      <c r="E91" s="1" t="str">
        <f>IFERROR(__xludf.DUMMYFUNCTION("""COMPUTED_VALUE"""),"Miami Heat")</f>
        <v>Miami Heat</v>
      </c>
      <c r="F91" s="1">
        <f>IFERROR(__xludf.DUMMYFUNCTION("""COMPUTED_VALUE"""),108.0)</f>
        <v>108</v>
      </c>
      <c r="G91" s="1" t="str">
        <f>IFERROR(__xludf.DUMMYFUNCTION("""COMPUTED_VALUE"""),"Box Score")</f>
        <v>Box Score</v>
      </c>
      <c r="H91" s="1"/>
      <c r="I91" s="3">
        <f>IFERROR(__xludf.DUMMYFUNCTION("""COMPUTED_VALUE"""),19600.0)</f>
        <v>19600</v>
      </c>
      <c r="J91" s="1"/>
    </row>
    <row r="92" ht="15.75" customHeight="1">
      <c r="A92" s="2">
        <f>IFERROR(__xludf.DUMMYFUNCTION("""COMPUTED_VALUE"""),43537.0)</f>
        <v>43537</v>
      </c>
      <c r="B92" s="1" t="str">
        <f>IFERROR(__xludf.DUMMYFUNCTION("""COMPUTED_VALUE"""),"9:30p")</f>
        <v>9:30p</v>
      </c>
      <c r="C92" s="1" t="str">
        <f>IFERROR(__xludf.DUMMYFUNCTION("""COMPUTED_VALUE"""),"Golden State Warriors")</f>
        <v>Golden State Warriors</v>
      </c>
      <c r="D92" s="1">
        <f>IFERROR(__xludf.DUMMYFUNCTION("""COMPUTED_VALUE"""),106.0)</f>
        <v>106</v>
      </c>
      <c r="E92" s="1" t="str">
        <f>IFERROR(__xludf.DUMMYFUNCTION("""COMPUTED_VALUE"""),"Houston Rockets")</f>
        <v>Houston Rockets</v>
      </c>
      <c r="F92" s="1">
        <f>IFERROR(__xludf.DUMMYFUNCTION("""COMPUTED_VALUE"""),104.0)</f>
        <v>104</v>
      </c>
      <c r="G92" s="1" t="str">
        <f>IFERROR(__xludf.DUMMYFUNCTION("""COMPUTED_VALUE"""),"Box Score")</f>
        <v>Box Score</v>
      </c>
      <c r="H92" s="1"/>
      <c r="I92" s="3">
        <f>IFERROR(__xludf.DUMMYFUNCTION("""COMPUTED_VALUE"""),18122.0)</f>
        <v>18122</v>
      </c>
      <c r="J92" s="1"/>
    </row>
    <row r="93" ht="15.75" customHeight="1">
      <c r="A93" s="2">
        <f>IFERROR(__xludf.DUMMYFUNCTION("""COMPUTED_VALUE"""),43537.0)</f>
        <v>43537</v>
      </c>
      <c r="B93" s="1" t="str">
        <f>IFERROR(__xludf.DUMMYFUNCTION("""COMPUTED_VALUE"""),"10:00p")</f>
        <v>10:00p</v>
      </c>
      <c r="C93" s="1" t="str">
        <f>IFERROR(__xludf.DUMMYFUNCTION("""COMPUTED_VALUE"""),"Utah Jazz")</f>
        <v>Utah Jazz</v>
      </c>
      <c r="D93" s="1">
        <f>IFERROR(__xludf.DUMMYFUNCTION("""COMPUTED_VALUE"""),114.0)</f>
        <v>114</v>
      </c>
      <c r="E93" s="1" t="str">
        <f>IFERROR(__xludf.DUMMYFUNCTION("""COMPUTED_VALUE"""),"Phoenix Suns")</f>
        <v>Phoenix Suns</v>
      </c>
      <c r="F93" s="1">
        <f>IFERROR(__xludf.DUMMYFUNCTION("""COMPUTED_VALUE"""),97.0)</f>
        <v>97</v>
      </c>
      <c r="G93" s="1" t="str">
        <f>IFERROR(__xludf.DUMMYFUNCTION("""COMPUTED_VALUE"""),"Box Score")</f>
        <v>Box Score</v>
      </c>
      <c r="H93" s="1"/>
      <c r="I93" s="3">
        <f>IFERROR(__xludf.DUMMYFUNCTION("""COMPUTED_VALUE"""),18055.0)</f>
        <v>18055</v>
      </c>
      <c r="J93" s="1"/>
    </row>
    <row r="94" ht="15.75" customHeight="1">
      <c r="A94" s="2">
        <f>IFERROR(__xludf.DUMMYFUNCTION("""COMPUTED_VALUE"""),43538.0)</f>
        <v>43538</v>
      </c>
      <c r="B94" s="1" t="str">
        <f>IFERROR(__xludf.DUMMYFUNCTION("""COMPUTED_VALUE"""),"7:00p")</f>
        <v>7:00p</v>
      </c>
      <c r="C94" s="1" t="str">
        <f>IFERROR(__xludf.DUMMYFUNCTION("""COMPUTED_VALUE"""),"Oklahoma City Thunder")</f>
        <v>Oklahoma City Thunder</v>
      </c>
      <c r="D94" s="1">
        <f>IFERROR(__xludf.DUMMYFUNCTION("""COMPUTED_VALUE"""),106.0)</f>
        <v>106</v>
      </c>
      <c r="E94" s="1" t="str">
        <f>IFERROR(__xludf.DUMMYFUNCTION("""COMPUTED_VALUE"""),"Indiana Pacers")</f>
        <v>Indiana Pacers</v>
      </c>
      <c r="F94" s="1">
        <f>IFERROR(__xludf.DUMMYFUNCTION("""COMPUTED_VALUE"""),108.0)</f>
        <v>108</v>
      </c>
      <c r="G94" s="1" t="str">
        <f>IFERROR(__xludf.DUMMYFUNCTION("""COMPUTED_VALUE"""),"Box Score")</f>
        <v>Box Score</v>
      </c>
      <c r="H94" s="1"/>
      <c r="I94" s="3">
        <f>IFERROR(__xludf.DUMMYFUNCTION("""COMPUTED_VALUE"""),16656.0)</f>
        <v>16656</v>
      </c>
      <c r="J94" s="1"/>
    </row>
    <row r="95" ht="15.75" customHeight="1">
      <c r="A95" s="2">
        <f>IFERROR(__xludf.DUMMYFUNCTION("""COMPUTED_VALUE"""),43538.0)</f>
        <v>43538</v>
      </c>
      <c r="B95" s="1" t="str">
        <f>IFERROR(__xludf.DUMMYFUNCTION("""COMPUTED_VALUE"""),"7:00p")</f>
        <v>7:00p</v>
      </c>
      <c r="C95" s="1" t="str">
        <f>IFERROR(__xludf.DUMMYFUNCTION("""COMPUTED_VALUE"""),"Cleveland Cavaliers")</f>
        <v>Cleveland Cavaliers</v>
      </c>
      <c r="D95" s="1">
        <f>IFERROR(__xludf.DUMMYFUNCTION("""COMPUTED_VALUE"""),91.0)</f>
        <v>91</v>
      </c>
      <c r="E95" s="1" t="str">
        <f>IFERROR(__xludf.DUMMYFUNCTION("""COMPUTED_VALUE"""),"Orlando Magic")</f>
        <v>Orlando Magic</v>
      </c>
      <c r="F95" s="1">
        <f>IFERROR(__xludf.DUMMYFUNCTION("""COMPUTED_VALUE"""),120.0)</f>
        <v>120</v>
      </c>
      <c r="G95" s="1" t="str">
        <f>IFERROR(__xludf.DUMMYFUNCTION("""COMPUTED_VALUE"""),"Box Score")</f>
        <v>Box Score</v>
      </c>
      <c r="H95" s="1"/>
      <c r="I95" s="3">
        <f>IFERROR(__xludf.DUMMYFUNCTION("""COMPUTED_VALUE"""),18091.0)</f>
        <v>18091</v>
      </c>
      <c r="J95" s="1"/>
    </row>
    <row r="96" ht="15.75" customHeight="1">
      <c r="A96" s="2">
        <f>IFERROR(__xludf.DUMMYFUNCTION("""COMPUTED_VALUE"""),43538.0)</f>
        <v>43538</v>
      </c>
      <c r="B96" s="1" t="str">
        <f>IFERROR(__xludf.DUMMYFUNCTION("""COMPUTED_VALUE"""),"7:30p")</f>
        <v>7:30p</v>
      </c>
      <c r="C96" s="1" t="str">
        <f>IFERROR(__xludf.DUMMYFUNCTION("""COMPUTED_VALUE"""),"Sacramento Kings")</f>
        <v>Sacramento Kings</v>
      </c>
      <c r="D96" s="1">
        <f>IFERROR(__xludf.DUMMYFUNCTION("""COMPUTED_VALUE"""),120.0)</f>
        <v>120</v>
      </c>
      <c r="E96" s="1" t="str">
        <f>IFERROR(__xludf.DUMMYFUNCTION("""COMPUTED_VALUE"""),"Boston Celtics")</f>
        <v>Boston Celtics</v>
      </c>
      <c r="F96" s="1">
        <f>IFERROR(__xludf.DUMMYFUNCTION("""COMPUTED_VALUE"""),126.0)</f>
        <v>126</v>
      </c>
      <c r="G96" s="1" t="str">
        <f>IFERROR(__xludf.DUMMYFUNCTION("""COMPUTED_VALUE"""),"Box Score")</f>
        <v>Box Score</v>
      </c>
      <c r="H96" s="1"/>
      <c r="I96" s="3">
        <f>IFERROR(__xludf.DUMMYFUNCTION("""COMPUTED_VALUE"""),18624.0)</f>
        <v>18624</v>
      </c>
      <c r="J96" s="1"/>
    </row>
    <row r="97" ht="15.75" customHeight="1">
      <c r="A97" s="2">
        <f>IFERROR(__xludf.DUMMYFUNCTION("""COMPUTED_VALUE"""),43538.0)</f>
        <v>43538</v>
      </c>
      <c r="B97" s="1" t="str">
        <f>IFERROR(__xludf.DUMMYFUNCTION("""COMPUTED_VALUE"""),"8:00p")</f>
        <v>8:00p</v>
      </c>
      <c r="C97" s="1" t="str">
        <f>IFERROR(__xludf.DUMMYFUNCTION("""COMPUTED_VALUE"""),"Los Angeles Lakers")</f>
        <v>Los Angeles Lakers</v>
      </c>
      <c r="D97" s="1">
        <f>IFERROR(__xludf.DUMMYFUNCTION("""COMPUTED_VALUE"""),98.0)</f>
        <v>98</v>
      </c>
      <c r="E97" s="1" t="str">
        <f>IFERROR(__xludf.DUMMYFUNCTION("""COMPUTED_VALUE"""),"Toronto Raptors")</f>
        <v>Toronto Raptors</v>
      </c>
      <c r="F97" s="1">
        <f>IFERROR(__xludf.DUMMYFUNCTION("""COMPUTED_VALUE"""),111.0)</f>
        <v>111</v>
      </c>
      <c r="G97" s="1" t="str">
        <f>IFERROR(__xludf.DUMMYFUNCTION("""COMPUTED_VALUE"""),"Box Score")</f>
        <v>Box Score</v>
      </c>
      <c r="H97" s="1"/>
      <c r="I97" s="3">
        <f>IFERROR(__xludf.DUMMYFUNCTION("""COMPUTED_VALUE"""),19962.0)</f>
        <v>19962</v>
      </c>
      <c r="J97" s="1"/>
    </row>
    <row r="98" ht="15.75" customHeight="1">
      <c r="A98" s="2">
        <f>IFERROR(__xludf.DUMMYFUNCTION("""COMPUTED_VALUE"""),43538.0)</f>
        <v>43538</v>
      </c>
      <c r="B98" s="1" t="str">
        <f>IFERROR(__xludf.DUMMYFUNCTION("""COMPUTED_VALUE"""),"9:00p")</f>
        <v>9:00p</v>
      </c>
      <c r="C98" s="1" t="str">
        <f>IFERROR(__xludf.DUMMYFUNCTION("""COMPUTED_VALUE"""),"Minnesota Timberwolves")</f>
        <v>Minnesota Timberwolves</v>
      </c>
      <c r="D98" s="1">
        <f>IFERROR(__xludf.DUMMYFUNCTION("""COMPUTED_VALUE"""),100.0)</f>
        <v>100</v>
      </c>
      <c r="E98" s="1" t="str">
        <f>IFERROR(__xludf.DUMMYFUNCTION("""COMPUTED_VALUE"""),"Utah Jazz")</f>
        <v>Utah Jazz</v>
      </c>
      <c r="F98" s="1">
        <f>IFERROR(__xludf.DUMMYFUNCTION("""COMPUTED_VALUE"""),120.0)</f>
        <v>120</v>
      </c>
      <c r="G98" s="1" t="str">
        <f>IFERROR(__xludf.DUMMYFUNCTION("""COMPUTED_VALUE"""),"Box Score")</f>
        <v>Box Score</v>
      </c>
      <c r="H98" s="1"/>
      <c r="I98" s="3">
        <f>IFERROR(__xludf.DUMMYFUNCTION("""COMPUTED_VALUE"""),18306.0)</f>
        <v>18306</v>
      </c>
      <c r="J98" s="1"/>
    </row>
    <row r="99" ht="15.75" customHeight="1">
      <c r="A99" s="2">
        <f>IFERROR(__xludf.DUMMYFUNCTION("""COMPUTED_VALUE"""),43538.0)</f>
        <v>43538</v>
      </c>
      <c r="B99" s="1" t="str">
        <f>IFERROR(__xludf.DUMMYFUNCTION("""COMPUTED_VALUE"""),"10:30p")</f>
        <v>10:30p</v>
      </c>
      <c r="C99" s="1" t="str">
        <f>IFERROR(__xludf.DUMMYFUNCTION("""COMPUTED_VALUE"""),"Dallas Mavericks")</f>
        <v>Dallas Mavericks</v>
      </c>
      <c r="D99" s="1">
        <f>IFERROR(__xludf.DUMMYFUNCTION("""COMPUTED_VALUE"""),99.0)</f>
        <v>99</v>
      </c>
      <c r="E99" s="1" t="str">
        <f>IFERROR(__xludf.DUMMYFUNCTION("""COMPUTED_VALUE"""),"Denver Nuggets")</f>
        <v>Denver Nuggets</v>
      </c>
      <c r="F99" s="1">
        <f>IFERROR(__xludf.DUMMYFUNCTION("""COMPUTED_VALUE"""),100.0)</f>
        <v>100</v>
      </c>
      <c r="G99" s="1" t="str">
        <f>IFERROR(__xludf.DUMMYFUNCTION("""COMPUTED_VALUE"""),"Box Score")</f>
        <v>Box Score</v>
      </c>
      <c r="H99" s="1"/>
      <c r="I99" s="3">
        <f>IFERROR(__xludf.DUMMYFUNCTION("""COMPUTED_VALUE"""),19520.0)</f>
        <v>19520</v>
      </c>
      <c r="J99" s="1"/>
    </row>
    <row r="100" ht="15.75" customHeight="1">
      <c r="A100" s="2">
        <f>IFERROR(__xludf.DUMMYFUNCTION("""COMPUTED_VALUE"""),43539.0)</f>
        <v>43539</v>
      </c>
      <c r="B100" s="1" t="str">
        <f>IFERROR(__xludf.DUMMYFUNCTION("""COMPUTED_VALUE"""),"7:00p")</f>
        <v>7:00p</v>
      </c>
      <c r="C100" s="1" t="str">
        <f>IFERROR(__xludf.DUMMYFUNCTION("""COMPUTED_VALUE"""),"Los Angeles Lakers")</f>
        <v>Los Angeles Lakers</v>
      </c>
      <c r="D100" s="1">
        <f>IFERROR(__xludf.DUMMYFUNCTION("""COMPUTED_VALUE"""),97.0)</f>
        <v>97</v>
      </c>
      <c r="E100" s="1" t="str">
        <f>IFERROR(__xludf.DUMMYFUNCTION("""COMPUTED_VALUE"""),"Detroit Pistons")</f>
        <v>Detroit Pistons</v>
      </c>
      <c r="F100" s="1">
        <f>IFERROR(__xludf.DUMMYFUNCTION("""COMPUTED_VALUE"""),111.0)</f>
        <v>111</v>
      </c>
      <c r="G100" s="1" t="str">
        <f>IFERROR(__xludf.DUMMYFUNCTION("""COMPUTED_VALUE"""),"Box Score")</f>
        <v>Box Score</v>
      </c>
      <c r="H100" s="1"/>
      <c r="I100" s="3">
        <f>IFERROR(__xludf.DUMMYFUNCTION("""COMPUTED_VALUE"""),20768.0)</f>
        <v>20768</v>
      </c>
      <c r="J100" s="1"/>
    </row>
    <row r="101" ht="15.75" customHeight="1">
      <c r="A101" s="2">
        <f>IFERROR(__xludf.DUMMYFUNCTION("""COMPUTED_VALUE"""),43539.0)</f>
        <v>43539</v>
      </c>
      <c r="B101" s="1" t="str">
        <f>IFERROR(__xludf.DUMMYFUNCTION("""COMPUTED_VALUE"""),"7:00p")</f>
        <v>7:00p</v>
      </c>
      <c r="C101" s="1" t="str">
        <f>IFERROR(__xludf.DUMMYFUNCTION("""COMPUTED_VALUE"""),"Sacramento Kings")</f>
        <v>Sacramento Kings</v>
      </c>
      <c r="D101" s="1">
        <f>IFERROR(__xludf.DUMMYFUNCTION("""COMPUTED_VALUE"""),114.0)</f>
        <v>114</v>
      </c>
      <c r="E101" s="1" t="str">
        <f>IFERROR(__xludf.DUMMYFUNCTION("""COMPUTED_VALUE"""),"Philadelphia 76ers")</f>
        <v>Philadelphia 76ers</v>
      </c>
      <c r="F101" s="1">
        <f>IFERROR(__xludf.DUMMYFUNCTION("""COMPUTED_VALUE"""),123.0)</f>
        <v>123</v>
      </c>
      <c r="G101" s="1" t="str">
        <f>IFERROR(__xludf.DUMMYFUNCTION("""COMPUTED_VALUE"""),"Box Score")</f>
        <v>Box Score</v>
      </c>
      <c r="H101" s="1"/>
      <c r="I101" s="3">
        <f>IFERROR(__xludf.DUMMYFUNCTION("""COMPUTED_VALUE"""),20704.0)</f>
        <v>20704</v>
      </c>
      <c r="J101" s="1"/>
    </row>
    <row r="102" ht="15.75" customHeight="1">
      <c r="A102" s="2">
        <f>IFERROR(__xludf.DUMMYFUNCTION("""COMPUTED_VALUE"""),43539.0)</f>
        <v>43539</v>
      </c>
      <c r="B102" s="1" t="str">
        <f>IFERROR(__xludf.DUMMYFUNCTION("""COMPUTED_VALUE"""),"7:00p")</f>
        <v>7:00p</v>
      </c>
      <c r="C102" s="1" t="str">
        <f>IFERROR(__xludf.DUMMYFUNCTION("""COMPUTED_VALUE"""),"Charlotte Hornets")</f>
        <v>Charlotte Hornets</v>
      </c>
      <c r="D102" s="1">
        <f>IFERROR(__xludf.DUMMYFUNCTION("""COMPUTED_VALUE"""),116.0)</f>
        <v>116</v>
      </c>
      <c r="E102" s="1" t="str">
        <f>IFERROR(__xludf.DUMMYFUNCTION("""COMPUTED_VALUE"""),"Washington Wizards")</f>
        <v>Washington Wizards</v>
      </c>
      <c r="F102" s="1">
        <f>IFERROR(__xludf.DUMMYFUNCTION("""COMPUTED_VALUE"""),110.0)</f>
        <v>110</v>
      </c>
      <c r="G102" s="1" t="str">
        <f>IFERROR(__xludf.DUMMYFUNCTION("""COMPUTED_VALUE"""),"Box Score")</f>
        <v>Box Score</v>
      </c>
      <c r="H102" s="1"/>
      <c r="I102" s="3">
        <f>IFERROR(__xludf.DUMMYFUNCTION("""COMPUTED_VALUE"""),19520.0)</f>
        <v>19520</v>
      </c>
      <c r="J102" s="1"/>
    </row>
    <row r="103" ht="15.75" customHeight="1">
      <c r="A103" s="2">
        <f>IFERROR(__xludf.DUMMYFUNCTION("""COMPUTED_VALUE"""),43539.0)</f>
        <v>43539</v>
      </c>
      <c r="B103" s="1" t="str">
        <f>IFERROR(__xludf.DUMMYFUNCTION("""COMPUTED_VALUE"""),"8:00p")</f>
        <v>8:00p</v>
      </c>
      <c r="C103" s="1" t="str">
        <f>IFERROR(__xludf.DUMMYFUNCTION("""COMPUTED_VALUE"""),"Phoenix Suns")</f>
        <v>Phoenix Suns</v>
      </c>
      <c r="D103" s="1">
        <f>IFERROR(__xludf.DUMMYFUNCTION("""COMPUTED_VALUE"""),102.0)</f>
        <v>102</v>
      </c>
      <c r="E103" s="1" t="str">
        <f>IFERROR(__xludf.DUMMYFUNCTION("""COMPUTED_VALUE"""),"Houston Rockets")</f>
        <v>Houston Rockets</v>
      </c>
      <c r="F103" s="1">
        <f>IFERROR(__xludf.DUMMYFUNCTION("""COMPUTED_VALUE"""),108.0)</f>
        <v>108</v>
      </c>
      <c r="G103" s="1" t="str">
        <f>IFERROR(__xludf.DUMMYFUNCTION("""COMPUTED_VALUE"""),"Box Score")</f>
        <v>Box Score</v>
      </c>
      <c r="H103" s="1"/>
      <c r="I103" s="3">
        <f>IFERROR(__xludf.DUMMYFUNCTION("""COMPUTED_VALUE"""),18055.0)</f>
        <v>18055</v>
      </c>
      <c r="J103" s="1"/>
    </row>
    <row r="104" ht="15.75" customHeight="1">
      <c r="A104" s="2">
        <f>IFERROR(__xludf.DUMMYFUNCTION("""COMPUTED_VALUE"""),43539.0)</f>
        <v>43539</v>
      </c>
      <c r="B104" s="1" t="str">
        <f>IFERROR(__xludf.DUMMYFUNCTION("""COMPUTED_VALUE"""),"8:00p")</f>
        <v>8:00p</v>
      </c>
      <c r="C104" s="1" t="str">
        <f>IFERROR(__xludf.DUMMYFUNCTION("""COMPUTED_VALUE"""),"Milwaukee Bucks")</f>
        <v>Milwaukee Bucks</v>
      </c>
      <c r="D104" s="1">
        <f>IFERROR(__xludf.DUMMYFUNCTION("""COMPUTED_VALUE"""),113.0)</f>
        <v>113</v>
      </c>
      <c r="E104" s="1" t="str">
        <f>IFERROR(__xludf.DUMMYFUNCTION("""COMPUTED_VALUE"""),"Miami Heat")</f>
        <v>Miami Heat</v>
      </c>
      <c r="F104" s="1">
        <f>IFERROR(__xludf.DUMMYFUNCTION("""COMPUTED_VALUE"""),98.0)</f>
        <v>98</v>
      </c>
      <c r="G104" s="1" t="str">
        <f>IFERROR(__xludf.DUMMYFUNCTION("""COMPUTED_VALUE"""),"Box Score")</f>
        <v>Box Score</v>
      </c>
      <c r="H104" s="1"/>
      <c r="I104" s="3">
        <f>IFERROR(__xludf.DUMMYFUNCTION("""COMPUTED_VALUE"""),19600.0)</f>
        <v>19600</v>
      </c>
      <c r="J104" s="1"/>
    </row>
    <row r="105" ht="15.75" customHeight="1">
      <c r="A105" s="2">
        <f>IFERROR(__xludf.DUMMYFUNCTION("""COMPUTED_VALUE"""),43539.0)</f>
        <v>43539</v>
      </c>
      <c r="B105" s="1" t="str">
        <f>IFERROR(__xludf.DUMMYFUNCTION("""COMPUTED_VALUE"""),"8:00p")</f>
        <v>8:00p</v>
      </c>
      <c r="C105" s="1" t="str">
        <f>IFERROR(__xludf.DUMMYFUNCTION("""COMPUTED_VALUE"""),"Portland Trail Blazers")</f>
        <v>Portland Trail Blazers</v>
      </c>
      <c r="D105" s="1">
        <f>IFERROR(__xludf.DUMMYFUNCTION("""COMPUTED_VALUE"""),122.0)</f>
        <v>122</v>
      </c>
      <c r="E105" s="1" t="str">
        <f>IFERROR(__xludf.DUMMYFUNCTION("""COMPUTED_VALUE"""),"New Orleans Pelicans")</f>
        <v>New Orleans Pelicans</v>
      </c>
      <c r="F105" s="1">
        <f>IFERROR(__xludf.DUMMYFUNCTION("""COMPUTED_VALUE"""),110.0)</f>
        <v>110</v>
      </c>
      <c r="G105" s="1" t="str">
        <f>IFERROR(__xludf.DUMMYFUNCTION("""COMPUTED_VALUE"""),"Box Score")</f>
        <v>Box Score</v>
      </c>
      <c r="H105" s="1"/>
      <c r="I105" s="3">
        <f>IFERROR(__xludf.DUMMYFUNCTION("""COMPUTED_VALUE"""),16117.0)</f>
        <v>16117</v>
      </c>
      <c r="J105" s="1"/>
    </row>
    <row r="106" ht="15.75" customHeight="1">
      <c r="A106" s="2">
        <f>IFERROR(__xludf.DUMMYFUNCTION("""COMPUTED_VALUE"""),43539.0)</f>
        <v>43539</v>
      </c>
      <c r="B106" s="1" t="str">
        <f>IFERROR(__xludf.DUMMYFUNCTION("""COMPUTED_VALUE"""),"8:30p")</f>
        <v>8:30p</v>
      </c>
      <c r="C106" s="1" t="str">
        <f>IFERROR(__xludf.DUMMYFUNCTION("""COMPUTED_VALUE"""),"New York Knicks")</f>
        <v>New York Knicks</v>
      </c>
      <c r="D106" s="1">
        <f>IFERROR(__xludf.DUMMYFUNCTION("""COMPUTED_VALUE"""),83.0)</f>
        <v>83</v>
      </c>
      <c r="E106" s="1" t="str">
        <f>IFERROR(__xludf.DUMMYFUNCTION("""COMPUTED_VALUE"""),"San Antonio Spurs")</f>
        <v>San Antonio Spurs</v>
      </c>
      <c r="F106" s="1">
        <f>IFERROR(__xludf.DUMMYFUNCTION("""COMPUTED_VALUE"""),109.0)</f>
        <v>109</v>
      </c>
      <c r="G106" s="1" t="str">
        <f>IFERROR(__xludf.DUMMYFUNCTION("""COMPUTED_VALUE"""),"Box Score")</f>
        <v>Box Score</v>
      </c>
      <c r="H106" s="1"/>
      <c r="I106" s="3">
        <f>IFERROR(__xludf.DUMMYFUNCTION("""COMPUTED_VALUE"""),18354.0)</f>
        <v>18354</v>
      </c>
      <c r="J106" s="1"/>
    </row>
    <row r="107" ht="15.75" customHeight="1">
      <c r="A107" s="2">
        <f>IFERROR(__xludf.DUMMYFUNCTION("""COMPUTED_VALUE"""),43539.0)</f>
        <v>43539</v>
      </c>
      <c r="B107" s="1" t="str">
        <f>IFERROR(__xludf.DUMMYFUNCTION("""COMPUTED_VALUE"""),"10:30p")</f>
        <v>10:30p</v>
      </c>
      <c r="C107" s="1" t="str">
        <f>IFERROR(__xludf.DUMMYFUNCTION("""COMPUTED_VALUE"""),"Chicago Bulls")</f>
        <v>Chicago Bulls</v>
      </c>
      <c r="D107" s="1">
        <f>IFERROR(__xludf.DUMMYFUNCTION("""COMPUTED_VALUE"""),121.0)</f>
        <v>121</v>
      </c>
      <c r="E107" s="1" t="str">
        <f>IFERROR(__xludf.DUMMYFUNCTION("""COMPUTED_VALUE"""),"Los Angeles Clippers")</f>
        <v>Los Angeles Clippers</v>
      </c>
      <c r="F107" s="1">
        <f>IFERROR(__xludf.DUMMYFUNCTION("""COMPUTED_VALUE"""),128.0)</f>
        <v>128</v>
      </c>
      <c r="G107" s="1" t="str">
        <f>IFERROR(__xludf.DUMMYFUNCTION("""COMPUTED_VALUE"""),"Box Score")</f>
        <v>Box Score</v>
      </c>
      <c r="H107" s="1"/>
      <c r="I107" s="3">
        <f>IFERROR(__xludf.DUMMYFUNCTION("""COMPUTED_VALUE"""),17404.0)</f>
        <v>17404</v>
      </c>
      <c r="J107" s="1"/>
    </row>
    <row r="108" ht="15.75" customHeight="1">
      <c r="A108" s="2">
        <f>IFERROR(__xludf.DUMMYFUNCTION("""COMPUTED_VALUE"""),43540.0)</f>
        <v>43540</v>
      </c>
      <c r="B108" s="1" t="str">
        <f>IFERROR(__xludf.DUMMYFUNCTION("""COMPUTED_VALUE"""),"12:30p")</f>
        <v>12:30p</v>
      </c>
      <c r="C108" s="1" t="str">
        <f>IFERROR(__xludf.DUMMYFUNCTION("""COMPUTED_VALUE"""),"Atlanta Hawks")</f>
        <v>Atlanta Hawks</v>
      </c>
      <c r="D108" s="1">
        <f>IFERROR(__xludf.DUMMYFUNCTION("""COMPUTED_VALUE"""),120.0)</f>
        <v>120</v>
      </c>
      <c r="E108" s="1" t="str">
        <f>IFERROR(__xludf.DUMMYFUNCTION("""COMPUTED_VALUE"""),"Boston Celtics")</f>
        <v>Boston Celtics</v>
      </c>
      <c r="F108" s="1">
        <f>IFERROR(__xludf.DUMMYFUNCTION("""COMPUTED_VALUE"""),129.0)</f>
        <v>129</v>
      </c>
      <c r="G108" s="1" t="str">
        <f>IFERROR(__xludf.DUMMYFUNCTION("""COMPUTED_VALUE"""),"Box Score")</f>
        <v>Box Score</v>
      </c>
      <c r="H108" s="1"/>
      <c r="I108" s="3">
        <f>IFERROR(__xludf.DUMMYFUNCTION("""COMPUTED_VALUE"""),18624.0)</f>
        <v>18624</v>
      </c>
      <c r="J108" s="1"/>
    </row>
    <row r="109" ht="15.75" customHeight="1">
      <c r="A109" s="2">
        <f>IFERROR(__xludf.DUMMYFUNCTION("""COMPUTED_VALUE"""),43540.0)</f>
        <v>43540</v>
      </c>
      <c r="B109" s="1" t="str">
        <f>IFERROR(__xludf.DUMMYFUNCTION("""COMPUTED_VALUE"""),"7:00p")</f>
        <v>7:00p</v>
      </c>
      <c r="C109" s="1" t="str">
        <f>IFERROR(__xludf.DUMMYFUNCTION("""COMPUTED_VALUE"""),"Phoenix Suns")</f>
        <v>Phoenix Suns</v>
      </c>
      <c r="D109" s="1">
        <f>IFERROR(__xludf.DUMMYFUNCTION("""COMPUTED_VALUE"""),138.0)</f>
        <v>138</v>
      </c>
      <c r="E109" s="1" t="str">
        <f>IFERROR(__xludf.DUMMYFUNCTION("""COMPUTED_VALUE"""),"New Orleans Pelicans")</f>
        <v>New Orleans Pelicans</v>
      </c>
      <c r="F109" s="1">
        <f>IFERROR(__xludf.DUMMYFUNCTION("""COMPUTED_VALUE"""),136.0)</f>
        <v>136</v>
      </c>
      <c r="G109" s="1" t="str">
        <f>IFERROR(__xludf.DUMMYFUNCTION("""COMPUTED_VALUE"""),"Box Score")</f>
        <v>Box Score</v>
      </c>
      <c r="H109" s="1" t="str">
        <f>IFERROR(__xludf.DUMMYFUNCTION("""COMPUTED_VALUE"""),"OT")</f>
        <v>OT</v>
      </c>
      <c r="I109" s="3">
        <f>IFERROR(__xludf.DUMMYFUNCTION("""COMPUTED_VALUE"""),17641.0)</f>
        <v>17641</v>
      </c>
      <c r="J109" s="1"/>
    </row>
    <row r="110" ht="15.75" customHeight="1">
      <c r="A110" s="2">
        <f>IFERROR(__xludf.DUMMYFUNCTION("""COMPUTED_VALUE"""),43540.0)</f>
        <v>43540</v>
      </c>
      <c r="B110" s="1" t="str">
        <f>IFERROR(__xludf.DUMMYFUNCTION("""COMPUTED_VALUE"""),"7:00p")</f>
        <v>7:00p</v>
      </c>
      <c r="C110" s="1" t="str">
        <f>IFERROR(__xludf.DUMMYFUNCTION("""COMPUTED_VALUE"""),"Memphis Grizzlies")</f>
        <v>Memphis Grizzlies</v>
      </c>
      <c r="D110" s="1">
        <f>IFERROR(__xludf.DUMMYFUNCTION("""COMPUTED_VALUE"""),128.0)</f>
        <v>128</v>
      </c>
      <c r="E110" s="1" t="str">
        <f>IFERROR(__xludf.DUMMYFUNCTION("""COMPUTED_VALUE"""),"Washington Wizards")</f>
        <v>Washington Wizards</v>
      </c>
      <c r="F110" s="1">
        <f>IFERROR(__xludf.DUMMYFUNCTION("""COMPUTED_VALUE"""),135.0)</f>
        <v>135</v>
      </c>
      <c r="G110" s="1" t="str">
        <f>IFERROR(__xludf.DUMMYFUNCTION("""COMPUTED_VALUE"""),"Box Score")</f>
        <v>Box Score</v>
      </c>
      <c r="H110" s="1"/>
      <c r="I110" s="3">
        <f>IFERROR(__xludf.DUMMYFUNCTION("""COMPUTED_VALUE"""),19750.0)</f>
        <v>19750</v>
      </c>
      <c r="J110" s="1"/>
    </row>
    <row r="111" ht="15.75" customHeight="1">
      <c r="A111" s="2">
        <f>IFERROR(__xludf.DUMMYFUNCTION("""COMPUTED_VALUE"""),43540.0)</f>
        <v>43540</v>
      </c>
      <c r="B111" s="1" t="str">
        <f>IFERROR(__xludf.DUMMYFUNCTION("""COMPUTED_VALUE"""),"8:30p")</f>
        <v>8:30p</v>
      </c>
      <c r="C111" s="1" t="str">
        <f>IFERROR(__xludf.DUMMYFUNCTION("""COMPUTED_VALUE"""),"Cleveland Cavaliers")</f>
        <v>Cleveland Cavaliers</v>
      </c>
      <c r="D111" s="1">
        <f>IFERROR(__xludf.DUMMYFUNCTION("""COMPUTED_VALUE"""),116.0)</f>
        <v>116</v>
      </c>
      <c r="E111" s="1" t="str">
        <f>IFERROR(__xludf.DUMMYFUNCTION("""COMPUTED_VALUE"""),"Dallas Mavericks")</f>
        <v>Dallas Mavericks</v>
      </c>
      <c r="F111" s="1">
        <f>IFERROR(__xludf.DUMMYFUNCTION("""COMPUTED_VALUE"""),121.0)</f>
        <v>121</v>
      </c>
      <c r="G111" s="1" t="str">
        <f>IFERROR(__xludf.DUMMYFUNCTION("""COMPUTED_VALUE"""),"Box Score")</f>
        <v>Box Score</v>
      </c>
      <c r="H111" s="1"/>
      <c r="I111" s="3">
        <f>IFERROR(__xludf.DUMMYFUNCTION("""COMPUTED_VALUE"""),20347.0)</f>
        <v>20347</v>
      </c>
      <c r="J111" s="1"/>
    </row>
    <row r="112" ht="15.75" customHeight="1">
      <c r="A112" s="2">
        <f>IFERROR(__xludf.DUMMYFUNCTION("""COMPUTED_VALUE"""),43540.0)</f>
        <v>43540</v>
      </c>
      <c r="B112" s="1" t="str">
        <f>IFERROR(__xludf.DUMMYFUNCTION("""COMPUTED_VALUE"""),"8:30p")</f>
        <v>8:30p</v>
      </c>
      <c r="C112" s="1" t="str">
        <f>IFERROR(__xludf.DUMMYFUNCTION("""COMPUTED_VALUE"""),"Golden State Warriors")</f>
        <v>Golden State Warriors</v>
      </c>
      <c r="D112" s="1">
        <f>IFERROR(__xludf.DUMMYFUNCTION("""COMPUTED_VALUE"""),110.0)</f>
        <v>110</v>
      </c>
      <c r="E112" s="1" t="str">
        <f>IFERROR(__xludf.DUMMYFUNCTION("""COMPUTED_VALUE"""),"Oklahoma City Thunder")</f>
        <v>Oklahoma City Thunder</v>
      </c>
      <c r="F112" s="1">
        <f>IFERROR(__xludf.DUMMYFUNCTION("""COMPUTED_VALUE"""),88.0)</f>
        <v>88</v>
      </c>
      <c r="G112" s="1" t="str">
        <f>IFERROR(__xludf.DUMMYFUNCTION("""COMPUTED_VALUE"""),"Box Score")</f>
        <v>Box Score</v>
      </c>
      <c r="H112" s="1"/>
      <c r="I112" s="3">
        <f>IFERROR(__xludf.DUMMYFUNCTION("""COMPUTED_VALUE"""),18203.0)</f>
        <v>18203</v>
      </c>
      <c r="J112" s="1"/>
    </row>
    <row r="113" ht="15.75" customHeight="1">
      <c r="A113" s="2">
        <f>IFERROR(__xludf.DUMMYFUNCTION("""COMPUTED_VALUE"""),43540.0)</f>
        <v>43540</v>
      </c>
      <c r="B113" s="1" t="str">
        <f>IFERROR(__xludf.DUMMYFUNCTION("""COMPUTED_VALUE"""),"8:30p")</f>
        <v>8:30p</v>
      </c>
      <c r="C113" s="1" t="str">
        <f>IFERROR(__xludf.DUMMYFUNCTION("""COMPUTED_VALUE"""),"Portland Trail Blazers")</f>
        <v>Portland Trail Blazers</v>
      </c>
      <c r="D113" s="1">
        <f>IFERROR(__xludf.DUMMYFUNCTION("""COMPUTED_VALUE"""),103.0)</f>
        <v>103</v>
      </c>
      <c r="E113" s="1" t="str">
        <f>IFERROR(__xludf.DUMMYFUNCTION("""COMPUTED_VALUE"""),"San Antonio Spurs")</f>
        <v>San Antonio Spurs</v>
      </c>
      <c r="F113" s="1">
        <f>IFERROR(__xludf.DUMMYFUNCTION("""COMPUTED_VALUE"""),108.0)</f>
        <v>108</v>
      </c>
      <c r="G113" s="1" t="str">
        <f>IFERROR(__xludf.DUMMYFUNCTION("""COMPUTED_VALUE"""),"Box Score")</f>
        <v>Box Score</v>
      </c>
      <c r="H113" s="1"/>
      <c r="I113" s="3">
        <f>IFERROR(__xludf.DUMMYFUNCTION("""COMPUTED_VALUE"""),18354.0)</f>
        <v>18354</v>
      </c>
      <c r="J113" s="1"/>
    </row>
    <row r="114" ht="15.75" customHeight="1">
      <c r="A114" s="2">
        <f>IFERROR(__xludf.DUMMYFUNCTION("""COMPUTED_VALUE"""),43540.0)</f>
        <v>43540</v>
      </c>
      <c r="B114" s="1" t="str">
        <f>IFERROR(__xludf.DUMMYFUNCTION("""COMPUTED_VALUE"""),"9:00p")</f>
        <v>9:00p</v>
      </c>
      <c r="C114" s="1" t="str">
        <f>IFERROR(__xludf.DUMMYFUNCTION("""COMPUTED_VALUE"""),"Indiana Pacers")</f>
        <v>Indiana Pacers</v>
      </c>
      <c r="D114" s="1">
        <f>IFERROR(__xludf.DUMMYFUNCTION("""COMPUTED_VALUE"""),100.0)</f>
        <v>100</v>
      </c>
      <c r="E114" s="1" t="str">
        <f>IFERROR(__xludf.DUMMYFUNCTION("""COMPUTED_VALUE"""),"Denver Nuggets")</f>
        <v>Denver Nuggets</v>
      </c>
      <c r="F114" s="1">
        <f>IFERROR(__xludf.DUMMYFUNCTION("""COMPUTED_VALUE"""),102.0)</f>
        <v>102</v>
      </c>
      <c r="G114" s="1" t="str">
        <f>IFERROR(__xludf.DUMMYFUNCTION("""COMPUTED_VALUE"""),"Box Score")</f>
        <v>Box Score</v>
      </c>
      <c r="H114" s="1"/>
      <c r="I114" s="3">
        <f>IFERROR(__xludf.DUMMYFUNCTION("""COMPUTED_VALUE"""),19856.0)</f>
        <v>19856</v>
      </c>
      <c r="J114" s="1"/>
    </row>
    <row r="115" ht="15.75" customHeight="1">
      <c r="A115" s="2">
        <f>IFERROR(__xludf.DUMMYFUNCTION("""COMPUTED_VALUE"""),43540.0)</f>
        <v>43540</v>
      </c>
      <c r="B115" s="1" t="str">
        <f>IFERROR(__xludf.DUMMYFUNCTION("""COMPUTED_VALUE"""),"9:00p")</f>
        <v>9:00p</v>
      </c>
      <c r="C115" s="1" t="str">
        <f>IFERROR(__xludf.DUMMYFUNCTION("""COMPUTED_VALUE"""),"Brooklyn Nets")</f>
        <v>Brooklyn Nets</v>
      </c>
      <c r="D115" s="1">
        <f>IFERROR(__xludf.DUMMYFUNCTION("""COMPUTED_VALUE"""),98.0)</f>
        <v>98</v>
      </c>
      <c r="E115" s="1" t="str">
        <f>IFERROR(__xludf.DUMMYFUNCTION("""COMPUTED_VALUE"""),"Utah Jazz")</f>
        <v>Utah Jazz</v>
      </c>
      <c r="F115" s="1">
        <f>IFERROR(__xludf.DUMMYFUNCTION("""COMPUTED_VALUE"""),114.0)</f>
        <v>114</v>
      </c>
      <c r="G115" s="1" t="str">
        <f>IFERROR(__xludf.DUMMYFUNCTION("""COMPUTED_VALUE"""),"Box Score")</f>
        <v>Box Score</v>
      </c>
      <c r="H115" s="1"/>
      <c r="I115" s="3">
        <f>IFERROR(__xludf.DUMMYFUNCTION("""COMPUTED_VALUE"""),18306.0)</f>
        <v>18306</v>
      </c>
      <c r="J115" s="1"/>
    </row>
    <row r="116" ht="15.75" customHeight="1">
      <c r="A116" s="2">
        <f>IFERROR(__xludf.DUMMYFUNCTION("""COMPUTED_VALUE"""),43541.0)</f>
        <v>43541</v>
      </c>
      <c r="B116" s="1" t="str">
        <f>IFERROR(__xludf.DUMMYFUNCTION("""COMPUTED_VALUE"""),"12:00p")</f>
        <v>12:00p</v>
      </c>
      <c r="C116" s="1" t="str">
        <f>IFERROR(__xludf.DUMMYFUNCTION("""COMPUTED_VALUE"""),"Los Angeles Lakers")</f>
        <v>Los Angeles Lakers</v>
      </c>
      <c r="D116" s="1">
        <f>IFERROR(__xludf.DUMMYFUNCTION("""COMPUTED_VALUE"""),123.0)</f>
        <v>123</v>
      </c>
      <c r="E116" s="1" t="str">
        <f>IFERROR(__xludf.DUMMYFUNCTION("""COMPUTED_VALUE"""),"New York Knicks")</f>
        <v>New York Knicks</v>
      </c>
      <c r="F116" s="1">
        <f>IFERROR(__xludf.DUMMYFUNCTION("""COMPUTED_VALUE"""),124.0)</f>
        <v>124</v>
      </c>
      <c r="G116" s="1" t="str">
        <f>IFERROR(__xludf.DUMMYFUNCTION("""COMPUTED_VALUE"""),"Box Score")</f>
        <v>Box Score</v>
      </c>
      <c r="H116" s="1"/>
      <c r="I116" s="3">
        <f>IFERROR(__xludf.DUMMYFUNCTION("""COMPUTED_VALUE"""),19812.0)</f>
        <v>19812</v>
      </c>
      <c r="J116" s="1"/>
    </row>
    <row r="117" ht="15.75" customHeight="1">
      <c r="A117" s="2">
        <f>IFERROR(__xludf.DUMMYFUNCTION("""COMPUTED_VALUE"""),43541.0)</f>
        <v>43541</v>
      </c>
      <c r="B117" s="1" t="str">
        <f>IFERROR(__xludf.DUMMYFUNCTION("""COMPUTED_VALUE"""),"1:00p")</f>
        <v>1:00p</v>
      </c>
      <c r="C117" s="1" t="str">
        <f>IFERROR(__xludf.DUMMYFUNCTION("""COMPUTED_VALUE"""),"Charlotte Hornets")</f>
        <v>Charlotte Hornets</v>
      </c>
      <c r="D117" s="1">
        <f>IFERROR(__xludf.DUMMYFUNCTION("""COMPUTED_VALUE"""),75.0)</f>
        <v>75</v>
      </c>
      <c r="E117" s="1" t="str">
        <f>IFERROR(__xludf.DUMMYFUNCTION("""COMPUTED_VALUE"""),"Miami Heat")</f>
        <v>Miami Heat</v>
      </c>
      <c r="F117" s="1">
        <f>IFERROR(__xludf.DUMMYFUNCTION("""COMPUTED_VALUE"""),93.0)</f>
        <v>93</v>
      </c>
      <c r="G117" s="1" t="str">
        <f>IFERROR(__xludf.DUMMYFUNCTION("""COMPUTED_VALUE"""),"Box Score")</f>
        <v>Box Score</v>
      </c>
      <c r="H117" s="1"/>
      <c r="I117" s="3">
        <f>IFERROR(__xludf.DUMMYFUNCTION("""COMPUTED_VALUE"""),19600.0)</f>
        <v>19600</v>
      </c>
      <c r="J117" s="1"/>
    </row>
    <row r="118" ht="15.75" customHeight="1">
      <c r="A118" s="2">
        <f>IFERROR(__xludf.DUMMYFUNCTION("""COMPUTED_VALUE"""),43541.0)</f>
        <v>43541</v>
      </c>
      <c r="B118" s="1" t="str">
        <f>IFERROR(__xludf.DUMMYFUNCTION("""COMPUTED_VALUE"""),"3:30p")</f>
        <v>3:30p</v>
      </c>
      <c r="C118" s="1" t="str">
        <f>IFERROR(__xludf.DUMMYFUNCTION("""COMPUTED_VALUE"""),"Philadelphia 76ers")</f>
        <v>Philadelphia 76ers</v>
      </c>
      <c r="D118" s="1">
        <f>IFERROR(__xludf.DUMMYFUNCTION("""COMPUTED_VALUE"""),130.0)</f>
        <v>130</v>
      </c>
      <c r="E118" s="1" t="str">
        <f>IFERROR(__xludf.DUMMYFUNCTION("""COMPUTED_VALUE"""),"Milwaukee Bucks")</f>
        <v>Milwaukee Bucks</v>
      </c>
      <c r="F118" s="1">
        <f>IFERROR(__xludf.DUMMYFUNCTION("""COMPUTED_VALUE"""),125.0)</f>
        <v>125</v>
      </c>
      <c r="G118" s="1" t="str">
        <f>IFERROR(__xludf.DUMMYFUNCTION("""COMPUTED_VALUE"""),"Box Score")</f>
        <v>Box Score</v>
      </c>
      <c r="H118" s="1"/>
      <c r="I118" s="3">
        <f>IFERROR(__xludf.DUMMYFUNCTION("""COMPUTED_VALUE"""),18148.0)</f>
        <v>18148</v>
      </c>
      <c r="J118" s="1"/>
    </row>
    <row r="119" ht="15.75" customHeight="1">
      <c r="A119" s="2">
        <f>IFERROR(__xludf.DUMMYFUNCTION("""COMPUTED_VALUE"""),43541.0)</f>
        <v>43541</v>
      </c>
      <c r="B119" s="1" t="str">
        <f>IFERROR(__xludf.DUMMYFUNCTION("""COMPUTED_VALUE"""),"4:00p")</f>
        <v>4:00p</v>
      </c>
      <c r="C119" s="1" t="str">
        <f>IFERROR(__xludf.DUMMYFUNCTION("""COMPUTED_VALUE"""),"Toronto Raptors")</f>
        <v>Toronto Raptors</v>
      </c>
      <c r="D119" s="1">
        <f>IFERROR(__xludf.DUMMYFUNCTION("""COMPUTED_VALUE"""),107.0)</f>
        <v>107</v>
      </c>
      <c r="E119" s="1" t="str">
        <f>IFERROR(__xludf.DUMMYFUNCTION("""COMPUTED_VALUE"""),"Detroit Pistons")</f>
        <v>Detroit Pistons</v>
      </c>
      <c r="F119" s="1">
        <f>IFERROR(__xludf.DUMMYFUNCTION("""COMPUTED_VALUE"""),110.0)</f>
        <v>110</v>
      </c>
      <c r="G119" s="1" t="str">
        <f>IFERROR(__xludf.DUMMYFUNCTION("""COMPUTED_VALUE"""),"Box Score")</f>
        <v>Box Score</v>
      </c>
      <c r="H119" s="1"/>
      <c r="I119" s="3">
        <f>IFERROR(__xludf.DUMMYFUNCTION("""COMPUTED_VALUE"""),19277.0)</f>
        <v>19277</v>
      </c>
      <c r="J119" s="1"/>
    </row>
    <row r="120" ht="15.75" customHeight="1">
      <c r="A120" s="2">
        <f>IFERROR(__xludf.DUMMYFUNCTION("""COMPUTED_VALUE"""),43541.0)</f>
        <v>43541</v>
      </c>
      <c r="B120" s="1" t="str">
        <f>IFERROR(__xludf.DUMMYFUNCTION("""COMPUTED_VALUE"""),"6:00p")</f>
        <v>6:00p</v>
      </c>
      <c r="C120" s="1" t="str">
        <f>IFERROR(__xludf.DUMMYFUNCTION("""COMPUTED_VALUE"""),"Atlanta Hawks")</f>
        <v>Atlanta Hawks</v>
      </c>
      <c r="D120" s="1">
        <f>IFERROR(__xludf.DUMMYFUNCTION("""COMPUTED_VALUE"""),91.0)</f>
        <v>91</v>
      </c>
      <c r="E120" s="1" t="str">
        <f>IFERROR(__xludf.DUMMYFUNCTION("""COMPUTED_VALUE"""),"Orlando Magic")</f>
        <v>Orlando Magic</v>
      </c>
      <c r="F120" s="1">
        <f>IFERROR(__xludf.DUMMYFUNCTION("""COMPUTED_VALUE"""),101.0)</f>
        <v>101</v>
      </c>
      <c r="G120" s="1" t="str">
        <f>IFERROR(__xludf.DUMMYFUNCTION("""COMPUTED_VALUE"""),"Box Score")</f>
        <v>Box Score</v>
      </c>
      <c r="H120" s="1"/>
      <c r="I120" s="3">
        <f>IFERROR(__xludf.DUMMYFUNCTION("""COMPUTED_VALUE"""),18045.0)</f>
        <v>18045</v>
      </c>
      <c r="J120" s="1"/>
    </row>
    <row r="121" ht="15.75" customHeight="1">
      <c r="A121" s="2">
        <f>IFERROR(__xludf.DUMMYFUNCTION("""COMPUTED_VALUE"""),43541.0)</f>
        <v>43541</v>
      </c>
      <c r="B121" s="1" t="str">
        <f>IFERROR(__xludf.DUMMYFUNCTION("""COMPUTED_VALUE"""),"6:00p")</f>
        <v>6:00p</v>
      </c>
      <c r="C121" s="1" t="str">
        <f>IFERROR(__xludf.DUMMYFUNCTION("""COMPUTED_VALUE"""),"Chicago Bulls")</f>
        <v>Chicago Bulls</v>
      </c>
      <c r="D121" s="1">
        <f>IFERROR(__xludf.DUMMYFUNCTION("""COMPUTED_VALUE"""),102.0)</f>
        <v>102</v>
      </c>
      <c r="E121" s="1" t="str">
        <f>IFERROR(__xludf.DUMMYFUNCTION("""COMPUTED_VALUE"""),"Sacramento Kings")</f>
        <v>Sacramento Kings</v>
      </c>
      <c r="F121" s="1">
        <f>IFERROR(__xludf.DUMMYFUNCTION("""COMPUTED_VALUE"""),129.0)</f>
        <v>129</v>
      </c>
      <c r="G121" s="1" t="str">
        <f>IFERROR(__xludf.DUMMYFUNCTION("""COMPUTED_VALUE"""),"Box Score")</f>
        <v>Box Score</v>
      </c>
      <c r="H121" s="1"/>
      <c r="I121" s="3">
        <f>IFERROR(__xludf.DUMMYFUNCTION("""COMPUTED_VALUE"""),17583.0)</f>
        <v>17583</v>
      </c>
      <c r="J121" s="1"/>
    </row>
    <row r="122" ht="15.75" customHeight="1">
      <c r="A122" s="2">
        <f>IFERROR(__xludf.DUMMYFUNCTION("""COMPUTED_VALUE"""),43541.0)</f>
        <v>43541</v>
      </c>
      <c r="B122" s="1" t="str">
        <f>IFERROR(__xludf.DUMMYFUNCTION("""COMPUTED_VALUE"""),"9:00p")</f>
        <v>9:00p</v>
      </c>
      <c r="C122" s="1" t="str">
        <f>IFERROR(__xludf.DUMMYFUNCTION("""COMPUTED_VALUE"""),"Minnesota Timberwolves")</f>
        <v>Minnesota Timberwolves</v>
      </c>
      <c r="D122" s="1">
        <f>IFERROR(__xludf.DUMMYFUNCTION("""COMPUTED_VALUE"""),102.0)</f>
        <v>102</v>
      </c>
      <c r="E122" s="1" t="str">
        <f>IFERROR(__xludf.DUMMYFUNCTION("""COMPUTED_VALUE"""),"Houston Rockets")</f>
        <v>Houston Rockets</v>
      </c>
      <c r="F122" s="1">
        <f>IFERROR(__xludf.DUMMYFUNCTION("""COMPUTED_VALUE"""),117.0)</f>
        <v>117</v>
      </c>
      <c r="G122" s="1" t="str">
        <f>IFERROR(__xludf.DUMMYFUNCTION("""COMPUTED_VALUE"""),"Box Score")</f>
        <v>Box Score</v>
      </c>
      <c r="H122" s="1"/>
      <c r="I122" s="3">
        <f>IFERROR(__xludf.DUMMYFUNCTION("""COMPUTED_VALUE"""),18055.0)</f>
        <v>18055</v>
      </c>
      <c r="J122" s="1"/>
    </row>
    <row r="123" ht="15.75" customHeight="1">
      <c r="A123" s="2">
        <f>IFERROR(__xludf.DUMMYFUNCTION("""COMPUTED_VALUE"""),43541.0)</f>
        <v>43541</v>
      </c>
      <c r="B123" s="1" t="str">
        <f>IFERROR(__xludf.DUMMYFUNCTION("""COMPUTED_VALUE"""),"9:00p")</f>
        <v>9:00p</v>
      </c>
      <c r="C123" s="1" t="str">
        <f>IFERROR(__xludf.DUMMYFUNCTION("""COMPUTED_VALUE"""),"Brooklyn Nets")</f>
        <v>Brooklyn Nets</v>
      </c>
      <c r="D123" s="1">
        <f>IFERROR(__xludf.DUMMYFUNCTION("""COMPUTED_VALUE"""),116.0)</f>
        <v>116</v>
      </c>
      <c r="E123" s="1" t="str">
        <f>IFERROR(__xludf.DUMMYFUNCTION("""COMPUTED_VALUE"""),"Los Angeles Clippers")</f>
        <v>Los Angeles Clippers</v>
      </c>
      <c r="F123" s="1">
        <f>IFERROR(__xludf.DUMMYFUNCTION("""COMPUTED_VALUE"""),119.0)</f>
        <v>119</v>
      </c>
      <c r="G123" s="1" t="str">
        <f>IFERROR(__xludf.DUMMYFUNCTION("""COMPUTED_VALUE"""),"Box Score")</f>
        <v>Box Score</v>
      </c>
      <c r="H123" s="1"/>
      <c r="I123" s="3">
        <f>IFERROR(__xludf.DUMMYFUNCTION("""COMPUTED_VALUE"""),17247.0)</f>
        <v>17247</v>
      </c>
      <c r="J123" s="1"/>
    </row>
    <row r="124" ht="15.75" customHeight="1">
      <c r="A124" s="2">
        <f>IFERROR(__xludf.DUMMYFUNCTION("""COMPUTED_VALUE"""),43542.0)</f>
        <v>43542</v>
      </c>
      <c r="B124" s="1" t="str">
        <f>IFERROR(__xludf.DUMMYFUNCTION("""COMPUTED_VALUE"""),"7:00p")</f>
        <v>7:00p</v>
      </c>
      <c r="C124" s="1" t="str">
        <f>IFERROR(__xludf.DUMMYFUNCTION("""COMPUTED_VALUE"""),"Detroit Pistons")</f>
        <v>Detroit Pistons</v>
      </c>
      <c r="D124" s="1">
        <f>IFERROR(__xludf.DUMMYFUNCTION("""COMPUTED_VALUE"""),119.0)</f>
        <v>119</v>
      </c>
      <c r="E124" s="1" t="str">
        <f>IFERROR(__xludf.DUMMYFUNCTION("""COMPUTED_VALUE"""),"Cleveland Cavaliers")</f>
        <v>Cleveland Cavaliers</v>
      </c>
      <c r="F124" s="1">
        <f>IFERROR(__xludf.DUMMYFUNCTION("""COMPUTED_VALUE"""),126.0)</f>
        <v>126</v>
      </c>
      <c r="G124" s="1" t="str">
        <f>IFERROR(__xludf.DUMMYFUNCTION("""COMPUTED_VALUE"""),"Box Score")</f>
        <v>Box Score</v>
      </c>
      <c r="H124" s="1"/>
      <c r="I124" s="3">
        <f>IFERROR(__xludf.DUMMYFUNCTION("""COMPUTED_VALUE"""),18465.0)</f>
        <v>18465</v>
      </c>
      <c r="J124" s="1"/>
    </row>
    <row r="125" ht="15.75" customHeight="1">
      <c r="A125" s="2">
        <f>IFERROR(__xludf.DUMMYFUNCTION("""COMPUTED_VALUE"""),43542.0)</f>
        <v>43542</v>
      </c>
      <c r="B125" s="1" t="str">
        <f>IFERROR(__xludf.DUMMYFUNCTION("""COMPUTED_VALUE"""),"7:00p")</f>
        <v>7:00p</v>
      </c>
      <c r="C125" s="1" t="str">
        <f>IFERROR(__xludf.DUMMYFUNCTION("""COMPUTED_VALUE"""),"Utah Jazz")</f>
        <v>Utah Jazz</v>
      </c>
      <c r="D125" s="1">
        <f>IFERROR(__xludf.DUMMYFUNCTION("""COMPUTED_VALUE"""),116.0)</f>
        <v>116</v>
      </c>
      <c r="E125" s="1" t="str">
        <f>IFERROR(__xludf.DUMMYFUNCTION("""COMPUTED_VALUE"""),"Washington Wizards")</f>
        <v>Washington Wizards</v>
      </c>
      <c r="F125" s="1">
        <f>IFERROR(__xludf.DUMMYFUNCTION("""COMPUTED_VALUE"""),95.0)</f>
        <v>95</v>
      </c>
      <c r="G125" s="1" t="str">
        <f>IFERROR(__xludf.DUMMYFUNCTION("""COMPUTED_VALUE"""),"Box Score")</f>
        <v>Box Score</v>
      </c>
      <c r="H125" s="1"/>
      <c r="I125" s="3">
        <f>IFERROR(__xludf.DUMMYFUNCTION("""COMPUTED_VALUE"""),15637.0)</f>
        <v>15637</v>
      </c>
      <c r="J125" s="1"/>
    </row>
    <row r="126" ht="15.75" customHeight="1">
      <c r="A126" s="2">
        <f>IFERROR(__xludf.DUMMYFUNCTION("""COMPUTED_VALUE"""),43542.0)</f>
        <v>43542</v>
      </c>
      <c r="B126" s="1" t="str">
        <f>IFERROR(__xludf.DUMMYFUNCTION("""COMPUTED_VALUE"""),"7:30p")</f>
        <v>7:30p</v>
      </c>
      <c r="C126" s="1" t="str">
        <f>IFERROR(__xludf.DUMMYFUNCTION("""COMPUTED_VALUE"""),"Denver Nuggets")</f>
        <v>Denver Nuggets</v>
      </c>
      <c r="D126" s="1">
        <f>IFERROR(__xludf.DUMMYFUNCTION("""COMPUTED_VALUE"""),114.0)</f>
        <v>114</v>
      </c>
      <c r="E126" s="1" t="str">
        <f>IFERROR(__xludf.DUMMYFUNCTION("""COMPUTED_VALUE"""),"Boston Celtics")</f>
        <v>Boston Celtics</v>
      </c>
      <c r="F126" s="1">
        <f>IFERROR(__xludf.DUMMYFUNCTION("""COMPUTED_VALUE"""),105.0)</f>
        <v>105</v>
      </c>
      <c r="G126" s="1" t="str">
        <f>IFERROR(__xludf.DUMMYFUNCTION("""COMPUTED_VALUE"""),"Box Score")</f>
        <v>Box Score</v>
      </c>
      <c r="H126" s="1"/>
      <c r="I126" s="3">
        <f>IFERROR(__xludf.DUMMYFUNCTION("""COMPUTED_VALUE"""),18624.0)</f>
        <v>18624</v>
      </c>
      <c r="J126" s="1"/>
    </row>
    <row r="127" ht="15.75" customHeight="1">
      <c r="A127" s="2">
        <f>IFERROR(__xludf.DUMMYFUNCTION("""COMPUTED_VALUE"""),43542.0)</f>
        <v>43542</v>
      </c>
      <c r="B127" s="1" t="str">
        <f>IFERROR(__xludf.DUMMYFUNCTION("""COMPUTED_VALUE"""),"7:30p")</f>
        <v>7:30p</v>
      </c>
      <c r="C127" s="1" t="str">
        <f>IFERROR(__xludf.DUMMYFUNCTION("""COMPUTED_VALUE"""),"New York Knicks")</f>
        <v>New York Knicks</v>
      </c>
      <c r="D127" s="1">
        <f>IFERROR(__xludf.DUMMYFUNCTION("""COMPUTED_VALUE"""),92.0)</f>
        <v>92</v>
      </c>
      <c r="E127" s="1" t="str">
        <f>IFERROR(__xludf.DUMMYFUNCTION("""COMPUTED_VALUE"""),"Toronto Raptors")</f>
        <v>Toronto Raptors</v>
      </c>
      <c r="F127" s="1">
        <f>IFERROR(__xludf.DUMMYFUNCTION("""COMPUTED_VALUE"""),128.0)</f>
        <v>128</v>
      </c>
      <c r="G127" s="1" t="str">
        <f>IFERROR(__xludf.DUMMYFUNCTION("""COMPUTED_VALUE"""),"Box Score")</f>
        <v>Box Score</v>
      </c>
      <c r="H127" s="1"/>
      <c r="I127" s="3">
        <f>IFERROR(__xludf.DUMMYFUNCTION("""COMPUTED_VALUE"""),19800.0)</f>
        <v>19800</v>
      </c>
      <c r="J127" s="1"/>
    </row>
    <row r="128" ht="15.75" customHeight="1">
      <c r="A128" s="2">
        <f>IFERROR(__xludf.DUMMYFUNCTION("""COMPUTED_VALUE"""),43542.0)</f>
        <v>43542</v>
      </c>
      <c r="B128" s="1" t="str">
        <f>IFERROR(__xludf.DUMMYFUNCTION("""COMPUTED_VALUE"""),"8:00p")</f>
        <v>8:00p</v>
      </c>
      <c r="C128" s="1" t="str">
        <f>IFERROR(__xludf.DUMMYFUNCTION("""COMPUTED_VALUE"""),"Miami Heat")</f>
        <v>Miami Heat</v>
      </c>
      <c r="D128" s="1">
        <f>IFERROR(__xludf.DUMMYFUNCTION("""COMPUTED_VALUE"""),116.0)</f>
        <v>116</v>
      </c>
      <c r="E128" s="1" t="str">
        <f>IFERROR(__xludf.DUMMYFUNCTION("""COMPUTED_VALUE"""),"Oklahoma City Thunder")</f>
        <v>Oklahoma City Thunder</v>
      </c>
      <c r="F128" s="1">
        <f>IFERROR(__xludf.DUMMYFUNCTION("""COMPUTED_VALUE"""),107.0)</f>
        <v>107</v>
      </c>
      <c r="G128" s="1" t="str">
        <f>IFERROR(__xludf.DUMMYFUNCTION("""COMPUTED_VALUE"""),"Box Score")</f>
        <v>Box Score</v>
      </c>
      <c r="H128" s="1"/>
      <c r="I128" s="3">
        <f>IFERROR(__xludf.DUMMYFUNCTION("""COMPUTED_VALUE"""),18203.0)</f>
        <v>18203</v>
      </c>
      <c r="J128" s="1"/>
    </row>
    <row r="129" ht="15.75" customHeight="1">
      <c r="A129" s="2">
        <f>IFERROR(__xludf.DUMMYFUNCTION("""COMPUTED_VALUE"""),43542.0)</f>
        <v>43542</v>
      </c>
      <c r="B129" s="1" t="str">
        <f>IFERROR(__xludf.DUMMYFUNCTION("""COMPUTED_VALUE"""),"8:00p")</f>
        <v>8:00p</v>
      </c>
      <c r="C129" s="1" t="str">
        <f>IFERROR(__xludf.DUMMYFUNCTION("""COMPUTED_VALUE"""),"Golden State Warriors")</f>
        <v>Golden State Warriors</v>
      </c>
      <c r="D129" s="1">
        <f>IFERROR(__xludf.DUMMYFUNCTION("""COMPUTED_VALUE"""),105.0)</f>
        <v>105</v>
      </c>
      <c r="E129" s="1" t="str">
        <f>IFERROR(__xludf.DUMMYFUNCTION("""COMPUTED_VALUE"""),"San Antonio Spurs")</f>
        <v>San Antonio Spurs</v>
      </c>
      <c r="F129" s="1">
        <f>IFERROR(__xludf.DUMMYFUNCTION("""COMPUTED_VALUE"""),111.0)</f>
        <v>111</v>
      </c>
      <c r="G129" s="1" t="str">
        <f>IFERROR(__xludf.DUMMYFUNCTION("""COMPUTED_VALUE"""),"Box Score")</f>
        <v>Box Score</v>
      </c>
      <c r="H129" s="1"/>
      <c r="I129" s="3">
        <f>IFERROR(__xludf.DUMMYFUNCTION("""COMPUTED_VALUE"""),18354.0)</f>
        <v>18354</v>
      </c>
      <c r="J129" s="1"/>
    </row>
    <row r="130" ht="15.75" customHeight="1">
      <c r="A130" s="2">
        <f>IFERROR(__xludf.DUMMYFUNCTION("""COMPUTED_VALUE"""),43542.0)</f>
        <v>43542</v>
      </c>
      <c r="B130" s="1" t="str">
        <f>IFERROR(__xludf.DUMMYFUNCTION("""COMPUTED_VALUE"""),"8:30p")</f>
        <v>8:30p</v>
      </c>
      <c r="C130" s="1" t="str">
        <f>IFERROR(__xludf.DUMMYFUNCTION("""COMPUTED_VALUE"""),"New Orleans Pelicans")</f>
        <v>New Orleans Pelicans</v>
      </c>
      <c r="D130" s="1">
        <f>IFERROR(__xludf.DUMMYFUNCTION("""COMPUTED_VALUE"""),129.0)</f>
        <v>129</v>
      </c>
      <c r="E130" s="1" t="str">
        <f>IFERROR(__xludf.DUMMYFUNCTION("""COMPUTED_VALUE"""),"Dallas Mavericks")</f>
        <v>Dallas Mavericks</v>
      </c>
      <c r="F130" s="1">
        <f>IFERROR(__xludf.DUMMYFUNCTION("""COMPUTED_VALUE"""),125.0)</f>
        <v>125</v>
      </c>
      <c r="G130" s="1" t="str">
        <f>IFERROR(__xludf.DUMMYFUNCTION("""COMPUTED_VALUE"""),"Box Score")</f>
        <v>Box Score</v>
      </c>
      <c r="H130" s="1" t="str">
        <f>IFERROR(__xludf.DUMMYFUNCTION("""COMPUTED_VALUE"""),"OT")</f>
        <v>OT</v>
      </c>
      <c r="I130" s="3">
        <f>IFERROR(__xludf.DUMMYFUNCTION("""COMPUTED_VALUE"""),20276.0)</f>
        <v>20276</v>
      </c>
      <c r="J130" s="1"/>
    </row>
    <row r="131" ht="15.75" customHeight="1">
      <c r="A131" s="2">
        <f>IFERROR(__xludf.DUMMYFUNCTION("""COMPUTED_VALUE"""),43542.0)</f>
        <v>43542</v>
      </c>
      <c r="B131" s="1" t="str">
        <f>IFERROR(__xludf.DUMMYFUNCTION("""COMPUTED_VALUE"""),"10:00p")</f>
        <v>10:00p</v>
      </c>
      <c r="C131" s="1" t="str">
        <f>IFERROR(__xludf.DUMMYFUNCTION("""COMPUTED_VALUE"""),"Chicago Bulls")</f>
        <v>Chicago Bulls</v>
      </c>
      <c r="D131" s="1">
        <f>IFERROR(__xludf.DUMMYFUNCTION("""COMPUTED_VALUE"""),116.0)</f>
        <v>116</v>
      </c>
      <c r="E131" s="1" t="str">
        <f>IFERROR(__xludf.DUMMYFUNCTION("""COMPUTED_VALUE"""),"Phoenix Suns")</f>
        <v>Phoenix Suns</v>
      </c>
      <c r="F131" s="1">
        <f>IFERROR(__xludf.DUMMYFUNCTION("""COMPUTED_VALUE"""),101.0)</f>
        <v>101</v>
      </c>
      <c r="G131" s="1" t="str">
        <f>IFERROR(__xludf.DUMMYFUNCTION("""COMPUTED_VALUE"""),"Box Score")</f>
        <v>Box Score</v>
      </c>
      <c r="H131" s="1"/>
      <c r="I131" s="3">
        <f>IFERROR(__xludf.DUMMYFUNCTION("""COMPUTED_VALUE"""),15879.0)</f>
        <v>15879</v>
      </c>
      <c r="J131" s="1"/>
    </row>
    <row r="132" ht="15.75" customHeight="1">
      <c r="A132" s="2">
        <f>IFERROR(__xludf.DUMMYFUNCTION("""COMPUTED_VALUE"""),43542.0)</f>
        <v>43542</v>
      </c>
      <c r="B132" s="1" t="str">
        <f>IFERROR(__xludf.DUMMYFUNCTION("""COMPUTED_VALUE"""),"10:30p")</f>
        <v>10:30p</v>
      </c>
      <c r="C132" s="1" t="str">
        <f>IFERROR(__xludf.DUMMYFUNCTION("""COMPUTED_VALUE"""),"Indiana Pacers")</f>
        <v>Indiana Pacers</v>
      </c>
      <c r="D132" s="1">
        <f>IFERROR(__xludf.DUMMYFUNCTION("""COMPUTED_VALUE"""),98.0)</f>
        <v>98</v>
      </c>
      <c r="E132" s="1" t="str">
        <f>IFERROR(__xludf.DUMMYFUNCTION("""COMPUTED_VALUE"""),"Portland Trail Blazers")</f>
        <v>Portland Trail Blazers</v>
      </c>
      <c r="F132" s="1">
        <f>IFERROR(__xludf.DUMMYFUNCTION("""COMPUTED_VALUE"""),106.0)</f>
        <v>106</v>
      </c>
      <c r="G132" s="1" t="str">
        <f>IFERROR(__xludf.DUMMYFUNCTION("""COMPUTED_VALUE"""),"Box Score")</f>
        <v>Box Score</v>
      </c>
      <c r="H132" s="1"/>
      <c r="I132" s="3">
        <f>IFERROR(__xludf.DUMMYFUNCTION("""COMPUTED_VALUE"""),19393.0)</f>
        <v>19393</v>
      </c>
      <c r="J132" s="1"/>
    </row>
    <row r="133" ht="15.75" customHeight="1">
      <c r="A133" s="2">
        <f>IFERROR(__xludf.DUMMYFUNCTION("""COMPUTED_VALUE"""),43543.0)</f>
        <v>43543</v>
      </c>
      <c r="B133" s="1" t="str">
        <f>IFERROR(__xludf.DUMMYFUNCTION("""COMPUTED_VALUE"""),"7:00p")</f>
        <v>7:00p</v>
      </c>
      <c r="C133" s="1" t="str">
        <f>IFERROR(__xludf.DUMMYFUNCTION("""COMPUTED_VALUE"""),"Philadelphia 76ers")</f>
        <v>Philadelphia 76ers</v>
      </c>
      <c r="D133" s="1">
        <f>IFERROR(__xludf.DUMMYFUNCTION("""COMPUTED_VALUE"""),118.0)</f>
        <v>118</v>
      </c>
      <c r="E133" s="1" t="str">
        <f>IFERROR(__xludf.DUMMYFUNCTION("""COMPUTED_VALUE"""),"Charlotte Hornets")</f>
        <v>Charlotte Hornets</v>
      </c>
      <c r="F133" s="1">
        <f>IFERROR(__xludf.DUMMYFUNCTION("""COMPUTED_VALUE"""),114.0)</f>
        <v>114</v>
      </c>
      <c r="G133" s="1" t="str">
        <f>IFERROR(__xludf.DUMMYFUNCTION("""COMPUTED_VALUE"""),"Box Score")</f>
        <v>Box Score</v>
      </c>
      <c r="H133" s="1"/>
      <c r="I133" s="3">
        <f>IFERROR(__xludf.DUMMYFUNCTION("""COMPUTED_VALUE"""),16411.0)</f>
        <v>16411</v>
      </c>
      <c r="J133" s="1"/>
    </row>
    <row r="134" ht="15.75" customHeight="1">
      <c r="A134" s="2">
        <f>IFERROR(__xludf.DUMMYFUNCTION("""COMPUTED_VALUE"""),43543.0)</f>
        <v>43543</v>
      </c>
      <c r="B134" s="1" t="str">
        <f>IFERROR(__xludf.DUMMYFUNCTION("""COMPUTED_VALUE"""),"7:30p")</f>
        <v>7:30p</v>
      </c>
      <c r="C134" s="1" t="str">
        <f>IFERROR(__xludf.DUMMYFUNCTION("""COMPUTED_VALUE"""),"Houston Rockets")</f>
        <v>Houston Rockets</v>
      </c>
      <c r="D134" s="1">
        <f>IFERROR(__xludf.DUMMYFUNCTION("""COMPUTED_VALUE"""),121.0)</f>
        <v>121</v>
      </c>
      <c r="E134" s="1" t="str">
        <f>IFERROR(__xludf.DUMMYFUNCTION("""COMPUTED_VALUE"""),"Atlanta Hawks")</f>
        <v>Atlanta Hawks</v>
      </c>
      <c r="F134" s="1">
        <f>IFERROR(__xludf.DUMMYFUNCTION("""COMPUTED_VALUE"""),105.0)</f>
        <v>105</v>
      </c>
      <c r="G134" s="1" t="str">
        <f>IFERROR(__xludf.DUMMYFUNCTION("""COMPUTED_VALUE"""),"Box Score")</f>
        <v>Box Score</v>
      </c>
      <c r="H134" s="1"/>
      <c r="I134" s="3">
        <f>IFERROR(__xludf.DUMMYFUNCTION("""COMPUTED_VALUE"""),16293.0)</f>
        <v>16293</v>
      </c>
      <c r="J134" s="1"/>
    </row>
    <row r="135" ht="15.75" customHeight="1">
      <c r="A135" s="2">
        <f>IFERROR(__xludf.DUMMYFUNCTION("""COMPUTED_VALUE"""),43543.0)</f>
        <v>43543</v>
      </c>
      <c r="B135" s="1" t="str">
        <f>IFERROR(__xludf.DUMMYFUNCTION("""COMPUTED_VALUE"""),"8:00p")</f>
        <v>8:00p</v>
      </c>
      <c r="C135" s="1" t="str">
        <f>IFERROR(__xludf.DUMMYFUNCTION("""COMPUTED_VALUE"""),"Los Angeles Lakers")</f>
        <v>Los Angeles Lakers</v>
      </c>
      <c r="D135" s="1">
        <f>IFERROR(__xludf.DUMMYFUNCTION("""COMPUTED_VALUE"""),101.0)</f>
        <v>101</v>
      </c>
      <c r="E135" s="1" t="str">
        <f>IFERROR(__xludf.DUMMYFUNCTION("""COMPUTED_VALUE"""),"Milwaukee Bucks")</f>
        <v>Milwaukee Bucks</v>
      </c>
      <c r="F135" s="1">
        <f>IFERROR(__xludf.DUMMYFUNCTION("""COMPUTED_VALUE"""),115.0)</f>
        <v>115</v>
      </c>
      <c r="G135" s="1" t="str">
        <f>IFERROR(__xludf.DUMMYFUNCTION("""COMPUTED_VALUE"""),"Box Score")</f>
        <v>Box Score</v>
      </c>
      <c r="H135" s="1"/>
      <c r="I135" s="3">
        <f>IFERROR(__xludf.DUMMYFUNCTION("""COMPUTED_VALUE"""),17879.0)</f>
        <v>17879</v>
      </c>
      <c r="J135" s="1"/>
    </row>
    <row r="136" ht="15.75" customHeight="1">
      <c r="A136" s="2">
        <f>IFERROR(__xludf.DUMMYFUNCTION("""COMPUTED_VALUE"""),43543.0)</f>
        <v>43543</v>
      </c>
      <c r="B136" s="1" t="str">
        <f>IFERROR(__xludf.DUMMYFUNCTION("""COMPUTED_VALUE"""),"8:00p")</f>
        <v>8:00p</v>
      </c>
      <c r="C136" s="1" t="str">
        <f>IFERROR(__xludf.DUMMYFUNCTION("""COMPUTED_VALUE"""),"Golden State Warriors")</f>
        <v>Golden State Warriors</v>
      </c>
      <c r="D136" s="1">
        <f>IFERROR(__xludf.DUMMYFUNCTION("""COMPUTED_VALUE"""),117.0)</f>
        <v>117</v>
      </c>
      <c r="E136" s="1" t="str">
        <f>IFERROR(__xludf.DUMMYFUNCTION("""COMPUTED_VALUE"""),"Minnesota Timberwolves")</f>
        <v>Minnesota Timberwolves</v>
      </c>
      <c r="F136" s="1">
        <f>IFERROR(__xludf.DUMMYFUNCTION("""COMPUTED_VALUE"""),107.0)</f>
        <v>107</v>
      </c>
      <c r="G136" s="1" t="str">
        <f>IFERROR(__xludf.DUMMYFUNCTION("""COMPUTED_VALUE"""),"Box Score")</f>
        <v>Box Score</v>
      </c>
      <c r="H136" s="1"/>
      <c r="I136" s="3">
        <f>IFERROR(__xludf.DUMMYFUNCTION("""COMPUTED_VALUE"""),17964.0)</f>
        <v>17964</v>
      </c>
      <c r="J136" s="1"/>
    </row>
    <row r="137" ht="15.75" customHeight="1">
      <c r="A137" s="2">
        <f>IFERROR(__xludf.DUMMYFUNCTION("""COMPUTED_VALUE"""),43543.0)</f>
        <v>43543</v>
      </c>
      <c r="B137" s="1" t="str">
        <f>IFERROR(__xludf.DUMMYFUNCTION("""COMPUTED_VALUE"""),"10:00p")</f>
        <v>10:00p</v>
      </c>
      <c r="C137" s="1" t="str">
        <f>IFERROR(__xludf.DUMMYFUNCTION("""COMPUTED_VALUE"""),"Brooklyn Nets")</f>
        <v>Brooklyn Nets</v>
      </c>
      <c r="D137" s="1">
        <f>IFERROR(__xludf.DUMMYFUNCTION("""COMPUTED_VALUE"""),123.0)</f>
        <v>123</v>
      </c>
      <c r="E137" s="1" t="str">
        <f>IFERROR(__xludf.DUMMYFUNCTION("""COMPUTED_VALUE"""),"Sacramento Kings")</f>
        <v>Sacramento Kings</v>
      </c>
      <c r="F137" s="1">
        <f>IFERROR(__xludf.DUMMYFUNCTION("""COMPUTED_VALUE"""),121.0)</f>
        <v>121</v>
      </c>
      <c r="G137" s="1" t="str">
        <f>IFERROR(__xludf.DUMMYFUNCTION("""COMPUTED_VALUE"""),"Box Score")</f>
        <v>Box Score</v>
      </c>
      <c r="H137" s="1"/>
      <c r="I137" s="3">
        <f>IFERROR(__xludf.DUMMYFUNCTION("""COMPUTED_VALUE"""),17583.0)</f>
        <v>17583</v>
      </c>
      <c r="J137" s="1"/>
    </row>
    <row r="138" ht="15.75" customHeight="1">
      <c r="A138" s="2">
        <f>IFERROR(__xludf.DUMMYFUNCTION("""COMPUTED_VALUE"""),43543.0)</f>
        <v>43543</v>
      </c>
      <c r="B138" s="1" t="str">
        <f>IFERROR(__xludf.DUMMYFUNCTION("""COMPUTED_VALUE"""),"10:30p")</f>
        <v>10:30p</v>
      </c>
      <c r="C138" s="1" t="str">
        <f>IFERROR(__xludf.DUMMYFUNCTION("""COMPUTED_VALUE"""),"Indiana Pacers")</f>
        <v>Indiana Pacers</v>
      </c>
      <c r="D138" s="1">
        <f>IFERROR(__xludf.DUMMYFUNCTION("""COMPUTED_VALUE"""),109.0)</f>
        <v>109</v>
      </c>
      <c r="E138" s="1" t="str">
        <f>IFERROR(__xludf.DUMMYFUNCTION("""COMPUTED_VALUE"""),"Los Angeles Clippers")</f>
        <v>Los Angeles Clippers</v>
      </c>
      <c r="F138" s="1">
        <f>IFERROR(__xludf.DUMMYFUNCTION("""COMPUTED_VALUE"""),115.0)</f>
        <v>115</v>
      </c>
      <c r="G138" s="1" t="str">
        <f>IFERROR(__xludf.DUMMYFUNCTION("""COMPUTED_VALUE"""),"Box Score")</f>
        <v>Box Score</v>
      </c>
      <c r="H138" s="1"/>
      <c r="I138" s="3">
        <f>IFERROR(__xludf.DUMMYFUNCTION("""COMPUTED_VALUE"""),16043.0)</f>
        <v>16043</v>
      </c>
      <c r="J138" s="1"/>
    </row>
    <row r="139" ht="15.75" customHeight="1">
      <c r="A139" s="2">
        <f>IFERROR(__xludf.DUMMYFUNCTION("""COMPUTED_VALUE"""),43544.0)</f>
        <v>43544</v>
      </c>
      <c r="B139" s="1" t="str">
        <f>IFERROR(__xludf.DUMMYFUNCTION("""COMPUTED_VALUE"""),"7:00p")</f>
        <v>7:00p</v>
      </c>
      <c r="C139" s="1" t="str">
        <f>IFERROR(__xludf.DUMMYFUNCTION("""COMPUTED_VALUE"""),"Milwaukee Bucks")</f>
        <v>Milwaukee Bucks</v>
      </c>
      <c r="D139" s="1">
        <f>IFERROR(__xludf.DUMMYFUNCTION("""COMPUTED_VALUE"""),102.0)</f>
        <v>102</v>
      </c>
      <c r="E139" s="1" t="str">
        <f>IFERROR(__xludf.DUMMYFUNCTION("""COMPUTED_VALUE"""),"Cleveland Cavaliers")</f>
        <v>Cleveland Cavaliers</v>
      </c>
      <c r="F139" s="1">
        <f>IFERROR(__xludf.DUMMYFUNCTION("""COMPUTED_VALUE"""),107.0)</f>
        <v>107</v>
      </c>
      <c r="G139" s="1" t="str">
        <f>IFERROR(__xludf.DUMMYFUNCTION("""COMPUTED_VALUE"""),"Box Score")</f>
        <v>Box Score</v>
      </c>
      <c r="H139" s="1"/>
      <c r="I139" s="3">
        <f>IFERROR(__xludf.DUMMYFUNCTION("""COMPUTED_VALUE"""),19432.0)</f>
        <v>19432</v>
      </c>
      <c r="J139" s="1"/>
    </row>
    <row r="140" ht="15.75" customHeight="1">
      <c r="A140" s="2">
        <f>IFERROR(__xludf.DUMMYFUNCTION("""COMPUTED_VALUE"""),43544.0)</f>
        <v>43544</v>
      </c>
      <c r="B140" s="1" t="str">
        <f>IFERROR(__xludf.DUMMYFUNCTION("""COMPUTED_VALUE"""),"7:00p")</f>
        <v>7:00p</v>
      </c>
      <c r="C140" s="1" t="str">
        <f>IFERROR(__xludf.DUMMYFUNCTION("""COMPUTED_VALUE"""),"New Orleans Pelicans")</f>
        <v>New Orleans Pelicans</v>
      </c>
      <c r="D140" s="1">
        <f>IFERROR(__xludf.DUMMYFUNCTION("""COMPUTED_VALUE"""),96.0)</f>
        <v>96</v>
      </c>
      <c r="E140" s="1" t="str">
        <f>IFERROR(__xludf.DUMMYFUNCTION("""COMPUTED_VALUE"""),"Orlando Magic")</f>
        <v>Orlando Magic</v>
      </c>
      <c r="F140" s="1">
        <f>IFERROR(__xludf.DUMMYFUNCTION("""COMPUTED_VALUE"""),119.0)</f>
        <v>119</v>
      </c>
      <c r="G140" s="1" t="str">
        <f>IFERROR(__xludf.DUMMYFUNCTION("""COMPUTED_VALUE"""),"Box Score")</f>
        <v>Box Score</v>
      </c>
      <c r="H140" s="1"/>
      <c r="I140" s="3">
        <f>IFERROR(__xludf.DUMMYFUNCTION("""COMPUTED_VALUE"""),17005.0)</f>
        <v>17005</v>
      </c>
      <c r="J140" s="1"/>
    </row>
    <row r="141" ht="15.75" customHeight="1">
      <c r="A141" s="2">
        <f>IFERROR(__xludf.DUMMYFUNCTION("""COMPUTED_VALUE"""),43544.0)</f>
        <v>43544</v>
      </c>
      <c r="B141" s="1" t="str">
        <f>IFERROR(__xludf.DUMMYFUNCTION("""COMPUTED_VALUE"""),"7:00p")</f>
        <v>7:00p</v>
      </c>
      <c r="C141" s="1" t="str">
        <f>IFERROR(__xludf.DUMMYFUNCTION("""COMPUTED_VALUE"""),"Boston Celtics")</f>
        <v>Boston Celtics</v>
      </c>
      <c r="D141" s="1">
        <f>IFERROR(__xludf.DUMMYFUNCTION("""COMPUTED_VALUE"""),115.0)</f>
        <v>115</v>
      </c>
      <c r="E141" s="1" t="str">
        <f>IFERROR(__xludf.DUMMYFUNCTION("""COMPUTED_VALUE"""),"Philadelphia 76ers")</f>
        <v>Philadelphia 76ers</v>
      </c>
      <c r="F141" s="1">
        <f>IFERROR(__xludf.DUMMYFUNCTION("""COMPUTED_VALUE"""),118.0)</f>
        <v>118</v>
      </c>
      <c r="G141" s="1" t="str">
        <f>IFERROR(__xludf.DUMMYFUNCTION("""COMPUTED_VALUE"""),"Box Score")</f>
        <v>Box Score</v>
      </c>
      <c r="H141" s="1"/>
      <c r="I141" s="3">
        <f>IFERROR(__xludf.DUMMYFUNCTION("""COMPUTED_VALUE"""),20606.0)</f>
        <v>20606</v>
      </c>
      <c r="J141" s="1"/>
    </row>
    <row r="142" ht="15.75" customHeight="1">
      <c r="A142" s="2">
        <f>IFERROR(__xludf.DUMMYFUNCTION("""COMPUTED_VALUE"""),43544.0)</f>
        <v>43544</v>
      </c>
      <c r="B142" s="1" t="str">
        <f>IFERROR(__xludf.DUMMYFUNCTION("""COMPUTED_VALUE"""),"7:30p")</f>
        <v>7:30p</v>
      </c>
      <c r="C142" s="1" t="str">
        <f>IFERROR(__xludf.DUMMYFUNCTION("""COMPUTED_VALUE"""),"Utah Jazz")</f>
        <v>Utah Jazz</v>
      </c>
      <c r="D142" s="1">
        <f>IFERROR(__xludf.DUMMYFUNCTION("""COMPUTED_VALUE"""),137.0)</f>
        <v>137</v>
      </c>
      <c r="E142" s="1" t="str">
        <f>IFERROR(__xludf.DUMMYFUNCTION("""COMPUTED_VALUE"""),"New York Knicks")</f>
        <v>New York Knicks</v>
      </c>
      <c r="F142" s="1">
        <f>IFERROR(__xludf.DUMMYFUNCTION("""COMPUTED_VALUE"""),116.0)</f>
        <v>116</v>
      </c>
      <c r="G142" s="1" t="str">
        <f>IFERROR(__xludf.DUMMYFUNCTION("""COMPUTED_VALUE"""),"Box Score")</f>
        <v>Box Score</v>
      </c>
      <c r="H142" s="1"/>
      <c r="I142" s="3">
        <f>IFERROR(__xludf.DUMMYFUNCTION("""COMPUTED_VALUE"""),18530.0)</f>
        <v>18530</v>
      </c>
      <c r="J142" s="1"/>
    </row>
    <row r="143" ht="15.75" customHeight="1">
      <c r="A143" s="2">
        <f>IFERROR(__xludf.DUMMYFUNCTION("""COMPUTED_VALUE"""),43544.0)</f>
        <v>43544</v>
      </c>
      <c r="B143" s="1" t="str">
        <f>IFERROR(__xludf.DUMMYFUNCTION("""COMPUTED_VALUE"""),"8:00p")</f>
        <v>8:00p</v>
      </c>
      <c r="C143" s="1" t="str">
        <f>IFERROR(__xludf.DUMMYFUNCTION("""COMPUTED_VALUE"""),"Washington Wizards")</f>
        <v>Washington Wizards</v>
      </c>
      <c r="D143" s="1">
        <f>IFERROR(__xludf.DUMMYFUNCTION("""COMPUTED_VALUE"""),120.0)</f>
        <v>120</v>
      </c>
      <c r="E143" s="1" t="str">
        <f>IFERROR(__xludf.DUMMYFUNCTION("""COMPUTED_VALUE"""),"Chicago Bulls")</f>
        <v>Chicago Bulls</v>
      </c>
      <c r="F143" s="1">
        <f>IFERROR(__xludf.DUMMYFUNCTION("""COMPUTED_VALUE"""),126.0)</f>
        <v>126</v>
      </c>
      <c r="G143" s="1" t="str">
        <f>IFERROR(__xludf.DUMMYFUNCTION("""COMPUTED_VALUE"""),"Box Score")</f>
        <v>Box Score</v>
      </c>
      <c r="H143" s="1" t="str">
        <f>IFERROR(__xludf.DUMMYFUNCTION("""COMPUTED_VALUE"""),"OT")</f>
        <v>OT</v>
      </c>
      <c r="I143" s="3">
        <f>IFERROR(__xludf.DUMMYFUNCTION("""COMPUTED_VALUE"""),19470.0)</f>
        <v>19470</v>
      </c>
      <c r="J143" s="1"/>
    </row>
    <row r="144" ht="15.75" customHeight="1">
      <c r="A144" s="2">
        <f>IFERROR(__xludf.DUMMYFUNCTION("""COMPUTED_VALUE"""),43544.0)</f>
        <v>43544</v>
      </c>
      <c r="B144" s="1" t="str">
        <f>IFERROR(__xludf.DUMMYFUNCTION("""COMPUTED_VALUE"""),"8:00p")</f>
        <v>8:00p</v>
      </c>
      <c r="C144" s="1" t="str">
        <f>IFERROR(__xludf.DUMMYFUNCTION("""COMPUTED_VALUE"""),"Houston Rockets")</f>
        <v>Houston Rockets</v>
      </c>
      <c r="D144" s="1">
        <f>IFERROR(__xludf.DUMMYFUNCTION("""COMPUTED_VALUE"""),125.0)</f>
        <v>125</v>
      </c>
      <c r="E144" s="1" t="str">
        <f>IFERROR(__xludf.DUMMYFUNCTION("""COMPUTED_VALUE"""),"Memphis Grizzlies")</f>
        <v>Memphis Grizzlies</v>
      </c>
      <c r="F144" s="1">
        <f>IFERROR(__xludf.DUMMYFUNCTION("""COMPUTED_VALUE"""),126.0)</f>
        <v>126</v>
      </c>
      <c r="G144" s="1" t="str">
        <f>IFERROR(__xludf.DUMMYFUNCTION("""COMPUTED_VALUE"""),"Box Score")</f>
        <v>Box Score</v>
      </c>
      <c r="H144" s="1" t="str">
        <f>IFERROR(__xludf.DUMMYFUNCTION("""COMPUTED_VALUE"""),"OT")</f>
        <v>OT</v>
      </c>
      <c r="I144" s="3">
        <f>IFERROR(__xludf.DUMMYFUNCTION("""COMPUTED_VALUE"""),16691.0)</f>
        <v>16691</v>
      </c>
      <c r="J144" s="1"/>
    </row>
    <row r="145" ht="15.75" customHeight="1">
      <c r="A145" s="2">
        <f>IFERROR(__xludf.DUMMYFUNCTION("""COMPUTED_VALUE"""),43544.0)</f>
        <v>43544</v>
      </c>
      <c r="B145" s="1" t="str">
        <f>IFERROR(__xludf.DUMMYFUNCTION("""COMPUTED_VALUE"""),"8:30p")</f>
        <v>8:30p</v>
      </c>
      <c r="C145" s="1" t="str">
        <f>IFERROR(__xludf.DUMMYFUNCTION("""COMPUTED_VALUE"""),"Miami Heat")</f>
        <v>Miami Heat</v>
      </c>
      <c r="D145" s="1">
        <f>IFERROR(__xludf.DUMMYFUNCTION("""COMPUTED_VALUE"""),110.0)</f>
        <v>110</v>
      </c>
      <c r="E145" s="1" t="str">
        <f>IFERROR(__xludf.DUMMYFUNCTION("""COMPUTED_VALUE"""),"San Antonio Spurs")</f>
        <v>San Antonio Spurs</v>
      </c>
      <c r="F145" s="1">
        <f>IFERROR(__xludf.DUMMYFUNCTION("""COMPUTED_VALUE"""),105.0)</f>
        <v>105</v>
      </c>
      <c r="G145" s="1" t="str">
        <f>IFERROR(__xludf.DUMMYFUNCTION("""COMPUTED_VALUE"""),"Box Score")</f>
        <v>Box Score</v>
      </c>
      <c r="H145" s="1"/>
      <c r="I145" s="3">
        <f>IFERROR(__xludf.DUMMYFUNCTION("""COMPUTED_VALUE"""),18354.0)</f>
        <v>18354</v>
      </c>
      <c r="J145" s="1"/>
    </row>
    <row r="146" ht="15.75" customHeight="1">
      <c r="A146" s="2">
        <f>IFERROR(__xludf.DUMMYFUNCTION("""COMPUTED_VALUE"""),43544.0)</f>
        <v>43544</v>
      </c>
      <c r="B146" s="1" t="str">
        <f>IFERROR(__xludf.DUMMYFUNCTION("""COMPUTED_VALUE"""),"9:30p")</f>
        <v>9:30p</v>
      </c>
      <c r="C146" s="1" t="str">
        <f>IFERROR(__xludf.DUMMYFUNCTION("""COMPUTED_VALUE"""),"Toronto Raptors")</f>
        <v>Toronto Raptors</v>
      </c>
      <c r="D146" s="1">
        <f>IFERROR(__xludf.DUMMYFUNCTION("""COMPUTED_VALUE"""),123.0)</f>
        <v>123</v>
      </c>
      <c r="E146" s="1" t="str">
        <f>IFERROR(__xludf.DUMMYFUNCTION("""COMPUTED_VALUE"""),"Oklahoma City Thunder")</f>
        <v>Oklahoma City Thunder</v>
      </c>
      <c r="F146" s="1">
        <f>IFERROR(__xludf.DUMMYFUNCTION("""COMPUTED_VALUE"""),114.0)</f>
        <v>114</v>
      </c>
      <c r="G146" s="1" t="str">
        <f>IFERROR(__xludf.DUMMYFUNCTION("""COMPUTED_VALUE"""),"Box Score")</f>
        <v>Box Score</v>
      </c>
      <c r="H146" s="1" t="str">
        <f>IFERROR(__xludf.DUMMYFUNCTION("""COMPUTED_VALUE"""),"OT")</f>
        <v>OT</v>
      </c>
      <c r="I146" s="3">
        <f>IFERROR(__xludf.DUMMYFUNCTION("""COMPUTED_VALUE"""),18203.0)</f>
        <v>18203</v>
      </c>
      <c r="J146" s="1"/>
    </row>
    <row r="147" ht="15.75" customHeight="1">
      <c r="A147" s="2">
        <f>IFERROR(__xludf.DUMMYFUNCTION("""COMPUTED_VALUE"""),43544.0)</f>
        <v>43544</v>
      </c>
      <c r="B147" s="1" t="str">
        <f>IFERROR(__xludf.DUMMYFUNCTION("""COMPUTED_VALUE"""),"10:00p")</f>
        <v>10:00p</v>
      </c>
      <c r="C147" s="1" t="str">
        <f>IFERROR(__xludf.DUMMYFUNCTION("""COMPUTED_VALUE"""),"Dallas Mavericks")</f>
        <v>Dallas Mavericks</v>
      </c>
      <c r="D147" s="1">
        <f>IFERROR(__xludf.DUMMYFUNCTION("""COMPUTED_VALUE"""),118.0)</f>
        <v>118</v>
      </c>
      <c r="E147" s="1" t="str">
        <f>IFERROR(__xludf.DUMMYFUNCTION("""COMPUTED_VALUE"""),"Portland Trail Blazers")</f>
        <v>Portland Trail Blazers</v>
      </c>
      <c r="F147" s="1">
        <f>IFERROR(__xludf.DUMMYFUNCTION("""COMPUTED_VALUE"""),126.0)</f>
        <v>126</v>
      </c>
      <c r="G147" s="1" t="str">
        <f>IFERROR(__xludf.DUMMYFUNCTION("""COMPUTED_VALUE"""),"Box Score")</f>
        <v>Box Score</v>
      </c>
      <c r="H147" s="1"/>
      <c r="I147" s="3">
        <f>IFERROR(__xludf.DUMMYFUNCTION("""COMPUTED_VALUE"""),19803.0)</f>
        <v>19803</v>
      </c>
      <c r="J147" s="1"/>
    </row>
    <row r="148" ht="15.75" customHeight="1">
      <c r="A148" s="2">
        <f>IFERROR(__xludf.DUMMYFUNCTION("""COMPUTED_VALUE"""),43545.0)</f>
        <v>43545</v>
      </c>
      <c r="B148" s="1" t="str">
        <f>IFERROR(__xludf.DUMMYFUNCTION("""COMPUTED_VALUE"""),"7:00p")</f>
        <v>7:00p</v>
      </c>
      <c r="C148" s="1" t="str">
        <f>IFERROR(__xludf.DUMMYFUNCTION("""COMPUTED_VALUE"""),"Minnesota Timberwolves")</f>
        <v>Minnesota Timberwolves</v>
      </c>
      <c r="D148" s="1">
        <f>IFERROR(__xludf.DUMMYFUNCTION("""COMPUTED_VALUE"""),106.0)</f>
        <v>106</v>
      </c>
      <c r="E148" s="1" t="str">
        <f>IFERROR(__xludf.DUMMYFUNCTION("""COMPUTED_VALUE"""),"Charlotte Hornets")</f>
        <v>Charlotte Hornets</v>
      </c>
      <c r="F148" s="1">
        <f>IFERROR(__xludf.DUMMYFUNCTION("""COMPUTED_VALUE"""),113.0)</f>
        <v>113</v>
      </c>
      <c r="G148" s="1" t="str">
        <f>IFERROR(__xludf.DUMMYFUNCTION("""COMPUTED_VALUE"""),"Box Score")</f>
        <v>Box Score</v>
      </c>
      <c r="H148" s="1"/>
      <c r="I148" s="3">
        <f>IFERROR(__xludf.DUMMYFUNCTION("""COMPUTED_VALUE"""),15576.0)</f>
        <v>15576</v>
      </c>
      <c r="J148" s="1"/>
    </row>
    <row r="149" ht="15.75" customHeight="1">
      <c r="A149" s="2">
        <f>IFERROR(__xludf.DUMMYFUNCTION("""COMPUTED_VALUE"""),43545.0)</f>
        <v>43545</v>
      </c>
      <c r="B149" s="1" t="str">
        <f>IFERROR(__xludf.DUMMYFUNCTION("""COMPUTED_VALUE"""),"7:00p")</f>
        <v>7:00p</v>
      </c>
      <c r="C149" s="1" t="str">
        <f>IFERROR(__xludf.DUMMYFUNCTION("""COMPUTED_VALUE"""),"Denver Nuggets")</f>
        <v>Denver Nuggets</v>
      </c>
      <c r="D149" s="1">
        <f>IFERROR(__xludf.DUMMYFUNCTION("""COMPUTED_VALUE"""),113.0)</f>
        <v>113</v>
      </c>
      <c r="E149" s="1" t="str">
        <f>IFERROR(__xludf.DUMMYFUNCTION("""COMPUTED_VALUE"""),"Washington Wizards")</f>
        <v>Washington Wizards</v>
      </c>
      <c r="F149" s="1">
        <f>IFERROR(__xludf.DUMMYFUNCTION("""COMPUTED_VALUE"""),108.0)</f>
        <v>108</v>
      </c>
      <c r="G149" s="1" t="str">
        <f>IFERROR(__xludf.DUMMYFUNCTION("""COMPUTED_VALUE"""),"Box Score")</f>
        <v>Box Score</v>
      </c>
      <c r="H149" s="1"/>
      <c r="I149" s="3">
        <f>IFERROR(__xludf.DUMMYFUNCTION("""COMPUTED_VALUE"""),15986.0)</f>
        <v>15986</v>
      </c>
      <c r="J149" s="1"/>
    </row>
    <row r="150" ht="15.75" customHeight="1">
      <c r="A150" s="2">
        <f>IFERROR(__xludf.DUMMYFUNCTION("""COMPUTED_VALUE"""),43545.0)</f>
        <v>43545</v>
      </c>
      <c r="B150" s="1" t="str">
        <f>IFERROR(__xludf.DUMMYFUNCTION("""COMPUTED_VALUE"""),"7:30p")</f>
        <v>7:30p</v>
      </c>
      <c r="C150" s="1" t="str">
        <f>IFERROR(__xludf.DUMMYFUNCTION("""COMPUTED_VALUE"""),"Utah Jazz")</f>
        <v>Utah Jazz</v>
      </c>
      <c r="D150" s="1">
        <f>IFERROR(__xludf.DUMMYFUNCTION("""COMPUTED_VALUE"""),114.0)</f>
        <v>114</v>
      </c>
      <c r="E150" s="1" t="str">
        <f>IFERROR(__xludf.DUMMYFUNCTION("""COMPUTED_VALUE"""),"Atlanta Hawks")</f>
        <v>Atlanta Hawks</v>
      </c>
      <c r="F150" s="1">
        <f>IFERROR(__xludf.DUMMYFUNCTION("""COMPUTED_VALUE"""),117.0)</f>
        <v>117</v>
      </c>
      <c r="G150" s="1" t="str">
        <f>IFERROR(__xludf.DUMMYFUNCTION("""COMPUTED_VALUE"""),"Box Score")</f>
        <v>Box Score</v>
      </c>
      <c r="H150" s="1"/>
      <c r="I150" s="3">
        <f>IFERROR(__xludf.DUMMYFUNCTION("""COMPUTED_VALUE"""),15569.0)</f>
        <v>15569</v>
      </c>
      <c r="J150" s="1"/>
    </row>
    <row r="151" ht="15.75" customHeight="1">
      <c r="A151" s="2">
        <f>IFERROR(__xludf.DUMMYFUNCTION("""COMPUTED_VALUE"""),43545.0)</f>
        <v>43545</v>
      </c>
      <c r="B151" s="1" t="str">
        <f>IFERROR(__xludf.DUMMYFUNCTION("""COMPUTED_VALUE"""),"10:00p")</f>
        <v>10:00p</v>
      </c>
      <c r="C151" s="1" t="str">
        <f>IFERROR(__xludf.DUMMYFUNCTION("""COMPUTED_VALUE"""),"Detroit Pistons")</f>
        <v>Detroit Pistons</v>
      </c>
      <c r="D151" s="1">
        <f>IFERROR(__xludf.DUMMYFUNCTION("""COMPUTED_VALUE"""),118.0)</f>
        <v>118</v>
      </c>
      <c r="E151" s="1" t="str">
        <f>IFERROR(__xludf.DUMMYFUNCTION("""COMPUTED_VALUE"""),"Phoenix Suns")</f>
        <v>Phoenix Suns</v>
      </c>
      <c r="F151" s="1">
        <f>IFERROR(__xludf.DUMMYFUNCTION("""COMPUTED_VALUE"""),98.0)</f>
        <v>98</v>
      </c>
      <c r="G151" s="1" t="str">
        <f>IFERROR(__xludf.DUMMYFUNCTION("""COMPUTED_VALUE"""),"Box Score")</f>
        <v>Box Score</v>
      </c>
      <c r="H151" s="1"/>
      <c r="I151" s="3">
        <f>IFERROR(__xludf.DUMMYFUNCTION("""COMPUTED_VALUE"""),16066.0)</f>
        <v>16066</v>
      </c>
      <c r="J151" s="1"/>
    </row>
    <row r="152" ht="15.75" customHeight="1">
      <c r="A152" s="2">
        <f>IFERROR(__xludf.DUMMYFUNCTION("""COMPUTED_VALUE"""),43545.0)</f>
        <v>43545</v>
      </c>
      <c r="B152" s="1" t="str">
        <f>IFERROR(__xludf.DUMMYFUNCTION("""COMPUTED_VALUE"""),"10:00p")</f>
        <v>10:00p</v>
      </c>
      <c r="C152" s="1" t="str">
        <f>IFERROR(__xludf.DUMMYFUNCTION("""COMPUTED_VALUE"""),"Dallas Mavericks")</f>
        <v>Dallas Mavericks</v>
      </c>
      <c r="D152" s="1">
        <f>IFERROR(__xludf.DUMMYFUNCTION("""COMPUTED_VALUE"""),100.0)</f>
        <v>100</v>
      </c>
      <c r="E152" s="1" t="str">
        <f>IFERROR(__xludf.DUMMYFUNCTION("""COMPUTED_VALUE"""),"Sacramento Kings")</f>
        <v>Sacramento Kings</v>
      </c>
      <c r="F152" s="1">
        <f>IFERROR(__xludf.DUMMYFUNCTION("""COMPUTED_VALUE"""),116.0)</f>
        <v>116</v>
      </c>
      <c r="G152" s="1" t="str">
        <f>IFERROR(__xludf.DUMMYFUNCTION("""COMPUTED_VALUE"""),"Box Score")</f>
        <v>Box Score</v>
      </c>
      <c r="H152" s="1"/>
      <c r="I152" s="3">
        <f>IFERROR(__xludf.DUMMYFUNCTION("""COMPUTED_VALUE"""),17583.0)</f>
        <v>17583</v>
      </c>
      <c r="J152" s="1"/>
    </row>
    <row r="153" ht="15.75" customHeight="1">
      <c r="A153" s="2">
        <f>IFERROR(__xludf.DUMMYFUNCTION("""COMPUTED_VALUE"""),43545.0)</f>
        <v>43545</v>
      </c>
      <c r="B153" s="1" t="str">
        <f>IFERROR(__xludf.DUMMYFUNCTION("""COMPUTED_VALUE"""),"10:30p")</f>
        <v>10:30p</v>
      </c>
      <c r="C153" s="1" t="str">
        <f>IFERROR(__xludf.DUMMYFUNCTION("""COMPUTED_VALUE"""),"Indiana Pacers")</f>
        <v>Indiana Pacers</v>
      </c>
      <c r="D153" s="1">
        <f>IFERROR(__xludf.DUMMYFUNCTION("""COMPUTED_VALUE"""),89.0)</f>
        <v>89</v>
      </c>
      <c r="E153" s="1" t="str">
        <f>IFERROR(__xludf.DUMMYFUNCTION("""COMPUTED_VALUE"""),"Golden State Warriors")</f>
        <v>Golden State Warriors</v>
      </c>
      <c r="F153" s="1">
        <f>IFERROR(__xludf.DUMMYFUNCTION("""COMPUTED_VALUE"""),112.0)</f>
        <v>112</v>
      </c>
      <c r="G153" s="1" t="str">
        <f>IFERROR(__xludf.DUMMYFUNCTION("""COMPUTED_VALUE"""),"Box Score")</f>
        <v>Box Score</v>
      </c>
      <c r="H153" s="1"/>
      <c r="I153" s="3">
        <f>IFERROR(__xludf.DUMMYFUNCTION("""COMPUTED_VALUE"""),19596.0)</f>
        <v>19596</v>
      </c>
      <c r="J153" s="1"/>
    </row>
    <row r="154" ht="15.75" customHeight="1">
      <c r="A154" s="2">
        <f>IFERROR(__xludf.DUMMYFUNCTION("""COMPUTED_VALUE"""),43546.0)</f>
        <v>43546</v>
      </c>
      <c r="B154" s="1" t="str">
        <f>IFERROR(__xludf.DUMMYFUNCTION("""COMPUTED_VALUE"""),"7:00p")</f>
        <v>7:00p</v>
      </c>
      <c r="C154" s="1" t="str">
        <f>IFERROR(__xludf.DUMMYFUNCTION("""COMPUTED_VALUE"""),"Memphis Grizzlies")</f>
        <v>Memphis Grizzlies</v>
      </c>
      <c r="D154" s="1">
        <f>IFERROR(__xludf.DUMMYFUNCTION("""COMPUTED_VALUE"""),119.0)</f>
        <v>119</v>
      </c>
      <c r="E154" s="1" t="str">
        <f>IFERROR(__xludf.DUMMYFUNCTION("""COMPUTED_VALUE"""),"Orlando Magic")</f>
        <v>Orlando Magic</v>
      </c>
      <c r="F154" s="1">
        <f>IFERROR(__xludf.DUMMYFUNCTION("""COMPUTED_VALUE"""),123.0)</f>
        <v>123</v>
      </c>
      <c r="G154" s="1" t="str">
        <f>IFERROR(__xludf.DUMMYFUNCTION("""COMPUTED_VALUE"""),"Box Score")</f>
        <v>Box Score</v>
      </c>
      <c r="H154" s="1" t="str">
        <f>IFERROR(__xludf.DUMMYFUNCTION("""COMPUTED_VALUE"""),"OT")</f>
        <v>OT</v>
      </c>
      <c r="I154" s="3">
        <f>IFERROR(__xludf.DUMMYFUNCTION("""COMPUTED_VALUE"""),18025.0)</f>
        <v>18025</v>
      </c>
      <c r="J154" s="1"/>
    </row>
    <row r="155" ht="15.75" customHeight="1">
      <c r="A155" s="2">
        <f>IFERROR(__xludf.DUMMYFUNCTION("""COMPUTED_VALUE"""),43546.0)</f>
        <v>43546</v>
      </c>
      <c r="B155" s="1" t="str">
        <f>IFERROR(__xludf.DUMMYFUNCTION("""COMPUTED_VALUE"""),"7:30p")</f>
        <v>7:30p</v>
      </c>
      <c r="C155" s="1" t="str">
        <f>IFERROR(__xludf.DUMMYFUNCTION("""COMPUTED_VALUE"""),"Los Angeles Clippers")</f>
        <v>Los Angeles Clippers</v>
      </c>
      <c r="D155" s="1">
        <f>IFERROR(__xludf.DUMMYFUNCTION("""COMPUTED_VALUE"""),110.0)</f>
        <v>110</v>
      </c>
      <c r="E155" s="1" t="str">
        <f>IFERROR(__xludf.DUMMYFUNCTION("""COMPUTED_VALUE"""),"Cleveland Cavaliers")</f>
        <v>Cleveland Cavaliers</v>
      </c>
      <c r="F155" s="1">
        <f>IFERROR(__xludf.DUMMYFUNCTION("""COMPUTED_VALUE"""),108.0)</f>
        <v>108</v>
      </c>
      <c r="G155" s="1" t="str">
        <f>IFERROR(__xludf.DUMMYFUNCTION("""COMPUTED_VALUE"""),"Box Score")</f>
        <v>Box Score</v>
      </c>
      <c r="H155" s="1"/>
      <c r="I155" s="3">
        <f>IFERROR(__xludf.DUMMYFUNCTION("""COMPUTED_VALUE"""),19432.0)</f>
        <v>19432</v>
      </c>
      <c r="J155" s="1"/>
    </row>
    <row r="156" ht="15.75" customHeight="1">
      <c r="A156" s="2">
        <f>IFERROR(__xludf.DUMMYFUNCTION("""COMPUTED_VALUE"""),43546.0)</f>
        <v>43546</v>
      </c>
      <c r="B156" s="1" t="str">
        <f>IFERROR(__xludf.DUMMYFUNCTION("""COMPUTED_VALUE"""),"7:30p")</f>
        <v>7:30p</v>
      </c>
      <c r="C156" s="1" t="str">
        <f>IFERROR(__xludf.DUMMYFUNCTION("""COMPUTED_VALUE"""),"Denver Nuggets")</f>
        <v>Denver Nuggets</v>
      </c>
      <c r="D156" s="1">
        <f>IFERROR(__xludf.DUMMYFUNCTION("""COMPUTED_VALUE"""),111.0)</f>
        <v>111</v>
      </c>
      <c r="E156" s="1" t="str">
        <f>IFERROR(__xludf.DUMMYFUNCTION("""COMPUTED_VALUE"""),"New York Knicks")</f>
        <v>New York Knicks</v>
      </c>
      <c r="F156" s="1">
        <f>IFERROR(__xludf.DUMMYFUNCTION("""COMPUTED_VALUE"""),93.0)</f>
        <v>93</v>
      </c>
      <c r="G156" s="1" t="str">
        <f>IFERROR(__xludf.DUMMYFUNCTION("""COMPUTED_VALUE"""),"Box Score")</f>
        <v>Box Score</v>
      </c>
      <c r="H156" s="1"/>
      <c r="I156" s="3">
        <f>IFERROR(__xludf.DUMMYFUNCTION("""COMPUTED_VALUE"""),19290.0)</f>
        <v>19290</v>
      </c>
      <c r="J156" s="1"/>
    </row>
    <row r="157" ht="15.75" customHeight="1">
      <c r="A157" s="2">
        <f>IFERROR(__xludf.DUMMYFUNCTION("""COMPUTED_VALUE"""),43546.0)</f>
        <v>43546</v>
      </c>
      <c r="B157" s="1" t="str">
        <f>IFERROR(__xludf.DUMMYFUNCTION("""COMPUTED_VALUE"""),"7:30p")</f>
        <v>7:30p</v>
      </c>
      <c r="C157" s="1" t="str">
        <f>IFERROR(__xludf.DUMMYFUNCTION("""COMPUTED_VALUE"""),"Oklahoma City Thunder")</f>
        <v>Oklahoma City Thunder</v>
      </c>
      <c r="D157" s="1">
        <f>IFERROR(__xludf.DUMMYFUNCTION("""COMPUTED_VALUE"""),116.0)</f>
        <v>116</v>
      </c>
      <c r="E157" s="1" t="str">
        <f>IFERROR(__xludf.DUMMYFUNCTION("""COMPUTED_VALUE"""),"Toronto Raptors")</f>
        <v>Toronto Raptors</v>
      </c>
      <c r="F157" s="1">
        <f>IFERROR(__xludf.DUMMYFUNCTION("""COMPUTED_VALUE"""),109.0)</f>
        <v>109</v>
      </c>
      <c r="G157" s="1" t="str">
        <f>IFERROR(__xludf.DUMMYFUNCTION("""COMPUTED_VALUE"""),"Box Score")</f>
        <v>Box Score</v>
      </c>
      <c r="H157" s="1"/>
      <c r="I157" s="3">
        <f>IFERROR(__xludf.DUMMYFUNCTION("""COMPUTED_VALUE"""),20014.0)</f>
        <v>20014</v>
      </c>
      <c r="J157" s="1"/>
    </row>
    <row r="158" ht="15.75" customHeight="1">
      <c r="A158" s="2">
        <f>IFERROR(__xludf.DUMMYFUNCTION("""COMPUTED_VALUE"""),43546.0)</f>
        <v>43546</v>
      </c>
      <c r="B158" s="1" t="str">
        <f>IFERROR(__xludf.DUMMYFUNCTION("""COMPUTED_VALUE"""),"8:00p")</f>
        <v>8:00p</v>
      </c>
      <c r="C158" s="1" t="str">
        <f>IFERROR(__xludf.DUMMYFUNCTION("""COMPUTED_VALUE"""),"San Antonio Spurs")</f>
        <v>San Antonio Spurs</v>
      </c>
      <c r="D158" s="1">
        <f>IFERROR(__xludf.DUMMYFUNCTION("""COMPUTED_VALUE"""),105.0)</f>
        <v>105</v>
      </c>
      <c r="E158" s="1" t="str">
        <f>IFERROR(__xludf.DUMMYFUNCTION("""COMPUTED_VALUE"""),"Houston Rockets")</f>
        <v>Houston Rockets</v>
      </c>
      <c r="F158" s="1">
        <f>IFERROR(__xludf.DUMMYFUNCTION("""COMPUTED_VALUE"""),111.0)</f>
        <v>111</v>
      </c>
      <c r="G158" s="1" t="str">
        <f>IFERROR(__xludf.DUMMYFUNCTION("""COMPUTED_VALUE"""),"Box Score")</f>
        <v>Box Score</v>
      </c>
      <c r="H158" s="1"/>
      <c r="I158" s="3">
        <f>IFERROR(__xludf.DUMMYFUNCTION("""COMPUTED_VALUE"""),18055.0)</f>
        <v>18055</v>
      </c>
      <c r="J158" s="1"/>
    </row>
    <row r="159" ht="15.75" customHeight="1">
      <c r="A159" s="2">
        <f>IFERROR(__xludf.DUMMYFUNCTION("""COMPUTED_VALUE"""),43546.0)</f>
        <v>43546</v>
      </c>
      <c r="B159" s="1" t="str">
        <f>IFERROR(__xludf.DUMMYFUNCTION("""COMPUTED_VALUE"""),"8:30p")</f>
        <v>8:30p</v>
      </c>
      <c r="C159" s="1" t="str">
        <f>IFERROR(__xludf.DUMMYFUNCTION("""COMPUTED_VALUE"""),"Miami Heat")</f>
        <v>Miami Heat</v>
      </c>
      <c r="D159" s="1">
        <f>IFERROR(__xludf.DUMMYFUNCTION("""COMPUTED_VALUE"""),87.0)</f>
        <v>87</v>
      </c>
      <c r="E159" s="1" t="str">
        <f>IFERROR(__xludf.DUMMYFUNCTION("""COMPUTED_VALUE"""),"Milwaukee Bucks")</f>
        <v>Milwaukee Bucks</v>
      </c>
      <c r="F159" s="1">
        <f>IFERROR(__xludf.DUMMYFUNCTION("""COMPUTED_VALUE"""),116.0)</f>
        <v>116</v>
      </c>
      <c r="G159" s="1" t="str">
        <f>IFERROR(__xludf.DUMMYFUNCTION("""COMPUTED_VALUE"""),"Box Score")</f>
        <v>Box Score</v>
      </c>
      <c r="H159" s="1"/>
      <c r="I159" s="3">
        <f>IFERROR(__xludf.DUMMYFUNCTION("""COMPUTED_VALUE"""),18094.0)</f>
        <v>18094</v>
      </c>
      <c r="J159" s="1"/>
    </row>
    <row r="160" ht="15.75" customHeight="1">
      <c r="A160" s="2">
        <f>IFERROR(__xludf.DUMMYFUNCTION("""COMPUTED_VALUE"""),43546.0)</f>
        <v>43546</v>
      </c>
      <c r="B160" s="1" t="str">
        <f>IFERROR(__xludf.DUMMYFUNCTION("""COMPUTED_VALUE"""),"10:30p")</f>
        <v>10:30p</v>
      </c>
      <c r="C160" s="1" t="str">
        <f>IFERROR(__xludf.DUMMYFUNCTION("""COMPUTED_VALUE"""),"Brooklyn Nets")</f>
        <v>Brooklyn Nets</v>
      </c>
      <c r="D160" s="1">
        <f>IFERROR(__xludf.DUMMYFUNCTION("""COMPUTED_VALUE"""),111.0)</f>
        <v>111</v>
      </c>
      <c r="E160" s="1" t="str">
        <f>IFERROR(__xludf.DUMMYFUNCTION("""COMPUTED_VALUE"""),"Los Angeles Lakers")</f>
        <v>Los Angeles Lakers</v>
      </c>
      <c r="F160" s="1">
        <f>IFERROR(__xludf.DUMMYFUNCTION("""COMPUTED_VALUE"""),106.0)</f>
        <v>106</v>
      </c>
      <c r="G160" s="1" t="str">
        <f>IFERROR(__xludf.DUMMYFUNCTION("""COMPUTED_VALUE"""),"Box Score")</f>
        <v>Box Score</v>
      </c>
      <c r="H160" s="1"/>
      <c r="I160" s="3">
        <f>IFERROR(__xludf.DUMMYFUNCTION("""COMPUTED_VALUE"""),18997.0)</f>
        <v>18997</v>
      </c>
      <c r="J160" s="1"/>
    </row>
    <row r="161" ht="15.75" customHeight="1">
      <c r="A161" s="2">
        <f>IFERROR(__xludf.DUMMYFUNCTION("""COMPUTED_VALUE"""),43547.0)</f>
        <v>43547</v>
      </c>
      <c r="B161" s="1" t="str">
        <f>IFERROR(__xludf.DUMMYFUNCTION("""COMPUTED_VALUE"""),"6:00p")</f>
        <v>6:00p</v>
      </c>
      <c r="C161" s="1" t="str">
        <f>IFERROR(__xludf.DUMMYFUNCTION("""COMPUTED_VALUE"""),"Boston Celtics")</f>
        <v>Boston Celtics</v>
      </c>
      <c r="D161" s="1">
        <f>IFERROR(__xludf.DUMMYFUNCTION("""COMPUTED_VALUE"""),117.0)</f>
        <v>117</v>
      </c>
      <c r="E161" s="1" t="str">
        <f>IFERROR(__xludf.DUMMYFUNCTION("""COMPUTED_VALUE"""),"Charlotte Hornets")</f>
        <v>Charlotte Hornets</v>
      </c>
      <c r="F161" s="1">
        <f>IFERROR(__xludf.DUMMYFUNCTION("""COMPUTED_VALUE"""),124.0)</f>
        <v>124</v>
      </c>
      <c r="G161" s="1" t="str">
        <f>IFERROR(__xludf.DUMMYFUNCTION("""COMPUTED_VALUE"""),"Box Score")</f>
        <v>Box Score</v>
      </c>
      <c r="H161" s="1"/>
      <c r="I161" s="3">
        <f>IFERROR(__xludf.DUMMYFUNCTION("""COMPUTED_VALUE"""),19438.0)</f>
        <v>19438</v>
      </c>
      <c r="J161" s="1"/>
    </row>
    <row r="162" ht="15.75" customHeight="1">
      <c r="A162" s="2">
        <f>IFERROR(__xludf.DUMMYFUNCTION("""COMPUTED_VALUE"""),43547.0)</f>
        <v>43547</v>
      </c>
      <c r="B162" s="1" t="str">
        <f>IFERROR(__xludf.DUMMYFUNCTION("""COMPUTED_VALUE"""),"7:00p")</f>
        <v>7:00p</v>
      </c>
      <c r="C162" s="1" t="str">
        <f>IFERROR(__xludf.DUMMYFUNCTION("""COMPUTED_VALUE"""),"Miami Heat")</f>
        <v>Miami Heat</v>
      </c>
      <c r="D162" s="1">
        <f>IFERROR(__xludf.DUMMYFUNCTION("""COMPUTED_VALUE"""),113.0)</f>
        <v>113</v>
      </c>
      <c r="E162" s="1" t="str">
        <f>IFERROR(__xludf.DUMMYFUNCTION("""COMPUTED_VALUE"""),"Washington Wizards")</f>
        <v>Washington Wizards</v>
      </c>
      <c r="F162" s="1">
        <f>IFERROR(__xludf.DUMMYFUNCTION("""COMPUTED_VALUE"""),108.0)</f>
        <v>108</v>
      </c>
      <c r="G162" s="1" t="str">
        <f>IFERROR(__xludf.DUMMYFUNCTION("""COMPUTED_VALUE"""),"Box Score")</f>
        <v>Box Score</v>
      </c>
      <c r="H162" s="1"/>
      <c r="I162" s="3">
        <f>IFERROR(__xludf.DUMMYFUNCTION("""COMPUTED_VALUE"""),20409.0)</f>
        <v>20409</v>
      </c>
      <c r="J162" s="1"/>
    </row>
    <row r="163" ht="15.75" customHeight="1">
      <c r="A163" s="2">
        <f>IFERROR(__xludf.DUMMYFUNCTION("""COMPUTED_VALUE"""),43547.0)</f>
        <v>43547</v>
      </c>
      <c r="B163" s="1" t="str">
        <f>IFERROR(__xludf.DUMMYFUNCTION("""COMPUTED_VALUE"""),"7:30p")</f>
        <v>7:30p</v>
      </c>
      <c r="C163" s="1" t="str">
        <f>IFERROR(__xludf.DUMMYFUNCTION("""COMPUTED_VALUE"""),"Philadelphia 76ers")</f>
        <v>Philadelphia 76ers</v>
      </c>
      <c r="D163" s="1">
        <f>IFERROR(__xludf.DUMMYFUNCTION("""COMPUTED_VALUE"""),127.0)</f>
        <v>127</v>
      </c>
      <c r="E163" s="1" t="str">
        <f>IFERROR(__xludf.DUMMYFUNCTION("""COMPUTED_VALUE"""),"Atlanta Hawks")</f>
        <v>Atlanta Hawks</v>
      </c>
      <c r="F163" s="1">
        <f>IFERROR(__xludf.DUMMYFUNCTION("""COMPUTED_VALUE"""),129.0)</f>
        <v>129</v>
      </c>
      <c r="G163" s="1" t="str">
        <f>IFERROR(__xludf.DUMMYFUNCTION("""COMPUTED_VALUE"""),"Box Score")</f>
        <v>Box Score</v>
      </c>
      <c r="H163" s="1"/>
      <c r="I163" s="3">
        <f>IFERROR(__xludf.DUMMYFUNCTION("""COMPUTED_VALUE"""),16640.0)</f>
        <v>16640</v>
      </c>
      <c r="J163" s="1"/>
    </row>
    <row r="164" ht="15.75" customHeight="1">
      <c r="A164" s="2">
        <f>IFERROR(__xludf.DUMMYFUNCTION("""COMPUTED_VALUE"""),43547.0)</f>
        <v>43547</v>
      </c>
      <c r="B164" s="1" t="str">
        <f>IFERROR(__xludf.DUMMYFUNCTION("""COMPUTED_VALUE"""),"8:00p")</f>
        <v>8:00p</v>
      </c>
      <c r="C164" s="1" t="str">
        <f>IFERROR(__xludf.DUMMYFUNCTION("""COMPUTED_VALUE"""),"Utah Jazz")</f>
        <v>Utah Jazz</v>
      </c>
      <c r="D164" s="1">
        <f>IFERROR(__xludf.DUMMYFUNCTION("""COMPUTED_VALUE"""),114.0)</f>
        <v>114</v>
      </c>
      <c r="E164" s="1" t="str">
        <f>IFERROR(__xludf.DUMMYFUNCTION("""COMPUTED_VALUE"""),"Chicago Bulls")</f>
        <v>Chicago Bulls</v>
      </c>
      <c r="F164" s="1">
        <f>IFERROR(__xludf.DUMMYFUNCTION("""COMPUTED_VALUE"""),83.0)</f>
        <v>83</v>
      </c>
      <c r="G164" s="1" t="str">
        <f>IFERROR(__xludf.DUMMYFUNCTION("""COMPUTED_VALUE"""),"Box Score")</f>
        <v>Box Score</v>
      </c>
      <c r="H164" s="1"/>
      <c r="I164" s="3">
        <f>IFERROR(__xludf.DUMMYFUNCTION("""COMPUTED_VALUE"""),20506.0)</f>
        <v>20506</v>
      </c>
      <c r="J164" s="1"/>
    </row>
    <row r="165" ht="15.75" customHeight="1">
      <c r="A165" s="2">
        <f>IFERROR(__xludf.DUMMYFUNCTION("""COMPUTED_VALUE"""),43547.0)</f>
        <v>43547</v>
      </c>
      <c r="B165" s="1" t="str">
        <f>IFERROR(__xludf.DUMMYFUNCTION("""COMPUTED_VALUE"""),"8:00p")</f>
        <v>8:00p</v>
      </c>
      <c r="C165" s="1" t="str">
        <f>IFERROR(__xludf.DUMMYFUNCTION("""COMPUTED_VALUE"""),"Minnesota Timberwolves")</f>
        <v>Minnesota Timberwolves</v>
      </c>
      <c r="D165" s="1">
        <f>IFERROR(__xludf.DUMMYFUNCTION("""COMPUTED_VALUE"""),112.0)</f>
        <v>112</v>
      </c>
      <c r="E165" s="1" t="str">
        <f>IFERROR(__xludf.DUMMYFUNCTION("""COMPUTED_VALUE"""),"Memphis Grizzlies")</f>
        <v>Memphis Grizzlies</v>
      </c>
      <c r="F165" s="1">
        <f>IFERROR(__xludf.DUMMYFUNCTION("""COMPUTED_VALUE"""),99.0)</f>
        <v>99</v>
      </c>
      <c r="G165" s="1" t="str">
        <f>IFERROR(__xludf.DUMMYFUNCTION("""COMPUTED_VALUE"""),"Box Score")</f>
        <v>Box Score</v>
      </c>
      <c r="H165" s="1"/>
      <c r="I165" s="3">
        <f>IFERROR(__xludf.DUMMYFUNCTION("""COMPUTED_VALUE"""),16977.0)</f>
        <v>16977</v>
      </c>
      <c r="J165" s="1"/>
    </row>
    <row r="166" ht="15.75" customHeight="1">
      <c r="A166" s="2">
        <f>IFERROR(__xludf.DUMMYFUNCTION("""COMPUTED_VALUE"""),43547.0)</f>
        <v>43547</v>
      </c>
      <c r="B166" s="1" t="str">
        <f>IFERROR(__xludf.DUMMYFUNCTION("""COMPUTED_VALUE"""),"8:30p")</f>
        <v>8:30p</v>
      </c>
      <c r="C166" s="1" t="str">
        <f>IFERROR(__xludf.DUMMYFUNCTION("""COMPUTED_VALUE"""),"Dallas Mavericks")</f>
        <v>Dallas Mavericks</v>
      </c>
      <c r="D166" s="1">
        <f>IFERROR(__xludf.DUMMYFUNCTION("""COMPUTED_VALUE"""),126.0)</f>
        <v>126</v>
      </c>
      <c r="E166" s="1" t="str">
        <f>IFERROR(__xludf.DUMMYFUNCTION("""COMPUTED_VALUE"""),"Golden State Warriors")</f>
        <v>Golden State Warriors</v>
      </c>
      <c r="F166" s="1">
        <f>IFERROR(__xludf.DUMMYFUNCTION("""COMPUTED_VALUE"""),91.0)</f>
        <v>91</v>
      </c>
      <c r="G166" s="1" t="str">
        <f>IFERROR(__xludf.DUMMYFUNCTION("""COMPUTED_VALUE"""),"Box Score")</f>
        <v>Box Score</v>
      </c>
      <c r="H166" s="1"/>
      <c r="I166" s="3">
        <f>IFERROR(__xludf.DUMMYFUNCTION("""COMPUTED_VALUE"""),19596.0)</f>
        <v>19596</v>
      </c>
      <c r="J166" s="1"/>
    </row>
    <row r="167" ht="15.75" customHeight="1">
      <c r="A167" s="2">
        <f>IFERROR(__xludf.DUMMYFUNCTION("""COMPUTED_VALUE"""),43547.0)</f>
        <v>43547</v>
      </c>
      <c r="B167" s="1" t="str">
        <f>IFERROR(__xludf.DUMMYFUNCTION("""COMPUTED_VALUE"""),"10:00p")</f>
        <v>10:00p</v>
      </c>
      <c r="C167" s="1" t="str">
        <f>IFERROR(__xludf.DUMMYFUNCTION("""COMPUTED_VALUE"""),"Detroit Pistons")</f>
        <v>Detroit Pistons</v>
      </c>
      <c r="D167" s="1">
        <f>IFERROR(__xludf.DUMMYFUNCTION("""COMPUTED_VALUE"""),112.0)</f>
        <v>112</v>
      </c>
      <c r="E167" s="1" t="str">
        <f>IFERROR(__xludf.DUMMYFUNCTION("""COMPUTED_VALUE"""),"Portland Trail Blazers")</f>
        <v>Portland Trail Blazers</v>
      </c>
      <c r="F167" s="1">
        <f>IFERROR(__xludf.DUMMYFUNCTION("""COMPUTED_VALUE"""),117.0)</f>
        <v>117</v>
      </c>
      <c r="G167" s="1" t="str">
        <f>IFERROR(__xludf.DUMMYFUNCTION("""COMPUTED_VALUE"""),"Box Score")</f>
        <v>Box Score</v>
      </c>
      <c r="H167" s="1"/>
      <c r="I167" s="3">
        <f>IFERROR(__xludf.DUMMYFUNCTION("""COMPUTED_VALUE"""),19815.0)</f>
        <v>19815</v>
      </c>
      <c r="J167" s="1"/>
    </row>
    <row r="168" ht="15.75" customHeight="1">
      <c r="A168" s="2">
        <f>IFERROR(__xludf.DUMMYFUNCTION("""COMPUTED_VALUE"""),43547.0)</f>
        <v>43547</v>
      </c>
      <c r="B168" s="1" t="str">
        <f>IFERROR(__xludf.DUMMYFUNCTION("""COMPUTED_VALUE"""),"10:00p")</f>
        <v>10:00p</v>
      </c>
      <c r="C168" s="1" t="str">
        <f>IFERROR(__xludf.DUMMYFUNCTION("""COMPUTED_VALUE"""),"Phoenix Suns")</f>
        <v>Phoenix Suns</v>
      </c>
      <c r="D168" s="1">
        <f>IFERROR(__xludf.DUMMYFUNCTION("""COMPUTED_VALUE"""),103.0)</f>
        <v>103</v>
      </c>
      <c r="E168" s="1" t="str">
        <f>IFERROR(__xludf.DUMMYFUNCTION("""COMPUTED_VALUE"""),"Sacramento Kings")</f>
        <v>Sacramento Kings</v>
      </c>
      <c r="F168" s="1">
        <f>IFERROR(__xludf.DUMMYFUNCTION("""COMPUTED_VALUE"""),112.0)</f>
        <v>112</v>
      </c>
      <c r="G168" s="1" t="str">
        <f>IFERROR(__xludf.DUMMYFUNCTION("""COMPUTED_VALUE"""),"Box Score")</f>
        <v>Box Score</v>
      </c>
      <c r="H168" s="1"/>
      <c r="I168" s="3">
        <f>IFERROR(__xludf.DUMMYFUNCTION("""COMPUTED_VALUE"""),17583.0)</f>
        <v>17583</v>
      </c>
      <c r="J168" s="1"/>
    </row>
    <row r="169" ht="15.75" customHeight="1">
      <c r="A169" s="2">
        <f>IFERROR(__xludf.DUMMYFUNCTION("""COMPUTED_VALUE"""),43548.0)</f>
        <v>43548</v>
      </c>
      <c r="B169" s="1" t="str">
        <f>IFERROR(__xludf.DUMMYFUNCTION("""COMPUTED_VALUE"""),"12:00p")</f>
        <v>12:00p</v>
      </c>
      <c r="C169" s="1" t="str">
        <f>IFERROR(__xludf.DUMMYFUNCTION("""COMPUTED_VALUE"""),"Los Angeles Clippers")</f>
        <v>Los Angeles Clippers</v>
      </c>
      <c r="D169" s="1">
        <f>IFERROR(__xludf.DUMMYFUNCTION("""COMPUTED_VALUE"""),124.0)</f>
        <v>124</v>
      </c>
      <c r="E169" s="1" t="str">
        <f>IFERROR(__xludf.DUMMYFUNCTION("""COMPUTED_VALUE"""),"New York Knicks")</f>
        <v>New York Knicks</v>
      </c>
      <c r="F169" s="1">
        <f>IFERROR(__xludf.DUMMYFUNCTION("""COMPUTED_VALUE"""),113.0)</f>
        <v>113</v>
      </c>
      <c r="G169" s="1" t="str">
        <f>IFERROR(__xludf.DUMMYFUNCTION("""COMPUTED_VALUE"""),"Box Score")</f>
        <v>Box Score</v>
      </c>
      <c r="H169" s="1"/>
      <c r="I169" s="3">
        <f>IFERROR(__xludf.DUMMYFUNCTION("""COMPUTED_VALUE"""),18263.0)</f>
        <v>18263</v>
      </c>
      <c r="J169" s="1"/>
    </row>
    <row r="170" ht="15.75" customHeight="1">
      <c r="A170" s="2">
        <f>IFERROR(__xludf.DUMMYFUNCTION("""COMPUTED_VALUE"""),43548.0)</f>
        <v>43548</v>
      </c>
      <c r="B170" s="1" t="str">
        <f>IFERROR(__xludf.DUMMYFUNCTION("""COMPUTED_VALUE"""),"4:30p")</f>
        <v>4:30p</v>
      </c>
      <c r="C170" s="1" t="str">
        <f>IFERROR(__xludf.DUMMYFUNCTION("""COMPUTED_VALUE"""),"Cleveland Cavaliers")</f>
        <v>Cleveland Cavaliers</v>
      </c>
      <c r="D170" s="1">
        <f>IFERROR(__xludf.DUMMYFUNCTION("""COMPUTED_VALUE"""),105.0)</f>
        <v>105</v>
      </c>
      <c r="E170" s="1" t="str">
        <f>IFERROR(__xludf.DUMMYFUNCTION("""COMPUTED_VALUE"""),"Milwaukee Bucks")</f>
        <v>Milwaukee Bucks</v>
      </c>
      <c r="F170" s="1">
        <f>IFERROR(__xludf.DUMMYFUNCTION("""COMPUTED_VALUE"""),127.0)</f>
        <v>127</v>
      </c>
      <c r="G170" s="1" t="str">
        <f>IFERROR(__xludf.DUMMYFUNCTION("""COMPUTED_VALUE"""),"Box Score")</f>
        <v>Box Score</v>
      </c>
      <c r="H170" s="1"/>
      <c r="I170" s="3">
        <f>IFERROR(__xludf.DUMMYFUNCTION("""COMPUTED_VALUE"""),17930.0)</f>
        <v>17930</v>
      </c>
      <c r="J170" s="1"/>
    </row>
    <row r="171" ht="15.75" customHeight="1">
      <c r="A171" s="2">
        <f>IFERROR(__xludf.DUMMYFUNCTION("""COMPUTED_VALUE"""),43548.0)</f>
        <v>43548</v>
      </c>
      <c r="B171" s="1" t="str">
        <f>IFERROR(__xludf.DUMMYFUNCTION("""COMPUTED_VALUE"""),"5:00p")</f>
        <v>5:00p</v>
      </c>
      <c r="C171" s="1" t="str">
        <f>IFERROR(__xludf.DUMMYFUNCTION("""COMPUTED_VALUE"""),"Denver Nuggets")</f>
        <v>Denver Nuggets</v>
      </c>
      <c r="D171" s="1">
        <f>IFERROR(__xludf.DUMMYFUNCTION("""COMPUTED_VALUE"""),88.0)</f>
        <v>88</v>
      </c>
      <c r="E171" s="1" t="str">
        <f>IFERROR(__xludf.DUMMYFUNCTION("""COMPUTED_VALUE"""),"Indiana Pacers")</f>
        <v>Indiana Pacers</v>
      </c>
      <c r="F171" s="1">
        <f>IFERROR(__xludf.DUMMYFUNCTION("""COMPUTED_VALUE"""),124.0)</f>
        <v>124</v>
      </c>
      <c r="G171" s="1" t="str">
        <f>IFERROR(__xludf.DUMMYFUNCTION("""COMPUTED_VALUE"""),"Box Score")</f>
        <v>Box Score</v>
      </c>
      <c r="H171" s="1"/>
      <c r="I171" s="3">
        <f>IFERROR(__xludf.DUMMYFUNCTION("""COMPUTED_VALUE"""),17923.0)</f>
        <v>17923</v>
      </c>
      <c r="J171" s="1"/>
    </row>
    <row r="172" ht="15.75" customHeight="1">
      <c r="A172" s="2">
        <f>IFERROR(__xludf.DUMMYFUNCTION("""COMPUTED_VALUE"""),43548.0)</f>
        <v>43548</v>
      </c>
      <c r="B172" s="1" t="str">
        <f>IFERROR(__xludf.DUMMYFUNCTION("""COMPUTED_VALUE"""),"6:00p")</f>
        <v>6:00p</v>
      </c>
      <c r="C172" s="1" t="str">
        <f>IFERROR(__xludf.DUMMYFUNCTION("""COMPUTED_VALUE"""),"Charlotte Hornets")</f>
        <v>Charlotte Hornets</v>
      </c>
      <c r="D172" s="1">
        <f>IFERROR(__xludf.DUMMYFUNCTION("""COMPUTED_VALUE"""),115.0)</f>
        <v>115</v>
      </c>
      <c r="E172" s="1" t="str">
        <f>IFERROR(__xludf.DUMMYFUNCTION("""COMPUTED_VALUE"""),"Toronto Raptors")</f>
        <v>Toronto Raptors</v>
      </c>
      <c r="F172" s="1">
        <f>IFERROR(__xludf.DUMMYFUNCTION("""COMPUTED_VALUE"""),114.0)</f>
        <v>114</v>
      </c>
      <c r="G172" s="1" t="str">
        <f>IFERROR(__xludf.DUMMYFUNCTION("""COMPUTED_VALUE"""),"Box Score")</f>
        <v>Box Score</v>
      </c>
      <c r="H172" s="1"/>
      <c r="I172" s="3">
        <f>IFERROR(__xludf.DUMMYFUNCTION("""COMPUTED_VALUE"""),19800.0)</f>
        <v>19800</v>
      </c>
      <c r="J172" s="1"/>
    </row>
    <row r="173" ht="15.75" customHeight="1">
      <c r="A173" s="2">
        <f>IFERROR(__xludf.DUMMYFUNCTION("""COMPUTED_VALUE"""),43548.0)</f>
        <v>43548</v>
      </c>
      <c r="B173" s="1" t="str">
        <f>IFERROR(__xludf.DUMMYFUNCTION("""COMPUTED_VALUE"""),"7:00p")</f>
        <v>7:00p</v>
      </c>
      <c r="C173" s="1" t="str">
        <f>IFERROR(__xludf.DUMMYFUNCTION("""COMPUTED_VALUE"""),"Houston Rockets")</f>
        <v>Houston Rockets</v>
      </c>
      <c r="D173" s="1">
        <f>IFERROR(__xludf.DUMMYFUNCTION("""COMPUTED_VALUE"""),113.0)</f>
        <v>113</v>
      </c>
      <c r="E173" s="1" t="str">
        <f>IFERROR(__xludf.DUMMYFUNCTION("""COMPUTED_VALUE"""),"New Orleans Pelicans")</f>
        <v>New Orleans Pelicans</v>
      </c>
      <c r="F173" s="1">
        <f>IFERROR(__xludf.DUMMYFUNCTION("""COMPUTED_VALUE"""),90.0)</f>
        <v>90</v>
      </c>
      <c r="G173" s="1" t="str">
        <f>IFERROR(__xludf.DUMMYFUNCTION("""COMPUTED_VALUE"""),"Box Score")</f>
        <v>Box Score</v>
      </c>
      <c r="H173" s="1"/>
      <c r="I173" s="3">
        <f>IFERROR(__xludf.DUMMYFUNCTION("""COMPUTED_VALUE"""),17048.0)</f>
        <v>17048</v>
      </c>
      <c r="J173" s="1"/>
    </row>
    <row r="174" ht="15.75" customHeight="1">
      <c r="A174" s="2">
        <f>IFERROR(__xludf.DUMMYFUNCTION("""COMPUTED_VALUE"""),43548.0)</f>
        <v>43548</v>
      </c>
      <c r="B174" s="1" t="str">
        <f>IFERROR(__xludf.DUMMYFUNCTION("""COMPUTED_VALUE"""),"7:30p")</f>
        <v>7:30p</v>
      </c>
      <c r="C174" s="1" t="str">
        <f>IFERROR(__xludf.DUMMYFUNCTION("""COMPUTED_VALUE"""),"San Antonio Spurs")</f>
        <v>San Antonio Spurs</v>
      </c>
      <c r="D174" s="1">
        <f>IFERROR(__xludf.DUMMYFUNCTION("""COMPUTED_VALUE"""),115.0)</f>
        <v>115</v>
      </c>
      <c r="E174" s="1" t="str">
        <f>IFERROR(__xludf.DUMMYFUNCTION("""COMPUTED_VALUE"""),"Boston Celtics")</f>
        <v>Boston Celtics</v>
      </c>
      <c r="F174" s="1">
        <f>IFERROR(__xludf.DUMMYFUNCTION("""COMPUTED_VALUE"""),96.0)</f>
        <v>96</v>
      </c>
      <c r="G174" s="1" t="str">
        <f>IFERROR(__xludf.DUMMYFUNCTION("""COMPUTED_VALUE"""),"Box Score")</f>
        <v>Box Score</v>
      </c>
      <c r="H174" s="1"/>
      <c r="I174" s="3">
        <f>IFERROR(__xludf.DUMMYFUNCTION("""COMPUTED_VALUE"""),18624.0)</f>
        <v>18624</v>
      </c>
      <c r="J174" s="1"/>
    </row>
    <row r="175" ht="15.75" customHeight="1">
      <c r="A175" s="2">
        <f>IFERROR(__xludf.DUMMYFUNCTION("""COMPUTED_VALUE"""),43548.0)</f>
        <v>43548</v>
      </c>
      <c r="B175" s="1" t="str">
        <f>IFERROR(__xludf.DUMMYFUNCTION("""COMPUTED_VALUE"""),"8:30p")</f>
        <v>8:30p</v>
      </c>
      <c r="C175" s="1" t="str">
        <f>IFERROR(__xludf.DUMMYFUNCTION("""COMPUTED_VALUE"""),"Detroit Pistons")</f>
        <v>Detroit Pistons</v>
      </c>
      <c r="D175" s="1">
        <f>IFERROR(__xludf.DUMMYFUNCTION("""COMPUTED_VALUE"""),114.0)</f>
        <v>114</v>
      </c>
      <c r="E175" s="1" t="str">
        <f>IFERROR(__xludf.DUMMYFUNCTION("""COMPUTED_VALUE"""),"Golden State Warriors")</f>
        <v>Golden State Warriors</v>
      </c>
      <c r="F175" s="1">
        <f>IFERROR(__xludf.DUMMYFUNCTION("""COMPUTED_VALUE"""),121.0)</f>
        <v>121</v>
      </c>
      <c r="G175" s="1" t="str">
        <f>IFERROR(__xludf.DUMMYFUNCTION("""COMPUTED_VALUE"""),"Box Score")</f>
        <v>Box Score</v>
      </c>
      <c r="H175" s="1"/>
      <c r="I175" s="3">
        <f>IFERROR(__xludf.DUMMYFUNCTION("""COMPUTED_VALUE"""),19596.0)</f>
        <v>19596</v>
      </c>
      <c r="J175" s="1"/>
    </row>
    <row r="176" ht="15.75" customHeight="1">
      <c r="A176" s="2">
        <f>IFERROR(__xludf.DUMMYFUNCTION("""COMPUTED_VALUE"""),43548.0)</f>
        <v>43548</v>
      </c>
      <c r="B176" s="1" t="str">
        <f>IFERROR(__xludf.DUMMYFUNCTION("""COMPUTED_VALUE"""),"9:30p")</f>
        <v>9:30p</v>
      </c>
      <c r="C176" s="1" t="str">
        <f>IFERROR(__xludf.DUMMYFUNCTION("""COMPUTED_VALUE"""),"Sacramento Kings")</f>
        <v>Sacramento Kings</v>
      </c>
      <c r="D176" s="1">
        <f>IFERROR(__xludf.DUMMYFUNCTION("""COMPUTED_VALUE"""),106.0)</f>
        <v>106</v>
      </c>
      <c r="E176" s="1" t="str">
        <f>IFERROR(__xludf.DUMMYFUNCTION("""COMPUTED_VALUE"""),"Los Angeles Lakers")</f>
        <v>Los Angeles Lakers</v>
      </c>
      <c r="F176" s="1">
        <f>IFERROR(__xludf.DUMMYFUNCTION("""COMPUTED_VALUE"""),111.0)</f>
        <v>111</v>
      </c>
      <c r="G176" s="1" t="str">
        <f>IFERROR(__xludf.DUMMYFUNCTION("""COMPUTED_VALUE"""),"Box Score")</f>
        <v>Box Score</v>
      </c>
      <c r="H176" s="1"/>
      <c r="I176" s="3">
        <f>IFERROR(__xludf.DUMMYFUNCTION("""COMPUTED_VALUE"""),18997.0)</f>
        <v>18997</v>
      </c>
      <c r="J176" s="1"/>
    </row>
    <row r="177" ht="15.75" customHeight="1">
      <c r="A177" s="2">
        <f>IFERROR(__xludf.DUMMYFUNCTION("""COMPUTED_VALUE"""),43549.0)</f>
        <v>43549</v>
      </c>
      <c r="B177" s="1" t="str">
        <f>IFERROR(__xludf.DUMMYFUNCTION("""COMPUTED_VALUE"""),"7:00p")</f>
        <v>7:00p</v>
      </c>
      <c r="C177" s="1" t="str">
        <f>IFERROR(__xludf.DUMMYFUNCTION("""COMPUTED_VALUE"""),"Philadelphia 76ers")</f>
        <v>Philadelphia 76ers</v>
      </c>
      <c r="D177" s="1">
        <f>IFERROR(__xludf.DUMMYFUNCTION("""COMPUTED_VALUE"""),98.0)</f>
        <v>98</v>
      </c>
      <c r="E177" s="1" t="str">
        <f>IFERROR(__xludf.DUMMYFUNCTION("""COMPUTED_VALUE"""),"Orlando Magic")</f>
        <v>Orlando Magic</v>
      </c>
      <c r="F177" s="1">
        <f>IFERROR(__xludf.DUMMYFUNCTION("""COMPUTED_VALUE"""),119.0)</f>
        <v>119</v>
      </c>
      <c r="G177" s="1" t="str">
        <f>IFERROR(__xludf.DUMMYFUNCTION("""COMPUTED_VALUE"""),"Box Score")</f>
        <v>Box Score</v>
      </c>
      <c r="H177" s="1"/>
      <c r="I177" s="3">
        <f>IFERROR(__xludf.DUMMYFUNCTION("""COMPUTED_VALUE"""),16848.0)</f>
        <v>16848</v>
      </c>
      <c r="J177" s="1"/>
    </row>
    <row r="178" ht="15.75" customHeight="1">
      <c r="A178" s="2">
        <f>IFERROR(__xludf.DUMMYFUNCTION("""COMPUTED_VALUE"""),43549.0)</f>
        <v>43549</v>
      </c>
      <c r="B178" s="1" t="str">
        <f>IFERROR(__xludf.DUMMYFUNCTION("""COMPUTED_VALUE"""),"8:00p")</f>
        <v>8:00p</v>
      </c>
      <c r="C178" s="1" t="str">
        <f>IFERROR(__xludf.DUMMYFUNCTION("""COMPUTED_VALUE"""),"Oklahoma City Thunder")</f>
        <v>Oklahoma City Thunder</v>
      </c>
      <c r="D178" s="1">
        <f>IFERROR(__xludf.DUMMYFUNCTION("""COMPUTED_VALUE"""),103.0)</f>
        <v>103</v>
      </c>
      <c r="E178" s="1" t="str">
        <f>IFERROR(__xludf.DUMMYFUNCTION("""COMPUTED_VALUE"""),"Memphis Grizzlies")</f>
        <v>Memphis Grizzlies</v>
      </c>
      <c r="F178" s="1">
        <f>IFERROR(__xludf.DUMMYFUNCTION("""COMPUTED_VALUE"""),115.0)</f>
        <v>115</v>
      </c>
      <c r="G178" s="1" t="str">
        <f>IFERROR(__xludf.DUMMYFUNCTION("""COMPUTED_VALUE"""),"Box Score")</f>
        <v>Box Score</v>
      </c>
      <c r="H178" s="1"/>
      <c r="I178" s="3">
        <f>IFERROR(__xludf.DUMMYFUNCTION("""COMPUTED_VALUE"""),15144.0)</f>
        <v>15144</v>
      </c>
      <c r="J178" s="1"/>
    </row>
    <row r="179" ht="15.75" customHeight="1">
      <c r="A179" s="2">
        <f>IFERROR(__xludf.DUMMYFUNCTION("""COMPUTED_VALUE"""),43549.0)</f>
        <v>43549</v>
      </c>
      <c r="B179" s="1" t="str">
        <f>IFERROR(__xludf.DUMMYFUNCTION("""COMPUTED_VALUE"""),"9:00p")</f>
        <v>9:00p</v>
      </c>
      <c r="C179" s="1" t="str">
        <f>IFERROR(__xludf.DUMMYFUNCTION("""COMPUTED_VALUE"""),"Phoenix Suns")</f>
        <v>Phoenix Suns</v>
      </c>
      <c r="D179" s="1">
        <f>IFERROR(__xludf.DUMMYFUNCTION("""COMPUTED_VALUE"""),92.0)</f>
        <v>92</v>
      </c>
      <c r="E179" s="1" t="str">
        <f>IFERROR(__xludf.DUMMYFUNCTION("""COMPUTED_VALUE"""),"Utah Jazz")</f>
        <v>Utah Jazz</v>
      </c>
      <c r="F179" s="1">
        <f>IFERROR(__xludf.DUMMYFUNCTION("""COMPUTED_VALUE"""),125.0)</f>
        <v>125</v>
      </c>
      <c r="G179" s="1" t="str">
        <f>IFERROR(__xludf.DUMMYFUNCTION("""COMPUTED_VALUE"""),"Box Score")</f>
        <v>Box Score</v>
      </c>
      <c r="H179" s="1"/>
      <c r="I179" s="3">
        <f>IFERROR(__xludf.DUMMYFUNCTION("""COMPUTED_VALUE"""),18306.0)</f>
        <v>18306</v>
      </c>
      <c r="J179" s="1"/>
    </row>
    <row r="180" ht="15.75" customHeight="1">
      <c r="A180" s="2">
        <f>IFERROR(__xludf.DUMMYFUNCTION("""COMPUTED_VALUE"""),43549.0)</f>
        <v>43549</v>
      </c>
      <c r="B180" s="1" t="str">
        <f>IFERROR(__xludf.DUMMYFUNCTION("""COMPUTED_VALUE"""),"10:00p")</f>
        <v>10:00p</v>
      </c>
      <c r="C180" s="1" t="str">
        <f>IFERROR(__xludf.DUMMYFUNCTION("""COMPUTED_VALUE"""),"Brooklyn Nets")</f>
        <v>Brooklyn Nets</v>
      </c>
      <c r="D180" s="1">
        <f>IFERROR(__xludf.DUMMYFUNCTION("""COMPUTED_VALUE"""),144.0)</f>
        <v>144</v>
      </c>
      <c r="E180" s="1" t="str">
        <f>IFERROR(__xludf.DUMMYFUNCTION("""COMPUTED_VALUE"""),"Portland Trail Blazers")</f>
        <v>Portland Trail Blazers</v>
      </c>
      <c r="F180" s="1">
        <f>IFERROR(__xludf.DUMMYFUNCTION("""COMPUTED_VALUE"""),148.0)</f>
        <v>148</v>
      </c>
      <c r="G180" s="1" t="str">
        <f>IFERROR(__xludf.DUMMYFUNCTION("""COMPUTED_VALUE"""),"Box Score")</f>
        <v>Box Score</v>
      </c>
      <c r="H180" s="1" t="str">
        <f>IFERROR(__xludf.DUMMYFUNCTION("""COMPUTED_VALUE"""),"2OT")</f>
        <v>2OT</v>
      </c>
      <c r="I180" s="3">
        <f>IFERROR(__xludf.DUMMYFUNCTION("""COMPUTED_VALUE"""),20188.0)</f>
        <v>20188</v>
      </c>
      <c r="J180" s="1"/>
    </row>
    <row r="181" ht="15.75" customHeight="1">
      <c r="A181" s="2">
        <f>IFERROR(__xludf.DUMMYFUNCTION("""COMPUTED_VALUE"""),43550.0)</f>
        <v>43550</v>
      </c>
      <c r="B181" s="1" t="str">
        <f>IFERROR(__xludf.DUMMYFUNCTION("""COMPUTED_VALUE"""),"7:00p")</f>
        <v>7:00p</v>
      </c>
      <c r="C181" s="1" t="str">
        <f>IFERROR(__xludf.DUMMYFUNCTION("""COMPUTED_VALUE"""),"San Antonio Spurs")</f>
        <v>San Antonio Spurs</v>
      </c>
      <c r="D181" s="1">
        <f>IFERROR(__xludf.DUMMYFUNCTION("""COMPUTED_VALUE"""),116.0)</f>
        <v>116</v>
      </c>
      <c r="E181" s="1" t="str">
        <f>IFERROR(__xludf.DUMMYFUNCTION("""COMPUTED_VALUE"""),"Charlotte Hornets")</f>
        <v>Charlotte Hornets</v>
      </c>
      <c r="F181" s="1">
        <f>IFERROR(__xludf.DUMMYFUNCTION("""COMPUTED_VALUE"""),125.0)</f>
        <v>125</v>
      </c>
      <c r="G181" s="1" t="str">
        <f>IFERROR(__xludf.DUMMYFUNCTION("""COMPUTED_VALUE"""),"Box Score")</f>
        <v>Box Score</v>
      </c>
      <c r="H181" s="1" t="str">
        <f>IFERROR(__xludf.DUMMYFUNCTION("""COMPUTED_VALUE"""),"OT")</f>
        <v>OT</v>
      </c>
      <c r="I181" s="3">
        <f>IFERROR(__xludf.DUMMYFUNCTION("""COMPUTED_VALUE"""),14227.0)</f>
        <v>14227</v>
      </c>
      <c r="J181" s="1"/>
    </row>
    <row r="182" ht="15.75" customHeight="1">
      <c r="A182" s="2">
        <f>IFERROR(__xludf.DUMMYFUNCTION("""COMPUTED_VALUE"""),43550.0)</f>
        <v>43550</v>
      </c>
      <c r="B182" s="1" t="str">
        <f>IFERROR(__xludf.DUMMYFUNCTION("""COMPUTED_VALUE"""),"7:00p")</f>
        <v>7:00p</v>
      </c>
      <c r="C182" s="1" t="str">
        <f>IFERROR(__xludf.DUMMYFUNCTION("""COMPUTED_VALUE"""),"Boston Celtics")</f>
        <v>Boston Celtics</v>
      </c>
      <c r="D182" s="1">
        <f>IFERROR(__xludf.DUMMYFUNCTION("""COMPUTED_VALUE"""),116.0)</f>
        <v>116</v>
      </c>
      <c r="E182" s="1" t="str">
        <f>IFERROR(__xludf.DUMMYFUNCTION("""COMPUTED_VALUE"""),"Cleveland Cavaliers")</f>
        <v>Cleveland Cavaliers</v>
      </c>
      <c r="F182" s="1">
        <f>IFERROR(__xludf.DUMMYFUNCTION("""COMPUTED_VALUE"""),106.0)</f>
        <v>106</v>
      </c>
      <c r="G182" s="1" t="str">
        <f>IFERROR(__xludf.DUMMYFUNCTION("""COMPUTED_VALUE"""),"Box Score")</f>
        <v>Box Score</v>
      </c>
      <c r="H182" s="1"/>
      <c r="I182" s="3">
        <f>IFERROR(__xludf.DUMMYFUNCTION("""COMPUTED_VALUE"""),19432.0)</f>
        <v>19432</v>
      </c>
      <c r="J182" s="1"/>
    </row>
    <row r="183" ht="15.75" customHeight="1">
      <c r="A183" s="2">
        <f>IFERROR(__xludf.DUMMYFUNCTION("""COMPUTED_VALUE"""),43550.0)</f>
        <v>43550</v>
      </c>
      <c r="B183" s="1" t="str">
        <f>IFERROR(__xludf.DUMMYFUNCTION("""COMPUTED_VALUE"""),"7:30p")</f>
        <v>7:30p</v>
      </c>
      <c r="C183" s="1" t="str">
        <f>IFERROR(__xludf.DUMMYFUNCTION("""COMPUTED_VALUE"""),"Orlando Magic")</f>
        <v>Orlando Magic</v>
      </c>
      <c r="D183" s="1">
        <f>IFERROR(__xludf.DUMMYFUNCTION("""COMPUTED_VALUE"""),104.0)</f>
        <v>104</v>
      </c>
      <c r="E183" s="1" t="str">
        <f>IFERROR(__xludf.DUMMYFUNCTION("""COMPUTED_VALUE"""),"Miami Heat")</f>
        <v>Miami Heat</v>
      </c>
      <c r="F183" s="1">
        <f>IFERROR(__xludf.DUMMYFUNCTION("""COMPUTED_VALUE"""),99.0)</f>
        <v>99</v>
      </c>
      <c r="G183" s="1" t="str">
        <f>IFERROR(__xludf.DUMMYFUNCTION("""COMPUTED_VALUE"""),"Box Score")</f>
        <v>Box Score</v>
      </c>
      <c r="H183" s="1"/>
      <c r="I183" s="3">
        <f>IFERROR(__xludf.DUMMYFUNCTION("""COMPUTED_VALUE"""),19704.0)</f>
        <v>19704</v>
      </c>
      <c r="J183" s="1"/>
    </row>
    <row r="184" ht="15.75" customHeight="1">
      <c r="A184" s="2">
        <f>IFERROR(__xludf.DUMMYFUNCTION("""COMPUTED_VALUE"""),43550.0)</f>
        <v>43550</v>
      </c>
      <c r="B184" s="1" t="str">
        <f>IFERROR(__xludf.DUMMYFUNCTION("""COMPUTED_VALUE"""),"7:30p")</f>
        <v>7:30p</v>
      </c>
      <c r="C184" s="1" t="str">
        <f>IFERROR(__xludf.DUMMYFUNCTION("""COMPUTED_VALUE"""),"Chicago Bulls")</f>
        <v>Chicago Bulls</v>
      </c>
      <c r="D184" s="1">
        <f>IFERROR(__xludf.DUMMYFUNCTION("""COMPUTED_VALUE"""),103.0)</f>
        <v>103</v>
      </c>
      <c r="E184" s="1" t="str">
        <f>IFERROR(__xludf.DUMMYFUNCTION("""COMPUTED_VALUE"""),"Toronto Raptors")</f>
        <v>Toronto Raptors</v>
      </c>
      <c r="F184" s="1">
        <f>IFERROR(__xludf.DUMMYFUNCTION("""COMPUTED_VALUE"""),112.0)</f>
        <v>112</v>
      </c>
      <c r="G184" s="1" t="str">
        <f>IFERROR(__xludf.DUMMYFUNCTION("""COMPUTED_VALUE"""),"Box Score")</f>
        <v>Box Score</v>
      </c>
      <c r="H184" s="1"/>
      <c r="I184" s="3">
        <f>IFERROR(__xludf.DUMMYFUNCTION("""COMPUTED_VALUE"""),19800.0)</f>
        <v>19800</v>
      </c>
      <c r="J184" s="1"/>
    </row>
    <row r="185" ht="15.75" customHeight="1">
      <c r="A185" s="2">
        <f>IFERROR(__xludf.DUMMYFUNCTION("""COMPUTED_VALUE"""),43550.0)</f>
        <v>43550</v>
      </c>
      <c r="B185" s="1" t="str">
        <f>IFERROR(__xludf.DUMMYFUNCTION("""COMPUTED_VALUE"""),"8:00p")</f>
        <v>8:00p</v>
      </c>
      <c r="C185" s="1" t="str">
        <f>IFERROR(__xludf.DUMMYFUNCTION("""COMPUTED_VALUE"""),"Houston Rockets")</f>
        <v>Houston Rockets</v>
      </c>
      <c r="D185" s="1">
        <f>IFERROR(__xludf.DUMMYFUNCTION("""COMPUTED_VALUE"""),94.0)</f>
        <v>94</v>
      </c>
      <c r="E185" s="1" t="str">
        <f>IFERROR(__xludf.DUMMYFUNCTION("""COMPUTED_VALUE"""),"Milwaukee Bucks")</f>
        <v>Milwaukee Bucks</v>
      </c>
      <c r="F185" s="1">
        <f>IFERROR(__xludf.DUMMYFUNCTION("""COMPUTED_VALUE"""),108.0)</f>
        <v>108</v>
      </c>
      <c r="G185" s="1" t="str">
        <f>IFERROR(__xludf.DUMMYFUNCTION("""COMPUTED_VALUE"""),"Box Score")</f>
        <v>Box Score</v>
      </c>
      <c r="H185" s="1"/>
      <c r="I185" s="3">
        <f>IFERROR(__xludf.DUMMYFUNCTION("""COMPUTED_VALUE"""),17910.0)</f>
        <v>17910</v>
      </c>
      <c r="J185" s="1"/>
    </row>
    <row r="186" ht="15.75" customHeight="1">
      <c r="A186" s="2">
        <f>IFERROR(__xludf.DUMMYFUNCTION("""COMPUTED_VALUE"""),43550.0)</f>
        <v>43550</v>
      </c>
      <c r="B186" s="1" t="str">
        <f>IFERROR(__xludf.DUMMYFUNCTION("""COMPUTED_VALUE"""),"8:00p")</f>
        <v>8:00p</v>
      </c>
      <c r="C186" s="1" t="str">
        <f>IFERROR(__xludf.DUMMYFUNCTION("""COMPUTED_VALUE"""),"Los Angeles Clippers")</f>
        <v>Los Angeles Clippers</v>
      </c>
      <c r="D186" s="1">
        <f>IFERROR(__xludf.DUMMYFUNCTION("""COMPUTED_VALUE"""),122.0)</f>
        <v>122</v>
      </c>
      <c r="E186" s="1" t="str">
        <f>IFERROR(__xludf.DUMMYFUNCTION("""COMPUTED_VALUE"""),"Minnesota Timberwolves")</f>
        <v>Minnesota Timberwolves</v>
      </c>
      <c r="F186" s="1">
        <f>IFERROR(__xludf.DUMMYFUNCTION("""COMPUTED_VALUE"""),111.0)</f>
        <v>111</v>
      </c>
      <c r="G186" s="1" t="str">
        <f>IFERROR(__xludf.DUMMYFUNCTION("""COMPUTED_VALUE"""),"Box Score")</f>
        <v>Box Score</v>
      </c>
      <c r="H186" s="1"/>
      <c r="I186" s="3">
        <f>IFERROR(__xludf.DUMMYFUNCTION("""COMPUTED_VALUE"""),13176.0)</f>
        <v>13176</v>
      </c>
      <c r="J186" s="1"/>
    </row>
    <row r="187" ht="15.75" customHeight="1">
      <c r="A187" s="2">
        <f>IFERROR(__xludf.DUMMYFUNCTION("""COMPUTED_VALUE"""),43550.0)</f>
        <v>43550</v>
      </c>
      <c r="B187" s="1" t="str">
        <f>IFERROR(__xludf.DUMMYFUNCTION("""COMPUTED_VALUE"""),"8:00p")</f>
        <v>8:00p</v>
      </c>
      <c r="C187" s="1" t="str">
        <f>IFERROR(__xludf.DUMMYFUNCTION("""COMPUTED_VALUE"""),"Atlanta Hawks")</f>
        <v>Atlanta Hawks</v>
      </c>
      <c r="D187" s="1">
        <f>IFERROR(__xludf.DUMMYFUNCTION("""COMPUTED_VALUE"""),130.0)</f>
        <v>130</v>
      </c>
      <c r="E187" s="1" t="str">
        <f>IFERROR(__xludf.DUMMYFUNCTION("""COMPUTED_VALUE"""),"New Orleans Pelicans")</f>
        <v>New Orleans Pelicans</v>
      </c>
      <c r="F187" s="1">
        <f>IFERROR(__xludf.DUMMYFUNCTION("""COMPUTED_VALUE"""),120.0)</f>
        <v>120</v>
      </c>
      <c r="G187" s="1" t="str">
        <f>IFERROR(__xludf.DUMMYFUNCTION("""COMPUTED_VALUE"""),"Box Score")</f>
        <v>Box Score</v>
      </c>
      <c r="H187" s="1"/>
      <c r="I187" s="3">
        <f>IFERROR(__xludf.DUMMYFUNCTION("""COMPUTED_VALUE"""),14751.0)</f>
        <v>14751</v>
      </c>
      <c r="J187" s="1"/>
    </row>
    <row r="188" ht="15.75" customHeight="1">
      <c r="A188" s="2">
        <f>IFERROR(__xludf.DUMMYFUNCTION("""COMPUTED_VALUE"""),43550.0)</f>
        <v>43550</v>
      </c>
      <c r="B188" s="1" t="str">
        <f>IFERROR(__xludf.DUMMYFUNCTION("""COMPUTED_VALUE"""),"8:30p")</f>
        <v>8:30p</v>
      </c>
      <c r="C188" s="1" t="str">
        <f>IFERROR(__xludf.DUMMYFUNCTION("""COMPUTED_VALUE"""),"Sacramento Kings")</f>
        <v>Sacramento Kings</v>
      </c>
      <c r="D188" s="1">
        <f>IFERROR(__xludf.DUMMYFUNCTION("""COMPUTED_VALUE"""),125.0)</f>
        <v>125</v>
      </c>
      <c r="E188" s="1" t="str">
        <f>IFERROR(__xludf.DUMMYFUNCTION("""COMPUTED_VALUE"""),"Dallas Mavericks")</f>
        <v>Dallas Mavericks</v>
      </c>
      <c r="F188" s="1">
        <f>IFERROR(__xludf.DUMMYFUNCTION("""COMPUTED_VALUE"""),121.0)</f>
        <v>121</v>
      </c>
      <c r="G188" s="1" t="str">
        <f>IFERROR(__xludf.DUMMYFUNCTION("""COMPUTED_VALUE"""),"Box Score")</f>
        <v>Box Score</v>
      </c>
      <c r="H188" s="1"/>
      <c r="I188" s="3">
        <f>IFERROR(__xludf.DUMMYFUNCTION("""COMPUTED_VALUE"""),20168.0)</f>
        <v>20168</v>
      </c>
      <c r="J188" s="1"/>
    </row>
    <row r="189" ht="15.75" customHeight="1">
      <c r="A189" s="2">
        <f>IFERROR(__xludf.DUMMYFUNCTION("""COMPUTED_VALUE"""),43550.0)</f>
        <v>43550</v>
      </c>
      <c r="B189" s="1" t="str">
        <f>IFERROR(__xludf.DUMMYFUNCTION("""COMPUTED_VALUE"""),"9:00p")</f>
        <v>9:00p</v>
      </c>
      <c r="C189" s="1" t="str">
        <f>IFERROR(__xludf.DUMMYFUNCTION("""COMPUTED_VALUE"""),"Detroit Pistons")</f>
        <v>Detroit Pistons</v>
      </c>
      <c r="D189" s="1">
        <f>IFERROR(__xludf.DUMMYFUNCTION("""COMPUTED_VALUE"""),92.0)</f>
        <v>92</v>
      </c>
      <c r="E189" s="1" t="str">
        <f>IFERROR(__xludf.DUMMYFUNCTION("""COMPUTED_VALUE"""),"Denver Nuggets")</f>
        <v>Denver Nuggets</v>
      </c>
      <c r="F189" s="1">
        <f>IFERROR(__xludf.DUMMYFUNCTION("""COMPUTED_VALUE"""),95.0)</f>
        <v>95</v>
      </c>
      <c r="G189" s="1" t="str">
        <f>IFERROR(__xludf.DUMMYFUNCTION("""COMPUTED_VALUE"""),"Box Score")</f>
        <v>Box Score</v>
      </c>
      <c r="H189" s="1"/>
      <c r="I189" s="3">
        <f>IFERROR(__xludf.DUMMYFUNCTION("""COMPUTED_VALUE"""),19520.0)</f>
        <v>19520</v>
      </c>
      <c r="J189" s="1"/>
    </row>
    <row r="190" ht="15.75" customHeight="1">
      <c r="A190" s="2">
        <f>IFERROR(__xludf.DUMMYFUNCTION("""COMPUTED_VALUE"""),43550.0)</f>
        <v>43550</v>
      </c>
      <c r="B190" s="1" t="str">
        <f>IFERROR(__xludf.DUMMYFUNCTION("""COMPUTED_VALUE"""),"10:30p")</f>
        <v>10:30p</v>
      </c>
      <c r="C190" s="1" t="str">
        <f>IFERROR(__xludf.DUMMYFUNCTION("""COMPUTED_VALUE"""),"Washington Wizards")</f>
        <v>Washington Wizards</v>
      </c>
      <c r="D190" s="1">
        <f>IFERROR(__xludf.DUMMYFUNCTION("""COMPUTED_VALUE"""),106.0)</f>
        <v>106</v>
      </c>
      <c r="E190" s="1" t="str">
        <f>IFERROR(__xludf.DUMMYFUNCTION("""COMPUTED_VALUE"""),"Los Angeles Lakers")</f>
        <v>Los Angeles Lakers</v>
      </c>
      <c r="F190" s="1">
        <f>IFERROR(__xludf.DUMMYFUNCTION("""COMPUTED_VALUE"""),124.0)</f>
        <v>124</v>
      </c>
      <c r="G190" s="1" t="str">
        <f>IFERROR(__xludf.DUMMYFUNCTION("""COMPUTED_VALUE"""),"Box Score")</f>
        <v>Box Score</v>
      </c>
      <c r="H190" s="1"/>
      <c r="I190" s="3">
        <f>IFERROR(__xludf.DUMMYFUNCTION("""COMPUTED_VALUE"""),18997.0)</f>
        <v>18997</v>
      </c>
      <c r="J190" s="1"/>
    </row>
    <row r="191" ht="15.75" customHeight="1">
      <c r="A191" s="2">
        <f>IFERROR(__xludf.DUMMYFUNCTION("""COMPUTED_VALUE"""),43551.0)</f>
        <v>43551</v>
      </c>
      <c r="B191" s="1" t="str">
        <f>IFERROR(__xludf.DUMMYFUNCTION("""COMPUTED_VALUE"""),"8:00p")</f>
        <v>8:00p</v>
      </c>
      <c r="C191" s="1" t="str">
        <f>IFERROR(__xludf.DUMMYFUNCTION("""COMPUTED_VALUE"""),"Portland Trail Blazers")</f>
        <v>Portland Trail Blazers</v>
      </c>
      <c r="D191" s="1">
        <f>IFERROR(__xludf.DUMMYFUNCTION("""COMPUTED_VALUE"""),118.0)</f>
        <v>118</v>
      </c>
      <c r="E191" s="1" t="str">
        <f>IFERROR(__xludf.DUMMYFUNCTION("""COMPUTED_VALUE"""),"Chicago Bulls")</f>
        <v>Chicago Bulls</v>
      </c>
      <c r="F191" s="1">
        <f>IFERROR(__xludf.DUMMYFUNCTION("""COMPUTED_VALUE"""),98.0)</f>
        <v>98</v>
      </c>
      <c r="G191" s="1" t="str">
        <f>IFERROR(__xludf.DUMMYFUNCTION("""COMPUTED_VALUE"""),"Box Score")</f>
        <v>Box Score</v>
      </c>
      <c r="H191" s="1"/>
      <c r="I191" s="3">
        <f>IFERROR(__xludf.DUMMYFUNCTION("""COMPUTED_VALUE"""),20227.0)</f>
        <v>20227</v>
      </c>
      <c r="J191" s="1"/>
    </row>
    <row r="192" ht="15.75" customHeight="1">
      <c r="A192" s="2">
        <f>IFERROR(__xludf.DUMMYFUNCTION("""COMPUTED_VALUE"""),43551.0)</f>
        <v>43551</v>
      </c>
      <c r="B192" s="1" t="str">
        <f>IFERROR(__xludf.DUMMYFUNCTION("""COMPUTED_VALUE"""),"8:00p")</f>
        <v>8:00p</v>
      </c>
      <c r="C192" s="1" t="str">
        <f>IFERROR(__xludf.DUMMYFUNCTION("""COMPUTED_VALUE"""),"Golden State Warriors")</f>
        <v>Golden State Warriors</v>
      </c>
      <c r="D192" s="1">
        <f>IFERROR(__xludf.DUMMYFUNCTION("""COMPUTED_VALUE"""),118.0)</f>
        <v>118</v>
      </c>
      <c r="E192" s="1" t="str">
        <f>IFERROR(__xludf.DUMMYFUNCTION("""COMPUTED_VALUE"""),"Memphis Grizzlies")</f>
        <v>Memphis Grizzlies</v>
      </c>
      <c r="F192" s="1">
        <f>IFERROR(__xludf.DUMMYFUNCTION("""COMPUTED_VALUE"""),103.0)</f>
        <v>103</v>
      </c>
      <c r="G192" s="1" t="str">
        <f>IFERROR(__xludf.DUMMYFUNCTION("""COMPUTED_VALUE"""),"Box Score")</f>
        <v>Box Score</v>
      </c>
      <c r="H192" s="1"/>
      <c r="I192" s="3">
        <f>IFERROR(__xludf.DUMMYFUNCTION("""COMPUTED_VALUE"""),17794.0)</f>
        <v>17794</v>
      </c>
      <c r="J192" s="1"/>
    </row>
    <row r="193" ht="15.75" customHeight="1">
      <c r="A193" s="2">
        <f>IFERROR(__xludf.DUMMYFUNCTION("""COMPUTED_VALUE"""),43551.0)</f>
        <v>43551</v>
      </c>
      <c r="B193" s="1" t="str">
        <f>IFERROR(__xludf.DUMMYFUNCTION("""COMPUTED_VALUE"""),"8:00p")</f>
        <v>8:00p</v>
      </c>
      <c r="C193" s="1" t="str">
        <f>IFERROR(__xludf.DUMMYFUNCTION("""COMPUTED_VALUE"""),"Indiana Pacers")</f>
        <v>Indiana Pacers</v>
      </c>
      <c r="D193" s="1">
        <f>IFERROR(__xludf.DUMMYFUNCTION("""COMPUTED_VALUE"""),99.0)</f>
        <v>99</v>
      </c>
      <c r="E193" s="1" t="str">
        <f>IFERROR(__xludf.DUMMYFUNCTION("""COMPUTED_VALUE"""),"Oklahoma City Thunder")</f>
        <v>Oklahoma City Thunder</v>
      </c>
      <c r="F193" s="1">
        <f>IFERROR(__xludf.DUMMYFUNCTION("""COMPUTED_VALUE"""),107.0)</f>
        <v>107</v>
      </c>
      <c r="G193" s="1" t="str">
        <f>IFERROR(__xludf.DUMMYFUNCTION("""COMPUTED_VALUE"""),"Box Score")</f>
        <v>Box Score</v>
      </c>
      <c r="H193" s="1"/>
      <c r="I193" s="3">
        <f>IFERROR(__xludf.DUMMYFUNCTION("""COMPUTED_VALUE"""),18203.0)</f>
        <v>18203</v>
      </c>
      <c r="J193" s="1"/>
    </row>
    <row r="194" ht="15.75" customHeight="1">
      <c r="A194" s="2">
        <f>IFERROR(__xludf.DUMMYFUNCTION("""COMPUTED_VALUE"""),43551.0)</f>
        <v>43551</v>
      </c>
      <c r="B194" s="1" t="str">
        <f>IFERROR(__xludf.DUMMYFUNCTION("""COMPUTED_VALUE"""),"10:00p")</f>
        <v>10:00p</v>
      </c>
      <c r="C194" s="1" t="str">
        <f>IFERROR(__xludf.DUMMYFUNCTION("""COMPUTED_VALUE"""),"Washington Wizards")</f>
        <v>Washington Wizards</v>
      </c>
      <c r="D194" s="1">
        <f>IFERROR(__xludf.DUMMYFUNCTION("""COMPUTED_VALUE"""),124.0)</f>
        <v>124</v>
      </c>
      <c r="E194" s="1" t="str">
        <f>IFERROR(__xludf.DUMMYFUNCTION("""COMPUTED_VALUE"""),"Phoenix Suns")</f>
        <v>Phoenix Suns</v>
      </c>
      <c r="F194" s="1">
        <f>IFERROR(__xludf.DUMMYFUNCTION("""COMPUTED_VALUE"""),121.0)</f>
        <v>121</v>
      </c>
      <c r="G194" s="1" t="str">
        <f>IFERROR(__xludf.DUMMYFUNCTION("""COMPUTED_VALUE"""),"Box Score")</f>
        <v>Box Score</v>
      </c>
      <c r="H194" s="1"/>
      <c r="I194" s="3">
        <f>IFERROR(__xludf.DUMMYFUNCTION("""COMPUTED_VALUE"""),16004.0)</f>
        <v>16004</v>
      </c>
      <c r="J194" s="1"/>
    </row>
    <row r="195" ht="15.75" customHeight="1">
      <c r="A195" s="2">
        <f>IFERROR(__xludf.DUMMYFUNCTION("""COMPUTED_VALUE"""),43551.0)</f>
        <v>43551</v>
      </c>
      <c r="B195" s="1" t="str">
        <f>IFERROR(__xludf.DUMMYFUNCTION("""COMPUTED_VALUE"""),"10:30p")</f>
        <v>10:30p</v>
      </c>
      <c r="C195" s="1" t="str">
        <f>IFERROR(__xludf.DUMMYFUNCTION("""COMPUTED_VALUE"""),"Los Angeles Lakers")</f>
        <v>Los Angeles Lakers</v>
      </c>
      <c r="D195" s="1">
        <f>IFERROR(__xludf.DUMMYFUNCTION("""COMPUTED_VALUE"""),100.0)</f>
        <v>100</v>
      </c>
      <c r="E195" s="1" t="str">
        <f>IFERROR(__xludf.DUMMYFUNCTION("""COMPUTED_VALUE"""),"Utah Jazz")</f>
        <v>Utah Jazz</v>
      </c>
      <c r="F195" s="1">
        <f>IFERROR(__xludf.DUMMYFUNCTION("""COMPUTED_VALUE"""),115.0)</f>
        <v>115</v>
      </c>
      <c r="G195" s="1" t="str">
        <f>IFERROR(__xludf.DUMMYFUNCTION("""COMPUTED_VALUE"""),"Box Score")</f>
        <v>Box Score</v>
      </c>
      <c r="H195" s="1"/>
      <c r="I195" s="3">
        <f>IFERROR(__xludf.DUMMYFUNCTION("""COMPUTED_VALUE"""),18306.0)</f>
        <v>18306</v>
      </c>
      <c r="J195" s="1"/>
    </row>
    <row r="196" ht="15.75" customHeight="1">
      <c r="A196" s="2">
        <f>IFERROR(__xludf.DUMMYFUNCTION("""COMPUTED_VALUE"""),43552.0)</f>
        <v>43552</v>
      </c>
      <c r="B196" s="1" t="str">
        <f>IFERROR(__xludf.DUMMYFUNCTION("""COMPUTED_VALUE"""),"7:00p")</f>
        <v>7:00p</v>
      </c>
      <c r="C196" s="1" t="str">
        <f>IFERROR(__xludf.DUMMYFUNCTION("""COMPUTED_VALUE"""),"Orlando Magic")</f>
        <v>Orlando Magic</v>
      </c>
      <c r="D196" s="1">
        <f>IFERROR(__xludf.DUMMYFUNCTION("""COMPUTED_VALUE"""),98.0)</f>
        <v>98</v>
      </c>
      <c r="E196" s="1" t="str">
        <f>IFERROR(__xludf.DUMMYFUNCTION("""COMPUTED_VALUE"""),"Detroit Pistons")</f>
        <v>Detroit Pistons</v>
      </c>
      <c r="F196" s="1">
        <f>IFERROR(__xludf.DUMMYFUNCTION("""COMPUTED_VALUE"""),115.0)</f>
        <v>115</v>
      </c>
      <c r="G196" s="1" t="str">
        <f>IFERROR(__xludf.DUMMYFUNCTION("""COMPUTED_VALUE"""),"Box Score")</f>
        <v>Box Score</v>
      </c>
      <c r="H196" s="1"/>
      <c r="I196" s="3">
        <f>IFERROR(__xludf.DUMMYFUNCTION("""COMPUTED_VALUE"""),18128.0)</f>
        <v>18128</v>
      </c>
      <c r="J196" s="1"/>
    </row>
    <row r="197" ht="15.75" customHeight="1">
      <c r="A197" s="2">
        <f>IFERROR(__xludf.DUMMYFUNCTION("""COMPUTED_VALUE"""),43552.0)</f>
        <v>43552</v>
      </c>
      <c r="B197" s="1" t="str">
        <f>IFERROR(__xludf.DUMMYFUNCTION("""COMPUTED_VALUE"""),"7:00p")</f>
        <v>7:00p</v>
      </c>
      <c r="C197" s="1" t="str">
        <f>IFERROR(__xludf.DUMMYFUNCTION("""COMPUTED_VALUE"""),"Brooklyn Nets")</f>
        <v>Brooklyn Nets</v>
      </c>
      <c r="D197" s="1">
        <f>IFERROR(__xludf.DUMMYFUNCTION("""COMPUTED_VALUE"""),110.0)</f>
        <v>110</v>
      </c>
      <c r="E197" s="1" t="str">
        <f>IFERROR(__xludf.DUMMYFUNCTION("""COMPUTED_VALUE"""),"Philadelphia 76ers")</f>
        <v>Philadelphia 76ers</v>
      </c>
      <c r="F197" s="1">
        <f>IFERROR(__xludf.DUMMYFUNCTION("""COMPUTED_VALUE"""),123.0)</f>
        <v>123</v>
      </c>
      <c r="G197" s="1" t="str">
        <f>IFERROR(__xludf.DUMMYFUNCTION("""COMPUTED_VALUE"""),"Box Score")</f>
        <v>Box Score</v>
      </c>
      <c r="H197" s="1"/>
      <c r="I197" s="3">
        <f>IFERROR(__xludf.DUMMYFUNCTION("""COMPUTED_VALUE"""),20547.0)</f>
        <v>20547</v>
      </c>
      <c r="J197" s="1"/>
    </row>
    <row r="198" ht="15.75" customHeight="1">
      <c r="A198" s="2">
        <f>IFERROR(__xludf.DUMMYFUNCTION("""COMPUTED_VALUE"""),43552.0)</f>
        <v>43552</v>
      </c>
      <c r="B198" s="1" t="str">
        <f>IFERROR(__xludf.DUMMYFUNCTION("""COMPUTED_VALUE"""),"7:30p")</f>
        <v>7:30p</v>
      </c>
      <c r="C198" s="1" t="str">
        <f>IFERROR(__xludf.DUMMYFUNCTION("""COMPUTED_VALUE"""),"Dallas Mavericks")</f>
        <v>Dallas Mavericks</v>
      </c>
      <c r="D198" s="1">
        <f>IFERROR(__xludf.DUMMYFUNCTION("""COMPUTED_VALUE"""),99.0)</f>
        <v>99</v>
      </c>
      <c r="E198" s="1" t="str">
        <f>IFERROR(__xludf.DUMMYFUNCTION("""COMPUTED_VALUE"""),"Miami Heat")</f>
        <v>Miami Heat</v>
      </c>
      <c r="F198" s="1">
        <f>IFERROR(__xludf.DUMMYFUNCTION("""COMPUTED_VALUE"""),105.0)</f>
        <v>105</v>
      </c>
      <c r="G198" s="1" t="str">
        <f>IFERROR(__xludf.DUMMYFUNCTION("""COMPUTED_VALUE"""),"Box Score")</f>
        <v>Box Score</v>
      </c>
      <c r="H198" s="1"/>
      <c r="I198" s="3">
        <f>IFERROR(__xludf.DUMMYFUNCTION("""COMPUTED_VALUE"""),19851.0)</f>
        <v>19851</v>
      </c>
      <c r="J198" s="1"/>
    </row>
    <row r="199" ht="15.75" customHeight="1">
      <c r="A199" s="2">
        <f>IFERROR(__xludf.DUMMYFUNCTION("""COMPUTED_VALUE"""),43552.0)</f>
        <v>43552</v>
      </c>
      <c r="B199" s="1" t="str">
        <f>IFERROR(__xludf.DUMMYFUNCTION("""COMPUTED_VALUE"""),"7:30p")</f>
        <v>7:30p</v>
      </c>
      <c r="C199" s="1" t="str">
        <f>IFERROR(__xludf.DUMMYFUNCTION("""COMPUTED_VALUE"""),"Toronto Raptors")</f>
        <v>Toronto Raptors</v>
      </c>
      <c r="D199" s="1">
        <f>IFERROR(__xludf.DUMMYFUNCTION("""COMPUTED_VALUE"""),117.0)</f>
        <v>117</v>
      </c>
      <c r="E199" s="1" t="str">
        <f>IFERROR(__xludf.DUMMYFUNCTION("""COMPUTED_VALUE"""),"New York Knicks")</f>
        <v>New York Knicks</v>
      </c>
      <c r="F199" s="1">
        <f>IFERROR(__xludf.DUMMYFUNCTION("""COMPUTED_VALUE"""),92.0)</f>
        <v>92</v>
      </c>
      <c r="G199" s="1" t="str">
        <f>IFERROR(__xludf.DUMMYFUNCTION("""COMPUTED_VALUE"""),"Box Score")</f>
        <v>Box Score</v>
      </c>
      <c r="H199" s="1"/>
      <c r="I199" s="3">
        <f>IFERROR(__xludf.DUMMYFUNCTION("""COMPUTED_VALUE"""),19812.0)</f>
        <v>19812</v>
      </c>
      <c r="J199" s="1"/>
    </row>
    <row r="200" ht="15.75" customHeight="1">
      <c r="A200" s="2">
        <f>IFERROR(__xludf.DUMMYFUNCTION("""COMPUTED_VALUE"""),43552.0)</f>
        <v>43552</v>
      </c>
      <c r="B200" s="1" t="str">
        <f>IFERROR(__xludf.DUMMYFUNCTION("""COMPUTED_VALUE"""),"8:00p")</f>
        <v>8:00p</v>
      </c>
      <c r="C200" s="1" t="str">
        <f>IFERROR(__xludf.DUMMYFUNCTION("""COMPUTED_VALUE"""),"Denver Nuggets")</f>
        <v>Denver Nuggets</v>
      </c>
      <c r="D200" s="1">
        <f>IFERROR(__xludf.DUMMYFUNCTION("""COMPUTED_VALUE"""),85.0)</f>
        <v>85</v>
      </c>
      <c r="E200" s="1" t="str">
        <f>IFERROR(__xludf.DUMMYFUNCTION("""COMPUTED_VALUE"""),"Houston Rockets")</f>
        <v>Houston Rockets</v>
      </c>
      <c r="F200" s="1">
        <f>IFERROR(__xludf.DUMMYFUNCTION("""COMPUTED_VALUE"""),112.0)</f>
        <v>112</v>
      </c>
      <c r="G200" s="1" t="str">
        <f>IFERROR(__xludf.DUMMYFUNCTION("""COMPUTED_VALUE"""),"Box Score")</f>
        <v>Box Score</v>
      </c>
      <c r="H200" s="1"/>
      <c r="I200" s="3">
        <f>IFERROR(__xludf.DUMMYFUNCTION("""COMPUTED_VALUE"""),18055.0)</f>
        <v>18055</v>
      </c>
      <c r="J200" s="1"/>
    </row>
    <row r="201" ht="15.75" customHeight="1">
      <c r="A201" s="2">
        <f>IFERROR(__xludf.DUMMYFUNCTION("""COMPUTED_VALUE"""),43552.0)</f>
        <v>43552</v>
      </c>
      <c r="B201" s="1" t="str">
        <f>IFERROR(__xludf.DUMMYFUNCTION("""COMPUTED_VALUE"""),"8:00p")</f>
        <v>8:00p</v>
      </c>
      <c r="C201" s="1" t="str">
        <f>IFERROR(__xludf.DUMMYFUNCTION("""COMPUTED_VALUE"""),"Los Angeles Clippers")</f>
        <v>Los Angeles Clippers</v>
      </c>
      <c r="D201" s="1">
        <f>IFERROR(__xludf.DUMMYFUNCTION("""COMPUTED_VALUE"""),118.0)</f>
        <v>118</v>
      </c>
      <c r="E201" s="1" t="str">
        <f>IFERROR(__xludf.DUMMYFUNCTION("""COMPUTED_VALUE"""),"Milwaukee Bucks")</f>
        <v>Milwaukee Bucks</v>
      </c>
      <c r="F201" s="1">
        <f>IFERROR(__xludf.DUMMYFUNCTION("""COMPUTED_VALUE"""),128.0)</f>
        <v>128</v>
      </c>
      <c r="G201" s="1" t="str">
        <f>IFERROR(__xludf.DUMMYFUNCTION("""COMPUTED_VALUE"""),"Box Score")</f>
        <v>Box Score</v>
      </c>
      <c r="H201" s="1"/>
      <c r="I201" s="3">
        <f>IFERROR(__xludf.DUMMYFUNCTION("""COMPUTED_VALUE"""),17922.0)</f>
        <v>17922</v>
      </c>
      <c r="J201" s="1"/>
    </row>
    <row r="202" ht="15.75" customHeight="1">
      <c r="A202" s="2">
        <f>IFERROR(__xludf.DUMMYFUNCTION("""COMPUTED_VALUE"""),43552.0)</f>
        <v>43552</v>
      </c>
      <c r="B202" s="1" t="str">
        <f>IFERROR(__xludf.DUMMYFUNCTION("""COMPUTED_VALUE"""),"8:00p")</f>
        <v>8:00p</v>
      </c>
      <c r="C202" s="1" t="str">
        <f>IFERROR(__xludf.DUMMYFUNCTION("""COMPUTED_VALUE"""),"Sacramento Kings")</f>
        <v>Sacramento Kings</v>
      </c>
      <c r="D202" s="1">
        <f>IFERROR(__xludf.DUMMYFUNCTION("""COMPUTED_VALUE"""),118.0)</f>
        <v>118</v>
      </c>
      <c r="E202" s="1" t="str">
        <f>IFERROR(__xludf.DUMMYFUNCTION("""COMPUTED_VALUE"""),"New Orleans Pelicans")</f>
        <v>New Orleans Pelicans</v>
      </c>
      <c r="F202" s="1">
        <f>IFERROR(__xludf.DUMMYFUNCTION("""COMPUTED_VALUE"""),121.0)</f>
        <v>121</v>
      </c>
      <c r="G202" s="1" t="str">
        <f>IFERROR(__xludf.DUMMYFUNCTION("""COMPUTED_VALUE"""),"Box Score")</f>
        <v>Box Score</v>
      </c>
      <c r="H202" s="1"/>
      <c r="I202" s="3">
        <f>IFERROR(__xludf.DUMMYFUNCTION("""COMPUTED_VALUE"""),13976.0)</f>
        <v>13976</v>
      </c>
      <c r="J202" s="1"/>
    </row>
    <row r="203" ht="15.75" customHeight="1">
      <c r="A203" s="2">
        <f>IFERROR(__xludf.DUMMYFUNCTION("""COMPUTED_VALUE"""),43552.0)</f>
        <v>43552</v>
      </c>
      <c r="B203" s="1" t="str">
        <f>IFERROR(__xludf.DUMMYFUNCTION("""COMPUTED_VALUE"""),"8:30p")</f>
        <v>8:30p</v>
      </c>
      <c r="C203" s="1" t="str">
        <f>IFERROR(__xludf.DUMMYFUNCTION("""COMPUTED_VALUE"""),"Cleveland Cavaliers")</f>
        <v>Cleveland Cavaliers</v>
      </c>
      <c r="D203" s="1">
        <f>IFERROR(__xludf.DUMMYFUNCTION("""COMPUTED_VALUE"""),110.0)</f>
        <v>110</v>
      </c>
      <c r="E203" s="1" t="str">
        <f>IFERROR(__xludf.DUMMYFUNCTION("""COMPUTED_VALUE"""),"San Antonio Spurs")</f>
        <v>San Antonio Spurs</v>
      </c>
      <c r="F203" s="1">
        <f>IFERROR(__xludf.DUMMYFUNCTION("""COMPUTED_VALUE"""),116.0)</f>
        <v>116</v>
      </c>
      <c r="G203" s="1" t="str">
        <f>IFERROR(__xludf.DUMMYFUNCTION("""COMPUTED_VALUE"""),"Box Score")</f>
        <v>Box Score</v>
      </c>
      <c r="H203" s="1"/>
      <c r="I203" s="3">
        <f>IFERROR(__xludf.DUMMYFUNCTION("""COMPUTED_VALUE"""),18756.0)</f>
        <v>18756</v>
      </c>
      <c r="J203" s="1"/>
    </row>
    <row r="204" ht="15.75" customHeight="1">
      <c r="A204" s="2">
        <f>IFERROR(__xludf.DUMMYFUNCTION("""COMPUTED_VALUE"""),43553.0)</f>
        <v>43553</v>
      </c>
      <c r="B204" s="1" t="str">
        <f>IFERROR(__xludf.DUMMYFUNCTION("""COMPUTED_VALUE"""),"7:00p")</f>
        <v>7:00p</v>
      </c>
      <c r="C204" s="1" t="str">
        <f>IFERROR(__xludf.DUMMYFUNCTION("""COMPUTED_VALUE"""),"Indiana Pacers")</f>
        <v>Indiana Pacers</v>
      </c>
      <c r="D204" s="1">
        <f>IFERROR(__xludf.DUMMYFUNCTION("""COMPUTED_VALUE"""),112.0)</f>
        <v>112</v>
      </c>
      <c r="E204" s="1" t="str">
        <f>IFERROR(__xludf.DUMMYFUNCTION("""COMPUTED_VALUE"""),"Boston Celtics")</f>
        <v>Boston Celtics</v>
      </c>
      <c r="F204" s="1">
        <f>IFERROR(__xludf.DUMMYFUNCTION("""COMPUTED_VALUE"""),114.0)</f>
        <v>114</v>
      </c>
      <c r="G204" s="1" t="str">
        <f>IFERROR(__xludf.DUMMYFUNCTION("""COMPUTED_VALUE"""),"Box Score")</f>
        <v>Box Score</v>
      </c>
      <c r="H204" s="1"/>
      <c r="I204" s="3">
        <f>IFERROR(__xludf.DUMMYFUNCTION("""COMPUTED_VALUE"""),18624.0)</f>
        <v>18624</v>
      </c>
      <c r="J204" s="1"/>
    </row>
    <row r="205" ht="15.75" customHeight="1">
      <c r="A205" s="2">
        <f>IFERROR(__xludf.DUMMYFUNCTION("""COMPUTED_VALUE"""),43553.0)</f>
        <v>43553</v>
      </c>
      <c r="B205" s="1" t="str">
        <f>IFERROR(__xludf.DUMMYFUNCTION("""COMPUTED_VALUE"""),"7:30p")</f>
        <v>7:30p</v>
      </c>
      <c r="C205" s="1" t="str">
        <f>IFERROR(__xludf.DUMMYFUNCTION("""COMPUTED_VALUE"""),"Portland Trail Blazers")</f>
        <v>Portland Trail Blazers</v>
      </c>
      <c r="D205" s="1">
        <f>IFERROR(__xludf.DUMMYFUNCTION("""COMPUTED_VALUE"""),118.0)</f>
        <v>118</v>
      </c>
      <c r="E205" s="1" t="str">
        <f>IFERROR(__xludf.DUMMYFUNCTION("""COMPUTED_VALUE"""),"Atlanta Hawks")</f>
        <v>Atlanta Hawks</v>
      </c>
      <c r="F205" s="1">
        <f>IFERROR(__xludf.DUMMYFUNCTION("""COMPUTED_VALUE"""),98.0)</f>
        <v>98</v>
      </c>
      <c r="G205" s="1" t="str">
        <f>IFERROR(__xludf.DUMMYFUNCTION("""COMPUTED_VALUE"""),"Box Score")</f>
        <v>Box Score</v>
      </c>
      <c r="H205" s="1"/>
      <c r="I205" s="3">
        <f>IFERROR(__xludf.DUMMYFUNCTION("""COMPUTED_VALUE"""),16182.0)</f>
        <v>16182</v>
      </c>
      <c r="J205" s="1"/>
    </row>
    <row r="206" ht="15.75" customHeight="1">
      <c r="A206" s="2">
        <f>IFERROR(__xludf.DUMMYFUNCTION("""COMPUTED_VALUE"""),43553.0)</f>
        <v>43553</v>
      </c>
      <c r="B206" s="1" t="str">
        <f>IFERROR(__xludf.DUMMYFUNCTION("""COMPUTED_VALUE"""),"8:00p")</f>
        <v>8:00p</v>
      </c>
      <c r="C206" s="1" t="str">
        <f>IFERROR(__xludf.DUMMYFUNCTION("""COMPUTED_VALUE"""),"Golden State Warriors")</f>
        <v>Golden State Warriors</v>
      </c>
      <c r="D206" s="1">
        <f>IFERROR(__xludf.DUMMYFUNCTION("""COMPUTED_VALUE"""),130.0)</f>
        <v>130</v>
      </c>
      <c r="E206" s="1" t="str">
        <f>IFERROR(__xludf.DUMMYFUNCTION("""COMPUTED_VALUE"""),"Minnesota Timberwolves")</f>
        <v>Minnesota Timberwolves</v>
      </c>
      <c r="F206" s="1">
        <f>IFERROR(__xludf.DUMMYFUNCTION("""COMPUTED_VALUE"""),131.0)</f>
        <v>131</v>
      </c>
      <c r="G206" s="1" t="str">
        <f>IFERROR(__xludf.DUMMYFUNCTION("""COMPUTED_VALUE"""),"Box Score")</f>
        <v>Box Score</v>
      </c>
      <c r="H206" s="1" t="str">
        <f>IFERROR(__xludf.DUMMYFUNCTION("""COMPUTED_VALUE"""),"OT")</f>
        <v>OT</v>
      </c>
      <c r="I206" s="3">
        <f>IFERROR(__xludf.DUMMYFUNCTION("""COMPUTED_VALUE"""),18978.0)</f>
        <v>18978</v>
      </c>
      <c r="J206" s="1"/>
    </row>
    <row r="207" ht="15.75" customHeight="1">
      <c r="A207" s="2">
        <f>IFERROR(__xludf.DUMMYFUNCTION("""COMPUTED_VALUE"""),43553.0)</f>
        <v>43553</v>
      </c>
      <c r="B207" s="1" t="str">
        <f>IFERROR(__xludf.DUMMYFUNCTION("""COMPUTED_VALUE"""),"8:00p")</f>
        <v>8:00p</v>
      </c>
      <c r="C207" s="1" t="str">
        <f>IFERROR(__xludf.DUMMYFUNCTION("""COMPUTED_VALUE"""),"Denver Nuggets")</f>
        <v>Denver Nuggets</v>
      </c>
      <c r="D207" s="1">
        <f>IFERROR(__xludf.DUMMYFUNCTION("""COMPUTED_VALUE"""),115.0)</f>
        <v>115</v>
      </c>
      <c r="E207" s="1" t="str">
        <f>IFERROR(__xludf.DUMMYFUNCTION("""COMPUTED_VALUE"""),"Oklahoma City Thunder")</f>
        <v>Oklahoma City Thunder</v>
      </c>
      <c r="F207" s="1">
        <f>IFERROR(__xludf.DUMMYFUNCTION("""COMPUTED_VALUE"""),105.0)</f>
        <v>105</v>
      </c>
      <c r="G207" s="1" t="str">
        <f>IFERROR(__xludf.DUMMYFUNCTION("""COMPUTED_VALUE"""),"Box Score")</f>
        <v>Box Score</v>
      </c>
      <c r="H207" s="1"/>
      <c r="I207" s="3">
        <f>IFERROR(__xludf.DUMMYFUNCTION("""COMPUTED_VALUE"""),18203.0)</f>
        <v>18203</v>
      </c>
      <c r="J207" s="1"/>
    </row>
    <row r="208" ht="15.75" customHeight="1">
      <c r="A208" s="2">
        <f>IFERROR(__xludf.DUMMYFUNCTION("""COMPUTED_VALUE"""),43553.0)</f>
        <v>43553</v>
      </c>
      <c r="B208" s="1" t="str">
        <f>IFERROR(__xludf.DUMMYFUNCTION("""COMPUTED_VALUE"""),"9:00p")</f>
        <v>9:00p</v>
      </c>
      <c r="C208" s="1" t="str">
        <f>IFERROR(__xludf.DUMMYFUNCTION("""COMPUTED_VALUE"""),"Washington Wizards")</f>
        <v>Washington Wizards</v>
      </c>
      <c r="D208" s="1">
        <f>IFERROR(__xludf.DUMMYFUNCTION("""COMPUTED_VALUE"""),124.0)</f>
        <v>124</v>
      </c>
      <c r="E208" s="1" t="str">
        <f>IFERROR(__xludf.DUMMYFUNCTION("""COMPUTED_VALUE"""),"Utah Jazz")</f>
        <v>Utah Jazz</v>
      </c>
      <c r="F208" s="1">
        <f>IFERROR(__xludf.DUMMYFUNCTION("""COMPUTED_VALUE"""),128.0)</f>
        <v>128</v>
      </c>
      <c r="G208" s="1" t="str">
        <f>IFERROR(__xludf.DUMMYFUNCTION("""COMPUTED_VALUE"""),"Box Score")</f>
        <v>Box Score</v>
      </c>
      <c r="H208" s="1"/>
      <c r="I208" s="3">
        <f>IFERROR(__xludf.DUMMYFUNCTION("""COMPUTED_VALUE"""),18306.0)</f>
        <v>18306</v>
      </c>
      <c r="J208" s="1"/>
    </row>
    <row r="209" ht="15.75" customHeight="1">
      <c r="A209" s="2">
        <f>IFERROR(__xludf.DUMMYFUNCTION("""COMPUTED_VALUE"""),43553.0)</f>
        <v>43553</v>
      </c>
      <c r="B209" s="1" t="str">
        <f>IFERROR(__xludf.DUMMYFUNCTION("""COMPUTED_VALUE"""),"10:30p")</f>
        <v>10:30p</v>
      </c>
      <c r="C209" s="1" t="str">
        <f>IFERROR(__xludf.DUMMYFUNCTION("""COMPUTED_VALUE"""),"Charlotte Hornets")</f>
        <v>Charlotte Hornets</v>
      </c>
      <c r="D209" s="1">
        <f>IFERROR(__xludf.DUMMYFUNCTION("""COMPUTED_VALUE"""),115.0)</f>
        <v>115</v>
      </c>
      <c r="E209" s="1" t="str">
        <f>IFERROR(__xludf.DUMMYFUNCTION("""COMPUTED_VALUE"""),"Los Angeles Lakers")</f>
        <v>Los Angeles Lakers</v>
      </c>
      <c r="F209" s="1">
        <f>IFERROR(__xludf.DUMMYFUNCTION("""COMPUTED_VALUE"""),129.0)</f>
        <v>129</v>
      </c>
      <c r="G209" s="1" t="str">
        <f>IFERROR(__xludf.DUMMYFUNCTION("""COMPUTED_VALUE"""),"Box Score")</f>
        <v>Box Score</v>
      </c>
      <c r="H209" s="1"/>
      <c r="I209" s="3">
        <f>IFERROR(__xludf.DUMMYFUNCTION("""COMPUTED_VALUE"""),18997.0)</f>
        <v>18997</v>
      </c>
      <c r="J209" s="1"/>
    </row>
    <row r="210" ht="15.75" customHeight="1">
      <c r="A210" s="2">
        <f>IFERROR(__xludf.DUMMYFUNCTION("""COMPUTED_VALUE"""),43554.0)</f>
        <v>43554</v>
      </c>
      <c r="B210" s="1" t="str">
        <f>IFERROR(__xludf.DUMMYFUNCTION("""COMPUTED_VALUE"""),"3:30p")</f>
        <v>3:30p</v>
      </c>
      <c r="C210" s="1" t="str">
        <f>IFERROR(__xludf.DUMMYFUNCTION("""COMPUTED_VALUE"""),"Cleveland Cavaliers")</f>
        <v>Cleveland Cavaliers</v>
      </c>
      <c r="D210" s="1">
        <f>IFERROR(__xludf.DUMMYFUNCTION("""COMPUTED_VALUE"""),108.0)</f>
        <v>108</v>
      </c>
      <c r="E210" s="1" t="str">
        <f>IFERROR(__xludf.DUMMYFUNCTION("""COMPUTED_VALUE"""),"Los Angeles Clippers")</f>
        <v>Los Angeles Clippers</v>
      </c>
      <c r="F210" s="1">
        <f>IFERROR(__xludf.DUMMYFUNCTION("""COMPUTED_VALUE"""),132.0)</f>
        <v>132</v>
      </c>
      <c r="G210" s="1" t="str">
        <f>IFERROR(__xludf.DUMMYFUNCTION("""COMPUTED_VALUE"""),"Box Score")</f>
        <v>Box Score</v>
      </c>
      <c r="H210" s="1"/>
      <c r="I210" s="3">
        <f>IFERROR(__xludf.DUMMYFUNCTION("""COMPUTED_VALUE"""),16439.0)</f>
        <v>16439</v>
      </c>
      <c r="J210" s="1"/>
    </row>
    <row r="211" ht="15.75" customHeight="1">
      <c r="A211" s="2">
        <f>IFERROR(__xludf.DUMMYFUNCTION("""COMPUTED_VALUE"""),43554.0)</f>
        <v>43554</v>
      </c>
      <c r="B211" s="1" t="str">
        <f>IFERROR(__xludf.DUMMYFUNCTION("""COMPUTED_VALUE"""),"6:00p")</f>
        <v>6:00p</v>
      </c>
      <c r="C211" s="1" t="str">
        <f>IFERROR(__xludf.DUMMYFUNCTION("""COMPUTED_VALUE"""),"Boston Celtics")</f>
        <v>Boston Celtics</v>
      </c>
      <c r="D211" s="1">
        <f>IFERROR(__xludf.DUMMYFUNCTION("""COMPUTED_VALUE"""),96.0)</f>
        <v>96</v>
      </c>
      <c r="E211" s="1" t="str">
        <f>IFERROR(__xludf.DUMMYFUNCTION("""COMPUTED_VALUE"""),"Brooklyn Nets")</f>
        <v>Brooklyn Nets</v>
      </c>
      <c r="F211" s="1">
        <f>IFERROR(__xludf.DUMMYFUNCTION("""COMPUTED_VALUE"""),110.0)</f>
        <v>110</v>
      </c>
      <c r="G211" s="1" t="str">
        <f>IFERROR(__xludf.DUMMYFUNCTION("""COMPUTED_VALUE"""),"Box Score")</f>
        <v>Box Score</v>
      </c>
      <c r="H211" s="1"/>
      <c r="I211" s="3">
        <f>IFERROR(__xludf.DUMMYFUNCTION("""COMPUTED_VALUE"""),17732.0)</f>
        <v>17732</v>
      </c>
      <c r="J211" s="1"/>
    </row>
    <row r="212" ht="15.75" customHeight="1">
      <c r="A212" s="2">
        <f>IFERROR(__xludf.DUMMYFUNCTION("""COMPUTED_VALUE"""),43554.0)</f>
        <v>43554</v>
      </c>
      <c r="B212" s="1" t="str">
        <f>IFERROR(__xludf.DUMMYFUNCTION("""COMPUTED_VALUE"""),"6:00p")</f>
        <v>6:00p</v>
      </c>
      <c r="C212" s="1" t="str">
        <f>IFERROR(__xludf.DUMMYFUNCTION("""COMPUTED_VALUE"""),"Sacramento Kings")</f>
        <v>Sacramento Kings</v>
      </c>
      <c r="D212" s="1">
        <f>IFERROR(__xludf.DUMMYFUNCTION("""COMPUTED_VALUE"""),108.0)</f>
        <v>108</v>
      </c>
      <c r="E212" s="1" t="str">
        <f>IFERROR(__xludf.DUMMYFUNCTION("""COMPUTED_VALUE"""),"Houston Rockets")</f>
        <v>Houston Rockets</v>
      </c>
      <c r="F212" s="1">
        <f>IFERROR(__xludf.DUMMYFUNCTION("""COMPUTED_VALUE"""),119.0)</f>
        <v>119</v>
      </c>
      <c r="G212" s="1" t="str">
        <f>IFERROR(__xludf.DUMMYFUNCTION("""COMPUTED_VALUE"""),"Box Score")</f>
        <v>Box Score</v>
      </c>
      <c r="H212" s="1"/>
      <c r="I212" s="3">
        <f>IFERROR(__xludf.DUMMYFUNCTION("""COMPUTED_VALUE"""),18055.0)</f>
        <v>18055</v>
      </c>
      <c r="J212" s="1"/>
    </row>
    <row r="213" ht="15.75" customHeight="1">
      <c r="A213" s="2">
        <f>IFERROR(__xludf.DUMMYFUNCTION("""COMPUTED_VALUE"""),43554.0)</f>
        <v>43554</v>
      </c>
      <c r="B213" s="1" t="str">
        <f>IFERROR(__xludf.DUMMYFUNCTION("""COMPUTED_VALUE"""),"7:00p")</f>
        <v>7:00p</v>
      </c>
      <c r="C213" s="1" t="str">
        <f>IFERROR(__xludf.DUMMYFUNCTION("""COMPUTED_VALUE"""),"Portland Trail Blazers")</f>
        <v>Portland Trail Blazers</v>
      </c>
      <c r="D213" s="1">
        <f>IFERROR(__xludf.DUMMYFUNCTION("""COMPUTED_VALUE"""),90.0)</f>
        <v>90</v>
      </c>
      <c r="E213" s="1" t="str">
        <f>IFERROR(__xludf.DUMMYFUNCTION("""COMPUTED_VALUE"""),"Detroit Pistons")</f>
        <v>Detroit Pistons</v>
      </c>
      <c r="F213" s="1">
        <f>IFERROR(__xludf.DUMMYFUNCTION("""COMPUTED_VALUE"""),99.0)</f>
        <v>99</v>
      </c>
      <c r="G213" s="1" t="str">
        <f>IFERROR(__xludf.DUMMYFUNCTION("""COMPUTED_VALUE"""),"Box Score")</f>
        <v>Box Score</v>
      </c>
      <c r="H213" s="1"/>
      <c r="I213" s="3">
        <f>IFERROR(__xludf.DUMMYFUNCTION("""COMPUTED_VALUE"""),18592.0)</f>
        <v>18592</v>
      </c>
      <c r="J213" s="1"/>
    </row>
    <row r="214" ht="15.75" customHeight="1">
      <c r="A214" s="2">
        <f>IFERROR(__xludf.DUMMYFUNCTION("""COMPUTED_VALUE"""),43554.0)</f>
        <v>43554</v>
      </c>
      <c r="B214" s="1" t="str">
        <f>IFERROR(__xludf.DUMMYFUNCTION("""COMPUTED_VALUE"""),"7:00p")</f>
        <v>7:00p</v>
      </c>
      <c r="C214" s="1" t="str">
        <f>IFERROR(__xludf.DUMMYFUNCTION("""COMPUTED_VALUE"""),"Orlando Magic")</f>
        <v>Orlando Magic</v>
      </c>
      <c r="D214" s="1">
        <f>IFERROR(__xludf.DUMMYFUNCTION("""COMPUTED_VALUE"""),121.0)</f>
        <v>121</v>
      </c>
      <c r="E214" s="1" t="str">
        <f>IFERROR(__xludf.DUMMYFUNCTION("""COMPUTED_VALUE"""),"Indiana Pacers")</f>
        <v>Indiana Pacers</v>
      </c>
      <c r="F214" s="1">
        <f>IFERROR(__xludf.DUMMYFUNCTION("""COMPUTED_VALUE"""),116.0)</f>
        <v>116</v>
      </c>
      <c r="G214" s="1" t="str">
        <f>IFERROR(__xludf.DUMMYFUNCTION("""COMPUTED_VALUE"""),"Box Score")</f>
        <v>Box Score</v>
      </c>
      <c r="H214" s="1"/>
      <c r="I214" s="3">
        <f>IFERROR(__xludf.DUMMYFUNCTION("""COMPUTED_VALUE"""),17923.0)</f>
        <v>17923</v>
      </c>
      <c r="J214" s="1"/>
    </row>
    <row r="215" ht="15.75" customHeight="1">
      <c r="A215" s="2">
        <f>IFERROR(__xludf.DUMMYFUNCTION("""COMPUTED_VALUE"""),43554.0)</f>
        <v>43554</v>
      </c>
      <c r="B215" s="1" t="str">
        <f>IFERROR(__xludf.DUMMYFUNCTION("""COMPUTED_VALUE"""),"7:30p")</f>
        <v>7:30p</v>
      </c>
      <c r="C215" s="1" t="str">
        <f>IFERROR(__xludf.DUMMYFUNCTION("""COMPUTED_VALUE"""),"Miami Heat")</f>
        <v>Miami Heat</v>
      </c>
      <c r="D215" s="1">
        <f>IFERROR(__xludf.DUMMYFUNCTION("""COMPUTED_VALUE"""),100.0)</f>
        <v>100</v>
      </c>
      <c r="E215" s="1" t="str">
        <f>IFERROR(__xludf.DUMMYFUNCTION("""COMPUTED_VALUE"""),"New York Knicks")</f>
        <v>New York Knicks</v>
      </c>
      <c r="F215" s="1">
        <f>IFERROR(__xludf.DUMMYFUNCTION("""COMPUTED_VALUE"""),92.0)</f>
        <v>92</v>
      </c>
      <c r="G215" s="1" t="str">
        <f>IFERROR(__xludf.DUMMYFUNCTION("""COMPUTED_VALUE"""),"Box Score")</f>
        <v>Box Score</v>
      </c>
      <c r="H215" s="1"/>
      <c r="I215" s="3">
        <f>IFERROR(__xludf.DUMMYFUNCTION("""COMPUTED_VALUE"""),19812.0)</f>
        <v>19812</v>
      </c>
      <c r="J215" s="1"/>
    </row>
    <row r="216" ht="15.75" customHeight="1">
      <c r="A216" s="2">
        <f>IFERROR(__xludf.DUMMYFUNCTION("""COMPUTED_VALUE"""),43554.0)</f>
        <v>43554</v>
      </c>
      <c r="B216" s="1" t="str">
        <f>IFERROR(__xludf.DUMMYFUNCTION("""COMPUTED_VALUE"""),"8:00p")</f>
        <v>8:00p</v>
      </c>
      <c r="C216" s="1" t="str">
        <f>IFERROR(__xludf.DUMMYFUNCTION("""COMPUTED_VALUE"""),"Toronto Raptors")</f>
        <v>Toronto Raptors</v>
      </c>
      <c r="D216" s="1">
        <f>IFERROR(__xludf.DUMMYFUNCTION("""COMPUTED_VALUE"""),124.0)</f>
        <v>124</v>
      </c>
      <c r="E216" s="1" t="str">
        <f>IFERROR(__xludf.DUMMYFUNCTION("""COMPUTED_VALUE"""),"Chicago Bulls")</f>
        <v>Chicago Bulls</v>
      </c>
      <c r="F216" s="1">
        <f>IFERROR(__xludf.DUMMYFUNCTION("""COMPUTED_VALUE"""),101.0)</f>
        <v>101</v>
      </c>
      <c r="G216" s="1" t="str">
        <f>IFERROR(__xludf.DUMMYFUNCTION("""COMPUTED_VALUE"""),"Box Score")</f>
        <v>Box Score</v>
      </c>
      <c r="H216" s="1"/>
      <c r="I216" s="3">
        <f>IFERROR(__xludf.DUMMYFUNCTION("""COMPUTED_VALUE"""),21238.0)</f>
        <v>21238</v>
      </c>
      <c r="J216" s="1"/>
    </row>
    <row r="217" ht="15.75" customHeight="1">
      <c r="A217" s="2">
        <f>IFERROR(__xludf.DUMMYFUNCTION("""COMPUTED_VALUE"""),43554.0)</f>
        <v>43554</v>
      </c>
      <c r="B217" s="1" t="str">
        <f>IFERROR(__xludf.DUMMYFUNCTION("""COMPUTED_VALUE"""),"8:00p")</f>
        <v>8:00p</v>
      </c>
      <c r="C217" s="1" t="str">
        <f>IFERROR(__xludf.DUMMYFUNCTION("""COMPUTED_VALUE"""),"Philadelphia 76ers")</f>
        <v>Philadelphia 76ers</v>
      </c>
      <c r="D217" s="1">
        <f>IFERROR(__xludf.DUMMYFUNCTION("""COMPUTED_VALUE"""),118.0)</f>
        <v>118</v>
      </c>
      <c r="E217" s="1" t="str">
        <f>IFERROR(__xludf.DUMMYFUNCTION("""COMPUTED_VALUE"""),"Minnesota Timberwolves")</f>
        <v>Minnesota Timberwolves</v>
      </c>
      <c r="F217" s="1">
        <f>IFERROR(__xludf.DUMMYFUNCTION("""COMPUTED_VALUE"""),109.0)</f>
        <v>109</v>
      </c>
      <c r="G217" s="1" t="str">
        <f>IFERROR(__xludf.DUMMYFUNCTION("""COMPUTED_VALUE"""),"Box Score")</f>
        <v>Box Score</v>
      </c>
      <c r="H217" s="1"/>
      <c r="I217" s="3">
        <f>IFERROR(__xludf.DUMMYFUNCTION("""COMPUTED_VALUE"""),18978.0)</f>
        <v>18978</v>
      </c>
      <c r="J217" s="1"/>
    </row>
    <row r="218" ht="15.75" customHeight="1">
      <c r="A218" s="2">
        <f>IFERROR(__xludf.DUMMYFUNCTION("""COMPUTED_VALUE"""),43554.0)</f>
        <v>43554</v>
      </c>
      <c r="B218" s="1" t="str">
        <f>IFERROR(__xludf.DUMMYFUNCTION("""COMPUTED_VALUE"""),"10:00p")</f>
        <v>10:00p</v>
      </c>
      <c r="C218" s="1" t="str">
        <f>IFERROR(__xludf.DUMMYFUNCTION("""COMPUTED_VALUE"""),"Memphis Grizzlies")</f>
        <v>Memphis Grizzlies</v>
      </c>
      <c r="D218" s="1">
        <f>IFERROR(__xludf.DUMMYFUNCTION("""COMPUTED_VALUE"""),120.0)</f>
        <v>120</v>
      </c>
      <c r="E218" s="1" t="str">
        <f>IFERROR(__xludf.DUMMYFUNCTION("""COMPUTED_VALUE"""),"Phoenix Suns")</f>
        <v>Phoenix Suns</v>
      </c>
      <c r="F218" s="1">
        <f>IFERROR(__xludf.DUMMYFUNCTION("""COMPUTED_VALUE"""),115.0)</f>
        <v>115</v>
      </c>
      <c r="G218" s="1" t="str">
        <f>IFERROR(__xludf.DUMMYFUNCTION("""COMPUTED_VALUE"""),"Box Score")</f>
        <v>Box Score</v>
      </c>
      <c r="H218" s="1"/>
      <c r="I218" s="3">
        <f>IFERROR(__xludf.DUMMYFUNCTION("""COMPUTED_VALUE"""),16647.0)</f>
        <v>16647</v>
      </c>
      <c r="J218" s="1"/>
    </row>
    <row r="219" ht="15.75" customHeight="1">
      <c r="A219" s="2">
        <f>IFERROR(__xludf.DUMMYFUNCTION("""COMPUTED_VALUE"""),43555.0)</f>
        <v>43555</v>
      </c>
      <c r="B219" s="1" t="str">
        <f>IFERROR(__xludf.DUMMYFUNCTION("""COMPUTED_VALUE"""),"12:30p")</f>
        <v>12:30p</v>
      </c>
      <c r="C219" s="1" t="str">
        <f>IFERROR(__xludf.DUMMYFUNCTION("""COMPUTED_VALUE"""),"Milwaukee Bucks")</f>
        <v>Milwaukee Bucks</v>
      </c>
      <c r="D219" s="1">
        <f>IFERROR(__xludf.DUMMYFUNCTION("""COMPUTED_VALUE"""),135.0)</f>
        <v>135</v>
      </c>
      <c r="E219" s="1" t="str">
        <f>IFERROR(__xludf.DUMMYFUNCTION("""COMPUTED_VALUE"""),"Atlanta Hawks")</f>
        <v>Atlanta Hawks</v>
      </c>
      <c r="F219" s="1">
        <f>IFERROR(__xludf.DUMMYFUNCTION("""COMPUTED_VALUE"""),136.0)</f>
        <v>136</v>
      </c>
      <c r="G219" s="1" t="str">
        <f>IFERROR(__xludf.DUMMYFUNCTION("""COMPUTED_VALUE"""),"Box Score")</f>
        <v>Box Score</v>
      </c>
      <c r="H219" s="1" t="str">
        <f>IFERROR(__xludf.DUMMYFUNCTION("""COMPUTED_VALUE"""),"OT")</f>
        <v>OT</v>
      </c>
      <c r="I219" s="3">
        <f>IFERROR(__xludf.DUMMYFUNCTION("""COMPUTED_VALUE"""),16660.0)</f>
        <v>16660</v>
      </c>
      <c r="J219" s="1"/>
    </row>
    <row r="220" ht="15.75" customHeight="1">
      <c r="A220" s="2">
        <f>IFERROR(__xludf.DUMMYFUNCTION("""COMPUTED_VALUE"""),43555.0)</f>
        <v>43555</v>
      </c>
      <c r="B220" s="1" t="str">
        <f>IFERROR(__xludf.DUMMYFUNCTION("""COMPUTED_VALUE"""),"3:30p")</f>
        <v>3:30p</v>
      </c>
      <c r="C220" s="1" t="str">
        <f>IFERROR(__xludf.DUMMYFUNCTION("""COMPUTED_VALUE"""),"Dallas Mavericks")</f>
        <v>Dallas Mavericks</v>
      </c>
      <c r="D220" s="1">
        <f>IFERROR(__xludf.DUMMYFUNCTION("""COMPUTED_VALUE"""),106.0)</f>
        <v>106</v>
      </c>
      <c r="E220" s="1" t="str">
        <f>IFERROR(__xludf.DUMMYFUNCTION("""COMPUTED_VALUE"""),"Oklahoma City Thunder")</f>
        <v>Oklahoma City Thunder</v>
      </c>
      <c r="F220" s="1">
        <f>IFERROR(__xludf.DUMMYFUNCTION("""COMPUTED_VALUE"""),103.0)</f>
        <v>103</v>
      </c>
      <c r="G220" s="1" t="str">
        <f>IFERROR(__xludf.DUMMYFUNCTION("""COMPUTED_VALUE"""),"Box Score")</f>
        <v>Box Score</v>
      </c>
      <c r="H220" s="1"/>
      <c r="I220" s="3">
        <f>IFERROR(__xludf.DUMMYFUNCTION("""COMPUTED_VALUE"""),18203.0)</f>
        <v>18203</v>
      </c>
      <c r="J220" s="1"/>
    </row>
    <row r="221" ht="15.75" customHeight="1">
      <c r="A221" s="2">
        <f>IFERROR(__xludf.DUMMYFUNCTION("""COMPUTED_VALUE"""),43555.0)</f>
        <v>43555</v>
      </c>
      <c r="B221" s="1" t="str">
        <f>IFERROR(__xludf.DUMMYFUNCTION("""COMPUTED_VALUE"""),"6:00p")</f>
        <v>6:00p</v>
      </c>
      <c r="C221" s="1" t="str">
        <f>IFERROR(__xludf.DUMMYFUNCTION("""COMPUTED_VALUE"""),"Los Angeles Lakers")</f>
        <v>Los Angeles Lakers</v>
      </c>
      <c r="D221" s="1">
        <f>IFERROR(__xludf.DUMMYFUNCTION("""COMPUTED_VALUE"""),130.0)</f>
        <v>130</v>
      </c>
      <c r="E221" s="1" t="str">
        <f>IFERROR(__xludf.DUMMYFUNCTION("""COMPUTED_VALUE"""),"New Orleans Pelicans")</f>
        <v>New Orleans Pelicans</v>
      </c>
      <c r="F221" s="1">
        <f>IFERROR(__xludf.DUMMYFUNCTION("""COMPUTED_VALUE"""),102.0)</f>
        <v>102</v>
      </c>
      <c r="G221" s="1" t="str">
        <f>IFERROR(__xludf.DUMMYFUNCTION("""COMPUTED_VALUE"""),"Box Score")</f>
        <v>Box Score</v>
      </c>
      <c r="H221" s="1"/>
      <c r="I221" s="3">
        <f>IFERROR(__xludf.DUMMYFUNCTION("""COMPUTED_VALUE"""),18562.0)</f>
        <v>18562</v>
      </c>
      <c r="J221" s="1"/>
    </row>
    <row r="222" ht="15.75" customHeight="1">
      <c r="A222" s="2">
        <f>IFERROR(__xludf.DUMMYFUNCTION("""COMPUTED_VALUE"""),43555.0)</f>
        <v>43555</v>
      </c>
      <c r="B222" s="1" t="str">
        <f>IFERROR(__xludf.DUMMYFUNCTION("""COMPUTED_VALUE"""),"7:00p")</f>
        <v>7:00p</v>
      </c>
      <c r="C222" s="1" t="str">
        <f>IFERROR(__xludf.DUMMYFUNCTION("""COMPUTED_VALUE"""),"Sacramento Kings")</f>
        <v>Sacramento Kings</v>
      </c>
      <c r="D222" s="1">
        <f>IFERROR(__xludf.DUMMYFUNCTION("""COMPUTED_VALUE"""),113.0)</f>
        <v>113</v>
      </c>
      <c r="E222" s="1" t="str">
        <f>IFERROR(__xludf.DUMMYFUNCTION("""COMPUTED_VALUE"""),"San Antonio Spurs")</f>
        <v>San Antonio Spurs</v>
      </c>
      <c r="F222" s="1">
        <f>IFERROR(__xludf.DUMMYFUNCTION("""COMPUTED_VALUE"""),106.0)</f>
        <v>106</v>
      </c>
      <c r="G222" s="1" t="str">
        <f>IFERROR(__xludf.DUMMYFUNCTION("""COMPUTED_VALUE"""),"Box Score")</f>
        <v>Box Score</v>
      </c>
      <c r="H222" s="1"/>
      <c r="I222" s="3">
        <f>IFERROR(__xludf.DUMMYFUNCTION("""COMPUTED_VALUE"""),18407.0)</f>
        <v>18407</v>
      </c>
      <c r="J222" s="1"/>
    </row>
    <row r="223" ht="15.75" customHeight="1">
      <c r="A223" s="2">
        <f>IFERROR(__xludf.DUMMYFUNCTION("""COMPUTED_VALUE"""),43555.0)</f>
        <v>43555</v>
      </c>
      <c r="B223" s="1" t="str">
        <f>IFERROR(__xludf.DUMMYFUNCTION("""COMPUTED_VALUE"""),"8:00p")</f>
        <v>8:00p</v>
      </c>
      <c r="C223" s="1" t="str">
        <f>IFERROR(__xludf.DUMMYFUNCTION("""COMPUTED_VALUE"""),"Washington Wizards")</f>
        <v>Washington Wizards</v>
      </c>
      <c r="D223" s="1">
        <f>IFERROR(__xludf.DUMMYFUNCTION("""COMPUTED_VALUE"""),95.0)</f>
        <v>95</v>
      </c>
      <c r="E223" s="1" t="str">
        <f>IFERROR(__xludf.DUMMYFUNCTION("""COMPUTED_VALUE"""),"Denver Nuggets")</f>
        <v>Denver Nuggets</v>
      </c>
      <c r="F223" s="1">
        <f>IFERROR(__xludf.DUMMYFUNCTION("""COMPUTED_VALUE"""),90.0)</f>
        <v>90</v>
      </c>
      <c r="G223" s="1" t="str">
        <f>IFERROR(__xludf.DUMMYFUNCTION("""COMPUTED_VALUE"""),"Box Score")</f>
        <v>Box Score</v>
      </c>
      <c r="H223" s="1"/>
      <c r="I223" s="3">
        <f>IFERROR(__xludf.DUMMYFUNCTION("""COMPUTED_VALUE"""),17356.0)</f>
        <v>17356</v>
      </c>
      <c r="J223" s="1"/>
    </row>
    <row r="224" ht="15.75" customHeight="1">
      <c r="A224" s="2">
        <f>IFERROR(__xludf.DUMMYFUNCTION("""COMPUTED_VALUE"""),43555.0)</f>
        <v>43555</v>
      </c>
      <c r="B224" s="1" t="str">
        <f>IFERROR(__xludf.DUMMYFUNCTION("""COMPUTED_VALUE"""),"8:30p")</f>
        <v>8:30p</v>
      </c>
      <c r="C224" s="1" t="str">
        <f>IFERROR(__xludf.DUMMYFUNCTION("""COMPUTED_VALUE"""),"Charlotte Hornets")</f>
        <v>Charlotte Hornets</v>
      </c>
      <c r="D224" s="1">
        <f>IFERROR(__xludf.DUMMYFUNCTION("""COMPUTED_VALUE"""),90.0)</f>
        <v>90</v>
      </c>
      <c r="E224" s="1" t="str">
        <f>IFERROR(__xludf.DUMMYFUNCTION("""COMPUTED_VALUE"""),"Golden State Warriors")</f>
        <v>Golden State Warriors</v>
      </c>
      <c r="F224" s="1">
        <f>IFERROR(__xludf.DUMMYFUNCTION("""COMPUTED_VALUE"""),137.0)</f>
        <v>137</v>
      </c>
      <c r="G224" s="1" t="str">
        <f>IFERROR(__xludf.DUMMYFUNCTION("""COMPUTED_VALUE"""),"Box Score")</f>
        <v>Box Score</v>
      </c>
      <c r="H224" s="1"/>
      <c r="I224" s="3">
        <f>IFERROR(__xludf.DUMMYFUNCTION("""COMPUTED_VALUE"""),19596.0)</f>
        <v>19596</v>
      </c>
      <c r="J224" s="1"/>
    </row>
    <row r="225" ht="15.75" customHeight="1">
      <c r="A225" s="2">
        <f>IFERROR(__xludf.DUMMYFUNCTION("""COMPUTED_VALUE"""),43555.0)</f>
        <v>43555</v>
      </c>
      <c r="B225" s="1" t="str">
        <f>IFERROR(__xludf.DUMMYFUNCTION("""COMPUTED_VALUE"""),"10:30p")</f>
        <v>10:30p</v>
      </c>
      <c r="C225" s="1" t="str">
        <f>IFERROR(__xludf.DUMMYFUNCTION("""COMPUTED_VALUE"""),"Memphis Grizzlies")</f>
        <v>Memphis Grizzlies</v>
      </c>
      <c r="D225" s="1">
        <f>IFERROR(__xludf.DUMMYFUNCTION("""COMPUTED_VALUE"""),96.0)</f>
        <v>96</v>
      </c>
      <c r="E225" s="1" t="str">
        <f>IFERROR(__xludf.DUMMYFUNCTION("""COMPUTED_VALUE"""),"Los Angeles Clippers")</f>
        <v>Los Angeles Clippers</v>
      </c>
      <c r="F225" s="1">
        <f>IFERROR(__xludf.DUMMYFUNCTION("""COMPUTED_VALUE"""),113.0)</f>
        <v>113</v>
      </c>
      <c r="G225" s="1" t="str">
        <f>IFERROR(__xludf.DUMMYFUNCTION("""COMPUTED_VALUE"""),"Box Score")</f>
        <v>Box Score</v>
      </c>
      <c r="H225" s="1"/>
      <c r="I225" s="3">
        <f>IFERROR(__xludf.DUMMYFUNCTION("""COMPUTED_VALUE"""),16740.0)</f>
        <v>16740</v>
      </c>
      <c r="J225" s="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tr">
        <f>IFERROR(__xludf.DUMMYFUNCTION("IMPORTHTML(""https://www.basketball-reference.com/leagues/NBA_2019_games-april.html"",""table"",1)"),"Date")</f>
        <v>Date</v>
      </c>
      <c r="B1" s="1" t="str">
        <f>IFERROR(__xludf.DUMMYFUNCTION("""COMPUTED_VALUE"""),"Start (ET)")</f>
        <v>Start (ET)</v>
      </c>
      <c r="C1" s="1" t="str">
        <f>IFERROR(__xludf.DUMMYFUNCTION("""COMPUTED_VALUE"""),"Visitor/Neutral")</f>
        <v>Visitor/Neutral</v>
      </c>
      <c r="D1" s="1" t="str">
        <f>IFERROR(__xludf.DUMMYFUNCTION("""COMPUTED_VALUE"""),"PTS")</f>
        <v>PTS</v>
      </c>
      <c r="E1" s="1" t="str">
        <f>IFERROR(__xludf.DUMMYFUNCTION("""COMPUTED_VALUE"""),"Home/Neutral")</f>
        <v>Home/Neutral</v>
      </c>
      <c r="F1" s="1" t="str">
        <f>IFERROR(__xludf.DUMMYFUNCTION("""COMPUTED_VALUE"""),"PTS")</f>
        <v>PTS</v>
      </c>
      <c r="G1" s="1"/>
      <c r="H1" s="1"/>
      <c r="I1" s="1" t="str">
        <f>IFERROR(__xludf.DUMMYFUNCTION("""COMPUTED_VALUE"""),"Attend.")</f>
        <v>Attend.</v>
      </c>
      <c r="J1" s="1" t="str">
        <f>IFERROR(__xludf.DUMMYFUNCTION("""COMPUTED_VALUE"""),"Notes")</f>
        <v>Notes</v>
      </c>
    </row>
    <row r="2" ht="15.75" customHeight="1">
      <c r="A2" s="2">
        <f>IFERROR(__xludf.DUMMYFUNCTION("""COMPUTED_VALUE"""),43556.0)</f>
        <v>43556</v>
      </c>
      <c r="B2" s="1" t="str">
        <f>IFERROR(__xludf.DUMMYFUNCTION("""COMPUTED_VALUE"""),"7:00p")</f>
        <v>7:00p</v>
      </c>
      <c r="C2" s="1" t="str">
        <f>IFERROR(__xludf.DUMMYFUNCTION("""COMPUTED_VALUE"""),"Detroit Pistons")</f>
        <v>Detroit Pistons</v>
      </c>
      <c r="D2" s="1">
        <f>IFERROR(__xludf.DUMMYFUNCTION("""COMPUTED_VALUE"""),102.0)</f>
        <v>102</v>
      </c>
      <c r="E2" s="1" t="str">
        <f>IFERROR(__xludf.DUMMYFUNCTION("""COMPUTED_VALUE"""),"Indiana Pacers")</f>
        <v>Indiana Pacers</v>
      </c>
      <c r="F2" s="1">
        <f>IFERROR(__xludf.DUMMYFUNCTION("""COMPUTED_VALUE"""),111.0)</f>
        <v>111</v>
      </c>
      <c r="G2" s="1" t="str">
        <f>IFERROR(__xludf.DUMMYFUNCTION("""COMPUTED_VALUE"""),"Box Score")</f>
        <v>Box Score</v>
      </c>
      <c r="H2" s="1"/>
      <c r="I2" s="3">
        <f>IFERROR(__xludf.DUMMYFUNCTION("""COMPUTED_VALUE"""),15760.0)</f>
        <v>15760</v>
      </c>
      <c r="J2" s="1"/>
    </row>
    <row r="3" ht="15.75" customHeight="1">
      <c r="A3" s="2">
        <f>IFERROR(__xludf.DUMMYFUNCTION("""COMPUTED_VALUE"""),43556.0)</f>
        <v>43556</v>
      </c>
      <c r="B3" s="1" t="str">
        <f>IFERROR(__xludf.DUMMYFUNCTION("""COMPUTED_VALUE"""),"7:30p")</f>
        <v>7:30p</v>
      </c>
      <c r="C3" s="1" t="str">
        <f>IFERROR(__xludf.DUMMYFUNCTION("""COMPUTED_VALUE"""),"Miami Heat")</f>
        <v>Miami Heat</v>
      </c>
      <c r="D3" s="1">
        <f>IFERROR(__xludf.DUMMYFUNCTION("""COMPUTED_VALUE"""),105.0)</f>
        <v>105</v>
      </c>
      <c r="E3" s="1" t="str">
        <f>IFERROR(__xludf.DUMMYFUNCTION("""COMPUTED_VALUE"""),"Boston Celtics")</f>
        <v>Boston Celtics</v>
      </c>
      <c r="F3" s="1">
        <f>IFERROR(__xludf.DUMMYFUNCTION("""COMPUTED_VALUE"""),110.0)</f>
        <v>110</v>
      </c>
      <c r="G3" s="1" t="str">
        <f>IFERROR(__xludf.DUMMYFUNCTION("""COMPUTED_VALUE"""),"Box Score")</f>
        <v>Box Score</v>
      </c>
      <c r="H3" s="1"/>
      <c r="I3" s="3">
        <f>IFERROR(__xludf.DUMMYFUNCTION("""COMPUTED_VALUE"""),18624.0)</f>
        <v>18624</v>
      </c>
      <c r="J3" s="1"/>
    </row>
    <row r="4" ht="15.75" customHeight="1">
      <c r="A4" s="2">
        <f>IFERROR(__xludf.DUMMYFUNCTION("""COMPUTED_VALUE"""),43556.0)</f>
        <v>43556</v>
      </c>
      <c r="B4" s="1" t="str">
        <f>IFERROR(__xludf.DUMMYFUNCTION("""COMPUTED_VALUE"""),"7:30p")</f>
        <v>7:30p</v>
      </c>
      <c r="C4" s="1" t="str">
        <f>IFERROR(__xludf.DUMMYFUNCTION("""COMPUTED_VALUE"""),"Milwaukee Bucks")</f>
        <v>Milwaukee Bucks</v>
      </c>
      <c r="D4" s="1">
        <f>IFERROR(__xludf.DUMMYFUNCTION("""COMPUTED_VALUE"""),131.0)</f>
        <v>131</v>
      </c>
      <c r="E4" s="1" t="str">
        <f>IFERROR(__xludf.DUMMYFUNCTION("""COMPUTED_VALUE"""),"Brooklyn Nets")</f>
        <v>Brooklyn Nets</v>
      </c>
      <c r="F4" s="1">
        <f>IFERROR(__xludf.DUMMYFUNCTION("""COMPUTED_VALUE"""),121.0)</f>
        <v>121</v>
      </c>
      <c r="G4" s="1" t="str">
        <f>IFERROR(__xludf.DUMMYFUNCTION("""COMPUTED_VALUE"""),"Box Score")</f>
        <v>Box Score</v>
      </c>
      <c r="H4" s="1"/>
      <c r="I4" s="3">
        <f>IFERROR(__xludf.DUMMYFUNCTION("""COMPUTED_VALUE"""),17732.0)</f>
        <v>17732</v>
      </c>
      <c r="J4" s="1"/>
    </row>
    <row r="5" ht="15.75" customHeight="1">
      <c r="A5" s="2">
        <f>IFERROR(__xludf.DUMMYFUNCTION("""COMPUTED_VALUE"""),43556.0)</f>
        <v>43556</v>
      </c>
      <c r="B5" s="1" t="str">
        <f>IFERROR(__xludf.DUMMYFUNCTION("""COMPUTED_VALUE"""),"7:30p")</f>
        <v>7:30p</v>
      </c>
      <c r="C5" s="1" t="str">
        <f>IFERROR(__xludf.DUMMYFUNCTION("""COMPUTED_VALUE"""),"Chicago Bulls")</f>
        <v>Chicago Bulls</v>
      </c>
      <c r="D5" s="1">
        <f>IFERROR(__xludf.DUMMYFUNCTION("""COMPUTED_VALUE"""),105.0)</f>
        <v>105</v>
      </c>
      <c r="E5" s="1" t="str">
        <f>IFERROR(__xludf.DUMMYFUNCTION("""COMPUTED_VALUE"""),"New York Knicks")</f>
        <v>New York Knicks</v>
      </c>
      <c r="F5" s="1">
        <f>IFERROR(__xludf.DUMMYFUNCTION("""COMPUTED_VALUE"""),113.0)</f>
        <v>113</v>
      </c>
      <c r="G5" s="1" t="str">
        <f>IFERROR(__xludf.DUMMYFUNCTION("""COMPUTED_VALUE"""),"Box Score")</f>
        <v>Box Score</v>
      </c>
      <c r="H5" s="1"/>
      <c r="I5" s="3">
        <f>IFERROR(__xludf.DUMMYFUNCTION("""COMPUTED_VALUE"""),18874.0)</f>
        <v>18874</v>
      </c>
      <c r="J5" s="1"/>
    </row>
    <row r="6" ht="15.75" customHeight="1">
      <c r="A6" s="2">
        <f>IFERROR(__xludf.DUMMYFUNCTION("""COMPUTED_VALUE"""),43556.0)</f>
        <v>43556</v>
      </c>
      <c r="B6" s="1" t="str">
        <f>IFERROR(__xludf.DUMMYFUNCTION("""COMPUTED_VALUE"""),"7:30p")</f>
        <v>7:30p</v>
      </c>
      <c r="C6" s="1" t="str">
        <f>IFERROR(__xludf.DUMMYFUNCTION("""COMPUTED_VALUE"""),"Orlando Magic")</f>
        <v>Orlando Magic</v>
      </c>
      <c r="D6" s="1">
        <f>IFERROR(__xludf.DUMMYFUNCTION("""COMPUTED_VALUE"""),109.0)</f>
        <v>109</v>
      </c>
      <c r="E6" s="1" t="str">
        <f>IFERROR(__xludf.DUMMYFUNCTION("""COMPUTED_VALUE"""),"Toronto Raptors")</f>
        <v>Toronto Raptors</v>
      </c>
      <c r="F6" s="1">
        <f>IFERROR(__xludf.DUMMYFUNCTION("""COMPUTED_VALUE"""),121.0)</f>
        <v>121</v>
      </c>
      <c r="G6" s="1" t="str">
        <f>IFERROR(__xludf.DUMMYFUNCTION("""COMPUTED_VALUE"""),"Box Score")</f>
        <v>Box Score</v>
      </c>
      <c r="H6" s="1"/>
      <c r="I6" s="3">
        <f>IFERROR(__xludf.DUMMYFUNCTION("""COMPUTED_VALUE"""),19800.0)</f>
        <v>19800</v>
      </c>
      <c r="J6" s="1"/>
    </row>
    <row r="7" ht="15.75" customHeight="1">
      <c r="A7" s="2">
        <f>IFERROR(__xludf.DUMMYFUNCTION("""COMPUTED_VALUE"""),43556.0)</f>
        <v>43556</v>
      </c>
      <c r="B7" s="1" t="str">
        <f>IFERROR(__xludf.DUMMYFUNCTION("""COMPUTED_VALUE"""),"8:00p")</f>
        <v>8:00p</v>
      </c>
      <c r="C7" s="1" t="str">
        <f>IFERROR(__xludf.DUMMYFUNCTION("""COMPUTED_VALUE"""),"Portland Trail Blazers")</f>
        <v>Portland Trail Blazers</v>
      </c>
      <c r="D7" s="1">
        <f>IFERROR(__xludf.DUMMYFUNCTION("""COMPUTED_VALUE"""),132.0)</f>
        <v>132</v>
      </c>
      <c r="E7" s="1" t="str">
        <f>IFERROR(__xludf.DUMMYFUNCTION("""COMPUTED_VALUE"""),"Minnesota Timberwolves")</f>
        <v>Minnesota Timberwolves</v>
      </c>
      <c r="F7" s="1">
        <f>IFERROR(__xludf.DUMMYFUNCTION("""COMPUTED_VALUE"""),122.0)</f>
        <v>122</v>
      </c>
      <c r="G7" s="1" t="str">
        <f>IFERROR(__xludf.DUMMYFUNCTION("""COMPUTED_VALUE"""),"Box Score")</f>
        <v>Box Score</v>
      </c>
      <c r="H7" s="1"/>
      <c r="I7" s="3">
        <f>IFERROR(__xludf.DUMMYFUNCTION("""COMPUTED_VALUE"""),11209.0)</f>
        <v>11209</v>
      </c>
      <c r="J7" s="1"/>
    </row>
    <row r="8" ht="15.75" customHeight="1">
      <c r="A8" s="2">
        <f>IFERROR(__xludf.DUMMYFUNCTION("""COMPUTED_VALUE"""),43556.0)</f>
        <v>43556</v>
      </c>
      <c r="B8" s="1" t="str">
        <f>IFERROR(__xludf.DUMMYFUNCTION("""COMPUTED_VALUE"""),"8:30p")</f>
        <v>8:30p</v>
      </c>
      <c r="C8" s="1" t="str">
        <f>IFERROR(__xludf.DUMMYFUNCTION("""COMPUTED_VALUE"""),"Philadelphia 76ers")</f>
        <v>Philadelphia 76ers</v>
      </c>
      <c r="D8" s="1">
        <f>IFERROR(__xludf.DUMMYFUNCTION("""COMPUTED_VALUE"""),102.0)</f>
        <v>102</v>
      </c>
      <c r="E8" s="1" t="str">
        <f>IFERROR(__xludf.DUMMYFUNCTION("""COMPUTED_VALUE"""),"Dallas Mavericks")</f>
        <v>Dallas Mavericks</v>
      </c>
      <c r="F8" s="1">
        <f>IFERROR(__xludf.DUMMYFUNCTION("""COMPUTED_VALUE"""),122.0)</f>
        <v>122</v>
      </c>
      <c r="G8" s="1" t="str">
        <f>IFERROR(__xludf.DUMMYFUNCTION("""COMPUTED_VALUE"""),"Box Score")</f>
        <v>Box Score</v>
      </c>
      <c r="H8" s="1"/>
      <c r="I8" s="3">
        <f>IFERROR(__xludf.DUMMYFUNCTION("""COMPUTED_VALUE"""),19645.0)</f>
        <v>19645</v>
      </c>
      <c r="J8" s="1"/>
    </row>
    <row r="9" ht="15.75" customHeight="1">
      <c r="A9" s="2">
        <f>IFERROR(__xludf.DUMMYFUNCTION("""COMPUTED_VALUE"""),43556.0)</f>
        <v>43556</v>
      </c>
      <c r="B9" s="1" t="str">
        <f>IFERROR(__xludf.DUMMYFUNCTION("""COMPUTED_VALUE"""),"9:00p")</f>
        <v>9:00p</v>
      </c>
      <c r="C9" s="1" t="str">
        <f>IFERROR(__xludf.DUMMYFUNCTION("""COMPUTED_VALUE"""),"Charlotte Hornets")</f>
        <v>Charlotte Hornets</v>
      </c>
      <c r="D9" s="1">
        <f>IFERROR(__xludf.DUMMYFUNCTION("""COMPUTED_VALUE"""),102.0)</f>
        <v>102</v>
      </c>
      <c r="E9" s="1" t="str">
        <f>IFERROR(__xludf.DUMMYFUNCTION("""COMPUTED_VALUE"""),"Utah Jazz")</f>
        <v>Utah Jazz</v>
      </c>
      <c r="F9" s="1">
        <f>IFERROR(__xludf.DUMMYFUNCTION("""COMPUTED_VALUE"""),111.0)</f>
        <v>111</v>
      </c>
      <c r="G9" s="1" t="str">
        <f>IFERROR(__xludf.DUMMYFUNCTION("""COMPUTED_VALUE"""),"Box Score")</f>
        <v>Box Score</v>
      </c>
      <c r="H9" s="1"/>
      <c r="I9" s="3">
        <f>IFERROR(__xludf.DUMMYFUNCTION("""COMPUTED_VALUE"""),18306.0)</f>
        <v>18306</v>
      </c>
      <c r="J9" s="1"/>
    </row>
    <row r="10" ht="15.75" customHeight="1">
      <c r="A10" s="2">
        <f>IFERROR(__xludf.DUMMYFUNCTION("""COMPUTED_VALUE"""),43556.0)</f>
        <v>43556</v>
      </c>
      <c r="B10" s="1" t="str">
        <f>IFERROR(__xludf.DUMMYFUNCTION("""COMPUTED_VALUE"""),"10:00p")</f>
        <v>10:00p</v>
      </c>
      <c r="C10" s="1" t="str">
        <f>IFERROR(__xludf.DUMMYFUNCTION("""COMPUTED_VALUE"""),"Cleveland Cavaliers")</f>
        <v>Cleveland Cavaliers</v>
      </c>
      <c r="D10" s="1">
        <f>IFERROR(__xludf.DUMMYFUNCTION("""COMPUTED_VALUE"""),113.0)</f>
        <v>113</v>
      </c>
      <c r="E10" s="1" t="str">
        <f>IFERROR(__xludf.DUMMYFUNCTION("""COMPUTED_VALUE"""),"Phoenix Suns")</f>
        <v>Phoenix Suns</v>
      </c>
      <c r="F10" s="1">
        <f>IFERROR(__xludf.DUMMYFUNCTION("""COMPUTED_VALUE"""),122.0)</f>
        <v>122</v>
      </c>
      <c r="G10" s="1" t="str">
        <f>IFERROR(__xludf.DUMMYFUNCTION("""COMPUTED_VALUE"""),"Box Score")</f>
        <v>Box Score</v>
      </c>
      <c r="H10" s="1"/>
      <c r="I10" s="3">
        <f>IFERROR(__xludf.DUMMYFUNCTION("""COMPUTED_VALUE"""),14050.0)</f>
        <v>14050</v>
      </c>
      <c r="J10" s="1"/>
    </row>
    <row r="11" ht="15.75" customHeight="1">
      <c r="A11" s="2">
        <f>IFERROR(__xludf.DUMMYFUNCTION("""COMPUTED_VALUE"""),43557.0)</f>
        <v>43557</v>
      </c>
      <c r="B11" s="1" t="str">
        <f>IFERROR(__xludf.DUMMYFUNCTION("""COMPUTED_VALUE"""),"8:00p")</f>
        <v>8:00p</v>
      </c>
      <c r="C11" s="1" t="str">
        <f>IFERROR(__xludf.DUMMYFUNCTION("""COMPUTED_VALUE"""),"Los Angeles Lakers")</f>
        <v>Los Angeles Lakers</v>
      </c>
      <c r="D11" s="1">
        <f>IFERROR(__xludf.DUMMYFUNCTION("""COMPUTED_VALUE"""),103.0)</f>
        <v>103</v>
      </c>
      <c r="E11" s="1" t="str">
        <f>IFERROR(__xludf.DUMMYFUNCTION("""COMPUTED_VALUE"""),"Oklahoma City Thunder")</f>
        <v>Oklahoma City Thunder</v>
      </c>
      <c r="F11" s="1">
        <f>IFERROR(__xludf.DUMMYFUNCTION("""COMPUTED_VALUE"""),119.0)</f>
        <v>119</v>
      </c>
      <c r="G11" s="1" t="str">
        <f>IFERROR(__xludf.DUMMYFUNCTION("""COMPUTED_VALUE"""),"Box Score")</f>
        <v>Box Score</v>
      </c>
      <c r="H11" s="1"/>
      <c r="I11" s="3">
        <f>IFERROR(__xludf.DUMMYFUNCTION("""COMPUTED_VALUE"""),18203.0)</f>
        <v>18203</v>
      </c>
      <c r="J11" s="1"/>
    </row>
    <row r="12" ht="15.75" customHeight="1">
      <c r="A12" s="2">
        <f>IFERROR(__xludf.DUMMYFUNCTION("""COMPUTED_VALUE"""),43557.0)</f>
        <v>43557</v>
      </c>
      <c r="B12" s="1" t="str">
        <f>IFERROR(__xludf.DUMMYFUNCTION("""COMPUTED_VALUE"""),"8:30p")</f>
        <v>8:30p</v>
      </c>
      <c r="C12" s="1" t="str">
        <f>IFERROR(__xludf.DUMMYFUNCTION("""COMPUTED_VALUE"""),"Atlanta Hawks")</f>
        <v>Atlanta Hawks</v>
      </c>
      <c r="D12" s="1">
        <f>IFERROR(__xludf.DUMMYFUNCTION("""COMPUTED_VALUE"""),111.0)</f>
        <v>111</v>
      </c>
      <c r="E12" s="1" t="str">
        <f>IFERROR(__xludf.DUMMYFUNCTION("""COMPUTED_VALUE"""),"San Antonio Spurs")</f>
        <v>San Antonio Spurs</v>
      </c>
      <c r="F12" s="1">
        <f>IFERROR(__xludf.DUMMYFUNCTION("""COMPUTED_VALUE"""),117.0)</f>
        <v>117</v>
      </c>
      <c r="G12" s="1" t="str">
        <f>IFERROR(__xludf.DUMMYFUNCTION("""COMPUTED_VALUE"""),"Box Score")</f>
        <v>Box Score</v>
      </c>
      <c r="H12" s="1"/>
      <c r="I12" s="3">
        <f>IFERROR(__xludf.DUMMYFUNCTION("""COMPUTED_VALUE"""),18354.0)</f>
        <v>18354</v>
      </c>
      <c r="J12" s="1"/>
    </row>
    <row r="13" ht="15.75" customHeight="1">
      <c r="A13" s="2">
        <f>IFERROR(__xludf.DUMMYFUNCTION("""COMPUTED_VALUE"""),43557.0)</f>
        <v>43557</v>
      </c>
      <c r="B13" s="1" t="str">
        <f>IFERROR(__xludf.DUMMYFUNCTION("""COMPUTED_VALUE"""),"10:00p")</f>
        <v>10:00p</v>
      </c>
      <c r="C13" s="1" t="str">
        <f>IFERROR(__xludf.DUMMYFUNCTION("""COMPUTED_VALUE"""),"Houston Rockets")</f>
        <v>Houston Rockets</v>
      </c>
      <c r="D13" s="1">
        <f>IFERROR(__xludf.DUMMYFUNCTION("""COMPUTED_VALUE"""),130.0)</f>
        <v>130</v>
      </c>
      <c r="E13" s="1" t="str">
        <f>IFERROR(__xludf.DUMMYFUNCTION("""COMPUTED_VALUE"""),"Sacramento Kings")</f>
        <v>Sacramento Kings</v>
      </c>
      <c r="F13" s="1">
        <f>IFERROR(__xludf.DUMMYFUNCTION("""COMPUTED_VALUE"""),105.0)</f>
        <v>105</v>
      </c>
      <c r="G13" s="1" t="str">
        <f>IFERROR(__xludf.DUMMYFUNCTION("""COMPUTED_VALUE"""),"Box Score")</f>
        <v>Box Score</v>
      </c>
      <c r="H13" s="1"/>
      <c r="I13" s="3">
        <f>IFERROR(__xludf.DUMMYFUNCTION("""COMPUTED_VALUE"""),17583.0)</f>
        <v>17583</v>
      </c>
      <c r="J13" s="1"/>
    </row>
    <row r="14" ht="15.75" customHeight="1">
      <c r="A14" s="2">
        <f>IFERROR(__xludf.DUMMYFUNCTION("""COMPUTED_VALUE"""),43557.0)</f>
        <v>43557</v>
      </c>
      <c r="B14" s="1" t="str">
        <f>IFERROR(__xludf.DUMMYFUNCTION("""COMPUTED_VALUE"""),"10:30p")</f>
        <v>10:30p</v>
      </c>
      <c r="C14" s="1" t="str">
        <f>IFERROR(__xludf.DUMMYFUNCTION("""COMPUTED_VALUE"""),"Denver Nuggets")</f>
        <v>Denver Nuggets</v>
      </c>
      <c r="D14" s="1">
        <f>IFERROR(__xludf.DUMMYFUNCTION("""COMPUTED_VALUE"""),102.0)</f>
        <v>102</v>
      </c>
      <c r="E14" s="1" t="str">
        <f>IFERROR(__xludf.DUMMYFUNCTION("""COMPUTED_VALUE"""),"Golden State Warriors")</f>
        <v>Golden State Warriors</v>
      </c>
      <c r="F14" s="1">
        <f>IFERROR(__xludf.DUMMYFUNCTION("""COMPUTED_VALUE"""),116.0)</f>
        <v>116</v>
      </c>
      <c r="G14" s="1" t="str">
        <f>IFERROR(__xludf.DUMMYFUNCTION("""COMPUTED_VALUE"""),"Box Score")</f>
        <v>Box Score</v>
      </c>
      <c r="H14" s="1"/>
      <c r="I14" s="3">
        <f>IFERROR(__xludf.DUMMYFUNCTION("""COMPUTED_VALUE"""),19596.0)</f>
        <v>19596</v>
      </c>
      <c r="J14" s="1"/>
    </row>
    <row r="15" ht="15.75" customHeight="1">
      <c r="A15" s="2">
        <f>IFERROR(__xludf.DUMMYFUNCTION("""COMPUTED_VALUE"""),43558.0)</f>
        <v>43558</v>
      </c>
      <c r="B15" s="1" t="str">
        <f>IFERROR(__xludf.DUMMYFUNCTION("""COMPUTED_VALUE"""),"7:00p")</f>
        <v>7:00p</v>
      </c>
      <c r="C15" s="1" t="str">
        <f>IFERROR(__xludf.DUMMYFUNCTION("""COMPUTED_VALUE"""),"Indiana Pacers")</f>
        <v>Indiana Pacers</v>
      </c>
      <c r="D15" s="1">
        <f>IFERROR(__xludf.DUMMYFUNCTION("""COMPUTED_VALUE"""),108.0)</f>
        <v>108</v>
      </c>
      <c r="E15" s="1" t="str">
        <f>IFERROR(__xludf.DUMMYFUNCTION("""COMPUTED_VALUE"""),"Detroit Pistons")</f>
        <v>Detroit Pistons</v>
      </c>
      <c r="F15" s="1">
        <f>IFERROR(__xludf.DUMMYFUNCTION("""COMPUTED_VALUE"""),89.0)</f>
        <v>89</v>
      </c>
      <c r="G15" s="1" t="str">
        <f>IFERROR(__xludf.DUMMYFUNCTION("""COMPUTED_VALUE"""),"Box Score")</f>
        <v>Box Score</v>
      </c>
      <c r="H15" s="1"/>
      <c r="I15" s="3">
        <f>IFERROR(__xludf.DUMMYFUNCTION("""COMPUTED_VALUE"""),18984.0)</f>
        <v>18984</v>
      </c>
      <c r="J15" s="1"/>
    </row>
    <row r="16" ht="15.75" customHeight="1">
      <c r="A16" s="2">
        <f>IFERROR(__xludf.DUMMYFUNCTION("""COMPUTED_VALUE"""),43558.0)</f>
        <v>43558</v>
      </c>
      <c r="B16" s="1" t="str">
        <f>IFERROR(__xludf.DUMMYFUNCTION("""COMPUTED_VALUE"""),"7:00p")</f>
        <v>7:00p</v>
      </c>
      <c r="C16" s="1" t="str">
        <f>IFERROR(__xludf.DUMMYFUNCTION("""COMPUTED_VALUE"""),"New York Knicks")</f>
        <v>New York Knicks</v>
      </c>
      <c r="D16" s="1">
        <f>IFERROR(__xludf.DUMMYFUNCTION("""COMPUTED_VALUE"""),100.0)</f>
        <v>100</v>
      </c>
      <c r="E16" s="1" t="str">
        <f>IFERROR(__xludf.DUMMYFUNCTION("""COMPUTED_VALUE"""),"Orlando Magic")</f>
        <v>Orlando Magic</v>
      </c>
      <c r="F16" s="1">
        <f>IFERROR(__xludf.DUMMYFUNCTION("""COMPUTED_VALUE"""),114.0)</f>
        <v>114</v>
      </c>
      <c r="G16" s="1" t="str">
        <f>IFERROR(__xludf.DUMMYFUNCTION("""COMPUTED_VALUE"""),"Box Score")</f>
        <v>Box Score</v>
      </c>
      <c r="H16" s="1"/>
      <c r="I16" s="3">
        <f>IFERROR(__xludf.DUMMYFUNCTION("""COMPUTED_VALUE"""),18846.0)</f>
        <v>18846</v>
      </c>
      <c r="J16" s="1"/>
    </row>
    <row r="17" ht="15.75" customHeight="1">
      <c r="A17" s="2">
        <f>IFERROR(__xludf.DUMMYFUNCTION("""COMPUTED_VALUE"""),43558.0)</f>
        <v>43558</v>
      </c>
      <c r="B17" s="1" t="str">
        <f>IFERROR(__xludf.DUMMYFUNCTION("""COMPUTED_VALUE"""),"7:00p")</f>
        <v>7:00p</v>
      </c>
      <c r="C17" s="1" t="str">
        <f>IFERROR(__xludf.DUMMYFUNCTION("""COMPUTED_VALUE"""),"Chicago Bulls")</f>
        <v>Chicago Bulls</v>
      </c>
      <c r="D17" s="1">
        <f>IFERROR(__xludf.DUMMYFUNCTION("""COMPUTED_VALUE"""),115.0)</f>
        <v>115</v>
      </c>
      <c r="E17" s="1" t="str">
        <f>IFERROR(__xludf.DUMMYFUNCTION("""COMPUTED_VALUE"""),"Washington Wizards")</f>
        <v>Washington Wizards</v>
      </c>
      <c r="F17" s="1">
        <f>IFERROR(__xludf.DUMMYFUNCTION("""COMPUTED_VALUE"""),114.0)</f>
        <v>114</v>
      </c>
      <c r="G17" s="1" t="str">
        <f>IFERROR(__xludf.DUMMYFUNCTION("""COMPUTED_VALUE"""),"Box Score")</f>
        <v>Box Score</v>
      </c>
      <c r="H17" s="1"/>
      <c r="I17" s="3">
        <f>IFERROR(__xludf.DUMMYFUNCTION("""COMPUTED_VALUE"""),16616.0)</f>
        <v>16616</v>
      </c>
      <c r="J17" s="1"/>
    </row>
    <row r="18" ht="15.75" customHeight="1">
      <c r="A18" s="2">
        <f>IFERROR(__xludf.DUMMYFUNCTION("""COMPUTED_VALUE"""),43558.0)</f>
        <v>43558</v>
      </c>
      <c r="B18" s="1" t="str">
        <f>IFERROR(__xludf.DUMMYFUNCTION("""COMPUTED_VALUE"""),"7:30p")</f>
        <v>7:30p</v>
      </c>
      <c r="C18" s="1" t="str">
        <f>IFERROR(__xludf.DUMMYFUNCTION("""COMPUTED_VALUE"""),"Philadelphia 76ers")</f>
        <v>Philadelphia 76ers</v>
      </c>
      <c r="D18" s="1">
        <f>IFERROR(__xludf.DUMMYFUNCTION("""COMPUTED_VALUE"""),122.0)</f>
        <v>122</v>
      </c>
      <c r="E18" s="1" t="str">
        <f>IFERROR(__xludf.DUMMYFUNCTION("""COMPUTED_VALUE"""),"Atlanta Hawks")</f>
        <v>Atlanta Hawks</v>
      </c>
      <c r="F18" s="1">
        <f>IFERROR(__xludf.DUMMYFUNCTION("""COMPUTED_VALUE"""),130.0)</f>
        <v>130</v>
      </c>
      <c r="G18" s="1" t="str">
        <f>IFERROR(__xludf.DUMMYFUNCTION("""COMPUTED_VALUE"""),"Box Score")</f>
        <v>Box Score</v>
      </c>
      <c r="H18" s="1"/>
      <c r="I18" s="3">
        <f>IFERROR(__xludf.DUMMYFUNCTION("""COMPUTED_VALUE"""),16638.0)</f>
        <v>16638</v>
      </c>
      <c r="J18" s="1"/>
    </row>
    <row r="19" ht="15.75" customHeight="1">
      <c r="A19" s="2">
        <f>IFERROR(__xludf.DUMMYFUNCTION("""COMPUTED_VALUE"""),43558.0)</f>
        <v>43558</v>
      </c>
      <c r="B19" s="1" t="str">
        <f>IFERROR(__xludf.DUMMYFUNCTION("""COMPUTED_VALUE"""),"7:30p")</f>
        <v>7:30p</v>
      </c>
      <c r="C19" s="1" t="str">
        <f>IFERROR(__xludf.DUMMYFUNCTION("""COMPUTED_VALUE"""),"Toronto Raptors")</f>
        <v>Toronto Raptors</v>
      </c>
      <c r="D19" s="1">
        <f>IFERROR(__xludf.DUMMYFUNCTION("""COMPUTED_VALUE"""),115.0)</f>
        <v>115</v>
      </c>
      <c r="E19" s="1" t="str">
        <f>IFERROR(__xludf.DUMMYFUNCTION("""COMPUTED_VALUE"""),"Brooklyn Nets")</f>
        <v>Brooklyn Nets</v>
      </c>
      <c r="F19" s="1">
        <f>IFERROR(__xludf.DUMMYFUNCTION("""COMPUTED_VALUE"""),105.0)</f>
        <v>105</v>
      </c>
      <c r="G19" s="1" t="str">
        <f>IFERROR(__xludf.DUMMYFUNCTION("""COMPUTED_VALUE"""),"Box Score")</f>
        <v>Box Score</v>
      </c>
      <c r="H19" s="1"/>
      <c r="I19" s="3">
        <f>IFERROR(__xludf.DUMMYFUNCTION("""COMPUTED_VALUE"""),17732.0)</f>
        <v>17732</v>
      </c>
      <c r="J19" s="1"/>
    </row>
    <row r="20" ht="15.75" customHeight="1">
      <c r="A20" s="2">
        <f>IFERROR(__xludf.DUMMYFUNCTION("""COMPUTED_VALUE"""),43558.0)</f>
        <v>43558</v>
      </c>
      <c r="B20" s="1" t="str">
        <f>IFERROR(__xludf.DUMMYFUNCTION("""COMPUTED_VALUE"""),"7:30p")</f>
        <v>7:30p</v>
      </c>
      <c r="C20" s="1" t="str">
        <f>IFERROR(__xludf.DUMMYFUNCTION("""COMPUTED_VALUE"""),"Boston Celtics")</f>
        <v>Boston Celtics</v>
      </c>
      <c r="D20" s="1">
        <f>IFERROR(__xludf.DUMMYFUNCTION("""COMPUTED_VALUE"""),112.0)</f>
        <v>112</v>
      </c>
      <c r="E20" s="1" t="str">
        <f>IFERROR(__xludf.DUMMYFUNCTION("""COMPUTED_VALUE"""),"Miami Heat")</f>
        <v>Miami Heat</v>
      </c>
      <c r="F20" s="1">
        <f>IFERROR(__xludf.DUMMYFUNCTION("""COMPUTED_VALUE"""),102.0)</f>
        <v>102</v>
      </c>
      <c r="G20" s="1" t="str">
        <f>IFERROR(__xludf.DUMMYFUNCTION("""COMPUTED_VALUE"""),"Box Score")</f>
        <v>Box Score</v>
      </c>
      <c r="H20" s="1"/>
      <c r="I20" s="3">
        <f>IFERROR(__xludf.DUMMYFUNCTION("""COMPUTED_VALUE"""),19904.0)</f>
        <v>19904</v>
      </c>
      <c r="J20" s="1"/>
    </row>
    <row r="21" ht="15.75" customHeight="1">
      <c r="A21" s="2">
        <f>IFERROR(__xludf.DUMMYFUNCTION("""COMPUTED_VALUE"""),43558.0)</f>
        <v>43558</v>
      </c>
      <c r="B21" s="1" t="str">
        <f>IFERROR(__xludf.DUMMYFUNCTION("""COMPUTED_VALUE"""),"8:00p")</f>
        <v>8:00p</v>
      </c>
      <c r="C21" s="1" t="str">
        <f>IFERROR(__xludf.DUMMYFUNCTION("""COMPUTED_VALUE"""),"Charlotte Hornets")</f>
        <v>Charlotte Hornets</v>
      </c>
      <c r="D21" s="1">
        <f>IFERROR(__xludf.DUMMYFUNCTION("""COMPUTED_VALUE"""),115.0)</f>
        <v>115</v>
      </c>
      <c r="E21" s="1" t="str">
        <f>IFERROR(__xludf.DUMMYFUNCTION("""COMPUTED_VALUE"""),"New Orleans Pelicans")</f>
        <v>New Orleans Pelicans</v>
      </c>
      <c r="F21" s="1">
        <f>IFERROR(__xludf.DUMMYFUNCTION("""COMPUTED_VALUE"""),109.0)</f>
        <v>109</v>
      </c>
      <c r="G21" s="1" t="str">
        <f>IFERROR(__xludf.DUMMYFUNCTION("""COMPUTED_VALUE"""),"Box Score")</f>
        <v>Box Score</v>
      </c>
      <c r="H21" s="1"/>
      <c r="I21" s="3">
        <f>IFERROR(__xludf.DUMMYFUNCTION("""COMPUTED_VALUE"""),16844.0)</f>
        <v>16844</v>
      </c>
      <c r="J21" s="1"/>
    </row>
    <row r="22" ht="15.75" customHeight="1">
      <c r="A22" s="2">
        <f>IFERROR(__xludf.DUMMYFUNCTION("""COMPUTED_VALUE"""),43558.0)</f>
        <v>43558</v>
      </c>
      <c r="B22" s="1" t="str">
        <f>IFERROR(__xludf.DUMMYFUNCTION("""COMPUTED_VALUE"""),"8:30p")</f>
        <v>8:30p</v>
      </c>
      <c r="C22" s="1" t="str">
        <f>IFERROR(__xludf.DUMMYFUNCTION("""COMPUTED_VALUE"""),"Minnesota Timberwolves")</f>
        <v>Minnesota Timberwolves</v>
      </c>
      <c r="D22" s="1">
        <f>IFERROR(__xludf.DUMMYFUNCTION("""COMPUTED_VALUE"""),110.0)</f>
        <v>110</v>
      </c>
      <c r="E22" s="1" t="str">
        <f>IFERROR(__xludf.DUMMYFUNCTION("""COMPUTED_VALUE"""),"Dallas Mavericks")</f>
        <v>Dallas Mavericks</v>
      </c>
      <c r="F22" s="1">
        <f>IFERROR(__xludf.DUMMYFUNCTION("""COMPUTED_VALUE"""),108.0)</f>
        <v>108</v>
      </c>
      <c r="G22" s="1" t="str">
        <f>IFERROR(__xludf.DUMMYFUNCTION("""COMPUTED_VALUE"""),"Box Score")</f>
        <v>Box Score</v>
      </c>
      <c r="H22" s="1"/>
      <c r="I22" s="3">
        <f>IFERROR(__xludf.DUMMYFUNCTION("""COMPUTED_VALUE"""),19576.0)</f>
        <v>19576</v>
      </c>
      <c r="J22" s="1"/>
    </row>
    <row r="23" ht="15.75" customHeight="1">
      <c r="A23" s="2">
        <f>IFERROR(__xludf.DUMMYFUNCTION("""COMPUTED_VALUE"""),43558.0)</f>
        <v>43558</v>
      </c>
      <c r="B23" s="1" t="str">
        <f>IFERROR(__xludf.DUMMYFUNCTION("""COMPUTED_VALUE"""),"9:00p")</f>
        <v>9:00p</v>
      </c>
      <c r="C23" s="1" t="str">
        <f>IFERROR(__xludf.DUMMYFUNCTION("""COMPUTED_VALUE"""),"San Antonio Spurs")</f>
        <v>San Antonio Spurs</v>
      </c>
      <c r="D23" s="1">
        <f>IFERROR(__xludf.DUMMYFUNCTION("""COMPUTED_VALUE"""),85.0)</f>
        <v>85</v>
      </c>
      <c r="E23" s="1" t="str">
        <f>IFERROR(__xludf.DUMMYFUNCTION("""COMPUTED_VALUE"""),"Denver Nuggets")</f>
        <v>Denver Nuggets</v>
      </c>
      <c r="F23" s="1">
        <f>IFERROR(__xludf.DUMMYFUNCTION("""COMPUTED_VALUE"""),113.0)</f>
        <v>113</v>
      </c>
      <c r="G23" s="1" t="str">
        <f>IFERROR(__xludf.DUMMYFUNCTION("""COMPUTED_VALUE"""),"Box Score")</f>
        <v>Box Score</v>
      </c>
      <c r="H23" s="1"/>
      <c r="I23" s="3">
        <f>IFERROR(__xludf.DUMMYFUNCTION("""COMPUTED_VALUE"""),17643.0)</f>
        <v>17643</v>
      </c>
      <c r="J23" s="1"/>
    </row>
    <row r="24" ht="15.75" customHeight="1">
      <c r="A24" s="2">
        <f>IFERROR(__xludf.DUMMYFUNCTION("""COMPUTED_VALUE"""),43558.0)</f>
        <v>43558</v>
      </c>
      <c r="B24" s="1" t="str">
        <f>IFERROR(__xludf.DUMMYFUNCTION("""COMPUTED_VALUE"""),"10:00p")</f>
        <v>10:00p</v>
      </c>
      <c r="C24" s="1" t="str">
        <f>IFERROR(__xludf.DUMMYFUNCTION("""COMPUTED_VALUE"""),"Utah Jazz")</f>
        <v>Utah Jazz</v>
      </c>
      <c r="D24" s="1">
        <f>IFERROR(__xludf.DUMMYFUNCTION("""COMPUTED_VALUE"""),118.0)</f>
        <v>118</v>
      </c>
      <c r="E24" s="1" t="str">
        <f>IFERROR(__xludf.DUMMYFUNCTION("""COMPUTED_VALUE"""),"Phoenix Suns")</f>
        <v>Phoenix Suns</v>
      </c>
      <c r="F24" s="1">
        <f>IFERROR(__xludf.DUMMYFUNCTION("""COMPUTED_VALUE"""),97.0)</f>
        <v>97</v>
      </c>
      <c r="G24" s="1" t="str">
        <f>IFERROR(__xludf.DUMMYFUNCTION("""COMPUTED_VALUE"""),"Box Score")</f>
        <v>Box Score</v>
      </c>
      <c r="H24" s="1"/>
      <c r="I24" s="3">
        <f>IFERROR(__xludf.DUMMYFUNCTION("""COMPUTED_VALUE"""),15797.0)</f>
        <v>15797</v>
      </c>
      <c r="J24" s="1"/>
    </row>
    <row r="25" ht="15.75" customHeight="1">
      <c r="A25" s="2">
        <f>IFERROR(__xludf.DUMMYFUNCTION("""COMPUTED_VALUE"""),43558.0)</f>
        <v>43558</v>
      </c>
      <c r="B25" s="1" t="str">
        <f>IFERROR(__xludf.DUMMYFUNCTION("""COMPUTED_VALUE"""),"10:00p")</f>
        <v>10:00p</v>
      </c>
      <c r="C25" s="1" t="str">
        <f>IFERROR(__xludf.DUMMYFUNCTION("""COMPUTED_VALUE"""),"Memphis Grizzlies")</f>
        <v>Memphis Grizzlies</v>
      </c>
      <c r="D25" s="1">
        <f>IFERROR(__xludf.DUMMYFUNCTION("""COMPUTED_VALUE"""),89.0)</f>
        <v>89</v>
      </c>
      <c r="E25" s="1" t="str">
        <f>IFERROR(__xludf.DUMMYFUNCTION("""COMPUTED_VALUE"""),"Portland Trail Blazers")</f>
        <v>Portland Trail Blazers</v>
      </c>
      <c r="F25" s="1">
        <f>IFERROR(__xludf.DUMMYFUNCTION("""COMPUTED_VALUE"""),116.0)</f>
        <v>116</v>
      </c>
      <c r="G25" s="1" t="str">
        <f>IFERROR(__xludf.DUMMYFUNCTION("""COMPUTED_VALUE"""),"Box Score")</f>
        <v>Box Score</v>
      </c>
      <c r="H25" s="1"/>
      <c r="I25" s="3">
        <f>IFERROR(__xludf.DUMMYFUNCTION("""COMPUTED_VALUE"""),19608.0)</f>
        <v>19608</v>
      </c>
      <c r="J25" s="1"/>
    </row>
    <row r="26" ht="15.75" customHeight="1">
      <c r="A26" s="2">
        <f>IFERROR(__xludf.DUMMYFUNCTION("""COMPUTED_VALUE"""),43558.0)</f>
        <v>43558</v>
      </c>
      <c r="B26" s="1" t="str">
        <f>IFERROR(__xludf.DUMMYFUNCTION("""COMPUTED_VALUE"""),"10:30p")</f>
        <v>10:30p</v>
      </c>
      <c r="C26" s="1" t="str">
        <f>IFERROR(__xludf.DUMMYFUNCTION("""COMPUTED_VALUE"""),"Houston Rockets")</f>
        <v>Houston Rockets</v>
      </c>
      <c r="D26" s="1">
        <f>IFERROR(__xludf.DUMMYFUNCTION("""COMPUTED_VALUE"""),135.0)</f>
        <v>135</v>
      </c>
      <c r="E26" s="1" t="str">
        <f>IFERROR(__xludf.DUMMYFUNCTION("""COMPUTED_VALUE"""),"Los Angeles Clippers")</f>
        <v>Los Angeles Clippers</v>
      </c>
      <c r="F26" s="1">
        <f>IFERROR(__xludf.DUMMYFUNCTION("""COMPUTED_VALUE"""),103.0)</f>
        <v>103</v>
      </c>
      <c r="G26" s="1" t="str">
        <f>IFERROR(__xludf.DUMMYFUNCTION("""COMPUTED_VALUE"""),"Box Score")</f>
        <v>Box Score</v>
      </c>
      <c r="H26" s="1"/>
      <c r="I26" s="3">
        <f>IFERROR(__xludf.DUMMYFUNCTION("""COMPUTED_VALUE"""),17593.0)</f>
        <v>17593</v>
      </c>
      <c r="J26" s="1"/>
    </row>
    <row r="27" ht="15.75" customHeight="1">
      <c r="A27" s="2">
        <f>IFERROR(__xludf.DUMMYFUNCTION("""COMPUTED_VALUE"""),43559.0)</f>
        <v>43559</v>
      </c>
      <c r="B27" s="1" t="str">
        <f>IFERROR(__xludf.DUMMYFUNCTION("""COMPUTED_VALUE"""),"8:00p")</f>
        <v>8:00p</v>
      </c>
      <c r="C27" s="1" t="str">
        <f>IFERROR(__xludf.DUMMYFUNCTION("""COMPUTED_VALUE"""),"Milwaukee Bucks")</f>
        <v>Milwaukee Bucks</v>
      </c>
      <c r="D27" s="1">
        <f>IFERROR(__xludf.DUMMYFUNCTION("""COMPUTED_VALUE"""),128.0)</f>
        <v>128</v>
      </c>
      <c r="E27" s="1" t="str">
        <f>IFERROR(__xludf.DUMMYFUNCTION("""COMPUTED_VALUE"""),"Philadelphia 76ers")</f>
        <v>Philadelphia 76ers</v>
      </c>
      <c r="F27" s="1">
        <f>IFERROR(__xludf.DUMMYFUNCTION("""COMPUTED_VALUE"""),122.0)</f>
        <v>122</v>
      </c>
      <c r="G27" s="1" t="str">
        <f>IFERROR(__xludf.DUMMYFUNCTION("""COMPUTED_VALUE"""),"Box Score")</f>
        <v>Box Score</v>
      </c>
      <c r="H27" s="1"/>
      <c r="I27" s="3">
        <f>IFERROR(__xludf.DUMMYFUNCTION("""COMPUTED_VALUE"""),20701.0)</f>
        <v>20701</v>
      </c>
      <c r="J27" s="1"/>
    </row>
    <row r="28" ht="15.75" customHeight="1">
      <c r="A28" s="2">
        <f>IFERROR(__xludf.DUMMYFUNCTION("""COMPUTED_VALUE"""),43559.0)</f>
        <v>43559</v>
      </c>
      <c r="B28" s="1" t="str">
        <f>IFERROR(__xludf.DUMMYFUNCTION("""COMPUTED_VALUE"""),"10:00p")</f>
        <v>10:00p</v>
      </c>
      <c r="C28" s="1" t="str">
        <f>IFERROR(__xludf.DUMMYFUNCTION("""COMPUTED_VALUE"""),"Cleveland Cavaliers")</f>
        <v>Cleveland Cavaliers</v>
      </c>
      <c r="D28" s="1">
        <f>IFERROR(__xludf.DUMMYFUNCTION("""COMPUTED_VALUE"""),104.0)</f>
        <v>104</v>
      </c>
      <c r="E28" s="1" t="str">
        <f>IFERROR(__xludf.DUMMYFUNCTION("""COMPUTED_VALUE"""),"Sacramento Kings")</f>
        <v>Sacramento Kings</v>
      </c>
      <c r="F28" s="1">
        <f>IFERROR(__xludf.DUMMYFUNCTION("""COMPUTED_VALUE"""),117.0)</f>
        <v>117</v>
      </c>
      <c r="G28" s="1" t="str">
        <f>IFERROR(__xludf.DUMMYFUNCTION("""COMPUTED_VALUE"""),"Box Score")</f>
        <v>Box Score</v>
      </c>
      <c r="H28" s="1"/>
      <c r="I28" s="3">
        <f>IFERROR(__xludf.DUMMYFUNCTION("""COMPUTED_VALUE"""),17583.0)</f>
        <v>17583</v>
      </c>
      <c r="J28" s="1"/>
    </row>
    <row r="29" ht="15.75" customHeight="1">
      <c r="A29" s="2">
        <f>IFERROR(__xludf.DUMMYFUNCTION("""COMPUTED_VALUE"""),43559.0)</f>
        <v>43559</v>
      </c>
      <c r="B29" s="1" t="str">
        <f>IFERROR(__xludf.DUMMYFUNCTION("""COMPUTED_VALUE"""),"10:30p")</f>
        <v>10:30p</v>
      </c>
      <c r="C29" s="1" t="str">
        <f>IFERROR(__xludf.DUMMYFUNCTION("""COMPUTED_VALUE"""),"Golden State Warriors")</f>
        <v>Golden State Warriors</v>
      </c>
      <c r="D29" s="1">
        <f>IFERROR(__xludf.DUMMYFUNCTION("""COMPUTED_VALUE"""),108.0)</f>
        <v>108</v>
      </c>
      <c r="E29" s="1" t="str">
        <f>IFERROR(__xludf.DUMMYFUNCTION("""COMPUTED_VALUE"""),"Los Angeles Lakers")</f>
        <v>Los Angeles Lakers</v>
      </c>
      <c r="F29" s="1">
        <f>IFERROR(__xludf.DUMMYFUNCTION("""COMPUTED_VALUE"""),90.0)</f>
        <v>90</v>
      </c>
      <c r="G29" s="1" t="str">
        <f>IFERROR(__xludf.DUMMYFUNCTION("""COMPUTED_VALUE"""),"Box Score")</f>
        <v>Box Score</v>
      </c>
      <c r="H29" s="1"/>
      <c r="I29" s="3">
        <f>IFERROR(__xludf.DUMMYFUNCTION("""COMPUTED_VALUE"""),18997.0)</f>
        <v>18997</v>
      </c>
      <c r="J29" s="1"/>
    </row>
    <row r="30" ht="15.75" customHeight="1">
      <c r="A30" s="2">
        <f>IFERROR(__xludf.DUMMYFUNCTION("""COMPUTED_VALUE"""),43560.0)</f>
        <v>43560</v>
      </c>
      <c r="B30" s="1" t="str">
        <f>IFERROR(__xludf.DUMMYFUNCTION("""COMPUTED_VALUE"""),"7:00p")</f>
        <v>7:00p</v>
      </c>
      <c r="C30" s="1" t="str">
        <f>IFERROR(__xludf.DUMMYFUNCTION("""COMPUTED_VALUE"""),"Toronto Raptors")</f>
        <v>Toronto Raptors</v>
      </c>
      <c r="D30" s="1">
        <f>IFERROR(__xludf.DUMMYFUNCTION("""COMPUTED_VALUE"""),111.0)</f>
        <v>111</v>
      </c>
      <c r="E30" s="1" t="str">
        <f>IFERROR(__xludf.DUMMYFUNCTION("""COMPUTED_VALUE"""),"Charlotte Hornets")</f>
        <v>Charlotte Hornets</v>
      </c>
      <c r="F30" s="1">
        <f>IFERROR(__xludf.DUMMYFUNCTION("""COMPUTED_VALUE"""),113.0)</f>
        <v>113</v>
      </c>
      <c r="G30" s="1" t="str">
        <f>IFERROR(__xludf.DUMMYFUNCTION("""COMPUTED_VALUE"""),"Box Score")</f>
        <v>Box Score</v>
      </c>
      <c r="H30" s="1"/>
      <c r="I30" s="3">
        <f>IFERROR(__xludf.DUMMYFUNCTION("""COMPUTED_VALUE"""),18684.0)</f>
        <v>18684</v>
      </c>
      <c r="J30" s="1"/>
    </row>
    <row r="31" ht="15.75" customHeight="1">
      <c r="A31" s="2">
        <f>IFERROR(__xludf.DUMMYFUNCTION("""COMPUTED_VALUE"""),43560.0)</f>
        <v>43560</v>
      </c>
      <c r="B31" s="1" t="str">
        <f>IFERROR(__xludf.DUMMYFUNCTION("""COMPUTED_VALUE"""),"7:00p")</f>
        <v>7:00p</v>
      </c>
      <c r="C31" s="1" t="str">
        <f>IFERROR(__xludf.DUMMYFUNCTION("""COMPUTED_VALUE"""),"Atlanta Hawks")</f>
        <v>Atlanta Hawks</v>
      </c>
      <c r="D31" s="1">
        <f>IFERROR(__xludf.DUMMYFUNCTION("""COMPUTED_VALUE"""),113.0)</f>
        <v>113</v>
      </c>
      <c r="E31" s="1" t="str">
        <f>IFERROR(__xludf.DUMMYFUNCTION("""COMPUTED_VALUE"""),"Orlando Magic")</f>
        <v>Orlando Magic</v>
      </c>
      <c r="F31" s="1">
        <f>IFERROR(__xludf.DUMMYFUNCTION("""COMPUTED_VALUE"""),149.0)</f>
        <v>149</v>
      </c>
      <c r="G31" s="1" t="str">
        <f>IFERROR(__xludf.DUMMYFUNCTION("""COMPUTED_VALUE"""),"Box Score")</f>
        <v>Box Score</v>
      </c>
      <c r="H31" s="1"/>
      <c r="I31" s="3">
        <f>IFERROR(__xludf.DUMMYFUNCTION("""COMPUTED_VALUE"""),18999.0)</f>
        <v>18999</v>
      </c>
      <c r="J31" s="1"/>
    </row>
    <row r="32" ht="15.75" customHeight="1">
      <c r="A32" s="2">
        <f>IFERROR(__xludf.DUMMYFUNCTION("""COMPUTED_VALUE"""),43560.0)</f>
        <v>43560</v>
      </c>
      <c r="B32" s="1" t="str">
        <f>IFERROR(__xludf.DUMMYFUNCTION("""COMPUTED_VALUE"""),"7:00p")</f>
        <v>7:00p</v>
      </c>
      <c r="C32" s="1" t="str">
        <f>IFERROR(__xludf.DUMMYFUNCTION("""COMPUTED_VALUE"""),"San Antonio Spurs")</f>
        <v>San Antonio Spurs</v>
      </c>
      <c r="D32" s="1">
        <f>IFERROR(__xludf.DUMMYFUNCTION("""COMPUTED_VALUE"""),129.0)</f>
        <v>129</v>
      </c>
      <c r="E32" s="1" t="str">
        <f>IFERROR(__xludf.DUMMYFUNCTION("""COMPUTED_VALUE"""),"Washington Wizards")</f>
        <v>Washington Wizards</v>
      </c>
      <c r="F32" s="1">
        <f>IFERROR(__xludf.DUMMYFUNCTION("""COMPUTED_VALUE"""),112.0)</f>
        <v>112</v>
      </c>
      <c r="G32" s="1" t="str">
        <f>IFERROR(__xludf.DUMMYFUNCTION("""COMPUTED_VALUE"""),"Box Score")</f>
        <v>Box Score</v>
      </c>
      <c r="H32" s="1"/>
      <c r="I32" s="3">
        <f>IFERROR(__xludf.DUMMYFUNCTION("""COMPUTED_VALUE"""),20409.0)</f>
        <v>20409</v>
      </c>
      <c r="J32" s="1"/>
    </row>
    <row r="33" ht="15.75" customHeight="1">
      <c r="A33" s="2">
        <f>IFERROR(__xludf.DUMMYFUNCTION("""COMPUTED_VALUE"""),43560.0)</f>
        <v>43560</v>
      </c>
      <c r="B33" s="1" t="str">
        <f>IFERROR(__xludf.DUMMYFUNCTION("""COMPUTED_VALUE"""),"8:00p")</f>
        <v>8:00p</v>
      </c>
      <c r="C33" s="1" t="str">
        <f>IFERROR(__xludf.DUMMYFUNCTION("""COMPUTED_VALUE"""),"New York Knicks")</f>
        <v>New York Knicks</v>
      </c>
      <c r="D33" s="1">
        <f>IFERROR(__xludf.DUMMYFUNCTION("""COMPUTED_VALUE"""),96.0)</f>
        <v>96</v>
      </c>
      <c r="E33" s="1" t="str">
        <f>IFERROR(__xludf.DUMMYFUNCTION("""COMPUTED_VALUE"""),"Houston Rockets")</f>
        <v>Houston Rockets</v>
      </c>
      <c r="F33" s="1">
        <f>IFERROR(__xludf.DUMMYFUNCTION("""COMPUTED_VALUE"""),120.0)</f>
        <v>120</v>
      </c>
      <c r="G33" s="1" t="str">
        <f>IFERROR(__xludf.DUMMYFUNCTION("""COMPUTED_VALUE"""),"Box Score")</f>
        <v>Box Score</v>
      </c>
      <c r="H33" s="1"/>
      <c r="I33" s="3">
        <f>IFERROR(__xludf.DUMMYFUNCTION("""COMPUTED_VALUE"""),18055.0)</f>
        <v>18055</v>
      </c>
      <c r="J33" s="1"/>
    </row>
    <row r="34" ht="15.75" customHeight="1">
      <c r="A34" s="2">
        <f>IFERROR(__xludf.DUMMYFUNCTION("""COMPUTED_VALUE"""),43560.0)</f>
        <v>43560</v>
      </c>
      <c r="B34" s="1" t="str">
        <f>IFERROR(__xludf.DUMMYFUNCTION("""COMPUTED_VALUE"""),"8:00p")</f>
        <v>8:00p</v>
      </c>
      <c r="C34" s="1" t="str">
        <f>IFERROR(__xludf.DUMMYFUNCTION("""COMPUTED_VALUE"""),"Boston Celtics")</f>
        <v>Boston Celtics</v>
      </c>
      <c r="D34" s="1">
        <f>IFERROR(__xludf.DUMMYFUNCTION("""COMPUTED_VALUE"""),117.0)</f>
        <v>117</v>
      </c>
      <c r="E34" s="1" t="str">
        <f>IFERROR(__xludf.DUMMYFUNCTION("""COMPUTED_VALUE"""),"Indiana Pacers")</f>
        <v>Indiana Pacers</v>
      </c>
      <c r="F34" s="1">
        <f>IFERROR(__xludf.DUMMYFUNCTION("""COMPUTED_VALUE"""),97.0)</f>
        <v>97</v>
      </c>
      <c r="G34" s="1" t="str">
        <f>IFERROR(__xludf.DUMMYFUNCTION("""COMPUTED_VALUE"""),"Box Score")</f>
        <v>Box Score</v>
      </c>
      <c r="H34" s="1"/>
      <c r="I34" s="3">
        <f>IFERROR(__xludf.DUMMYFUNCTION("""COMPUTED_VALUE"""),17371.0)</f>
        <v>17371</v>
      </c>
      <c r="J34" s="1"/>
    </row>
    <row r="35" ht="15.75" customHeight="1">
      <c r="A35" s="2">
        <f>IFERROR(__xludf.DUMMYFUNCTION("""COMPUTED_VALUE"""),43560.0)</f>
        <v>43560</v>
      </c>
      <c r="B35" s="1" t="str">
        <f>IFERROR(__xludf.DUMMYFUNCTION("""COMPUTED_VALUE"""),"8:00p")</f>
        <v>8:00p</v>
      </c>
      <c r="C35" s="1" t="str">
        <f>IFERROR(__xludf.DUMMYFUNCTION("""COMPUTED_VALUE"""),"Miami Heat")</f>
        <v>Miami Heat</v>
      </c>
      <c r="D35" s="1">
        <f>IFERROR(__xludf.DUMMYFUNCTION("""COMPUTED_VALUE"""),109.0)</f>
        <v>109</v>
      </c>
      <c r="E35" s="1" t="str">
        <f>IFERROR(__xludf.DUMMYFUNCTION("""COMPUTED_VALUE"""),"Minnesota Timberwolves")</f>
        <v>Minnesota Timberwolves</v>
      </c>
      <c r="F35" s="1">
        <f>IFERROR(__xludf.DUMMYFUNCTION("""COMPUTED_VALUE"""),111.0)</f>
        <v>111</v>
      </c>
      <c r="G35" s="1" t="str">
        <f>IFERROR(__xludf.DUMMYFUNCTION("""COMPUTED_VALUE"""),"Box Score")</f>
        <v>Box Score</v>
      </c>
      <c r="H35" s="1"/>
      <c r="I35" s="3">
        <f>IFERROR(__xludf.DUMMYFUNCTION("""COMPUTED_VALUE"""),17763.0)</f>
        <v>17763</v>
      </c>
      <c r="J35" s="1"/>
    </row>
    <row r="36" ht="15.75" customHeight="1">
      <c r="A36" s="2">
        <f>IFERROR(__xludf.DUMMYFUNCTION("""COMPUTED_VALUE"""),43560.0)</f>
        <v>43560</v>
      </c>
      <c r="B36" s="1" t="str">
        <f>IFERROR(__xludf.DUMMYFUNCTION("""COMPUTED_VALUE"""),"8:00p")</f>
        <v>8:00p</v>
      </c>
      <c r="C36" s="1" t="str">
        <f>IFERROR(__xludf.DUMMYFUNCTION("""COMPUTED_VALUE"""),"Detroit Pistons")</f>
        <v>Detroit Pistons</v>
      </c>
      <c r="D36" s="1">
        <f>IFERROR(__xludf.DUMMYFUNCTION("""COMPUTED_VALUE"""),110.0)</f>
        <v>110</v>
      </c>
      <c r="E36" s="1" t="str">
        <f>IFERROR(__xludf.DUMMYFUNCTION("""COMPUTED_VALUE"""),"Oklahoma City Thunder")</f>
        <v>Oklahoma City Thunder</v>
      </c>
      <c r="F36" s="1">
        <f>IFERROR(__xludf.DUMMYFUNCTION("""COMPUTED_VALUE"""),123.0)</f>
        <v>123</v>
      </c>
      <c r="G36" s="1" t="str">
        <f>IFERROR(__xludf.DUMMYFUNCTION("""COMPUTED_VALUE"""),"Box Score")</f>
        <v>Box Score</v>
      </c>
      <c r="H36" s="1"/>
      <c r="I36" s="3">
        <f>IFERROR(__xludf.DUMMYFUNCTION("""COMPUTED_VALUE"""),18203.0)</f>
        <v>18203</v>
      </c>
      <c r="J36" s="1"/>
    </row>
    <row r="37" ht="15.75" customHeight="1">
      <c r="A37" s="2">
        <f>IFERROR(__xludf.DUMMYFUNCTION("""COMPUTED_VALUE"""),43560.0)</f>
        <v>43560</v>
      </c>
      <c r="B37" s="1" t="str">
        <f>IFERROR(__xludf.DUMMYFUNCTION("""COMPUTED_VALUE"""),"8:30p")</f>
        <v>8:30p</v>
      </c>
      <c r="C37" s="1" t="str">
        <f>IFERROR(__xludf.DUMMYFUNCTION("""COMPUTED_VALUE"""),"Memphis Grizzlies")</f>
        <v>Memphis Grizzlies</v>
      </c>
      <c r="D37" s="1">
        <f>IFERROR(__xludf.DUMMYFUNCTION("""COMPUTED_VALUE"""),122.0)</f>
        <v>122</v>
      </c>
      <c r="E37" s="1" t="str">
        <f>IFERROR(__xludf.DUMMYFUNCTION("""COMPUTED_VALUE"""),"Dallas Mavericks")</f>
        <v>Dallas Mavericks</v>
      </c>
      <c r="F37" s="1">
        <f>IFERROR(__xludf.DUMMYFUNCTION("""COMPUTED_VALUE"""),112.0)</f>
        <v>112</v>
      </c>
      <c r="G37" s="1" t="str">
        <f>IFERROR(__xludf.DUMMYFUNCTION("""COMPUTED_VALUE"""),"Box Score")</f>
        <v>Box Score</v>
      </c>
      <c r="H37" s="1"/>
      <c r="I37" s="3">
        <f>IFERROR(__xludf.DUMMYFUNCTION("""COMPUTED_VALUE"""),20111.0)</f>
        <v>20111</v>
      </c>
      <c r="J37" s="1"/>
    </row>
    <row r="38" ht="15.75" customHeight="1">
      <c r="A38" s="2">
        <f>IFERROR(__xludf.DUMMYFUNCTION("""COMPUTED_VALUE"""),43560.0)</f>
        <v>43560</v>
      </c>
      <c r="B38" s="1" t="str">
        <f>IFERROR(__xludf.DUMMYFUNCTION("""COMPUTED_VALUE"""),"9:00p")</f>
        <v>9:00p</v>
      </c>
      <c r="C38" s="1" t="str">
        <f>IFERROR(__xludf.DUMMYFUNCTION("""COMPUTED_VALUE"""),"Sacramento Kings")</f>
        <v>Sacramento Kings</v>
      </c>
      <c r="D38" s="1">
        <f>IFERROR(__xludf.DUMMYFUNCTION("""COMPUTED_VALUE"""),98.0)</f>
        <v>98</v>
      </c>
      <c r="E38" s="1" t="str">
        <f>IFERROR(__xludf.DUMMYFUNCTION("""COMPUTED_VALUE"""),"Utah Jazz")</f>
        <v>Utah Jazz</v>
      </c>
      <c r="F38" s="1">
        <f>IFERROR(__xludf.DUMMYFUNCTION("""COMPUTED_VALUE"""),119.0)</f>
        <v>119</v>
      </c>
      <c r="G38" s="1" t="str">
        <f>IFERROR(__xludf.DUMMYFUNCTION("""COMPUTED_VALUE"""),"Box Score")</f>
        <v>Box Score</v>
      </c>
      <c r="H38" s="1"/>
      <c r="I38" s="3">
        <f>IFERROR(__xludf.DUMMYFUNCTION("""COMPUTED_VALUE"""),18306.0)</f>
        <v>18306</v>
      </c>
      <c r="J38" s="1"/>
    </row>
    <row r="39" ht="15.75" customHeight="1">
      <c r="A39" s="2">
        <f>IFERROR(__xludf.DUMMYFUNCTION("""COMPUTED_VALUE"""),43560.0)</f>
        <v>43560</v>
      </c>
      <c r="B39" s="1" t="str">
        <f>IFERROR(__xludf.DUMMYFUNCTION("""COMPUTED_VALUE"""),"10:00p")</f>
        <v>10:00p</v>
      </c>
      <c r="C39" s="1" t="str">
        <f>IFERROR(__xludf.DUMMYFUNCTION("""COMPUTED_VALUE"""),"New Orleans Pelicans")</f>
        <v>New Orleans Pelicans</v>
      </c>
      <c r="D39" s="1">
        <f>IFERROR(__xludf.DUMMYFUNCTION("""COMPUTED_VALUE"""),126.0)</f>
        <v>126</v>
      </c>
      <c r="E39" s="1" t="str">
        <f>IFERROR(__xludf.DUMMYFUNCTION("""COMPUTED_VALUE"""),"Phoenix Suns")</f>
        <v>Phoenix Suns</v>
      </c>
      <c r="F39" s="1">
        <f>IFERROR(__xludf.DUMMYFUNCTION("""COMPUTED_VALUE"""),133.0)</f>
        <v>133</v>
      </c>
      <c r="G39" s="1" t="str">
        <f>IFERROR(__xludf.DUMMYFUNCTION("""COMPUTED_VALUE"""),"Box Score")</f>
        <v>Box Score</v>
      </c>
      <c r="H39" s="1" t="str">
        <f>IFERROR(__xludf.DUMMYFUNCTION("""COMPUTED_VALUE"""),"OT")</f>
        <v>OT</v>
      </c>
      <c r="I39" s="3">
        <f>IFERROR(__xludf.DUMMYFUNCTION("""COMPUTED_VALUE"""),16410.0)</f>
        <v>16410</v>
      </c>
      <c r="J39" s="1"/>
    </row>
    <row r="40" ht="15.75" customHeight="1">
      <c r="A40" s="2">
        <f>IFERROR(__xludf.DUMMYFUNCTION("""COMPUTED_VALUE"""),43560.0)</f>
        <v>43560</v>
      </c>
      <c r="B40" s="1" t="str">
        <f>IFERROR(__xludf.DUMMYFUNCTION("""COMPUTED_VALUE"""),"10:30p")</f>
        <v>10:30p</v>
      </c>
      <c r="C40" s="1" t="str">
        <f>IFERROR(__xludf.DUMMYFUNCTION("""COMPUTED_VALUE"""),"Portland Trail Blazers")</f>
        <v>Portland Trail Blazers</v>
      </c>
      <c r="D40" s="1">
        <f>IFERROR(__xludf.DUMMYFUNCTION("""COMPUTED_VALUE"""),110.0)</f>
        <v>110</v>
      </c>
      <c r="E40" s="1" t="str">
        <f>IFERROR(__xludf.DUMMYFUNCTION("""COMPUTED_VALUE"""),"Denver Nuggets")</f>
        <v>Denver Nuggets</v>
      </c>
      <c r="F40" s="1">
        <f>IFERROR(__xludf.DUMMYFUNCTION("""COMPUTED_VALUE"""),119.0)</f>
        <v>119</v>
      </c>
      <c r="G40" s="1" t="str">
        <f>IFERROR(__xludf.DUMMYFUNCTION("""COMPUTED_VALUE"""),"Box Score")</f>
        <v>Box Score</v>
      </c>
      <c r="H40" s="1"/>
      <c r="I40" s="3">
        <f>IFERROR(__xludf.DUMMYFUNCTION("""COMPUTED_VALUE"""),19928.0)</f>
        <v>19928</v>
      </c>
      <c r="J40" s="1"/>
    </row>
    <row r="41" ht="15.75" customHeight="1">
      <c r="A41" s="2">
        <f>IFERROR(__xludf.DUMMYFUNCTION("""COMPUTED_VALUE"""),43560.0)</f>
        <v>43560</v>
      </c>
      <c r="B41" s="1" t="str">
        <f>IFERROR(__xludf.DUMMYFUNCTION("""COMPUTED_VALUE"""),"10:30p")</f>
        <v>10:30p</v>
      </c>
      <c r="C41" s="1" t="str">
        <f>IFERROR(__xludf.DUMMYFUNCTION("""COMPUTED_VALUE"""),"Cleveland Cavaliers")</f>
        <v>Cleveland Cavaliers</v>
      </c>
      <c r="D41" s="1">
        <f>IFERROR(__xludf.DUMMYFUNCTION("""COMPUTED_VALUE"""),114.0)</f>
        <v>114</v>
      </c>
      <c r="E41" s="1" t="str">
        <f>IFERROR(__xludf.DUMMYFUNCTION("""COMPUTED_VALUE"""),"Golden State Warriors")</f>
        <v>Golden State Warriors</v>
      </c>
      <c r="F41" s="1">
        <f>IFERROR(__xludf.DUMMYFUNCTION("""COMPUTED_VALUE"""),120.0)</f>
        <v>120</v>
      </c>
      <c r="G41" s="1" t="str">
        <f>IFERROR(__xludf.DUMMYFUNCTION("""COMPUTED_VALUE"""),"Box Score")</f>
        <v>Box Score</v>
      </c>
      <c r="H41" s="1"/>
      <c r="I41" s="3">
        <f>IFERROR(__xludf.DUMMYFUNCTION("""COMPUTED_VALUE"""),19596.0)</f>
        <v>19596</v>
      </c>
      <c r="J41" s="1"/>
    </row>
    <row r="42" ht="15.75" customHeight="1">
      <c r="A42" s="2">
        <f>IFERROR(__xludf.DUMMYFUNCTION("""COMPUTED_VALUE"""),43560.0)</f>
        <v>43560</v>
      </c>
      <c r="B42" s="1" t="str">
        <f>IFERROR(__xludf.DUMMYFUNCTION("""COMPUTED_VALUE"""),"10:30p")</f>
        <v>10:30p</v>
      </c>
      <c r="C42" s="1" t="str">
        <f>IFERROR(__xludf.DUMMYFUNCTION("""COMPUTED_VALUE"""),"Los Angeles Lakers")</f>
        <v>Los Angeles Lakers</v>
      </c>
      <c r="D42" s="1">
        <f>IFERROR(__xludf.DUMMYFUNCTION("""COMPUTED_VALUE"""),122.0)</f>
        <v>122</v>
      </c>
      <c r="E42" s="1" t="str">
        <f>IFERROR(__xludf.DUMMYFUNCTION("""COMPUTED_VALUE"""),"Los Angeles Clippers")</f>
        <v>Los Angeles Clippers</v>
      </c>
      <c r="F42" s="1">
        <f>IFERROR(__xludf.DUMMYFUNCTION("""COMPUTED_VALUE"""),117.0)</f>
        <v>117</v>
      </c>
      <c r="G42" s="1" t="str">
        <f>IFERROR(__xludf.DUMMYFUNCTION("""COMPUTED_VALUE"""),"Box Score")</f>
        <v>Box Score</v>
      </c>
      <c r="H42" s="1"/>
      <c r="I42" s="3">
        <f>IFERROR(__xludf.DUMMYFUNCTION("""COMPUTED_VALUE"""),17910.0)</f>
        <v>17910</v>
      </c>
      <c r="J42" s="1"/>
    </row>
    <row r="43" ht="15.75" customHeight="1">
      <c r="A43" s="2">
        <f>IFERROR(__xludf.DUMMYFUNCTION("""COMPUTED_VALUE"""),43561.0)</f>
        <v>43561</v>
      </c>
      <c r="B43" s="1" t="str">
        <f>IFERROR(__xludf.DUMMYFUNCTION("""COMPUTED_VALUE"""),"5:00p")</f>
        <v>5:00p</v>
      </c>
      <c r="C43" s="1" t="str">
        <f>IFERROR(__xludf.DUMMYFUNCTION("""COMPUTED_VALUE"""),"Brooklyn Nets")</f>
        <v>Brooklyn Nets</v>
      </c>
      <c r="D43" s="1">
        <f>IFERROR(__xludf.DUMMYFUNCTION("""COMPUTED_VALUE"""),133.0)</f>
        <v>133</v>
      </c>
      <c r="E43" s="1" t="str">
        <f>IFERROR(__xludf.DUMMYFUNCTION("""COMPUTED_VALUE"""),"Milwaukee Bucks")</f>
        <v>Milwaukee Bucks</v>
      </c>
      <c r="F43" s="1">
        <f>IFERROR(__xludf.DUMMYFUNCTION("""COMPUTED_VALUE"""),128.0)</f>
        <v>128</v>
      </c>
      <c r="G43" s="1" t="str">
        <f>IFERROR(__xludf.DUMMYFUNCTION("""COMPUTED_VALUE"""),"Box Score")</f>
        <v>Box Score</v>
      </c>
      <c r="H43" s="1"/>
      <c r="I43" s="3">
        <f>IFERROR(__xludf.DUMMYFUNCTION("""COMPUTED_VALUE"""),18116.0)</f>
        <v>18116</v>
      </c>
      <c r="J43" s="1"/>
    </row>
    <row r="44" ht="15.75" customHeight="1">
      <c r="A44" s="2">
        <f>IFERROR(__xludf.DUMMYFUNCTION("""COMPUTED_VALUE"""),43561.0)</f>
        <v>43561</v>
      </c>
      <c r="B44" s="1" t="str">
        <f>IFERROR(__xludf.DUMMYFUNCTION("""COMPUTED_VALUE"""),"8:00p")</f>
        <v>8:00p</v>
      </c>
      <c r="C44" s="1" t="str">
        <f>IFERROR(__xludf.DUMMYFUNCTION("""COMPUTED_VALUE"""),"Philadelphia 76ers")</f>
        <v>Philadelphia 76ers</v>
      </c>
      <c r="D44" s="1">
        <f>IFERROR(__xludf.DUMMYFUNCTION("""COMPUTED_VALUE"""),116.0)</f>
        <v>116</v>
      </c>
      <c r="E44" s="1" t="str">
        <f>IFERROR(__xludf.DUMMYFUNCTION("""COMPUTED_VALUE"""),"Chicago Bulls")</f>
        <v>Chicago Bulls</v>
      </c>
      <c r="F44" s="1">
        <f>IFERROR(__xludf.DUMMYFUNCTION("""COMPUTED_VALUE"""),96.0)</f>
        <v>96</v>
      </c>
      <c r="G44" s="1" t="str">
        <f>IFERROR(__xludf.DUMMYFUNCTION("""COMPUTED_VALUE"""),"Box Score")</f>
        <v>Box Score</v>
      </c>
      <c r="H44" s="1"/>
      <c r="I44" s="3">
        <f>IFERROR(__xludf.DUMMYFUNCTION("""COMPUTED_VALUE"""),21059.0)</f>
        <v>21059</v>
      </c>
      <c r="J44" s="1"/>
    </row>
    <row r="45" ht="15.75" customHeight="1">
      <c r="A45" s="2">
        <f>IFERROR(__xludf.DUMMYFUNCTION("""COMPUTED_VALUE"""),43562.0)</f>
        <v>43562</v>
      </c>
      <c r="B45" s="1" t="str">
        <f>IFERROR(__xludf.DUMMYFUNCTION("""COMPUTED_VALUE"""),"12:00p")</f>
        <v>12:00p</v>
      </c>
      <c r="C45" s="1" t="str">
        <f>IFERROR(__xludf.DUMMYFUNCTION("""COMPUTED_VALUE"""),"Miami Heat")</f>
        <v>Miami Heat</v>
      </c>
      <c r="D45" s="1">
        <f>IFERROR(__xludf.DUMMYFUNCTION("""COMPUTED_VALUE"""),109.0)</f>
        <v>109</v>
      </c>
      <c r="E45" s="1" t="str">
        <f>IFERROR(__xludf.DUMMYFUNCTION("""COMPUTED_VALUE"""),"Toronto Raptors")</f>
        <v>Toronto Raptors</v>
      </c>
      <c r="F45" s="1">
        <f>IFERROR(__xludf.DUMMYFUNCTION("""COMPUTED_VALUE"""),117.0)</f>
        <v>117</v>
      </c>
      <c r="G45" s="1" t="str">
        <f>IFERROR(__xludf.DUMMYFUNCTION("""COMPUTED_VALUE"""),"Box Score")</f>
        <v>Box Score</v>
      </c>
      <c r="H45" s="1" t="str">
        <f>IFERROR(__xludf.DUMMYFUNCTION("""COMPUTED_VALUE"""),"OT")</f>
        <v>OT</v>
      </c>
      <c r="I45" s="3">
        <f>IFERROR(__xludf.DUMMYFUNCTION("""COMPUTED_VALUE"""),19800.0)</f>
        <v>19800</v>
      </c>
      <c r="J45" s="1"/>
    </row>
    <row r="46" ht="15.75" customHeight="1">
      <c r="A46" s="2">
        <f>IFERROR(__xludf.DUMMYFUNCTION("""COMPUTED_VALUE"""),43562.0)</f>
        <v>43562</v>
      </c>
      <c r="B46" s="1" t="str">
        <f>IFERROR(__xludf.DUMMYFUNCTION("""COMPUTED_VALUE"""),"3:00p")</f>
        <v>3:00p</v>
      </c>
      <c r="C46" s="1" t="str">
        <f>IFERROR(__xludf.DUMMYFUNCTION("""COMPUTED_VALUE"""),"San Antonio Spurs")</f>
        <v>San Antonio Spurs</v>
      </c>
      <c r="D46" s="1">
        <f>IFERROR(__xludf.DUMMYFUNCTION("""COMPUTED_VALUE"""),112.0)</f>
        <v>112</v>
      </c>
      <c r="E46" s="1" t="str">
        <f>IFERROR(__xludf.DUMMYFUNCTION("""COMPUTED_VALUE"""),"Cleveland Cavaliers")</f>
        <v>Cleveland Cavaliers</v>
      </c>
      <c r="F46" s="1">
        <f>IFERROR(__xludf.DUMMYFUNCTION("""COMPUTED_VALUE"""),90.0)</f>
        <v>90</v>
      </c>
      <c r="G46" s="1" t="str">
        <f>IFERROR(__xludf.DUMMYFUNCTION("""COMPUTED_VALUE"""),"Box Score")</f>
        <v>Box Score</v>
      </c>
      <c r="H46" s="1"/>
      <c r="I46" s="3">
        <f>IFERROR(__xludf.DUMMYFUNCTION("""COMPUTED_VALUE"""),19432.0)</f>
        <v>19432</v>
      </c>
      <c r="J46" s="1"/>
    </row>
    <row r="47" ht="15.75" customHeight="1">
      <c r="A47" s="2">
        <f>IFERROR(__xludf.DUMMYFUNCTION("""COMPUTED_VALUE"""),43562.0)</f>
        <v>43562</v>
      </c>
      <c r="B47" s="1" t="str">
        <f>IFERROR(__xludf.DUMMYFUNCTION("""COMPUTED_VALUE"""),"3:30p")</f>
        <v>3:30p</v>
      </c>
      <c r="C47" s="1" t="str">
        <f>IFERROR(__xludf.DUMMYFUNCTION("""COMPUTED_VALUE"""),"Oklahoma City Thunder")</f>
        <v>Oklahoma City Thunder</v>
      </c>
      <c r="D47" s="1">
        <f>IFERROR(__xludf.DUMMYFUNCTION("""COMPUTED_VALUE"""),132.0)</f>
        <v>132</v>
      </c>
      <c r="E47" s="1" t="str">
        <f>IFERROR(__xludf.DUMMYFUNCTION("""COMPUTED_VALUE"""),"Minnesota Timberwolves")</f>
        <v>Minnesota Timberwolves</v>
      </c>
      <c r="F47" s="1">
        <f>IFERROR(__xludf.DUMMYFUNCTION("""COMPUTED_VALUE"""),126.0)</f>
        <v>126</v>
      </c>
      <c r="G47" s="1" t="str">
        <f>IFERROR(__xludf.DUMMYFUNCTION("""COMPUTED_VALUE"""),"Box Score")</f>
        <v>Box Score</v>
      </c>
      <c r="H47" s="1"/>
      <c r="I47" s="3">
        <f>IFERROR(__xludf.DUMMYFUNCTION("""COMPUTED_VALUE"""),18978.0)</f>
        <v>18978</v>
      </c>
      <c r="J47" s="1"/>
    </row>
    <row r="48" ht="15.75" customHeight="1">
      <c r="A48" s="2">
        <f>IFERROR(__xludf.DUMMYFUNCTION("""COMPUTED_VALUE"""),43562.0)</f>
        <v>43562</v>
      </c>
      <c r="B48" s="1" t="str">
        <f>IFERROR(__xludf.DUMMYFUNCTION("""COMPUTED_VALUE"""),"4:00p")</f>
        <v>4:00p</v>
      </c>
      <c r="C48" s="1" t="str">
        <f>IFERROR(__xludf.DUMMYFUNCTION("""COMPUTED_VALUE"""),"Charlotte Hornets")</f>
        <v>Charlotte Hornets</v>
      </c>
      <c r="D48" s="1">
        <f>IFERROR(__xludf.DUMMYFUNCTION("""COMPUTED_VALUE"""),104.0)</f>
        <v>104</v>
      </c>
      <c r="E48" s="1" t="str">
        <f>IFERROR(__xludf.DUMMYFUNCTION("""COMPUTED_VALUE"""),"Detroit Pistons")</f>
        <v>Detroit Pistons</v>
      </c>
      <c r="F48" s="1">
        <f>IFERROR(__xludf.DUMMYFUNCTION("""COMPUTED_VALUE"""),91.0)</f>
        <v>91</v>
      </c>
      <c r="G48" s="1" t="str">
        <f>IFERROR(__xludf.DUMMYFUNCTION("""COMPUTED_VALUE"""),"Box Score")</f>
        <v>Box Score</v>
      </c>
      <c r="H48" s="1"/>
      <c r="I48" s="3">
        <f>IFERROR(__xludf.DUMMYFUNCTION("""COMPUTED_VALUE"""),19871.0)</f>
        <v>19871</v>
      </c>
      <c r="J48" s="1"/>
    </row>
    <row r="49" ht="15.75" customHeight="1">
      <c r="A49" s="2">
        <f>IFERROR(__xludf.DUMMYFUNCTION("""COMPUTED_VALUE"""),43562.0)</f>
        <v>43562</v>
      </c>
      <c r="B49" s="1" t="str">
        <f>IFERROR(__xludf.DUMMYFUNCTION("""COMPUTED_VALUE"""),"5:00p")</f>
        <v>5:00p</v>
      </c>
      <c r="C49" s="1" t="str">
        <f>IFERROR(__xludf.DUMMYFUNCTION("""COMPUTED_VALUE"""),"Brooklyn Nets")</f>
        <v>Brooklyn Nets</v>
      </c>
      <c r="D49" s="1">
        <f>IFERROR(__xludf.DUMMYFUNCTION("""COMPUTED_VALUE"""),108.0)</f>
        <v>108</v>
      </c>
      <c r="E49" s="1" t="str">
        <f>IFERROR(__xludf.DUMMYFUNCTION("""COMPUTED_VALUE"""),"Indiana Pacers")</f>
        <v>Indiana Pacers</v>
      </c>
      <c r="F49" s="1">
        <f>IFERROR(__xludf.DUMMYFUNCTION("""COMPUTED_VALUE"""),96.0)</f>
        <v>96</v>
      </c>
      <c r="G49" s="1" t="str">
        <f>IFERROR(__xludf.DUMMYFUNCTION("""COMPUTED_VALUE"""),"Box Score")</f>
        <v>Box Score</v>
      </c>
      <c r="H49" s="1"/>
      <c r="I49" s="3">
        <f>IFERROR(__xludf.DUMMYFUNCTION("""COMPUTED_VALUE"""),16197.0)</f>
        <v>16197</v>
      </c>
      <c r="J49" s="1"/>
    </row>
    <row r="50" ht="15.75" customHeight="1">
      <c r="A50" s="2">
        <f>IFERROR(__xludf.DUMMYFUNCTION("""COMPUTED_VALUE"""),43562.0)</f>
        <v>43562</v>
      </c>
      <c r="B50" s="1" t="str">
        <f>IFERROR(__xludf.DUMMYFUNCTION("""COMPUTED_VALUE"""),"6:00p")</f>
        <v>6:00p</v>
      </c>
      <c r="C50" s="1" t="str">
        <f>IFERROR(__xludf.DUMMYFUNCTION("""COMPUTED_VALUE"""),"Dallas Mavericks")</f>
        <v>Dallas Mavericks</v>
      </c>
      <c r="D50" s="1">
        <f>IFERROR(__xludf.DUMMYFUNCTION("""COMPUTED_VALUE"""),129.0)</f>
        <v>129</v>
      </c>
      <c r="E50" s="1" t="str">
        <f>IFERROR(__xludf.DUMMYFUNCTION("""COMPUTED_VALUE"""),"Memphis Grizzlies")</f>
        <v>Memphis Grizzlies</v>
      </c>
      <c r="F50" s="1">
        <f>IFERROR(__xludf.DUMMYFUNCTION("""COMPUTED_VALUE"""),127.0)</f>
        <v>127</v>
      </c>
      <c r="G50" s="1" t="str">
        <f>IFERROR(__xludf.DUMMYFUNCTION("""COMPUTED_VALUE"""),"Box Score")</f>
        <v>Box Score</v>
      </c>
      <c r="H50" s="1" t="str">
        <f>IFERROR(__xludf.DUMMYFUNCTION("""COMPUTED_VALUE"""),"OT")</f>
        <v>OT</v>
      </c>
      <c r="I50" s="3">
        <f>IFERROR(__xludf.DUMMYFUNCTION("""COMPUTED_VALUE"""),16744.0)</f>
        <v>16744</v>
      </c>
      <c r="J50" s="1"/>
    </row>
    <row r="51" ht="15.75" customHeight="1">
      <c r="A51" s="2">
        <f>IFERROR(__xludf.DUMMYFUNCTION("""COMPUTED_VALUE"""),43562.0)</f>
        <v>43562</v>
      </c>
      <c r="B51" s="1" t="str">
        <f>IFERROR(__xludf.DUMMYFUNCTION("""COMPUTED_VALUE"""),"7:00p")</f>
        <v>7:00p</v>
      </c>
      <c r="C51" s="1" t="str">
        <f>IFERROR(__xludf.DUMMYFUNCTION("""COMPUTED_VALUE"""),"Phoenix Suns")</f>
        <v>Phoenix Suns</v>
      </c>
      <c r="D51" s="1">
        <f>IFERROR(__xludf.DUMMYFUNCTION("""COMPUTED_VALUE"""),113.0)</f>
        <v>113</v>
      </c>
      <c r="E51" s="1" t="str">
        <f>IFERROR(__xludf.DUMMYFUNCTION("""COMPUTED_VALUE"""),"Houston Rockets")</f>
        <v>Houston Rockets</v>
      </c>
      <c r="F51" s="1">
        <f>IFERROR(__xludf.DUMMYFUNCTION("""COMPUTED_VALUE"""),149.0)</f>
        <v>149</v>
      </c>
      <c r="G51" s="1" t="str">
        <f>IFERROR(__xludf.DUMMYFUNCTION("""COMPUTED_VALUE"""),"Box Score")</f>
        <v>Box Score</v>
      </c>
      <c r="H51" s="1"/>
      <c r="I51" s="3">
        <f>IFERROR(__xludf.DUMMYFUNCTION("""COMPUTED_VALUE"""),18055.0)</f>
        <v>18055</v>
      </c>
      <c r="J51" s="1"/>
    </row>
    <row r="52" ht="15.75" customHeight="1">
      <c r="A52" s="2">
        <f>IFERROR(__xludf.DUMMYFUNCTION("""COMPUTED_VALUE"""),43562.0)</f>
        <v>43562</v>
      </c>
      <c r="B52" s="1" t="str">
        <f>IFERROR(__xludf.DUMMYFUNCTION("""COMPUTED_VALUE"""),"7:00p")</f>
        <v>7:00p</v>
      </c>
      <c r="C52" s="1" t="str">
        <f>IFERROR(__xludf.DUMMYFUNCTION("""COMPUTED_VALUE"""),"Atlanta Hawks")</f>
        <v>Atlanta Hawks</v>
      </c>
      <c r="D52" s="1">
        <f>IFERROR(__xludf.DUMMYFUNCTION("""COMPUTED_VALUE"""),107.0)</f>
        <v>107</v>
      </c>
      <c r="E52" s="1" t="str">
        <f>IFERROR(__xludf.DUMMYFUNCTION("""COMPUTED_VALUE"""),"Milwaukee Bucks")</f>
        <v>Milwaukee Bucks</v>
      </c>
      <c r="F52" s="1">
        <f>IFERROR(__xludf.DUMMYFUNCTION("""COMPUTED_VALUE"""),115.0)</f>
        <v>115</v>
      </c>
      <c r="G52" s="1" t="str">
        <f>IFERROR(__xludf.DUMMYFUNCTION("""COMPUTED_VALUE"""),"Box Score")</f>
        <v>Box Score</v>
      </c>
      <c r="H52" s="1"/>
      <c r="I52" s="3">
        <f>IFERROR(__xludf.DUMMYFUNCTION("""COMPUTED_VALUE"""),17775.0)</f>
        <v>17775</v>
      </c>
      <c r="J52" s="1"/>
    </row>
    <row r="53" ht="15.75" customHeight="1">
      <c r="A53" s="2">
        <f>IFERROR(__xludf.DUMMYFUNCTION("""COMPUTED_VALUE"""),43562.0)</f>
        <v>43562</v>
      </c>
      <c r="B53" s="1" t="str">
        <f>IFERROR(__xludf.DUMMYFUNCTION("""COMPUTED_VALUE"""),"7:30p")</f>
        <v>7:30p</v>
      </c>
      <c r="C53" s="1" t="str">
        <f>IFERROR(__xludf.DUMMYFUNCTION("""COMPUTED_VALUE"""),"Orlando Magic")</f>
        <v>Orlando Magic</v>
      </c>
      <c r="D53" s="1">
        <f>IFERROR(__xludf.DUMMYFUNCTION("""COMPUTED_VALUE"""),116.0)</f>
        <v>116</v>
      </c>
      <c r="E53" s="1" t="str">
        <f>IFERROR(__xludf.DUMMYFUNCTION("""COMPUTED_VALUE"""),"Boston Celtics")</f>
        <v>Boston Celtics</v>
      </c>
      <c r="F53" s="1">
        <f>IFERROR(__xludf.DUMMYFUNCTION("""COMPUTED_VALUE"""),108.0)</f>
        <v>108</v>
      </c>
      <c r="G53" s="1" t="str">
        <f>IFERROR(__xludf.DUMMYFUNCTION("""COMPUTED_VALUE"""),"Box Score")</f>
        <v>Box Score</v>
      </c>
      <c r="H53" s="1"/>
      <c r="I53" s="3">
        <f>IFERROR(__xludf.DUMMYFUNCTION("""COMPUTED_VALUE"""),18624.0)</f>
        <v>18624</v>
      </c>
      <c r="J53" s="1"/>
    </row>
    <row r="54" ht="15.75" customHeight="1">
      <c r="A54" s="2">
        <f>IFERROR(__xludf.DUMMYFUNCTION("""COMPUTED_VALUE"""),43562.0)</f>
        <v>43562</v>
      </c>
      <c r="B54" s="1" t="str">
        <f>IFERROR(__xludf.DUMMYFUNCTION("""COMPUTED_VALUE"""),"7:30p")</f>
        <v>7:30p</v>
      </c>
      <c r="C54" s="1" t="str">
        <f>IFERROR(__xludf.DUMMYFUNCTION("""COMPUTED_VALUE"""),"Washington Wizards")</f>
        <v>Washington Wizards</v>
      </c>
      <c r="D54" s="1">
        <f>IFERROR(__xludf.DUMMYFUNCTION("""COMPUTED_VALUE"""),110.0)</f>
        <v>110</v>
      </c>
      <c r="E54" s="1" t="str">
        <f>IFERROR(__xludf.DUMMYFUNCTION("""COMPUTED_VALUE"""),"New York Knicks")</f>
        <v>New York Knicks</v>
      </c>
      <c r="F54" s="1">
        <f>IFERROR(__xludf.DUMMYFUNCTION("""COMPUTED_VALUE"""),113.0)</f>
        <v>113</v>
      </c>
      <c r="G54" s="1" t="str">
        <f>IFERROR(__xludf.DUMMYFUNCTION("""COMPUTED_VALUE"""),"Box Score")</f>
        <v>Box Score</v>
      </c>
      <c r="H54" s="1"/>
      <c r="I54" s="3">
        <f>IFERROR(__xludf.DUMMYFUNCTION("""COMPUTED_VALUE"""),19812.0)</f>
        <v>19812</v>
      </c>
      <c r="J54" s="1"/>
    </row>
    <row r="55" ht="15.75" customHeight="1">
      <c r="A55" s="2">
        <f>IFERROR(__xludf.DUMMYFUNCTION("""COMPUTED_VALUE"""),43562.0)</f>
        <v>43562</v>
      </c>
      <c r="B55" s="1" t="str">
        <f>IFERROR(__xludf.DUMMYFUNCTION("""COMPUTED_VALUE"""),"8:30p")</f>
        <v>8:30p</v>
      </c>
      <c r="C55" s="1" t="str">
        <f>IFERROR(__xludf.DUMMYFUNCTION("""COMPUTED_VALUE"""),"Los Angeles Clippers")</f>
        <v>Los Angeles Clippers</v>
      </c>
      <c r="D55" s="1">
        <f>IFERROR(__xludf.DUMMYFUNCTION("""COMPUTED_VALUE"""),104.0)</f>
        <v>104</v>
      </c>
      <c r="E55" s="1" t="str">
        <f>IFERROR(__xludf.DUMMYFUNCTION("""COMPUTED_VALUE"""),"Golden State Warriors")</f>
        <v>Golden State Warriors</v>
      </c>
      <c r="F55" s="1">
        <f>IFERROR(__xludf.DUMMYFUNCTION("""COMPUTED_VALUE"""),131.0)</f>
        <v>131</v>
      </c>
      <c r="G55" s="1" t="str">
        <f>IFERROR(__xludf.DUMMYFUNCTION("""COMPUTED_VALUE"""),"Box Score")</f>
        <v>Box Score</v>
      </c>
      <c r="H55" s="1"/>
      <c r="I55" s="3">
        <f>IFERROR(__xludf.DUMMYFUNCTION("""COMPUTED_VALUE"""),19596.0)</f>
        <v>19596</v>
      </c>
      <c r="J55" s="1"/>
    </row>
    <row r="56" ht="15.75" customHeight="1">
      <c r="A56" s="2">
        <f>IFERROR(__xludf.DUMMYFUNCTION("""COMPUTED_VALUE"""),43562.0)</f>
        <v>43562</v>
      </c>
      <c r="B56" s="1" t="str">
        <f>IFERROR(__xludf.DUMMYFUNCTION("""COMPUTED_VALUE"""),"9:00p")</f>
        <v>9:00p</v>
      </c>
      <c r="C56" s="1" t="str">
        <f>IFERROR(__xludf.DUMMYFUNCTION("""COMPUTED_VALUE"""),"Denver Nuggets")</f>
        <v>Denver Nuggets</v>
      </c>
      <c r="D56" s="1">
        <f>IFERROR(__xludf.DUMMYFUNCTION("""COMPUTED_VALUE"""),108.0)</f>
        <v>108</v>
      </c>
      <c r="E56" s="1" t="str">
        <f>IFERROR(__xludf.DUMMYFUNCTION("""COMPUTED_VALUE"""),"Portland Trail Blazers")</f>
        <v>Portland Trail Blazers</v>
      </c>
      <c r="F56" s="1">
        <f>IFERROR(__xludf.DUMMYFUNCTION("""COMPUTED_VALUE"""),115.0)</f>
        <v>115</v>
      </c>
      <c r="G56" s="1" t="str">
        <f>IFERROR(__xludf.DUMMYFUNCTION("""COMPUTED_VALUE"""),"Box Score")</f>
        <v>Box Score</v>
      </c>
      <c r="H56" s="1"/>
      <c r="I56" s="3">
        <f>IFERROR(__xludf.DUMMYFUNCTION("""COMPUTED_VALUE"""),19890.0)</f>
        <v>19890</v>
      </c>
      <c r="J56" s="1"/>
    </row>
    <row r="57" ht="15.75" customHeight="1">
      <c r="A57" s="2">
        <f>IFERROR(__xludf.DUMMYFUNCTION("""COMPUTED_VALUE"""),43562.0)</f>
        <v>43562</v>
      </c>
      <c r="B57" s="1" t="str">
        <f>IFERROR(__xludf.DUMMYFUNCTION("""COMPUTED_VALUE"""),"9:00p")</f>
        <v>9:00p</v>
      </c>
      <c r="C57" s="1" t="str">
        <f>IFERROR(__xludf.DUMMYFUNCTION("""COMPUTED_VALUE"""),"New Orleans Pelicans")</f>
        <v>New Orleans Pelicans</v>
      </c>
      <c r="D57" s="1">
        <f>IFERROR(__xludf.DUMMYFUNCTION("""COMPUTED_VALUE"""),133.0)</f>
        <v>133</v>
      </c>
      <c r="E57" s="1" t="str">
        <f>IFERROR(__xludf.DUMMYFUNCTION("""COMPUTED_VALUE"""),"Sacramento Kings")</f>
        <v>Sacramento Kings</v>
      </c>
      <c r="F57" s="1">
        <f>IFERROR(__xludf.DUMMYFUNCTION("""COMPUTED_VALUE"""),129.0)</f>
        <v>129</v>
      </c>
      <c r="G57" s="1" t="str">
        <f>IFERROR(__xludf.DUMMYFUNCTION("""COMPUTED_VALUE"""),"Box Score")</f>
        <v>Box Score</v>
      </c>
      <c r="H57" s="1"/>
      <c r="I57" s="3">
        <f>IFERROR(__xludf.DUMMYFUNCTION("""COMPUTED_VALUE"""),17583.0)</f>
        <v>17583</v>
      </c>
      <c r="J57" s="1"/>
    </row>
    <row r="58" ht="15.75" customHeight="1">
      <c r="A58" s="2">
        <f>IFERROR(__xludf.DUMMYFUNCTION("""COMPUTED_VALUE"""),43562.0)</f>
        <v>43562</v>
      </c>
      <c r="B58" s="1" t="str">
        <f>IFERROR(__xludf.DUMMYFUNCTION("""COMPUTED_VALUE"""),"9:30p")</f>
        <v>9:30p</v>
      </c>
      <c r="C58" s="1" t="str">
        <f>IFERROR(__xludf.DUMMYFUNCTION("""COMPUTED_VALUE"""),"Utah Jazz")</f>
        <v>Utah Jazz</v>
      </c>
      <c r="D58" s="1">
        <f>IFERROR(__xludf.DUMMYFUNCTION("""COMPUTED_VALUE"""),109.0)</f>
        <v>109</v>
      </c>
      <c r="E58" s="1" t="str">
        <f>IFERROR(__xludf.DUMMYFUNCTION("""COMPUTED_VALUE"""),"Los Angeles Lakers")</f>
        <v>Los Angeles Lakers</v>
      </c>
      <c r="F58" s="1">
        <f>IFERROR(__xludf.DUMMYFUNCTION("""COMPUTED_VALUE"""),113.0)</f>
        <v>113</v>
      </c>
      <c r="G58" s="1" t="str">
        <f>IFERROR(__xludf.DUMMYFUNCTION("""COMPUTED_VALUE"""),"Box Score")</f>
        <v>Box Score</v>
      </c>
      <c r="H58" s="1"/>
      <c r="I58" s="3">
        <f>IFERROR(__xludf.DUMMYFUNCTION("""COMPUTED_VALUE"""),18997.0)</f>
        <v>18997</v>
      </c>
      <c r="J58" s="1"/>
    </row>
    <row r="59" ht="15.75" customHeight="1">
      <c r="A59" s="2">
        <f>IFERROR(__xludf.DUMMYFUNCTION("""COMPUTED_VALUE"""),43564.0)</f>
        <v>43564</v>
      </c>
      <c r="B59" s="1" t="str">
        <f>IFERROR(__xludf.DUMMYFUNCTION("""COMPUTED_VALUE"""),"7:00p")</f>
        <v>7:00p</v>
      </c>
      <c r="C59" s="1" t="str">
        <f>IFERROR(__xludf.DUMMYFUNCTION("""COMPUTED_VALUE"""),"Charlotte Hornets")</f>
        <v>Charlotte Hornets</v>
      </c>
      <c r="D59" s="1">
        <f>IFERROR(__xludf.DUMMYFUNCTION("""COMPUTED_VALUE"""),124.0)</f>
        <v>124</v>
      </c>
      <c r="E59" s="1" t="str">
        <f>IFERROR(__xludf.DUMMYFUNCTION("""COMPUTED_VALUE"""),"Cleveland Cavaliers")</f>
        <v>Cleveland Cavaliers</v>
      </c>
      <c r="F59" s="1">
        <f>IFERROR(__xludf.DUMMYFUNCTION("""COMPUTED_VALUE"""),97.0)</f>
        <v>97</v>
      </c>
      <c r="G59" s="1" t="str">
        <f>IFERROR(__xludf.DUMMYFUNCTION("""COMPUTED_VALUE"""),"Box Score")</f>
        <v>Box Score</v>
      </c>
      <c r="H59" s="1"/>
      <c r="I59" s="3">
        <f>IFERROR(__xludf.DUMMYFUNCTION("""COMPUTED_VALUE"""),19432.0)</f>
        <v>19432</v>
      </c>
      <c r="J59" s="1"/>
    </row>
    <row r="60" ht="15.75" customHeight="1">
      <c r="A60" s="2">
        <f>IFERROR(__xludf.DUMMYFUNCTION("""COMPUTED_VALUE"""),43564.0)</f>
        <v>43564</v>
      </c>
      <c r="B60" s="1" t="str">
        <f>IFERROR(__xludf.DUMMYFUNCTION("""COMPUTED_VALUE"""),"7:00p")</f>
        <v>7:00p</v>
      </c>
      <c r="C60" s="1" t="str">
        <f>IFERROR(__xludf.DUMMYFUNCTION("""COMPUTED_VALUE"""),"Memphis Grizzlies")</f>
        <v>Memphis Grizzlies</v>
      </c>
      <c r="D60" s="1">
        <f>IFERROR(__xludf.DUMMYFUNCTION("""COMPUTED_VALUE"""),93.0)</f>
        <v>93</v>
      </c>
      <c r="E60" s="1" t="str">
        <f>IFERROR(__xludf.DUMMYFUNCTION("""COMPUTED_VALUE"""),"Detroit Pistons")</f>
        <v>Detroit Pistons</v>
      </c>
      <c r="F60" s="1">
        <f>IFERROR(__xludf.DUMMYFUNCTION("""COMPUTED_VALUE"""),100.0)</f>
        <v>100</v>
      </c>
      <c r="G60" s="1" t="str">
        <f>IFERROR(__xludf.DUMMYFUNCTION("""COMPUTED_VALUE"""),"Box Score")</f>
        <v>Box Score</v>
      </c>
      <c r="H60" s="1"/>
      <c r="I60" s="3">
        <f>IFERROR(__xludf.DUMMYFUNCTION("""COMPUTED_VALUE"""),19802.0)</f>
        <v>19802</v>
      </c>
      <c r="J60" s="1"/>
    </row>
    <row r="61" ht="15.75" customHeight="1">
      <c r="A61" s="2">
        <f>IFERROR(__xludf.DUMMYFUNCTION("""COMPUTED_VALUE"""),43564.0)</f>
        <v>43564</v>
      </c>
      <c r="B61" s="1" t="str">
        <f>IFERROR(__xludf.DUMMYFUNCTION("""COMPUTED_VALUE"""),"7:00p")</f>
        <v>7:00p</v>
      </c>
      <c r="C61" s="1" t="str">
        <f>IFERROR(__xludf.DUMMYFUNCTION("""COMPUTED_VALUE"""),"Boston Celtics")</f>
        <v>Boston Celtics</v>
      </c>
      <c r="D61" s="1">
        <f>IFERROR(__xludf.DUMMYFUNCTION("""COMPUTED_VALUE"""),116.0)</f>
        <v>116</v>
      </c>
      <c r="E61" s="1" t="str">
        <f>IFERROR(__xludf.DUMMYFUNCTION("""COMPUTED_VALUE"""),"Washington Wizards")</f>
        <v>Washington Wizards</v>
      </c>
      <c r="F61" s="1">
        <f>IFERROR(__xludf.DUMMYFUNCTION("""COMPUTED_VALUE"""),110.0)</f>
        <v>110</v>
      </c>
      <c r="G61" s="1" t="str">
        <f>IFERROR(__xludf.DUMMYFUNCTION("""COMPUTED_VALUE"""),"Box Score")</f>
        <v>Box Score</v>
      </c>
      <c r="H61" s="1"/>
      <c r="I61" s="3">
        <f>IFERROR(__xludf.DUMMYFUNCTION("""COMPUTED_VALUE"""),20409.0)</f>
        <v>20409</v>
      </c>
      <c r="J61" s="1"/>
    </row>
    <row r="62" ht="15.75" customHeight="1">
      <c r="A62" s="2">
        <f>IFERROR(__xludf.DUMMYFUNCTION("""COMPUTED_VALUE"""),43564.0)</f>
        <v>43564</v>
      </c>
      <c r="B62" s="1" t="str">
        <f>IFERROR(__xludf.DUMMYFUNCTION("""COMPUTED_VALUE"""),"7:30p")</f>
        <v>7:30p</v>
      </c>
      <c r="C62" s="1" t="str">
        <f>IFERROR(__xludf.DUMMYFUNCTION("""COMPUTED_VALUE"""),"Philadelphia 76ers")</f>
        <v>Philadelphia 76ers</v>
      </c>
      <c r="D62" s="1">
        <f>IFERROR(__xludf.DUMMYFUNCTION("""COMPUTED_VALUE"""),99.0)</f>
        <v>99</v>
      </c>
      <c r="E62" s="1" t="str">
        <f>IFERROR(__xludf.DUMMYFUNCTION("""COMPUTED_VALUE"""),"Miami Heat")</f>
        <v>Miami Heat</v>
      </c>
      <c r="F62" s="1">
        <f>IFERROR(__xludf.DUMMYFUNCTION("""COMPUTED_VALUE"""),122.0)</f>
        <v>122</v>
      </c>
      <c r="G62" s="1" t="str">
        <f>IFERROR(__xludf.DUMMYFUNCTION("""COMPUTED_VALUE"""),"Box Score")</f>
        <v>Box Score</v>
      </c>
      <c r="H62" s="1"/>
      <c r="I62" s="3">
        <f>IFERROR(__xludf.DUMMYFUNCTION("""COMPUTED_VALUE"""),20153.0)</f>
        <v>20153</v>
      </c>
      <c r="J62" s="1"/>
    </row>
    <row r="63" ht="15.75" customHeight="1">
      <c r="A63" s="2">
        <f>IFERROR(__xludf.DUMMYFUNCTION("""COMPUTED_VALUE"""),43564.0)</f>
        <v>43564</v>
      </c>
      <c r="B63" s="1" t="str">
        <f>IFERROR(__xludf.DUMMYFUNCTION("""COMPUTED_VALUE"""),"8:00p")</f>
        <v>8:00p</v>
      </c>
      <c r="C63" s="1" t="str">
        <f>IFERROR(__xludf.DUMMYFUNCTION("""COMPUTED_VALUE"""),"New York Knicks")</f>
        <v>New York Knicks</v>
      </c>
      <c r="D63" s="1">
        <f>IFERROR(__xludf.DUMMYFUNCTION("""COMPUTED_VALUE"""),96.0)</f>
        <v>96</v>
      </c>
      <c r="E63" s="1" t="str">
        <f>IFERROR(__xludf.DUMMYFUNCTION("""COMPUTED_VALUE"""),"Chicago Bulls")</f>
        <v>Chicago Bulls</v>
      </c>
      <c r="F63" s="1">
        <f>IFERROR(__xludf.DUMMYFUNCTION("""COMPUTED_VALUE"""),86.0)</f>
        <v>86</v>
      </c>
      <c r="G63" s="1" t="str">
        <f>IFERROR(__xludf.DUMMYFUNCTION("""COMPUTED_VALUE"""),"Box Score")</f>
        <v>Box Score</v>
      </c>
      <c r="H63" s="1"/>
      <c r="I63" s="3">
        <f>IFERROR(__xludf.DUMMYFUNCTION("""COMPUTED_VALUE"""),21350.0)</f>
        <v>21350</v>
      </c>
      <c r="J63" s="1"/>
    </row>
    <row r="64" ht="15.75" customHeight="1">
      <c r="A64" s="2">
        <f>IFERROR(__xludf.DUMMYFUNCTION("""COMPUTED_VALUE"""),43564.0)</f>
        <v>43564</v>
      </c>
      <c r="B64" s="1" t="str">
        <f>IFERROR(__xludf.DUMMYFUNCTION("""COMPUTED_VALUE"""),"8:00p")</f>
        <v>8:00p</v>
      </c>
      <c r="C64" s="1" t="str">
        <f>IFERROR(__xludf.DUMMYFUNCTION("""COMPUTED_VALUE"""),"Toronto Raptors")</f>
        <v>Toronto Raptors</v>
      </c>
      <c r="D64" s="1">
        <f>IFERROR(__xludf.DUMMYFUNCTION("""COMPUTED_VALUE"""),120.0)</f>
        <v>120</v>
      </c>
      <c r="E64" s="1" t="str">
        <f>IFERROR(__xludf.DUMMYFUNCTION("""COMPUTED_VALUE"""),"Minnesota Timberwolves")</f>
        <v>Minnesota Timberwolves</v>
      </c>
      <c r="F64" s="1">
        <f>IFERROR(__xludf.DUMMYFUNCTION("""COMPUTED_VALUE"""),100.0)</f>
        <v>100</v>
      </c>
      <c r="G64" s="1" t="str">
        <f>IFERROR(__xludf.DUMMYFUNCTION("""COMPUTED_VALUE"""),"Box Score")</f>
        <v>Box Score</v>
      </c>
      <c r="H64" s="1"/>
      <c r="I64" s="3">
        <f>IFERROR(__xludf.DUMMYFUNCTION("""COMPUTED_VALUE"""),16119.0)</f>
        <v>16119</v>
      </c>
      <c r="J64" s="1"/>
    </row>
    <row r="65" ht="15.75" customHeight="1">
      <c r="A65" s="2">
        <f>IFERROR(__xludf.DUMMYFUNCTION("""COMPUTED_VALUE"""),43564.0)</f>
        <v>43564</v>
      </c>
      <c r="B65" s="1" t="str">
        <f>IFERROR(__xludf.DUMMYFUNCTION("""COMPUTED_VALUE"""),"8:00p")</f>
        <v>8:00p</v>
      </c>
      <c r="C65" s="1" t="str">
        <f>IFERROR(__xludf.DUMMYFUNCTION("""COMPUTED_VALUE"""),"Golden State Warriors")</f>
        <v>Golden State Warriors</v>
      </c>
      <c r="D65" s="1">
        <f>IFERROR(__xludf.DUMMYFUNCTION("""COMPUTED_VALUE"""),112.0)</f>
        <v>112</v>
      </c>
      <c r="E65" s="1" t="str">
        <f>IFERROR(__xludf.DUMMYFUNCTION("""COMPUTED_VALUE"""),"New Orleans Pelicans")</f>
        <v>New Orleans Pelicans</v>
      </c>
      <c r="F65" s="1">
        <f>IFERROR(__xludf.DUMMYFUNCTION("""COMPUTED_VALUE"""),103.0)</f>
        <v>103</v>
      </c>
      <c r="G65" s="1" t="str">
        <f>IFERROR(__xludf.DUMMYFUNCTION("""COMPUTED_VALUE"""),"Box Score")</f>
        <v>Box Score</v>
      </c>
      <c r="H65" s="1"/>
      <c r="I65" s="3">
        <f>IFERROR(__xludf.DUMMYFUNCTION("""COMPUTED_VALUE"""),17090.0)</f>
        <v>17090</v>
      </c>
      <c r="J65" s="1"/>
    </row>
    <row r="66" ht="15.75" customHeight="1">
      <c r="A66" s="2">
        <f>IFERROR(__xludf.DUMMYFUNCTION("""COMPUTED_VALUE"""),43564.0)</f>
        <v>43564</v>
      </c>
      <c r="B66" s="1" t="str">
        <f>IFERROR(__xludf.DUMMYFUNCTION("""COMPUTED_VALUE"""),"8:30p")</f>
        <v>8:30p</v>
      </c>
      <c r="C66" s="1" t="str">
        <f>IFERROR(__xludf.DUMMYFUNCTION("""COMPUTED_VALUE"""),"Phoenix Suns")</f>
        <v>Phoenix Suns</v>
      </c>
      <c r="D66" s="1">
        <f>IFERROR(__xludf.DUMMYFUNCTION("""COMPUTED_VALUE"""),109.0)</f>
        <v>109</v>
      </c>
      <c r="E66" s="1" t="str">
        <f>IFERROR(__xludf.DUMMYFUNCTION("""COMPUTED_VALUE"""),"Dallas Mavericks")</f>
        <v>Dallas Mavericks</v>
      </c>
      <c r="F66" s="1">
        <f>IFERROR(__xludf.DUMMYFUNCTION("""COMPUTED_VALUE"""),120.0)</f>
        <v>120</v>
      </c>
      <c r="G66" s="1" t="str">
        <f>IFERROR(__xludf.DUMMYFUNCTION("""COMPUTED_VALUE"""),"Box Score")</f>
        <v>Box Score</v>
      </c>
      <c r="H66" s="1"/>
      <c r="I66" s="3">
        <f>IFERROR(__xludf.DUMMYFUNCTION("""COMPUTED_VALUE"""),21041.0)</f>
        <v>21041</v>
      </c>
      <c r="J66" s="1"/>
    </row>
    <row r="67" ht="15.75" customHeight="1">
      <c r="A67" s="2">
        <f>IFERROR(__xludf.DUMMYFUNCTION("""COMPUTED_VALUE"""),43564.0)</f>
        <v>43564</v>
      </c>
      <c r="B67" s="1" t="str">
        <f>IFERROR(__xludf.DUMMYFUNCTION("""COMPUTED_VALUE"""),"9:00p")</f>
        <v>9:00p</v>
      </c>
      <c r="C67" s="1" t="str">
        <f>IFERROR(__xludf.DUMMYFUNCTION("""COMPUTED_VALUE"""),"Denver Nuggets")</f>
        <v>Denver Nuggets</v>
      </c>
      <c r="D67" s="1">
        <f>IFERROR(__xludf.DUMMYFUNCTION("""COMPUTED_VALUE"""),108.0)</f>
        <v>108</v>
      </c>
      <c r="E67" s="1" t="str">
        <f>IFERROR(__xludf.DUMMYFUNCTION("""COMPUTED_VALUE"""),"Utah Jazz")</f>
        <v>Utah Jazz</v>
      </c>
      <c r="F67" s="1">
        <f>IFERROR(__xludf.DUMMYFUNCTION("""COMPUTED_VALUE"""),118.0)</f>
        <v>118</v>
      </c>
      <c r="G67" s="1" t="str">
        <f>IFERROR(__xludf.DUMMYFUNCTION("""COMPUTED_VALUE"""),"Box Score")</f>
        <v>Box Score</v>
      </c>
      <c r="H67" s="1"/>
      <c r="I67" s="3">
        <f>IFERROR(__xludf.DUMMYFUNCTION("""COMPUTED_VALUE"""),18306.0)</f>
        <v>18306</v>
      </c>
      <c r="J67" s="1"/>
    </row>
    <row r="68" ht="15.75" customHeight="1">
      <c r="A68" s="2">
        <f>IFERROR(__xludf.DUMMYFUNCTION("""COMPUTED_VALUE"""),43564.0)</f>
        <v>43564</v>
      </c>
      <c r="B68" s="1" t="str">
        <f>IFERROR(__xludf.DUMMYFUNCTION("""COMPUTED_VALUE"""),"9:30p")</f>
        <v>9:30p</v>
      </c>
      <c r="C68" s="1" t="str">
        <f>IFERROR(__xludf.DUMMYFUNCTION("""COMPUTED_VALUE"""),"Houston Rockets")</f>
        <v>Houston Rockets</v>
      </c>
      <c r="D68" s="1">
        <f>IFERROR(__xludf.DUMMYFUNCTION("""COMPUTED_VALUE"""),111.0)</f>
        <v>111</v>
      </c>
      <c r="E68" s="1" t="str">
        <f>IFERROR(__xludf.DUMMYFUNCTION("""COMPUTED_VALUE"""),"Oklahoma City Thunder")</f>
        <v>Oklahoma City Thunder</v>
      </c>
      <c r="F68" s="1">
        <f>IFERROR(__xludf.DUMMYFUNCTION("""COMPUTED_VALUE"""),112.0)</f>
        <v>112</v>
      </c>
      <c r="G68" s="1" t="str">
        <f>IFERROR(__xludf.DUMMYFUNCTION("""COMPUTED_VALUE"""),"Box Score")</f>
        <v>Box Score</v>
      </c>
      <c r="H68" s="1"/>
      <c r="I68" s="3">
        <f>IFERROR(__xludf.DUMMYFUNCTION("""COMPUTED_VALUE"""),18203.0)</f>
        <v>18203</v>
      </c>
      <c r="J68" s="1"/>
    </row>
    <row r="69" ht="15.75" customHeight="1">
      <c r="A69" s="2">
        <f>IFERROR(__xludf.DUMMYFUNCTION("""COMPUTED_VALUE"""),43564.0)</f>
        <v>43564</v>
      </c>
      <c r="B69" s="1" t="str">
        <f>IFERROR(__xludf.DUMMYFUNCTION("""COMPUTED_VALUE"""),"10:30p")</f>
        <v>10:30p</v>
      </c>
      <c r="C69" s="1" t="str">
        <f>IFERROR(__xludf.DUMMYFUNCTION("""COMPUTED_VALUE"""),"Portland Trail Blazers")</f>
        <v>Portland Trail Blazers</v>
      </c>
      <c r="D69" s="1">
        <f>IFERROR(__xludf.DUMMYFUNCTION("""COMPUTED_VALUE"""),104.0)</f>
        <v>104</v>
      </c>
      <c r="E69" s="1" t="str">
        <f>IFERROR(__xludf.DUMMYFUNCTION("""COMPUTED_VALUE"""),"Los Angeles Lakers")</f>
        <v>Los Angeles Lakers</v>
      </c>
      <c r="F69" s="1">
        <f>IFERROR(__xludf.DUMMYFUNCTION("""COMPUTED_VALUE"""),101.0)</f>
        <v>101</v>
      </c>
      <c r="G69" s="1" t="str">
        <f>IFERROR(__xludf.DUMMYFUNCTION("""COMPUTED_VALUE"""),"Box Score")</f>
        <v>Box Score</v>
      </c>
      <c r="H69" s="1"/>
      <c r="I69" s="3">
        <f>IFERROR(__xludf.DUMMYFUNCTION("""COMPUTED_VALUE"""),18997.0)</f>
        <v>18997</v>
      </c>
      <c r="J69" s="1"/>
    </row>
    <row r="70" ht="15.75" customHeight="1">
      <c r="A70" s="2">
        <f>IFERROR(__xludf.DUMMYFUNCTION("""COMPUTED_VALUE"""),43565.0)</f>
        <v>43565</v>
      </c>
      <c r="B70" s="1" t="str">
        <f>IFERROR(__xludf.DUMMYFUNCTION("""COMPUTED_VALUE"""),"8:00p")</f>
        <v>8:00p</v>
      </c>
      <c r="C70" s="1" t="str">
        <f>IFERROR(__xludf.DUMMYFUNCTION("""COMPUTED_VALUE"""),"Indiana Pacers")</f>
        <v>Indiana Pacers</v>
      </c>
      <c r="D70" s="1">
        <f>IFERROR(__xludf.DUMMYFUNCTION("""COMPUTED_VALUE"""),135.0)</f>
        <v>135</v>
      </c>
      <c r="E70" s="1" t="str">
        <f>IFERROR(__xludf.DUMMYFUNCTION("""COMPUTED_VALUE"""),"Atlanta Hawks")</f>
        <v>Atlanta Hawks</v>
      </c>
      <c r="F70" s="1">
        <f>IFERROR(__xludf.DUMMYFUNCTION("""COMPUTED_VALUE"""),134.0)</f>
        <v>134</v>
      </c>
      <c r="G70" s="1" t="str">
        <f>IFERROR(__xludf.DUMMYFUNCTION("""COMPUTED_VALUE"""),"Box Score")</f>
        <v>Box Score</v>
      </c>
      <c r="H70" s="1"/>
      <c r="I70" s="3">
        <f>IFERROR(__xludf.DUMMYFUNCTION("""COMPUTED_VALUE"""),17143.0)</f>
        <v>17143</v>
      </c>
      <c r="J70" s="1"/>
    </row>
    <row r="71" ht="15.75" customHeight="1">
      <c r="A71" s="2">
        <f>IFERROR(__xludf.DUMMYFUNCTION("""COMPUTED_VALUE"""),43565.0)</f>
        <v>43565</v>
      </c>
      <c r="B71" s="1" t="str">
        <f>IFERROR(__xludf.DUMMYFUNCTION("""COMPUTED_VALUE"""),"8:00p")</f>
        <v>8:00p</v>
      </c>
      <c r="C71" s="1" t="str">
        <f>IFERROR(__xludf.DUMMYFUNCTION("""COMPUTED_VALUE"""),"Miami Heat")</f>
        <v>Miami Heat</v>
      </c>
      <c r="D71" s="1">
        <f>IFERROR(__xludf.DUMMYFUNCTION("""COMPUTED_VALUE"""),94.0)</f>
        <v>94</v>
      </c>
      <c r="E71" s="1" t="str">
        <f>IFERROR(__xludf.DUMMYFUNCTION("""COMPUTED_VALUE"""),"Brooklyn Nets")</f>
        <v>Brooklyn Nets</v>
      </c>
      <c r="F71" s="1">
        <f>IFERROR(__xludf.DUMMYFUNCTION("""COMPUTED_VALUE"""),113.0)</f>
        <v>113</v>
      </c>
      <c r="G71" s="1" t="str">
        <f>IFERROR(__xludf.DUMMYFUNCTION("""COMPUTED_VALUE"""),"Box Score")</f>
        <v>Box Score</v>
      </c>
      <c r="H71" s="1"/>
      <c r="I71" s="3">
        <f>IFERROR(__xludf.DUMMYFUNCTION("""COMPUTED_VALUE"""),17732.0)</f>
        <v>17732</v>
      </c>
      <c r="J71" s="1"/>
    </row>
    <row r="72" ht="15.75" customHeight="1">
      <c r="A72" s="2">
        <f>IFERROR(__xludf.DUMMYFUNCTION("""COMPUTED_VALUE"""),43565.0)</f>
        <v>43565</v>
      </c>
      <c r="B72" s="1" t="str">
        <f>IFERROR(__xludf.DUMMYFUNCTION("""COMPUTED_VALUE"""),"8:00p")</f>
        <v>8:00p</v>
      </c>
      <c r="C72" s="1" t="str">
        <f>IFERROR(__xludf.DUMMYFUNCTION("""COMPUTED_VALUE"""),"Orlando Magic")</f>
        <v>Orlando Magic</v>
      </c>
      <c r="D72" s="1">
        <f>IFERROR(__xludf.DUMMYFUNCTION("""COMPUTED_VALUE"""),122.0)</f>
        <v>122</v>
      </c>
      <c r="E72" s="1" t="str">
        <f>IFERROR(__xludf.DUMMYFUNCTION("""COMPUTED_VALUE"""),"Charlotte Hornets")</f>
        <v>Charlotte Hornets</v>
      </c>
      <c r="F72" s="1">
        <f>IFERROR(__xludf.DUMMYFUNCTION("""COMPUTED_VALUE"""),114.0)</f>
        <v>114</v>
      </c>
      <c r="G72" s="1" t="str">
        <f>IFERROR(__xludf.DUMMYFUNCTION("""COMPUTED_VALUE"""),"Box Score")</f>
        <v>Box Score</v>
      </c>
      <c r="H72" s="1"/>
      <c r="I72" s="3">
        <f>IFERROR(__xludf.DUMMYFUNCTION("""COMPUTED_VALUE"""),17719.0)</f>
        <v>17719</v>
      </c>
      <c r="J72" s="1"/>
    </row>
    <row r="73" ht="15.75" customHeight="1">
      <c r="A73" s="2">
        <f>IFERROR(__xludf.DUMMYFUNCTION("""COMPUTED_VALUE"""),43565.0)</f>
        <v>43565</v>
      </c>
      <c r="B73" s="1" t="str">
        <f>IFERROR(__xludf.DUMMYFUNCTION("""COMPUTED_VALUE"""),"8:00p")</f>
        <v>8:00p</v>
      </c>
      <c r="C73" s="1" t="str">
        <f>IFERROR(__xludf.DUMMYFUNCTION("""COMPUTED_VALUE"""),"Golden State Warriors")</f>
        <v>Golden State Warriors</v>
      </c>
      <c r="D73" s="1">
        <f>IFERROR(__xludf.DUMMYFUNCTION("""COMPUTED_VALUE"""),117.0)</f>
        <v>117</v>
      </c>
      <c r="E73" s="1" t="str">
        <f>IFERROR(__xludf.DUMMYFUNCTION("""COMPUTED_VALUE"""),"Memphis Grizzlies")</f>
        <v>Memphis Grizzlies</v>
      </c>
      <c r="F73" s="1">
        <f>IFERROR(__xludf.DUMMYFUNCTION("""COMPUTED_VALUE"""),132.0)</f>
        <v>132</v>
      </c>
      <c r="G73" s="1" t="str">
        <f>IFERROR(__xludf.DUMMYFUNCTION("""COMPUTED_VALUE"""),"Box Score")</f>
        <v>Box Score</v>
      </c>
      <c r="H73" s="1"/>
      <c r="I73" s="3">
        <f>IFERROR(__xludf.DUMMYFUNCTION("""COMPUTED_VALUE"""),17794.0)</f>
        <v>17794</v>
      </c>
      <c r="J73" s="1"/>
    </row>
    <row r="74" ht="15.75" customHeight="1">
      <c r="A74" s="2">
        <f>IFERROR(__xludf.DUMMYFUNCTION("""COMPUTED_VALUE"""),43565.0)</f>
        <v>43565</v>
      </c>
      <c r="B74" s="1" t="str">
        <f>IFERROR(__xludf.DUMMYFUNCTION("""COMPUTED_VALUE"""),"8:00p")</f>
        <v>8:00p</v>
      </c>
      <c r="C74" s="1" t="str">
        <f>IFERROR(__xludf.DUMMYFUNCTION("""COMPUTED_VALUE"""),"Oklahoma City Thunder")</f>
        <v>Oklahoma City Thunder</v>
      </c>
      <c r="D74" s="1">
        <f>IFERROR(__xludf.DUMMYFUNCTION("""COMPUTED_VALUE"""),127.0)</f>
        <v>127</v>
      </c>
      <c r="E74" s="1" t="str">
        <f>IFERROR(__xludf.DUMMYFUNCTION("""COMPUTED_VALUE"""),"Milwaukee Bucks")</f>
        <v>Milwaukee Bucks</v>
      </c>
      <c r="F74" s="1">
        <f>IFERROR(__xludf.DUMMYFUNCTION("""COMPUTED_VALUE"""),116.0)</f>
        <v>116</v>
      </c>
      <c r="G74" s="1" t="str">
        <f>IFERROR(__xludf.DUMMYFUNCTION("""COMPUTED_VALUE"""),"Box Score")</f>
        <v>Box Score</v>
      </c>
      <c r="H74" s="1"/>
      <c r="I74" s="3">
        <f>IFERROR(__xludf.DUMMYFUNCTION("""COMPUTED_VALUE"""),18082.0)</f>
        <v>18082</v>
      </c>
      <c r="J74" s="1"/>
    </row>
    <row r="75" ht="15.75" customHeight="1">
      <c r="A75" s="2">
        <f>IFERROR(__xludf.DUMMYFUNCTION("""COMPUTED_VALUE"""),43565.0)</f>
        <v>43565</v>
      </c>
      <c r="B75" s="1" t="str">
        <f>IFERROR(__xludf.DUMMYFUNCTION("""COMPUTED_VALUE"""),"8:00p")</f>
        <v>8:00p</v>
      </c>
      <c r="C75" s="1" t="str">
        <f>IFERROR(__xludf.DUMMYFUNCTION("""COMPUTED_VALUE"""),"Detroit Pistons")</f>
        <v>Detroit Pistons</v>
      </c>
      <c r="D75" s="1">
        <f>IFERROR(__xludf.DUMMYFUNCTION("""COMPUTED_VALUE"""),115.0)</f>
        <v>115</v>
      </c>
      <c r="E75" s="1" t="str">
        <f>IFERROR(__xludf.DUMMYFUNCTION("""COMPUTED_VALUE"""),"New York Knicks")</f>
        <v>New York Knicks</v>
      </c>
      <c r="F75" s="1">
        <f>IFERROR(__xludf.DUMMYFUNCTION("""COMPUTED_VALUE"""),89.0)</f>
        <v>89</v>
      </c>
      <c r="G75" s="1" t="str">
        <f>IFERROR(__xludf.DUMMYFUNCTION("""COMPUTED_VALUE"""),"Box Score")</f>
        <v>Box Score</v>
      </c>
      <c r="H75" s="1"/>
      <c r="I75" s="3">
        <f>IFERROR(__xludf.DUMMYFUNCTION("""COMPUTED_VALUE"""),19812.0)</f>
        <v>19812</v>
      </c>
      <c r="J75" s="1"/>
    </row>
    <row r="76" ht="15.75" customHeight="1">
      <c r="A76" s="2">
        <f>IFERROR(__xludf.DUMMYFUNCTION("""COMPUTED_VALUE"""),43565.0)</f>
        <v>43565</v>
      </c>
      <c r="B76" s="1" t="str">
        <f>IFERROR(__xludf.DUMMYFUNCTION("""COMPUTED_VALUE"""),"8:00p")</f>
        <v>8:00p</v>
      </c>
      <c r="C76" s="1" t="str">
        <f>IFERROR(__xludf.DUMMYFUNCTION("""COMPUTED_VALUE"""),"Chicago Bulls")</f>
        <v>Chicago Bulls</v>
      </c>
      <c r="D76" s="1">
        <f>IFERROR(__xludf.DUMMYFUNCTION("""COMPUTED_VALUE"""),109.0)</f>
        <v>109</v>
      </c>
      <c r="E76" s="1" t="str">
        <f>IFERROR(__xludf.DUMMYFUNCTION("""COMPUTED_VALUE"""),"Philadelphia 76ers")</f>
        <v>Philadelphia 76ers</v>
      </c>
      <c r="F76" s="1">
        <f>IFERROR(__xludf.DUMMYFUNCTION("""COMPUTED_VALUE"""),125.0)</f>
        <v>125</v>
      </c>
      <c r="G76" s="1" t="str">
        <f>IFERROR(__xludf.DUMMYFUNCTION("""COMPUTED_VALUE"""),"Box Score")</f>
        <v>Box Score</v>
      </c>
      <c r="H76" s="1"/>
      <c r="I76" s="3">
        <f>IFERROR(__xludf.DUMMYFUNCTION("""COMPUTED_VALUE"""),20197.0)</f>
        <v>20197</v>
      </c>
      <c r="J76" s="1"/>
    </row>
    <row r="77" ht="15.75" customHeight="1">
      <c r="A77" s="2">
        <f>IFERROR(__xludf.DUMMYFUNCTION("""COMPUTED_VALUE"""),43565.0)</f>
        <v>43565</v>
      </c>
      <c r="B77" s="1" t="str">
        <f>IFERROR(__xludf.DUMMYFUNCTION("""COMPUTED_VALUE"""),"8:00p")</f>
        <v>8:00p</v>
      </c>
      <c r="C77" s="1" t="str">
        <f>IFERROR(__xludf.DUMMYFUNCTION("""COMPUTED_VALUE"""),"Dallas Mavericks")</f>
        <v>Dallas Mavericks</v>
      </c>
      <c r="D77" s="1">
        <f>IFERROR(__xludf.DUMMYFUNCTION("""COMPUTED_VALUE"""),94.0)</f>
        <v>94</v>
      </c>
      <c r="E77" s="1" t="str">
        <f>IFERROR(__xludf.DUMMYFUNCTION("""COMPUTED_VALUE"""),"San Antonio Spurs")</f>
        <v>San Antonio Spurs</v>
      </c>
      <c r="F77" s="1">
        <f>IFERROR(__xludf.DUMMYFUNCTION("""COMPUTED_VALUE"""),105.0)</f>
        <v>105</v>
      </c>
      <c r="G77" s="1" t="str">
        <f>IFERROR(__xludf.DUMMYFUNCTION("""COMPUTED_VALUE"""),"Box Score")</f>
        <v>Box Score</v>
      </c>
      <c r="H77" s="1"/>
      <c r="I77" s="3">
        <f>IFERROR(__xludf.DUMMYFUNCTION("""COMPUTED_VALUE"""),18629.0)</f>
        <v>18629</v>
      </c>
      <c r="J77" s="1"/>
    </row>
    <row r="78" ht="15.75" customHeight="1">
      <c r="A78" s="2">
        <f>IFERROR(__xludf.DUMMYFUNCTION("""COMPUTED_VALUE"""),43565.0)</f>
        <v>43565</v>
      </c>
      <c r="B78" s="1" t="str">
        <f>IFERROR(__xludf.DUMMYFUNCTION("""COMPUTED_VALUE"""),"10:30p")</f>
        <v>10:30p</v>
      </c>
      <c r="C78" s="1" t="str">
        <f>IFERROR(__xludf.DUMMYFUNCTION("""COMPUTED_VALUE"""),"Minnesota Timberwolves")</f>
        <v>Minnesota Timberwolves</v>
      </c>
      <c r="D78" s="1">
        <f>IFERROR(__xludf.DUMMYFUNCTION("""COMPUTED_VALUE"""),95.0)</f>
        <v>95</v>
      </c>
      <c r="E78" s="1" t="str">
        <f>IFERROR(__xludf.DUMMYFUNCTION("""COMPUTED_VALUE"""),"Denver Nuggets")</f>
        <v>Denver Nuggets</v>
      </c>
      <c r="F78" s="1">
        <f>IFERROR(__xludf.DUMMYFUNCTION("""COMPUTED_VALUE"""),99.0)</f>
        <v>99</v>
      </c>
      <c r="G78" s="1" t="str">
        <f>IFERROR(__xludf.DUMMYFUNCTION("""COMPUTED_VALUE"""),"Box Score")</f>
        <v>Box Score</v>
      </c>
      <c r="H78" s="1"/>
      <c r="I78" s="3">
        <f>IFERROR(__xludf.DUMMYFUNCTION("""COMPUTED_VALUE"""),16332.0)</f>
        <v>16332</v>
      </c>
      <c r="J78" s="1"/>
    </row>
    <row r="79" ht="15.75" customHeight="1">
      <c r="A79" s="2">
        <f>IFERROR(__xludf.DUMMYFUNCTION("""COMPUTED_VALUE"""),43565.0)</f>
        <v>43565</v>
      </c>
      <c r="B79" s="1" t="str">
        <f>IFERROR(__xludf.DUMMYFUNCTION("""COMPUTED_VALUE"""),"10:30p")</f>
        <v>10:30p</v>
      </c>
      <c r="C79" s="1" t="str">
        <f>IFERROR(__xludf.DUMMYFUNCTION("""COMPUTED_VALUE"""),"Utah Jazz")</f>
        <v>Utah Jazz</v>
      </c>
      <c r="D79" s="1">
        <f>IFERROR(__xludf.DUMMYFUNCTION("""COMPUTED_VALUE"""),137.0)</f>
        <v>137</v>
      </c>
      <c r="E79" s="1" t="str">
        <f>IFERROR(__xludf.DUMMYFUNCTION("""COMPUTED_VALUE"""),"Los Angeles Clippers")</f>
        <v>Los Angeles Clippers</v>
      </c>
      <c r="F79" s="1">
        <f>IFERROR(__xludf.DUMMYFUNCTION("""COMPUTED_VALUE"""),143.0)</f>
        <v>143</v>
      </c>
      <c r="G79" s="1" t="str">
        <f>IFERROR(__xludf.DUMMYFUNCTION("""COMPUTED_VALUE"""),"Box Score")</f>
        <v>Box Score</v>
      </c>
      <c r="H79" s="1" t="str">
        <f>IFERROR(__xludf.DUMMYFUNCTION("""COMPUTED_VALUE"""),"OT")</f>
        <v>OT</v>
      </c>
      <c r="I79" s="3">
        <f>IFERROR(__xludf.DUMMYFUNCTION("""COMPUTED_VALUE"""),17655.0)</f>
        <v>17655</v>
      </c>
      <c r="J79" s="1"/>
    </row>
    <row r="80" ht="15.75" customHeight="1">
      <c r="A80" s="2">
        <f>IFERROR(__xludf.DUMMYFUNCTION("""COMPUTED_VALUE"""),43565.0)</f>
        <v>43565</v>
      </c>
      <c r="B80" s="1" t="str">
        <f>IFERROR(__xludf.DUMMYFUNCTION("""COMPUTED_VALUE"""),"10:30p")</f>
        <v>10:30p</v>
      </c>
      <c r="C80" s="1" t="str">
        <f>IFERROR(__xludf.DUMMYFUNCTION("""COMPUTED_VALUE"""),"Sacramento Kings")</f>
        <v>Sacramento Kings</v>
      </c>
      <c r="D80" s="1">
        <f>IFERROR(__xludf.DUMMYFUNCTION("""COMPUTED_VALUE"""),131.0)</f>
        <v>131</v>
      </c>
      <c r="E80" s="1" t="str">
        <f>IFERROR(__xludf.DUMMYFUNCTION("""COMPUTED_VALUE"""),"Portland Trail Blazers")</f>
        <v>Portland Trail Blazers</v>
      </c>
      <c r="F80" s="1">
        <f>IFERROR(__xludf.DUMMYFUNCTION("""COMPUTED_VALUE"""),136.0)</f>
        <v>136</v>
      </c>
      <c r="G80" s="1" t="str">
        <f>IFERROR(__xludf.DUMMYFUNCTION("""COMPUTED_VALUE"""),"Box Score")</f>
        <v>Box Score</v>
      </c>
      <c r="H80" s="1"/>
      <c r="I80" s="3">
        <f>IFERROR(__xludf.DUMMYFUNCTION("""COMPUTED_VALUE"""),19814.0)</f>
        <v>19814</v>
      </c>
      <c r="J80" s="1"/>
    </row>
    <row r="81" ht="15.75" customHeight="1">
      <c r="A81" s="1" t="str">
        <f>IFERROR(__xludf.DUMMYFUNCTION("""COMPUTED_VALUE"""),"Playoffs")</f>
        <v>Playoffs</v>
      </c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A82" s="6">
        <f>IFERROR(__xludf.DUMMYFUNCTION("""COMPUTED_VALUE"""),43568.0)</f>
        <v>43568</v>
      </c>
      <c r="B82" s="5" t="str">
        <f>IFERROR(__xludf.DUMMYFUNCTION("""COMPUTED_VALUE"""),"2:30p")</f>
        <v>2:30p</v>
      </c>
      <c r="C82" s="5" t="str">
        <f>IFERROR(__xludf.DUMMYFUNCTION("""COMPUTED_VALUE"""),"Brooklyn Nets")</f>
        <v>Brooklyn Nets</v>
      </c>
      <c r="D82" s="5">
        <f>IFERROR(__xludf.DUMMYFUNCTION("""COMPUTED_VALUE"""),111.0)</f>
        <v>111</v>
      </c>
      <c r="E82" s="5" t="str">
        <f>IFERROR(__xludf.DUMMYFUNCTION("""COMPUTED_VALUE"""),"Philadelphia 76ers")</f>
        <v>Philadelphia 76ers</v>
      </c>
      <c r="F82" s="5">
        <f>IFERROR(__xludf.DUMMYFUNCTION("""COMPUTED_VALUE"""),102.0)</f>
        <v>102</v>
      </c>
      <c r="G82" s="5" t="str">
        <f>IFERROR(__xludf.DUMMYFUNCTION("""COMPUTED_VALUE"""),"Box Score")</f>
        <v>Box Score</v>
      </c>
      <c r="H82" s="5"/>
      <c r="I82" s="7">
        <f>IFERROR(__xludf.DUMMYFUNCTION("""COMPUTED_VALUE"""),20437.0)</f>
        <v>20437</v>
      </c>
      <c r="J82" s="5"/>
    </row>
    <row r="83" ht="15.75" customHeight="1">
      <c r="A83" s="6">
        <f>IFERROR(__xludf.DUMMYFUNCTION("""COMPUTED_VALUE"""),43568.0)</f>
        <v>43568</v>
      </c>
      <c r="B83" s="5" t="str">
        <f>IFERROR(__xludf.DUMMYFUNCTION("""COMPUTED_VALUE"""),"5:00p")</f>
        <v>5:00p</v>
      </c>
      <c r="C83" s="5" t="str">
        <f>IFERROR(__xludf.DUMMYFUNCTION("""COMPUTED_VALUE"""),"Orlando Magic")</f>
        <v>Orlando Magic</v>
      </c>
      <c r="D83" s="5">
        <f>IFERROR(__xludf.DUMMYFUNCTION("""COMPUTED_VALUE"""),104.0)</f>
        <v>104</v>
      </c>
      <c r="E83" s="5" t="str">
        <f>IFERROR(__xludf.DUMMYFUNCTION("""COMPUTED_VALUE"""),"Toronto Raptors")</f>
        <v>Toronto Raptors</v>
      </c>
      <c r="F83" s="5">
        <f>IFERROR(__xludf.DUMMYFUNCTION("""COMPUTED_VALUE"""),101.0)</f>
        <v>101</v>
      </c>
      <c r="G83" s="5" t="str">
        <f>IFERROR(__xludf.DUMMYFUNCTION("""COMPUTED_VALUE"""),"Box Score")</f>
        <v>Box Score</v>
      </c>
      <c r="H83" s="5"/>
      <c r="I83" s="7">
        <f>IFERROR(__xludf.DUMMYFUNCTION("""COMPUTED_VALUE"""),19937.0)</f>
        <v>19937</v>
      </c>
      <c r="J83" s="5"/>
    </row>
    <row r="84" ht="15.75" customHeight="1">
      <c r="A84" s="6">
        <f>IFERROR(__xludf.DUMMYFUNCTION("""COMPUTED_VALUE"""),43568.0)</f>
        <v>43568</v>
      </c>
      <c r="B84" s="5" t="str">
        <f>IFERROR(__xludf.DUMMYFUNCTION("""COMPUTED_VALUE"""),"8:00p")</f>
        <v>8:00p</v>
      </c>
      <c r="C84" s="5" t="str">
        <f>IFERROR(__xludf.DUMMYFUNCTION("""COMPUTED_VALUE"""),"Los Angeles Clippers")</f>
        <v>Los Angeles Clippers</v>
      </c>
      <c r="D84" s="5">
        <f>IFERROR(__xludf.DUMMYFUNCTION("""COMPUTED_VALUE"""),104.0)</f>
        <v>104</v>
      </c>
      <c r="E84" s="5" t="str">
        <f>IFERROR(__xludf.DUMMYFUNCTION("""COMPUTED_VALUE"""),"Golden State Warriors")</f>
        <v>Golden State Warriors</v>
      </c>
      <c r="F84" s="5">
        <f>IFERROR(__xludf.DUMMYFUNCTION("""COMPUTED_VALUE"""),121.0)</f>
        <v>121</v>
      </c>
      <c r="G84" s="5" t="str">
        <f>IFERROR(__xludf.DUMMYFUNCTION("""COMPUTED_VALUE"""),"Box Score")</f>
        <v>Box Score</v>
      </c>
      <c r="H84" s="5"/>
      <c r="I84" s="7">
        <f>IFERROR(__xludf.DUMMYFUNCTION("""COMPUTED_VALUE"""),19596.0)</f>
        <v>19596</v>
      </c>
      <c r="J84" s="5"/>
    </row>
    <row r="85" ht="15.75" customHeight="1">
      <c r="A85" s="6">
        <f>IFERROR(__xludf.DUMMYFUNCTION("""COMPUTED_VALUE"""),43568.0)</f>
        <v>43568</v>
      </c>
      <c r="B85" s="5" t="str">
        <f>IFERROR(__xludf.DUMMYFUNCTION("""COMPUTED_VALUE"""),"10:30p")</f>
        <v>10:30p</v>
      </c>
      <c r="C85" s="5" t="str">
        <f>IFERROR(__xludf.DUMMYFUNCTION("""COMPUTED_VALUE"""),"San Antonio Spurs")</f>
        <v>San Antonio Spurs</v>
      </c>
      <c r="D85" s="5">
        <f>IFERROR(__xludf.DUMMYFUNCTION("""COMPUTED_VALUE"""),101.0)</f>
        <v>101</v>
      </c>
      <c r="E85" s="5" t="str">
        <f>IFERROR(__xludf.DUMMYFUNCTION("""COMPUTED_VALUE"""),"Denver Nuggets")</f>
        <v>Denver Nuggets</v>
      </c>
      <c r="F85" s="5">
        <f>IFERROR(__xludf.DUMMYFUNCTION("""COMPUTED_VALUE"""),96.0)</f>
        <v>96</v>
      </c>
      <c r="G85" s="5" t="str">
        <f>IFERROR(__xludf.DUMMYFUNCTION("""COMPUTED_VALUE"""),"Box Score")</f>
        <v>Box Score</v>
      </c>
      <c r="H85" s="5"/>
      <c r="I85" s="7">
        <f>IFERROR(__xludf.DUMMYFUNCTION("""COMPUTED_VALUE"""),19520.0)</f>
        <v>19520</v>
      </c>
      <c r="J85" s="5"/>
    </row>
    <row r="86" ht="15.75" customHeight="1">
      <c r="A86" s="6">
        <f>IFERROR(__xludf.DUMMYFUNCTION("""COMPUTED_VALUE"""),43569.0)</f>
        <v>43569</v>
      </c>
      <c r="B86" s="5" t="str">
        <f>IFERROR(__xludf.DUMMYFUNCTION("""COMPUTED_VALUE"""),"1:00p")</f>
        <v>1:00p</v>
      </c>
      <c r="C86" s="5" t="str">
        <f>IFERROR(__xludf.DUMMYFUNCTION("""COMPUTED_VALUE"""),"Indiana Pacers")</f>
        <v>Indiana Pacers</v>
      </c>
      <c r="D86" s="5">
        <f>IFERROR(__xludf.DUMMYFUNCTION("""COMPUTED_VALUE"""),74.0)</f>
        <v>74</v>
      </c>
      <c r="E86" s="5" t="str">
        <f>IFERROR(__xludf.DUMMYFUNCTION("""COMPUTED_VALUE"""),"Boston Celtics")</f>
        <v>Boston Celtics</v>
      </c>
      <c r="F86" s="5">
        <f>IFERROR(__xludf.DUMMYFUNCTION("""COMPUTED_VALUE"""),84.0)</f>
        <v>84</v>
      </c>
      <c r="G86" s="5" t="str">
        <f>IFERROR(__xludf.DUMMYFUNCTION("""COMPUTED_VALUE"""),"Box Score")</f>
        <v>Box Score</v>
      </c>
      <c r="H86" s="5"/>
      <c r="I86" s="7">
        <f>IFERROR(__xludf.DUMMYFUNCTION("""COMPUTED_VALUE"""),18624.0)</f>
        <v>18624</v>
      </c>
      <c r="J86" s="5"/>
    </row>
    <row r="87" ht="15.75" customHeight="1">
      <c r="A87" s="6">
        <f>IFERROR(__xludf.DUMMYFUNCTION("""COMPUTED_VALUE"""),43569.0)</f>
        <v>43569</v>
      </c>
      <c r="B87" s="5" t="str">
        <f>IFERROR(__xludf.DUMMYFUNCTION("""COMPUTED_VALUE"""),"3:30p")</f>
        <v>3:30p</v>
      </c>
      <c r="C87" s="5" t="str">
        <f>IFERROR(__xludf.DUMMYFUNCTION("""COMPUTED_VALUE"""),"Oklahoma City Thunder")</f>
        <v>Oklahoma City Thunder</v>
      </c>
      <c r="D87" s="5">
        <f>IFERROR(__xludf.DUMMYFUNCTION("""COMPUTED_VALUE"""),99.0)</f>
        <v>99</v>
      </c>
      <c r="E87" s="5" t="str">
        <f>IFERROR(__xludf.DUMMYFUNCTION("""COMPUTED_VALUE"""),"Portland Trail Blazers")</f>
        <v>Portland Trail Blazers</v>
      </c>
      <c r="F87" s="5">
        <f>IFERROR(__xludf.DUMMYFUNCTION("""COMPUTED_VALUE"""),104.0)</f>
        <v>104</v>
      </c>
      <c r="G87" s="5" t="str">
        <f>IFERROR(__xludf.DUMMYFUNCTION("""COMPUTED_VALUE"""),"Box Score")</f>
        <v>Box Score</v>
      </c>
      <c r="H87" s="5"/>
      <c r="I87" s="7">
        <f>IFERROR(__xludf.DUMMYFUNCTION("""COMPUTED_VALUE"""),19886.0)</f>
        <v>19886</v>
      </c>
      <c r="J87" s="5"/>
    </row>
    <row r="88" ht="15.75" customHeight="1">
      <c r="A88" s="6">
        <f>IFERROR(__xludf.DUMMYFUNCTION("""COMPUTED_VALUE"""),43569.0)</f>
        <v>43569</v>
      </c>
      <c r="B88" s="5" t="str">
        <f>IFERROR(__xludf.DUMMYFUNCTION("""COMPUTED_VALUE"""),"7:00p")</f>
        <v>7:00p</v>
      </c>
      <c r="C88" s="5" t="str">
        <f>IFERROR(__xludf.DUMMYFUNCTION("""COMPUTED_VALUE"""),"Detroit Pistons")</f>
        <v>Detroit Pistons</v>
      </c>
      <c r="D88" s="5">
        <f>IFERROR(__xludf.DUMMYFUNCTION("""COMPUTED_VALUE"""),86.0)</f>
        <v>86</v>
      </c>
      <c r="E88" s="5" t="str">
        <f>IFERROR(__xludf.DUMMYFUNCTION("""COMPUTED_VALUE"""),"Milwaukee Bucks")</f>
        <v>Milwaukee Bucks</v>
      </c>
      <c r="F88" s="5">
        <f>IFERROR(__xludf.DUMMYFUNCTION("""COMPUTED_VALUE"""),121.0)</f>
        <v>121</v>
      </c>
      <c r="G88" s="5" t="str">
        <f>IFERROR(__xludf.DUMMYFUNCTION("""COMPUTED_VALUE"""),"Box Score")</f>
        <v>Box Score</v>
      </c>
      <c r="H88" s="5"/>
      <c r="I88" s="7">
        <f>IFERROR(__xludf.DUMMYFUNCTION("""COMPUTED_VALUE"""),17529.0)</f>
        <v>17529</v>
      </c>
      <c r="J88" s="5"/>
    </row>
    <row r="89" ht="15.75" customHeight="1">
      <c r="A89" s="6">
        <f>IFERROR(__xludf.DUMMYFUNCTION("""COMPUTED_VALUE"""),43569.0)</f>
        <v>43569</v>
      </c>
      <c r="B89" s="5" t="str">
        <f>IFERROR(__xludf.DUMMYFUNCTION("""COMPUTED_VALUE"""),"9:30p")</f>
        <v>9:30p</v>
      </c>
      <c r="C89" s="5" t="str">
        <f>IFERROR(__xludf.DUMMYFUNCTION("""COMPUTED_VALUE"""),"Utah Jazz")</f>
        <v>Utah Jazz</v>
      </c>
      <c r="D89" s="5">
        <f>IFERROR(__xludf.DUMMYFUNCTION("""COMPUTED_VALUE"""),90.0)</f>
        <v>90</v>
      </c>
      <c r="E89" s="5" t="str">
        <f>IFERROR(__xludf.DUMMYFUNCTION("""COMPUTED_VALUE"""),"Houston Rockets")</f>
        <v>Houston Rockets</v>
      </c>
      <c r="F89" s="5">
        <f>IFERROR(__xludf.DUMMYFUNCTION("""COMPUTED_VALUE"""),122.0)</f>
        <v>122</v>
      </c>
      <c r="G89" s="5" t="str">
        <f>IFERROR(__xludf.DUMMYFUNCTION("""COMPUTED_VALUE"""),"Box Score")</f>
        <v>Box Score</v>
      </c>
      <c r="H89" s="5"/>
      <c r="I89" s="7">
        <f>IFERROR(__xludf.DUMMYFUNCTION("""COMPUTED_VALUE"""),18055.0)</f>
        <v>18055</v>
      </c>
      <c r="J89" s="5"/>
    </row>
    <row r="90" ht="15.75" customHeight="1">
      <c r="A90" s="6">
        <f>IFERROR(__xludf.DUMMYFUNCTION("""COMPUTED_VALUE"""),43570.0)</f>
        <v>43570</v>
      </c>
      <c r="B90" s="5" t="str">
        <f>IFERROR(__xludf.DUMMYFUNCTION("""COMPUTED_VALUE"""),"8:00p")</f>
        <v>8:00p</v>
      </c>
      <c r="C90" s="5" t="str">
        <f>IFERROR(__xludf.DUMMYFUNCTION("""COMPUTED_VALUE"""),"Brooklyn Nets")</f>
        <v>Brooklyn Nets</v>
      </c>
      <c r="D90" s="5">
        <f>IFERROR(__xludf.DUMMYFUNCTION("""COMPUTED_VALUE"""),123.0)</f>
        <v>123</v>
      </c>
      <c r="E90" s="5" t="str">
        <f>IFERROR(__xludf.DUMMYFUNCTION("""COMPUTED_VALUE"""),"Philadelphia 76ers")</f>
        <v>Philadelphia 76ers</v>
      </c>
      <c r="F90" s="5">
        <f>IFERROR(__xludf.DUMMYFUNCTION("""COMPUTED_VALUE"""),145.0)</f>
        <v>145</v>
      </c>
      <c r="G90" s="5" t="str">
        <f>IFERROR(__xludf.DUMMYFUNCTION("""COMPUTED_VALUE"""),"Box Score")</f>
        <v>Box Score</v>
      </c>
      <c r="H90" s="5"/>
      <c r="I90" s="7">
        <f>IFERROR(__xludf.DUMMYFUNCTION("""COMPUTED_VALUE"""),20591.0)</f>
        <v>20591</v>
      </c>
      <c r="J90" s="5"/>
    </row>
    <row r="91" ht="15.75" customHeight="1">
      <c r="A91" s="6">
        <f>IFERROR(__xludf.DUMMYFUNCTION("""COMPUTED_VALUE"""),43570.0)</f>
        <v>43570</v>
      </c>
      <c r="B91" s="5" t="str">
        <f>IFERROR(__xludf.DUMMYFUNCTION("""COMPUTED_VALUE"""),"10:30p")</f>
        <v>10:30p</v>
      </c>
      <c r="C91" s="5" t="str">
        <f>IFERROR(__xludf.DUMMYFUNCTION("""COMPUTED_VALUE"""),"Los Angeles Clippers")</f>
        <v>Los Angeles Clippers</v>
      </c>
      <c r="D91" s="5">
        <f>IFERROR(__xludf.DUMMYFUNCTION("""COMPUTED_VALUE"""),135.0)</f>
        <v>135</v>
      </c>
      <c r="E91" s="5" t="str">
        <f>IFERROR(__xludf.DUMMYFUNCTION("""COMPUTED_VALUE"""),"Golden State Warriors")</f>
        <v>Golden State Warriors</v>
      </c>
      <c r="F91" s="5">
        <f>IFERROR(__xludf.DUMMYFUNCTION("""COMPUTED_VALUE"""),131.0)</f>
        <v>131</v>
      </c>
      <c r="G91" s="5" t="str">
        <f>IFERROR(__xludf.DUMMYFUNCTION("""COMPUTED_VALUE"""),"Box Score")</f>
        <v>Box Score</v>
      </c>
      <c r="H91" s="5"/>
      <c r="I91" s="7">
        <f>IFERROR(__xludf.DUMMYFUNCTION("""COMPUTED_VALUE"""),19596.0)</f>
        <v>19596</v>
      </c>
      <c r="J91" s="5"/>
    </row>
    <row r="92" ht="15.75" customHeight="1">
      <c r="A92" s="6">
        <f>IFERROR(__xludf.DUMMYFUNCTION("""COMPUTED_VALUE"""),43571.0)</f>
        <v>43571</v>
      </c>
      <c r="B92" s="5" t="str">
        <f>IFERROR(__xludf.DUMMYFUNCTION("""COMPUTED_VALUE"""),"8:00p")</f>
        <v>8:00p</v>
      </c>
      <c r="C92" s="5" t="str">
        <f>IFERROR(__xludf.DUMMYFUNCTION("""COMPUTED_VALUE"""),"Orlando Magic")</f>
        <v>Orlando Magic</v>
      </c>
      <c r="D92" s="5">
        <f>IFERROR(__xludf.DUMMYFUNCTION("""COMPUTED_VALUE"""),82.0)</f>
        <v>82</v>
      </c>
      <c r="E92" s="5" t="str">
        <f>IFERROR(__xludf.DUMMYFUNCTION("""COMPUTED_VALUE"""),"Toronto Raptors")</f>
        <v>Toronto Raptors</v>
      </c>
      <c r="F92" s="5">
        <f>IFERROR(__xludf.DUMMYFUNCTION("""COMPUTED_VALUE"""),111.0)</f>
        <v>111</v>
      </c>
      <c r="G92" s="5" t="str">
        <f>IFERROR(__xludf.DUMMYFUNCTION("""COMPUTED_VALUE"""),"Box Score")</f>
        <v>Box Score</v>
      </c>
      <c r="H92" s="5"/>
      <c r="I92" s="7">
        <f>IFERROR(__xludf.DUMMYFUNCTION("""COMPUTED_VALUE"""),19964.0)</f>
        <v>19964</v>
      </c>
      <c r="J92" s="5"/>
    </row>
    <row r="93" ht="15.75" customHeight="1">
      <c r="A93" s="6">
        <f>IFERROR(__xludf.DUMMYFUNCTION("""COMPUTED_VALUE"""),43571.0)</f>
        <v>43571</v>
      </c>
      <c r="B93" s="5" t="str">
        <f>IFERROR(__xludf.DUMMYFUNCTION("""COMPUTED_VALUE"""),"9:00p")</f>
        <v>9:00p</v>
      </c>
      <c r="C93" s="5" t="str">
        <f>IFERROR(__xludf.DUMMYFUNCTION("""COMPUTED_VALUE"""),"San Antonio Spurs")</f>
        <v>San Antonio Spurs</v>
      </c>
      <c r="D93" s="5">
        <f>IFERROR(__xludf.DUMMYFUNCTION("""COMPUTED_VALUE"""),105.0)</f>
        <v>105</v>
      </c>
      <c r="E93" s="5" t="str">
        <f>IFERROR(__xludf.DUMMYFUNCTION("""COMPUTED_VALUE"""),"Denver Nuggets")</f>
        <v>Denver Nuggets</v>
      </c>
      <c r="F93" s="5">
        <f>IFERROR(__xludf.DUMMYFUNCTION("""COMPUTED_VALUE"""),114.0)</f>
        <v>114</v>
      </c>
      <c r="G93" s="5" t="str">
        <f>IFERROR(__xludf.DUMMYFUNCTION("""COMPUTED_VALUE"""),"Box Score")</f>
        <v>Box Score</v>
      </c>
      <c r="H93" s="5"/>
      <c r="I93" s="7">
        <f>IFERROR(__xludf.DUMMYFUNCTION("""COMPUTED_VALUE"""),19520.0)</f>
        <v>19520</v>
      </c>
      <c r="J93" s="5"/>
    </row>
    <row r="94" ht="15.75" customHeight="1">
      <c r="A94" s="6">
        <f>IFERROR(__xludf.DUMMYFUNCTION("""COMPUTED_VALUE"""),43571.0)</f>
        <v>43571</v>
      </c>
      <c r="B94" s="5" t="str">
        <f>IFERROR(__xludf.DUMMYFUNCTION("""COMPUTED_VALUE"""),"10:30p")</f>
        <v>10:30p</v>
      </c>
      <c r="C94" s="5" t="str">
        <f>IFERROR(__xludf.DUMMYFUNCTION("""COMPUTED_VALUE"""),"Oklahoma City Thunder")</f>
        <v>Oklahoma City Thunder</v>
      </c>
      <c r="D94" s="5">
        <f>IFERROR(__xludf.DUMMYFUNCTION("""COMPUTED_VALUE"""),94.0)</f>
        <v>94</v>
      </c>
      <c r="E94" s="5" t="str">
        <f>IFERROR(__xludf.DUMMYFUNCTION("""COMPUTED_VALUE"""),"Portland Trail Blazers")</f>
        <v>Portland Trail Blazers</v>
      </c>
      <c r="F94" s="5">
        <f>IFERROR(__xludf.DUMMYFUNCTION("""COMPUTED_VALUE"""),114.0)</f>
        <v>114</v>
      </c>
      <c r="G94" s="5" t="str">
        <f>IFERROR(__xludf.DUMMYFUNCTION("""COMPUTED_VALUE"""),"Box Score")</f>
        <v>Box Score</v>
      </c>
      <c r="H94" s="5"/>
      <c r="I94" s="7">
        <f>IFERROR(__xludf.DUMMYFUNCTION("""COMPUTED_VALUE"""),20041.0)</f>
        <v>20041</v>
      </c>
      <c r="J94" s="5"/>
    </row>
    <row r="95" ht="15.75" customHeight="1">
      <c r="A95" s="6">
        <f>IFERROR(__xludf.DUMMYFUNCTION("""COMPUTED_VALUE"""),43572.0)</f>
        <v>43572</v>
      </c>
      <c r="B95" s="5" t="str">
        <f>IFERROR(__xludf.DUMMYFUNCTION("""COMPUTED_VALUE"""),"7:00p")</f>
        <v>7:00p</v>
      </c>
      <c r="C95" s="5" t="str">
        <f>IFERROR(__xludf.DUMMYFUNCTION("""COMPUTED_VALUE"""),"Indiana Pacers")</f>
        <v>Indiana Pacers</v>
      </c>
      <c r="D95" s="5">
        <f>IFERROR(__xludf.DUMMYFUNCTION("""COMPUTED_VALUE"""),91.0)</f>
        <v>91</v>
      </c>
      <c r="E95" s="5" t="str">
        <f>IFERROR(__xludf.DUMMYFUNCTION("""COMPUTED_VALUE"""),"Boston Celtics")</f>
        <v>Boston Celtics</v>
      </c>
      <c r="F95" s="5">
        <f>IFERROR(__xludf.DUMMYFUNCTION("""COMPUTED_VALUE"""),99.0)</f>
        <v>99</v>
      </c>
      <c r="G95" s="5" t="str">
        <f>IFERROR(__xludf.DUMMYFUNCTION("""COMPUTED_VALUE"""),"Box Score")</f>
        <v>Box Score</v>
      </c>
      <c r="H95" s="5"/>
      <c r="I95" s="7">
        <f>IFERROR(__xludf.DUMMYFUNCTION("""COMPUTED_VALUE"""),18624.0)</f>
        <v>18624</v>
      </c>
      <c r="J95" s="5"/>
    </row>
    <row r="96" ht="15.75" customHeight="1">
      <c r="A96" s="6">
        <f>IFERROR(__xludf.DUMMYFUNCTION("""COMPUTED_VALUE"""),43572.0)</f>
        <v>43572</v>
      </c>
      <c r="B96" s="5" t="str">
        <f>IFERROR(__xludf.DUMMYFUNCTION("""COMPUTED_VALUE"""),"8:00p")</f>
        <v>8:00p</v>
      </c>
      <c r="C96" s="5" t="str">
        <f>IFERROR(__xludf.DUMMYFUNCTION("""COMPUTED_VALUE"""),"Detroit Pistons")</f>
        <v>Detroit Pistons</v>
      </c>
      <c r="D96" s="5">
        <f>IFERROR(__xludf.DUMMYFUNCTION("""COMPUTED_VALUE"""),99.0)</f>
        <v>99</v>
      </c>
      <c r="E96" s="5" t="str">
        <f>IFERROR(__xludf.DUMMYFUNCTION("""COMPUTED_VALUE"""),"Milwaukee Bucks")</f>
        <v>Milwaukee Bucks</v>
      </c>
      <c r="F96" s="5">
        <f>IFERROR(__xludf.DUMMYFUNCTION("""COMPUTED_VALUE"""),120.0)</f>
        <v>120</v>
      </c>
      <c r="G96" s="5" t="str">
        <f>IFERROR(__xludf.DUMMYFUNCTION("""COMPUTED_VALUE"""),"Box Score")</f>
        <v>Box Score</v>
      </c>
      <c r="H96" s="5"/>
      <c r="I96" s="7">
        <f>IFERROR(__xludf.DUMMYFUNCTION("""COMPUTED_VALUE"""),17513.0)</f>
        <v>17513</v>
      </c>
      <c r="J96" s="5"/>
    </row>
    <row r="97" ht="15.75" customHeight="1">
      <c r="A97" s="6">
        <f>IFERROR(__xludf.DUMMYFUNCTION("""COMPUTED_VALUE"""),43572.0)</f>
        <v>43572</v>
      </c>
      <c r="B97" s="5" t="str">
        <f>IFERROR(__xludf.DUMMYFUNCTION("""COMPUTED_VALUE"""),"9:30p")</f>
        <v>9:30p</v>
      </c>
      <c r="C97" s="5" t="str">
        <f>IFERROR(__xludf.DUMMYFUNCTION("""COMPUTED_VALUE"""),"Utah Jazz")</f>
        <v>Utah Jazz</v>
      </c>
      <c r="D97" s="5">
        <f>IFERROR(__xludf.DUMMYFUNCTION("""COMPUTED_VALUE"""),98.0)</f>
        <v>98</v>
      </c>
      <c r="E97" s="5" t="str">
        <f>IFERROR(__xludf.DUMMYFUNCTION("""COMPUTED_VALUE"""),"Houston Rockets")</f>
        <v>Houston Rockets</v>
      </c>
      <c r="F97" s="5">
        <f>IFERROR(__xludf.DUMMYFUNCTION("""COMPUTED_VALUE"""),118.0)</f>
        <v>118</v>
      </c>
      <c r="G97" s="5" t="str">
        <f>IFERROR(__xludf.DUMMYFUNCTION("""COMPUTED_VALUE"""),"Box Score")</f>
        <v>Box Score</v>
      </c>
      <c r="H97" s="5"/>
      <c r="I97" s="7">
        <f>IFERROR(__xludf.DUMMYFUNCTION("""COMPUTED_VALUE"""),18055.0)</f>
        <v>18055</v>
      </c>
      <c r="J97" s="5"/>
    </row>
    <row r="98" ht="15.75" customHeight="1">
      <c r="A98" s="6">
        <f>IFERROR(__xludf.DUMMYFUNCTION("""COMPUTED_VALUE"""),43573.0)</f>
        <v>43573</v>
      </c>
      <c r="B98" s="5" t="str">
        <f>IFERROR(__xludf.DUMMYFUNCTION("""COMPUTED_VALUE"""),"8:00p")</f>
        <v>8:00p</v>
      </c>
      <c r="C98" s="5" t="str">
        <f>IFERROR(__xludf.DUMMYFUNCTION("""COMPUTED_VALUE"""),"Philadelphia 76ers")</f>
        <v>Philadelphia 76ers</v>
      </c>
      <c r="D98" s="5">
        <f>IFERROR(__xludf.DUMMYFUNCTION("""COMPUTED_VALUE"""),131.0)</f>
        <v>131</v>
      </c>
      <c r="E98" s="5" t="str">
        <f>IFERROR(__xludf.DUMMYFUNCTION("""COMPUTED_VALUE"""),"Brooklyn Nets")</f>
        <v>Brooklyn Nets</v>
      </c>
      <c r="F98" s="5">
        <f>IFERROR(__xludf.DUMMYFUNCTION("""COMPUTED_VALUE"""),115.0)</f>
        <v>115</v>
      </c>
      <c r="G98" s="5" t="str">
        <f>IFERROR(__xludf.DUMMYFUNCTION("""COMPUTED_VALUE"""),"Box Score")</f>
        <v>Box Score</v>
      </c>
      <c r="H98" s="5"/>
      <c r="I98" s="7">
        <f>IFERROR(__xludf.DUMMYFUNCTION("""COMPUTED_VALUE"""),17732.0)</f>
        <v>17732</v>
      </c>
      <c r="J98" s="5"/>
    </row>
    <row r="99" ht="15.75" customHeight="1">
      <c r="A99" s="6">
        <f>IFERROR(__xludf.DUMMYFUNCTION("""COMPUTED_VALUE"""),43573.0)</f>
        <v>43573</v>
      </c>
      <c r="B99" s="5" t="str">
        <f>IFERROR(__xludf.DUMMYFUNCTION("""COMPUTED_VALUE"""),"9:00p")</f>
        <v>9:00p</v>
      </c>
      <c r="C99" s="5" t="str">
        <f>IFERROR(__xludf.DUMMYFUNCTION("""COMPUTED_VALUE"""),"Denver Nuggets")</f>
        <v>Denver Nuggets</v>
      </c>
      <c r="D99" s="5">
        <f>IFERROR(__xludf.DUMMYFUNCTION("""COMPUTED_VALUE"""),108.0)</f>
        <v>108</v>
      </c>
      <c r="E99" s="5" t="str">
        <f>IFERROR(__xludf.DUMMYFUNCTION("""COMPUTED_VALUE"""),"San Antonio Spurs")</f>
        <v>San Antonio Spurs</v>
      </c>
      <c r="F99" s="5">
        <f>IFERROR(__xludf.DUMMYFUNCTION("""COMPUTED_VALUE"""),118.0)</f>
        <v>118</v>
      </c>
      <c r="G99" s="5" t="str">
        <f>IFERROR(__xludf.DUMMYFUNCTION("""COMPUTED_VALUE"""),"Box Score")</f>
        <v>Box Score</v>
      </c>
      <c r="H99" s="5"/>
      <c r="I99" s="7">
        <f>IFERROR(__xludf.DUMMYFUNCTION("""COMPUTED_VALUE"""),18354.0)</f>
        <v>18354</v>
      </c>
      <c r="J99" s="5"/>
    </row>
    <row r="100" ht="15.75" customHeight="1">
      <c r="A100" s="6">
        <f>IFERROR(__xludf.DUMMYFUNCTION("""COMPUTED_VALUE"""),43573.0)</f>
        <v>43573</v>
      </c>
      <c r="B100" s="5" t="str">
        <f>IFERROR(__xludf.DUMMYFUNCTION("""COMPUTED_VALUE"""),"10:30p")</f>
        <v>10:30p</v>
      </c>
      <c r="C100" s="5" t="str">
        <f>IFERROR(__xludf.DUMMYFUNCTION("""COMPUTED_VALUE"""),"Golden State Warriors")</f>
        <v>Golden State Warriors</v>
      </c>
      <c r="D100" s="5">
        <f>IFERROR(__xludf.DUMMYFUNCTION("""COMPUTED_VALUE"""),132.0)</f>
        <v>132</v>
      </c>
      <c r="E100" s="5" t="str">
        <f>IFERROR(__xludf.DUMMYFUNCTION("""COMPUTED_VALUE"""),"Los Angeles Clippers")</f>
        <v>Los Angeles Clippers</v>
      </c>
      <c r="F100" s="5">
        <f>IFERROR(__xludf.DUMMYFUNCTION("""COMPUTED_VALUE"""),105.0)</f>
        <v>105</v>
      </c>
      <c r="G100" s="5" t="str">
        <f>IFERROR(__xludf.DUMMYFUNCTION("""COMPUTED_VALUE"""),"Box Score")</f>
        <v>Box Score</v>
      </c>
      <c r="H100" s="5"/>
      <c r="I100" s="7">
        <f>IFERROR(__xludf.DUMMYFUNCTION("""COMPUTED_VALUE"""),19068.0)</f>
        <v>19068</v>
      </c>
      <c r="J100" s="5"/>
    </row>
    <row r="101" ht="15.75" customHeight="1">
      <c r="A101" s="6">
        <f>IFERROR(__xludf.DUMMYFUNCTION("""COMPUTED_VALUE"""),43574.0)</f>
        <v>43574</v>
      </c>
      <c r="B101" s="5" t="str">
        <f>IFERROR(__xludf.DUMMYFUNCTION("""COMPUTED_VALUE"""),"7:00p")</f>
        <v>7:00p</v>
      </c>
      <c r="C101" s="5" t="str">
        <f>IFERROR(__xludf.DUMMYFUNCTION("""COMPUTED_VALUE"""),"Toronto Raptors")</f>
        <v>Toronto Raptors</v>
      </c>
      <c r="D101" s="5">
        <f>IFERROR(__xludf.DUMMYFUNCTION("""COMPUTED_VALUE"""),98.0)</f>
        <v>98</v>
      </c>
      <c r="E101" s="5" t="str">
        <f>IFERROR(__xludf.DUMMYFUNCTION("""COMPUTED_VALUE"""),"Orlando Magic")</f>
        <v>Orlando Magic</v>
      </c>
      <c r="F101" s="5">
        <f>IFERROR(__xludf.DUMMYFUNCTION("""COMPUTED_VALUE"""),93.0)</f>
        <v>93</v>
      </c>
      <c r="G101" s="5" t="str">
        <f>IFERROR(__xludf.DUMMYFUNCTION("""COMPUTED_VALUE"""),"Box Score")</f>
        <v>Box Score</v>
      </c>
      <c r="H101" s="5"/>
      <c r="I101" s="7">
        <f>IFERROR(__xludf.DUMMYFUNCTION("""COMPUTED_VALUE"""),19367.0)</f>
        <v>19367</v>
      </c>
      <c r="J101" s="5"/>
    </row>
    <row r="102" ht="15.75" customHeight="1">
      <c r="A102" s="6">
        <f>IFERROR(__xludf.DUMMYFUNCTION("""COMPUTED_VALUE"""),43574.0)</f>
        <v>43574</v>
      </c>
      <c r="B102" s="5" t="str">
        <f>IFERROR(__xludf.DUMMYFUNCTION("""COMPUTED_VALUE"""),"8:30p")</f>
        <v>8:30p</v>
      </c>
      <c r="C102" s="5" t="str">
        <f>IFERROR(__xludf.DUMMYFUNCTION("""COMPUTED_VALUE"""),"Boston Celtics")</f>
        <v>Boston Celtics</v>
      </c>
      <c r="D102" s="5">
        <f>IFERROR(__xludf.DUMMYFUNCTION("""COMPUTED_VALUE"""),104.0)</f>
        <v>104</v>
      </c>
      <c r="E102" s="5" t="str">
        <f>IFERROR(__xludf.DUMMYFUNCTION("""COMPUTED_VALUE"""),"Indiana Pacers")</f>
        <v>Indiana Pacers</v>
      </c>
      <c r="F102" s="5">
        <f>IFERROR(__xludf.DUMMYFUNCTION("""COMPUTED_VALUE"""),96.0)</f>
        <v>96</v>
      </c>
      <c r="G102" s="5" t="str">
        <f>IFERROR(__xludf.DUMMYFUNCTION("""COMPUTED_VALUE"""),"Box Score")</f>
        <v>Box Score</v>
      </c>
      <c r="H102" s="5"/>
      <c r="I102" s="7">
        <f>IFERROR(__xludf.DUMMYFUNCTION("""COMPUTED_VALUE"""),17923.0)</f>
        <v>17923</v>
      </c>
      <c r="J102" s="5"/>
    </row>
    <row r="103" ht="15.75" customHeight="1">
      <c r="A103" s="6">
        <f>IFERROR(__xludf.DUMMYFUNCTION("""COMPUTED_VALUE"""),43574.0)</f>
        <v>43574</v>
      </c>
      <c r="B103" s="5" t="str">
        <f>IFERROR(__xludf.DUMMYFUNCTION("""COMPUTED_VALUE"""),"9:30p")</f>
        <v>9:30p</v>
      </c>
      <c r="C103" s="5" t="str">
        <f>IFERROR(__xludf.DUMMYFUNCTION("""COMPUTED_VALUE"""),"Portland Trail Blazers")</f>
        <v>Portland Trail Blazers</v>
      </c>
      <c r="D103" s="5">
        <f>IFERROR(__xludf.DUMMYFUNCTION("""COMPUTED_VALUE"""),108.0)</f>
        <v>108</v>
      </c>
      <c r="E103" s="5" t="str">
        <f>IFERROR(__xludf.DUMMYFUNCTION("""COMPUTED_VALUE"""),"Oklahoma City Thunder")</f>
        <v>Oklahoma City Thunder</v>
      </c>
      <c r="F103" s="5">
        <f>IFERROR(__xludf.DUMMYFUNCTION("""COMPUTED_VALUE"""),120.0)</f>
        <v>120</v>
      </c>
      <c r="G103" s="5" t="str">
        <f>IFERROR(__xludf.DUMMYFUNCTION("""COMPUTED_VALUE"""),"Box Score")</f>
        <v>Box Score</v>
      </c>
      <c r="H103" s="5"/>
      <c r="I103" s="7">
        <f>IFERROR(__xludf.DUMMYFUNCTION("""COMPUTED_VALUE"""),18203.0)</f>
        <v>18203</v>
      </c>
      <c r="J103" s="5"/>
    </row>
    <row r="104" ht="15.75" customHeight="1">
      <c r="A104" s="6">
        <f>IFERROR(__xludf.DUMMYFUNCTION("""COMPUTED_VALUE"""),43575.0)</f>
        <v>43575</v>
      </c>
      <c r="B104" s="5" t="str">
        <f>IFERROR(__xludf.DUMMYFUNCTION("""COMPUTED_VALUE"""),"3:00p")</f>
        <v>3:00p</v>
      </c>
      <c r="C104" s="5" t="str">
        <f>IFERROR(__xludf.DUMMYFUNCTION("""COMPUTED_VALUE"""),"Philadelphia 76ers")</f>
        <v>Philadelphia 76ers</v>
      </c>
      <c r="D104" s="5">
        <f>IFERROR(__xludf.DUMMYFUNCTION("""COMPUTED_VALUE"""),112.0)</f>
        <v>112</v>
      </c>
      <c r="E104" s="5" t="str">
        <f>IFERROR(__xludf.DUMMYFUNCTION("""COMPUTED_VALUE"""),"Brooklyn Nets")</f>
        <v>Brooklyn Nets</v>
      </c>
      <c r="F104" s="5">
        <f>IFERROR(__xludf.DUMMYFUNCTION("""COMPUTED_VALUE"""),108.0)</f>
        <v>108</v>
      </c>
      <c r="G104" s="5" t="str">
        <f>IFERROR(__xludf.DUMMYFUNCTION("""COMPUTED_VALUE"""),"Box Score")</f>
        <v>Box Score</v>
      </c>
      <c r="H104" s="5"/>
      <c r="I104" s="7">
        <f>IFERROR(__xludf.DUMMYFUNCTION("""COMPUTED_VALUE"""),17732.0)</f>
        <v>17732</v>
      </c>
      <c r="J104" s="5"/>
    </row>
    <row r="105" ht="15.75" customHeight="1">
      <c r="A105" s="6">
        <f>IFERROR(__xludf.DUMMYFUNCTION("""COMPUTED_VALUE"""),43575.0)</f>
        <v>43575</v>
      </c>
      <c r="B105" s="5" t="str">
        <f>IFERROR(__xludf.DUMMYFUNCTION("""COMPUTED_VALUE"""),"5:30p")</f>
        <v>5:30p</v>
      </c>
      <c r="C105" s="5" t="str">
        <f>IFERROR(__xludf.DUMMYFUNCTION("""COMPUTED_VALUE"""),"Denver Nuggets")</f>
        <v>Denver Nuggets</v>
      </c>
      <c r="D105" s="5">
        <f>IFERROR(__xludf.DUMMYFUNCTION("""COMPUTED_VALUE"""),117.0)</f>
        <v>117</v>
      </c>
      <c r="E105" s="5" t="str">
        <f>IFERROR(__xludf.DUMMYFUNCTION("""COMPUTED_VALUE"""),"San Antonio Spurs")</f>
        <v>San Antonio Spurs</v>
      </c>
      <c r="F105" s="5">
        <f>IFERROR(__xludf.DUMMYFUNCTION("""COMPUTED_VALUE"""),103.0)</f>
        <v>103</v>
      </c>
      <c r="G105" s="5" t="str">
        <f>IFERROR(__xludf.DUMMYFUNCTION("""COMPUTED_VALUE"""),"Box Score")</f>
        <v>Box Score</v>
      </c>
      <c r="H105" s="5"/>
      <c r="I105" s="7">
        <f>IFERROR(__xludf.DUMMYFUNCTION("""COMPUTED_VALUE"""),18354.0)</f>
        <v>18354</v>
      </c>
      <c r="J105" s="5"/>
    </row>
    <row r="106" ht="15.75" customHeight="1">
      <c r="A106" s="6">
        <f>IFERROR(__xludf.DUMMYFUNCTION("""COMPUTED_VALUE"""),43575.0)</f>
        <v>43575</v>
      </c>
      <c r="B106" s="5" t="str">
        <f>IFERROR(__xludf.DUMMYFUNCTION("""COMPUTED_VALUE"""),"8:00p")</f>
        <v>8:00p</v>
      </c>
      <c r="C106" s="5" t="str">
        <f>IFERROR(__xludf.DUMMYFUNCTION("""COMPUTED_VALUE"""),"Milwaukee Bucks")</f>
        <v>Milwaukee Bucks</v>
      </c>
      <c r="D106" s="5">
        <f>IFERROR(__xludf.DUMMYFUNCTION("""COMPUTED_VALUE"""),119.0)</f>
        <v>119</v>
      </c>
      <c r="E106" s="5" t="str">
        <f>IFERROR(__xludf.DUMMYFUNCTION("""COMPUTED_VALUE"""),"Detroit Pistons")</f>
        <v>Detroit Pistons</v>
      </c>
      <c r="F106" s="5">
        <f>IFERROR(__xludf.DUMMYFUNCTION("""COMPUTED_VALUE"""),103.0)</f>
        <v>103</v>
      </c>
      <c r="G106" s="5" t="str">
        <f>IFERROR(__xludf.DUMMYFUNCTION("""COMPUTED_VALUE"""),"Box Score")</f>
        <v>Box Score</v>
      </c>
      <c r="H106" s="5"/>
      <c r="I106" s="7">
        <f>IFERROR(__xludf.DUMMYFUNCTION("""COMPUTED_VALUE"""),20520.0)</f>
        <v>20520</v>
      </c>
      <c r="J106" s="5"/>
    </row>
    <row r="107" ht="15.75" customHeight="1">
      <c r="A107" s="6">
        <f>IFERROR(__xludf.DUMMYFUNCTION("""COMPUTED_VALUE"""),43575.0)</f>
        <v>43575</v>
      </c>
      <c r="B107" s="5" t="str">
        <f>IFERROR(__xludf.DUMMYFUNCTION("""COMPUTED_VALUE"""),"10:30p")</f>
        <v>10:30p</v>
      </c>
      <c r="C107" s="5" t="str">
        <f>IFERROR(__xludf.DUMMYFUNCTION("""COMPUTED_VALUE"""),"Houston Rockets")</f>
        <v>Houston Rockets</v>
      </c>
      <c r="D107" s="5">
        <f>IFERROR(__xludf.DUMMYFUNCTION("""COMPUTED_VALUE"""),104.0)</f>
        <v>104</v>
      </c>
      <c r="E107" s="5" t="str">
        <f>IFERROR(__xludf.DUMMYFUNCTION("""COMPUTED_VALUE"""),"Utah Jazz")</f>
        <v>Utah Jazz</v>
      </c>
      <c r="F107" s="5">
        <f>IFERROR(__xludf.DUMMYFUNCTION("""COMPUTED_VALUE"""),101.0)</f>
        <v>101</v>
      </c>
      <c r="G107" s="5" t="str">
        <f>IFERROR(__xludf.DUMMYFUNCTION("""COMPUTED_VALUE"""),"Box Score")</f>
        <v>Box Score</v>
      </c>
      <c r="H107" s="5"/>
      <c r="I107" s="7">
        <f>IFERROR(__xludf.DUMMYFUNCTION("""COMPUTED_VALUE"""),18306.0)</f>
        <v>18306</v>
      </c>
      <c r="J107" s="5"/>
    </row>
    <row r="108" ht="15.75" customHeight="1">
      <c r="A108" s="6">
        <f>IFERROR(__xludf.DUMMYFUNCTION("""COMPUTED_VALUE"""),43576.0)</f>
        <v>43576</v>
      </c>
      <c r="B108" s="5" t="str">
        <f>IFERROR(__xludf.DUMMYFUNCTION("""COMPUTED_VALUE"""),"1:00p")</f>
        <v>1:00p</v>
      </c>
      <c r="C108" s="5" t="str">
        <f>IFERROR(__xludf.DUMMYFUNCTION("""COMPUTED_VALUE"""),"Boston Celtics")</f>
        <v>Boston Celtics</v>
      </c>
      <c r="D108" s="5">
        <f>IFERROR(__xludf.DUMMYFUNCTION("""COMPUTED_VALUE"""),110.0)</f>
        <v>110</v>
      </c>
      <c r="E108" s="5" t="str">
        <f>IFERROR(__xludf.DUMMYFUNCTION("""COMPUTED_VALUE"""),"Indiana Pacers")</f>
        <v>Indiana Pacers</v>
      </c>
      <c r="F108" s="5">
        <f>IFERROR(__xludf.DUMMYFUNCTION("""COMPUTED_VALUE"""),106.0)</f>
        <v>106</v>
      </c>
      <c r="G108" s="5" t="str">
        <f>IFERROR(__xludf.DUMMYFUNCTION("""COMPUTED_VALUE"""),"Box Score")</f>
        <v>Box Score</v>
      </c>
      <c r="H108" s="5"/>
      <c r="I108" s="7">
        <f>IFERROR(__xludf.DUMMYFUNCTION("""COMPUTED_VALUE"""),17923.0)</f>
        <v>17923</v>
      </c>
      <c r="J108" s="5"/>
    </row>
    <row r="109" ht="15.75" customHeight="1">
      <c r="A109" s="6">
        <f>IFERROR(__xludf.DUMMYFUNCTION("""COMPUTED_VALUE"""),43576.0)</f>
        <v>43576</v>
      </c>
      <c r="B109" s="5" t="str">
        <f>IFERROR(__xludf.DUMMYFUNCTION("""COMPUTED_VALUE"""),"3:30p")</f>
        <v>3:30p</v>
      </c>
      <c r="C109" s="5" t="str">
        <f>IFERROR(__xludf.DUMMYFUNCTION("""COMPUTED_VALUE"""),"Golden State Warriors")</f>
        <v>Golden State Warriors</v>
      </c>
      <c r="D109" s="5">
        <f>IFERROR(__xludf.DUMMYFUNCTION("""COMPUTED_VALUE"""),113.0)</f>
        <v>113</v>
      </c>
      <c r="E109" s="5" t="str">
        <f>IFERROR(__xludf.DUMMYFUNCTION("""COMPUTED_VALUE"""),"Los Angeles Clippers")</f>
        <v>Los Angeles Clippers</v>
      </c>
      <c r="F109" s="5">
        <f>IFERROR(__xludf.DUMMYFUNCTION("""COMPUTED_VALUE"""),105.0)</f>
        <v>105</v>
      </c>
      <c r="G109" s="5" t="str">
        <f>IFERROR(__xludf.DUMMYFUNCTION("""COMPUTED_VALUE"""),"Box Score")</f>
        <v>Box Score</v>
      </c>
      <c r="H109" s="5"/>
      <c r="I109" s="7">
        <f>IFERROR(__xludf.DUMMYFUNCTION("""COMPUTED_VALUE"""),19068.0)</f>
        <v>19068</v>
      </c>
      <c r="J109" s="5"/>
    </row>
    <row r="110" ht="15.75" customHeight="1">
      <c r="A110" s="6">
        <f>IFERROR(__xludf.DUMMYFUNCTION("""COMPUTED_VALUE"""),43576.0)</f>
        <v>43576</v>
      </c>
      <c r="B110" s="5" t="str">
        <f>IFERROR(__xludf.DUMMYFUNCTION("""COMPUTED_VALUE"""),"7:00p")</f>
        <v>7:00p</v>
      </c>
      <c r="C110" s="5" t="str">
        <f>IFERROR(__xludf.DUMMYFUNCTION("""COMPUTED_VALUE"""),"Toronto Raptors")</f>
        <v>Toronto Raptors</v>
      </c>
      <c r="D110" s="5">
        <f>IFERROR(__xludf.DUMMYFUNCTION("""COMPUTED_VALUE"""),107.0)</f>
        <v>107</v>
      </c>
      <c r="E110" s="5" t="str">
        <f>IFERROR(__xludf.DUMMYFUNCTION("""COMPUTED_VALUE"""),"Orlando Magic")</f>
        <v>Orlando Magic</v>
      </c>
      <c r="F110" s="5">
        <f>IFERROR(__xludf.DUMMYFUNCTION("""COMPUTED_VALUE"""),85.0)</f>
        <v>85</v>
      </c>
      <c r="G110" s="5" t="str">
        <f>IFERROR(__xludf.DUMMYFUNCTION("""COMPUTED_VALUE"""),"Box Score")</f>
        <v>Box Score</v>
      </c>
      <c r="H110" s="5"/>
      <c r="I110" s="7">
        <f>IFERROR(__xludf.DUMMYFUNCTION("""COMPUTED_VALUE"""),19087.0)</f>
        <v>19087</v>
      </c>
      <c r="J110" s="5"/>
    </row>
    <row r="111" ht="15.75" customHeight="1">
      <c r="A111" s="6">
        <f>IFERROR(__xludf.DUMMYFUNCTION("""COMPUTED_VALUE"""),43576.0)</f>
        <v>43576</v>
      </c>
      <c r="B111" s="5" t="str">
        <f>IFERROR(__xludf.DUMMYFUNCTION("""COMPUTED_VALUE"""),"9:30p")</f>
        <v>9:30p</v>
      </c>
      <c r="C111" s="5" t="str">
        <f>IFERROR(__xludf.DUMMYFUNCTION("""COMPUTED_VALUE"""),"Portland Trail Blazers")</f>
        <v>Portland Trail Blazers</v>
      </c>
      <c r="D111" s="5">
        <f>IFERROR(__xludf.DUMMYFUNCTION("""COMPUTED_VALUE"""),111.0)</f>
        <v>111</v>
      </c>
      <c r="E111" s="5" t="str">
        <f>IFERROR(__xludf.DUMMYFUNCTION("""COMPUTED_VALUE"""),"Oklahoma City Thunder")</f>
        <v>Oklahoma City Thunder</v>
      </c>
      <c r="F111" s="5">
        <f>IFERROR(__xludf.DUMMYFUNCTION("""COMPUTED_VALUE"""),98.0)</f>
        <v>98</v>
      </c>
      <c r="G111" s="5" t="str">
        <f>IFERROR(__xludf.DUMMYFUNCTION("""COMPUTED_VALUE"""),"Box Score")</f>
        <v>Box Score</v>
      </c>
      <c r="H111" s="5"/>
      <c r="I111" s="7">
        <f>IFERROR(__xludf.DUMMYFUNCTION("""COMPUTED_VALUE"""),18203.0)</f>
        <v>18203</v>
      </c>
      <c r="J111" s="5"/>
    </row>
    <row r="112" ht="15.75" customHeight="1">
      <c r="A112" s="6">
        <f>IFERROR(__xludf.DUMMYFUNCTION("""COMPUTED_VALUE"""),43577.0)</f>
        <v>43577</v>
      </c>
      <c r="B112" s="5" t="str">
        <f>IFERROR(__xludf.DUMMYFUNCTION("""COMPUTED_VALUE"""),"8:00p")</f>
        <v>8:00p</v>
      </c>
      <c r="C112" s="5" t="str">
        <f>IFERROR(__xludf.DUMMYFUNCTION("""COMPUTED_VALUE"""),"Milwaukee Bucks")</f>
        <v>Milwaukee Bucks</v>
      </c>
      <c r="D112" s="5">
        <f>IFERROR(__xludf.DUMMYFUNCTION("""COMPUTED_VALUE"""),127.0)</f>
        <v>127</v>
      </c>
      <c r="E112" s="5" t="str">
        <f>IFERROR(__xludf.DUMMYFUNCTION("""COMPUTED_VALUE"""),"Detroit Pistons")</f>
        <v>Detroit Pistons</v>
      </c>
      <c r="F112" s="5">
        <f>IFERROR(__xludf.DUMMYFUNCTION("""COMPUTED_VALUE"""),104.0)</f>
        <v>104</v>
      </c>
      <c r="G112" s="5" t="str">
        <f>IFERROR(__xludf.DUMMYFUNCTION("""COMPUTED_VALUE"""),"Box Score")</f>
        <v>Box Score</v>
      </c>
      <c r="H112" s="5"/>
      <c r="I112" s="7">
        <f>IFERROR(__xludf.DUMMYFUNCTION("""COMPUTED_VALUE"""),20332.0)</f>
        <v>20332</v>
      </c>
      <c r="J112" s="5"/>
    </row>
    <row r="113" ht="15.75" customHeight="1">
      <c r="A113" s="6">
        <f>IFERROR(__xludf.DUMMYFUNCTION("""COMPUTED_VALUE"""),43577.0)</f>
        <v>43577</v>
      </c>
      <c r="B113" s="5" t="str">
        <f>IFERROR(__xludf.DUMMYFUNCTION("""COMPUTED_VALUE"""),"10:30p")</f>
        <v>10:30p</v>
      </c>
      <c r="C113" s="5" t="str">
        <f>IFERROR(__xludf.DUMMYFUNCTION("""COMPUTED_VALUE"""),"Houston Rockets")</f>
        <v>Houston Rockets</v>
      </c>
      <c r="D113" s="5">
        <f>IFERROR(__xludf.DUMMYFUNCTION("""COMPUTED_VALUE"""),91.0)</f>
        <v>91</v>
      </c>
      <c r="E113" s="5" t="str">
        <f>IFERROR(__xludf.DUMMYFUNCTION("""COMPUTED_VALUE"""),"Utah Jazz")</f>
        <v>Utah Jazz</v>
      </c>
      <c r="F113" s="5">
        <f>IFERROR(__xludf.DUMMYFUNCTION("""COMPUTED_VALUE"""),107.0)</f>
        <v>107</v>
      </c>
      <c r="G113" s="5" t="str">
        <f>IFERROR(__xludf.DUMMYFUNCTION("""COMPUTED_VALUE"""),"Box Score")</f>
        <v>Box Score</v>
      </c>
      <c r="H113" s="5"/>
      <c r="I113" s="7">
        <f>IFERROR(__xludf.DUMMYFUNCTION("""COMPUTED_VALUE"""),18306.0)</f>
        <v>18306</v>
      </c>
      <c r="J113" s="5"/>
    </row>
    <row r="114" ht="15.75" customHeight="1">
      <c r="A114" s="6">
        <f>IFERROR(__xludf.DUMMYFUNCTION("""COMPUTED_VALUE"""),43578.0)</f>
        <v>43578</v>
      </c>
      <c r="B114" s="5" t="str">
        <f>IFERROR(__xludf.DUMMYFUNCTION("""COMPUTED_VALUE"""),"7:00p")</f>
        <v>7:00p</v>
      </c>
      <c r="C114" s="5" t="str">
        <f>IFERROR(__xludf.DUMMYFUNCTION("""COMPUTED_VALUE"""),"Orlando Magic")</f>
        <v>Orlando Magic</v>
      </c>
      <c r="D114" s="5">
        <f>IFERROR(__xludf.DUMMYFUNCTION("""COMPUTED_VALUE"""),96.0)</f>
        <v>96</v>
      </c>
      <c r="E114" s="5" t="str">
        <f>IFERROR(__xludf.DUMMYFUNCTION("""COMPUTED_VALUE"""),"Toronto Raptors")</f>
        <v>Toronto Raptors</v>
      </c>
      <c r="F114" s="5">
        <f>IFERROR(__xludf.DUMMYFUNCTION("""COMPUTED_VALUE"""),115.0)</f>
        <v>115</v>
      </c>
      <c r="G114" s="5" t="str">
        <f>IFERROR(__xludf.DUMMYFUNCTION("""COMPUTED_VALUE"""),"Box Score")</f>
        <v>Box Score</v>
      </c>
      <c r="H114" s="5"/>
      <c r="I114" s="7">
        <f>IFERROR(__xludf.DUMMYFUNCTION("""COMPUTED_VALUE"""),19800.0)</f>
        <v>19800</v>
      </c>
      <c r="J114" s="5"/>
    </row>
    <row r="115" ht="15.75" customHeight="1">
      <c r="A115" s="6">
        <f>IFERROR(__xludf.DUMMYFUNCTION("""COMPUTED_VALUE"""),43578.0)</f>
        <v>43578</v>
      </c>
      <c r="B115" s="5" t="str">
        <f>IFERROR(__xludf.DUMMYFUNCTION("""COMPUTED_VALUE"""),"8:00p")</f>
        <v>8:00p</v>
      </c>
      <c r="C115" s="5" t="str">
        <f>IFERROR(__xludf.DUMMYFUNCTION("""COMPUTED_VALUE"""),"Brooklyn Nets")</f>
        <v>Brooklyn Nets</v>
      </c>
      <c r="D115" s="5">
        <f>IFERROR(__xludf.DUMMYFUNCTION("""COMPUTED_VALUE"""),100.0)</f>
        <v>100</v>
      </c>
      <c r="E115" s="5" t="str">
        <f>IFERROR(__xludf.DUMMYFUNCTION("""COMPUTED_VALUE"""),"Philadelphia 76ers")</f>
        <v>Philadelphia 76ers</v>
      </c>
      <c r="F115" s="5">
        <f>IFERROR(__xludf.DUMMYFUNCTION("""COMPUTED_VALUE"""),122.0)</f>
        <v>122</v>
      </c>
      <c r="G115" s="5" t="str">
        <f>IFERROR(__xludf.DUMMYFUNCTION("""COMPUTED_VALUE"""),"Box Score")</f>
        <v>Box Score</v>
      </c>
      <c r="H115" s="5"/>
      <c r="I115" s="7">
        <f>IFERROR(__xludf.DUMMYFUNCTION("""COMPUTED_VALUE"""),20595.0)</f>
        <v>20595</v>
      </c>
      <c r="J115" s="5"/>
    </row>
    <row r="116" ht="15.75" customHeight="1">
      <c r="A116" s="6">
        <f>IFERROR(__xludf.DUMMYFUNCTION("""COMPUTED_VALUE"""),43578.0)</f>
        <v>43578</v>
      </c>
      <c r="B116" s="5" t="str">
        <f>IFERROR(__xludf.DUMMYFUNCTION("""COMPUTED_VALUE"""),"9:30p")</f>
        <v>9:30p</v>
      </c>
      <c r="C116" s="5" t="str">
        <f>IFERROR(__xludf.DUMMYFUNCTION("""COMPUTED_VALUE"""),"San Antonio Spurs")</f>
        <v>San Antonio Spurs</v>
      </c>
      <c r="D116" s="5">
        <f>IFERROR(__xludf.DUMMYFUNCTION("""COMPUTED_VALUE"""),90.0)</f>
        <v>90</v>
      </c>
      <c r="E116" s="5" t="str">
        <f>IFERROR(__xludf.DUMMYFUNCTION("""COMPUTED_VALUE"""),"Denver Nuggets")</f>
        <v>Denver Nuggets</v>
      </c>
      <c r="F116" s="5">
        <f>IFERROR(__xludf.DUMMYFUNCTION("""COMPUTED_VALUE"""),108.0)</f>
        <v>108</v>
      </c>
      <c r="G116" s="5" t="str">
        <f>IFERROR(__xludf.DUMMYFUNCTION("""COMPUTED_VALUE"""),"Box Score")</f>
        <v>Box Score</v>
      </c>
      <c r="H116" s="5"/>
      <c r="I116" s="7">
        <f>IFERROR(__xludf.DUMMYFUNCTION("""COMPUTED_VALUE"""),19520.0)</f>
        <v>19520</v>
      </c>
      <c r="J116" s="5"/>
    </row>
    <row r="117" ht="15.75" customHeight="1">
      <c r="A117" s="6">
        <f>IFERROR(__xludf.DUMMYFUNCTION("""COMPUTED_VALUE"""),43578.0)</f>
        <v>43578</v>
      </c>
      <c r="B117" s="5" t="str">
        <f>IFERROR(__xludf.DUMMYFUNCTION("""COMPUTED_VALUE"""),"10:30p")</f>
        <v>10:30p</v>
      </c>
      <c r="C117" s="5" t="str">
        <f>IFERROR(__xludf.DUMMYFUNCTION("""COMPUTED_VALUE"""),"Oklahoma City Thunder")</f>
        <v>Oklahoma City Thunder</v>
      </c>
      <c r="D117" s="5">
        <f>IFERROR(__xludf.DUMMYFUNCTION("""COMPUTED_VALUE"""),115.0)</f>
        <v>115</v>
      </c>
      <c r="E117" s="5" t="str">
        <f>IFERROR(__xludf.DUMMYFUNCTION("""COMPUTED_VALUE"""),"Portland Trail Blazers")</f>
        <v>Portland Trail Blazers</v>
      </c>
      <c r="F117" s="5">
        <f>IFERROR(__xludf.DUMMYFUNCTION("""COMPUTED_VALUE"""),118.0)</f>
        <v>118</v>
      </c>
      <c r="G117" s="5" t="str">
        <f>IFERROR(__xludf.DUMMYFUNCTION("""COMPUTED_VALUE"""),"Box Score")</f>
        <v>Box Score</v>
      </c>
      <c r="H117" s="5"/>
      <c r="I117" s="7">
        <f>IFERROR(__xludf.DUMMYFUNCTION("""COMPUTED_VALUE"""),20241.0)</f>
        <v>20241</v>
      </c>
      <c r="J117" s="5"/>
    </row>
    <row r="118" ht="15.75" customHeight="1">
      <c r="A118" s="6">
        <f>IFERROR(__xludf.DUMMYFUNCTION("""COMPUTED_VALUE"""),43579.0)</f>
        <v>43579</v>
      </c>
      <c r="B118" s="5" t="str">
        <f>IFERROR(__xludf.DUMMYFUNCTION("""COMPUTED_VALUE"""),"8:00p")</f>
        <v>8:00p</v>
      </c>
      <c r="C118" s="5" t="str">
        <f>IFERROR(__xludf.DUMMYFUNCTION("""COMPUTED_VALUE"""),"Utah Jazz")</f>
        <v>Utah Jazz</v>
      </c>
      <c r="D118" s="5">
        <f>IFERROR(__xludf.DUMMYFUNCTION("""COMPUTED_VALUE"""),93.0)</f>
        <v>93</v>
      </c>
      <c r="E118" s="5" t="str">
        <f>IFERROR(__xludf.DUMMYFUNCTION("""COMPUTED_VALUE"""),"Houston Rockets")</f>
        <v>Houston Rockets</v>
      </c>
      <c r="F118" s="5">
        <f>IFERROR(__xludf.DUMMYFUNCTION("""COMPUTED_VALUE"""),100.0)</f>
        <v>100</v>
      </c>
      <c r="G118" s="5" t="str">
        <f>IFERROR(__xludf.DUMMYFUNCTION("""COMPUTED_VALUE"""),"Box Score")</f>
        <v>Box Score</v>
      </c>
      <c r="H118" s="5"/>
      <c r="I118" s="7">
        <f>IFERROR(__xludf.DUMMYFUNCTION("""COMPUTED_VALUE"""),18055.0)</f>
        <v>18055</v>
      </c>
      <c r="J118" s="5"/>
    </row>
    <row r="119" ht="15.75" customHeight="1">
      <c r="A119" s="6">
        <f>IFERROR(__xludf.DUMMYFUNCTION("""COMPUTED_VALUE"""),43579.0)</f>
        <v>43579</v>
      </c>
      <c r="B119" s="5" t="str">
        <f>IFERROR(__xludf.DUMMYFUNCTION("""COMPUTED_VALUE"""),"10:30p")</f>
        <v>10:30p</v>
      </c>
      <c r="C119" s="5" t="str">
        <f>IFERROR(__xludf.DUMMYFUNCTION("""COMPUTED_VALUE"""),"Los Angeles Clippers")</f>
        <v>Los Angeles Clippers</v>
      </c>
      <c r="D119" s="5">
        <f>IFERROR(__xludf.DUMMYFUNCTION("""COMPUTED_VALUE"""),129.0)</f>
        <v>129</v>
      </c>
      <c r="E119" s="5" t="str">
        <f>IFERROR(__xludf.DUMMYFUNCTION("""COMPUTED_VALUE"""),"Golden State Warriors")</f>
        <v>Golden State Warriors</v>
      </c>
      <c r="F119" s="5">
        <f>IFERROR(__xludf.DUMMYFUNCTION("""COMPUTED_VALUE"""),121.0)</f>
        <v>121</v>
      </c>
      <c r="G119" s="5" t="str">
        <f>IFERROR(__xludf.DUMMYFUNCTION("""COMPUTED_VALUE"""),"Box Score")</f>
        <v>Box Score</v>
      </c>
      <c r="H119" s="5"/>
      <c r="I119" s="7">
        <f>IFERROR(__xludf.DUMMYFUNCTION("""COMPUTED_VALUE"""),19596.0)</f>
        <v>19596</v>
      </c>
      <c r="J119" s="5"/>
    </row>
    <row r="120" ht="15.75" customHeight="1">
      <c r="A120" s="6">
        <f>IFERROR(__xludf.DUMMYFUNCTION("""COMPUTED_VALUE"""),43580.0)</f>
        <v>43580</v>
      </c>
      <c r="B120" s="5" t="str">
        <f>IFERROR(__xludf.DUMMYFUNCTION("""COMPUTED_VALUE"""),"8:00p")</f>
        <v>8:00p</v>
      </c>
      <c r="C120" s="5" t="str">
        <f>IFERROR(__xludf.DUMMYFUNCTION("""COMPUTED_VALUE"""),"Denver Nuggets")</f>
        <v>Denver Nuggets</v>
      </c>
      <c r="D120" s="5">
        <f>IFERROR(__xludf.DUMMYFUNCTION("""COMPUTED_VALUE"""),103.0)</f>
        <v>103</v>
      </c>
      <c r="E120" s="5" t="str">
        <f>IFERROR(__xludf.DUMMYFUNCTION("""COMPUTED_VALUE"""),"San Antonio Spurs")</f>
        <v>San Antonio Spurs</v>
      </c>
      <c r="F120" s="5">
        <f>IFERROR(__xludf.DUMMYFUNCTION("""COMPUTED_VALUE"""),120.0)</f>
        <v>120</v>
      </c>
      <c r="G120" s="5" t="str">
        <f>IFERROR(__xludf.DUMMYFUNCTION("""COMPUTED_VALUE"""),"Box Score")</f>
        <v>Box Score</v>
      </c>
      <c r="H120" s="5"/>
      <c r="I120" s="7">
        <f>IFERROR(__xludf.DUMMYFUNCTION("""COMPUTED_VALUE"""),18354.0)</f>
        <v>18354</v>
      </c>
      <c r="J120" s="5"/>
    </row>
    <row r="121" ht="15.75" customHeight="1">
      <c r="A121" s="6">
        <f>IFERROR(__xludf.DUMMYFUNCTION("""COMPUTED_VALUE"""),43581.0)</f>
        <v>43581</v>
      </c>
      <c r="B121" s="5" t="str">
        <f>IFERROR(__xludf.DUMMYFUNCTION("""COMPUTED_VALUE"""),"10:00p")</f>
        <v>10:00p</v>
      </c>
      <c r="C121" s="5" t="str">
        <f>IFERROR(__xludf.DUMMYFUNCTION("""COMPUTED_VALUE"""),"Golden State Warriors")</f>
        <v>Golden State Warriors</v>
      </c>
      <c r="D121" s="5">
        <f>IFERROR(__xludf.DUMMYFUNCTION("""COMPUTED_VALUE"""),129.0)</f>
        <v>129</v>
      </c>
      <c r="E121" s="5" t="str">
        <f>IFERROR(__xludf.DUMMYFUNCTION("""COMPUTED_VALUE"""),"Los Angeles Clippers")</f>
        <v>Los Angeles Clippers</v>
      </c>
      <c r="F121" s="5">
        <f>IFERROR(__xludf.DUMMYFUNCTION("""COMPUTED_VALUE"""),110.0)</f>
        <v>110</v>
      </c>
      <c r="G121" s="5" t="str">
        <f>IFERROR(__xludf.DUMMYFUNCTION("""COMPUTED_VALUE"""),"Box Score")</f>
        <v>Box Score</v>
      </c>
      <c r="H121" s="5"/>
      <c r="I121" s="7">
        <f>IFERROR(__xludf.DUMMYFUNCTION("""COMPUTED_VALUE"""),19068.0)</f>
        <v>19068</v>
      </c>
      <c r="J121" s="5"/>
    </row>
    <row r="122" ht="15.75" customHeight="1">
      <c r="A122" s="6">
        <f>IFERROR(__xludf.DUMMYFUNCTION("""COMPUTED_VALUE"""),43582.0)</f>
        <v>43582</v>
      </c>
      <c r="B122" s="5" t="str">
        <f>IFERROR(__xludf.DUMMYFUNCTION("""COMPUTED_VALUE"""),"7:30p")</f>
        <v>7:30p</v>
      </c>
      <c r="C122" s="5" t="str">
        <f>IFERROR(__xludf.DUMMYFUNCTION("""COMPUTED_VALUE"""),"Philadelphia 76ers")</f>
        <v>Philadelphia 76ers</v>
      </c>
      <c r="D122" s="5">
        <f>IFERROR(__xludf.DUMMYFUNCTION("""COMPUTED_VALUE"""),95.0)</f>
        <v>95</v>
      </c>
      <c r="E122" s="5" t="str">
        <f>IFERROR(__xludf.DUMMYFUNCTION("""COMPUTED_VALUE"""),"Toronto Raptors")</f>
        <v>Toronto Raptors</v>
      </c>
      <c r="F122" s="5">
        <f>IFERROR(__xludf.DUMMYFUNCTION("""COMPUTED_VALUE"""),108.0)</f>
        <v>108</v>
      </c>
      <c r="G122" s="5" t="str">
        <f>IFERROR(__xludf.DUMMYFUNCTION("""COMPUTED_VALUE"""),"Box Score")</f>
        <v>Box Score</v>
      </c>
      <c r="H122" s="5"/>
      <c r="I122" s="7">
        <f>IFERROR(__xludf.DUMMYFUNCTION("""COMPUTED_VALUE"""),19800.0)</f>
        <v>19800</v>
      </c>
      <c r="J122" s="5"/>
    </row>
    <row r="123" ht="15.75" customHeight="1">
      <c r="A123" s="6">
        <f>IFERROR(__xludf.DUMMYFUNCTION("""COMPUTED_VALUE"""),43582.0)</f>
        <v>43582</v>
      </c>
      <c r="B123" s="5" t="str">
        <f>IFERROR(__xludf.DUMMYFUNCTION("""COMPUTED_VALUE"""),"10:00p")</f>
        <v>10:00p</v>
      </c>
      <c r="C123" s="5" t="str">
        <f>IFERROR(__xludf.DUMMYFUNCTION("""COMPUTED_VALUE"""),"San Antonio Spurs")</f>
        <v>San Antonio Spurs</v>
      </c>
      <c r="D123" s="5">
        <f>IFERROR(__xludf.DUMMYFUNCTION("""COMPUTED_VALUE"""),86.0)</f>
        <v>86</v>
      </c>
      <c r="E123" s="5" t="str">
        <f>IFERROR(__xludf.DUMMYFUNCTION("""COMPUTED_VALUE"""),"Denver Nuggets")</f>
        <v>Denver Nuggets</v>
      </c>
      <c r="F123" s="5">
        <f>IFERROR(__xludf.DUMMYFUNCTION("""COMPUTED_VALUE"""),90.0)</f>
        <v>90</v>
      </c>
      <c r="G123" s="5" t="str">
        <f>IFERROR(__xludf.DUMMYFUNCTION("""COMPUTED_VALUE"""),"Box Score")</f>
        <v>Box Score</v>
      </c>
      <c r="H123" s="5"/>
      <c r="I123" s="7">
        <f>IFERROR(__xludf.DUMMYFUNCTION("""COMPUTED_VALUE"""),19725.0)</f>
        <v>19725</v>
      </c>
      <c r="J123" s="5"/>
    </row>
    <row r="124" ht="15.75" customHeight="1">
      <c r="A124" s="6">
        <f>IFERROR(__xludf.DUMMYFUNCTION("""COMPUTED_VALUE"""),43583.0)</f>
        <v>43583</v>
      </c>
      <c r="B124" s="5" t="str">
        <f>IFERROR(__xludf.DUMMYFUNCTION("""COMPUTED_VALUE"""),"1:00p")</f>
        <v>1:00p</v>
      </c>
      <c r="C124" s="5" t="str">
        <f>IFERROR(__xludf.DUMMYFUNCTION("""COMPUTED_VALUE"""),"Boston Celtics")</f>
        <v>Boston Celtics</v>
      </c>
      <c r="D124" s="5">
        <f>IFERROR(__xludf.DUMMYFUNCTION("""COMPUTED_VALUE"""),112.0)</f>
        <v>112</v>
      </c>
      <c r="E124" s="5" t="str">
        <f>IFERROR(__xludf.DUMMYFUNCTION("""COMPUTED_VALUE"""),"Milwaukee Bucks")</f>
        <v>Milwaukee Bucks</v>
      </c>
      <c r="F124" s="5">
        <f>IFERROR(__xludf.DUMMYFUNCTION("""COMPUTED_VALUE"""),90.0)</f>
        <v>90</v>
      </c>
      <c r="G124" s="5" t="str">
        <f>IFERROR(__xludf.DUMMYFUNCTION("""COMPUTED_VALUE"""),"Box Score")</f>
        <v>Box Score</v>
      </c>
      <c r="H124" s="5"/>
      <c r="I124" s="7">
        <f>IFERROR(__xludf.DUMMYFUNCTION("""COMPUTED_VALUE"""),17561.0)</f>
        <v>17561</v>
      </c>
      <c r="J124" s="5"/>
    </row>
    <row r="125" ht="15.75" customHeight="1">
      <c r="A125" s="6">
        <f>IFERROR(__xludf.DUMMYFUNCTION("""COMPUTED_VALUE"""),43583.0)</f>
        <v>43583</v>
      </c>
      <c r="B125" s="5" t="str">
        <f>IFERROR(__xludf.DUMMYFUNCTION("""COMPUTED_VALUE"""),"3:30p")</f>
        <v>3:30p</v>
      </c>
      <c r="C125" s="5" t="str">
        <f>IFERROR(__xludf.DUMMYFUNCTION("""COMPUTED_VALUE"""),"Houston Rockets")</f>
        <v>Houston Rockets</v>
      </c>
      <c r="D125" s="5">
        <f>IFERROR(__xludf.DUMMYFUNCTION("""COMPUTED_VALUE"""),100.0)</f>
        <v>100</v>
      </c>
      <c r="E125" s="5" t="str">
        <f>IFERROR(__xludf.DUMMYFUNCTION("""COMPUTED_VALUE"""),"Golden State Warriors")</f>
        <v>Golden State Warriors</v>
      </c>
      <c r="F125" s="5">
        <f>IFERROR(__xludf.DUMMYFUNCTION("""COMPUTED_VALUE"""),104.0)</f>
        <v>104</v>
      </c>
      <c r="G125" s="5" t="str">
        <f>IFERROR(__xludf.DUMMYFUNCTION("""COMPUTED_VALUE"""),"Box Score")</f>
        <v>Box Score</v>
      </c>
      <c r="H125" s="5"/>
      <c r="I125" s="7">
        <f>IFERROR(__xludf.DUMMYFUNCTION("""COMPUTED_VALUE"""),19596.0)</f>
        <v>19596</v>
      </c>
      <c r="J125" s="5"/>
    </row>
    <row r="126" ht="15.75" customHeight="1">
      <c r="A126" s="6">
        <f>IFERROR(__xludf.DUMMYFUNCTION("""COMPUTED_VALUE"""),43584.0)</f>
        <v>43584</v>
      </c>
      <c r="B126" s="5" t="str">
        <f>IFERROR(__xludf.DUMMYFUNCTION("""COMPUTED_VALUE"""),"8:00p")</f>
        <v>8:00p</v>
      </c>
      <c r="C126" s="5" t="str">
        <f>IFERROR(__xludf.DUMMYFUNCTION("""COMPUTED_VALUE"""),"Philadelphia 76ers")</f>
        <v>Philadelphia 76ers</v>
      </c>
      <c r="D126" s="5">
        <f>IFERROR(__xludf.DUMMYFUNCTION("""COMPUTED_VALUE"""),94.0)</f>
        <v>94</v>
      </c>
      <c r="E126" s="5" t="str">
        <f>IFERROR(__xludf.DUMMYFUNCTION("""COMPUTED_VALUE"""),"Toronto Raptors")</f>
        <v>Toronto Raptors</v>
      </c>
      <c r="F126" s="5">
        <f>IFERROR(__xludf.DUMMYFUNCTION("""COMPUTED_VALUE"""),89.0)</f>
        <v>89</v>
      </c>
      <c r="G126" s="5" t="str">
        <f>IFERROR(__xludf.DUMMYFUNCTION("""COMPUTED_VALUE"""),"Box Score")</f>
        <v>Box Score</v>
      </c>
      <c r="H126" s="5"/>
      <c r="I126" s="7">
        <f>IFERROR(__xludf.DUMMYFUNCTION("""COMPUTED_VALUE"""),19800.0)</f>
        <v>19800</v>
      </c>
      <c r="J126" s="5"/>
    </row>
    <row r="127" ht="15.75" customHeight="1">
      <c r="A127" s="6">
        <f>IFERROR(__xludf.DUMMYFUNCTION("""COMPUTED_VALUE"""),43584.0)</f>
        <v>43584</v>
      </c>
      <c r="B127" s="5" t="str">
        <f>IFERROR(__xludf.DUMMYFUNCTION("""COMPUTED_VALUE"""),"10:30p")</f>
        <v>10:30p</v>
      </c>
      <c r="C127" s="5" t="str">
        <f>IFERROR(__xludf.DUMMYFUNCTION("""COMPUTED_VALUE"""),"Portland Trail Blazers")</f>
        <v>Portland Trail Blazers</v>
      </c>
      <c r="D127" s="5">
        <f>IFERROR(__xludf.DUMMYFUNCTION("""COMPUTED_VALUE"""),113.0)</f>
        <v>113</v>
      </c>
      <c r="E127" s="5" t="str">
        <f>IFERROR(__xludf.DUMMYFUNCTION("""COMPUTED_VALUE"""),"Denver Nuggets")</f>
        <v>Denver Nuggets</v>
      </c>
      <c r="F127" s="5">
        <f>IFERROR(__xludf.DUMMYFUNCTION("""COMPUTED_VALUE"""),121.0)</f>
        <v>121</v>
      </c>
      <c r="G127" s="5" t="str">
        <f>IFERROR(__xludf.DUMMYFUNCTION("""COMPUTED_VALUE"""),"Box Score")</f>
        <v>Box Score</v>
      </c>
      <c r="H127" s="5"/>
      <c r="I127" s="7">
        <f>IFERROR(__xludf.DUMMYFUNCTION("""COMPUTED_VALUE"""),19520.0)</f>
        <v>19520</v>
      </c>
      <c r="J127" s="5"/>
    </row>
    <row r="128" ht="15.75" customHeight="1">
      <c r="A128" s="6">
        <f>IFERROR(__xludf.DUMMYFUNCTION("""COMPUTED_VALUE"""),43585.0)</f>
        <v>43585</v>
      </c>
      <c r="B128" s="5" t="str">
        <f>IFERROR(__xludf.DUMMYFUNCTION("""COMPUTED_VALUE"""),"8:00p")</f>
        <v>8:00p</v>
      </c>
      <c r="C128" s="5" t="str">
        <f>IFERROR(__xludf.DUMMYFUNCTION("""COMPUTED_VALUE"""),"Boston Celtics")</f>
        <v>Boston Celtics</v>
      </c>
      <c r="D128" s="5">
        <f>IFERROR(__xludf.DUMMYFUNCTION("""COMPUTED_VALUE"""),102.0)</f>
        <v>102</v>
      </c>
      <c r="E128" s="5" t="str">
        <f>IFERROR(__xludf.DUMMYFUNCTION("""COMPUTED_VALUE"""),"Milwaukee Bucks")</f>
        <v>Milwaukee Bucks</v>
      </c>
      <c r="F128" s="5">
        <f>IFERROR(__xludf.DUMMYFUNCTION("""COMPUTED_VALUE"""),123.0)</f>
        <v>123</v>
      </c>
      <c r="G128" s="5" t="str">
        <f>IFERROR(__xludf.DUMMYFUNCTION("""COMPUTED_VALUE"""),"Box Score")</f>
        <v>Box Score</v>
      </c>
      <c r="H128" s="5"/>
      <c r="I128" s="7">
        <f>IFERROR(__xludf.DUMMYFUNCTION("""COMPUTED_VALUE"""),17536.0)</f>
        <v>17536</v>
      </c>
      <c r="J128" s="5"/>
    </row>
    <row r="129" ht="15.75" customHeight="1">
      <c r="A129" s="6">
        <f>IFERROR(__xludf.DUMMYFUNCTION("""COMPUTED_VALUE"""),43585.0)</f>
        <v>43585</v>
      </c>
      <c r="B129" s="5" t="str">
        <f>IFERROR(__xludf.DUMMYFUNCTION("""COMPUTED_VALUE"""),"10:30p")</f>
        <v>10:30p</v>
      </c>
      <c r="C129" s="5" t="str">
        <f>IFERROR(__xludf.DUMMYFUNCTION("""COMPUTED_VALUE"""),"Houston Rockets")</f>
        <v>Houston Rockets</v>
      </c>
      <c r="D129" s="5">
        <f>IFERROR(__xludf.DUMMYFUNCTION("""COMPUTED_VALUE"""),109.0)</f>
        <v>109</v>
      </c>
      <c r="E129" s="5" t="str">
        <f>IFERROR(__xludf.DUMMYFUNCTION("""COMPUTED_VALUE"""),"Golden State Warriors")</f>
        <v>Golden State Warriors</v>
      </c>
      <c r="F129" s="5">
        <f>IFERROR(__xludf.DUMMYFUNCTION("""COMPUTED_VALUE"""),115.0)</f>
        <v>115</v>
      </c>
      <c r="G129" s="5" t="str">
        <f>IFERROR(__xludf.DUMMYFUNCTION("""COMPUTED_VALUE"""),"Box Score")</f>
        <v>Box Score</v>
      </c>
      <c r="H129" s="5"/>
      <c r="I129" s="7">
        <f>IFERROR(__xludf.DUMMYFUNCTION("""COMPUTED_VALUE"""),19596.0)</f>
        <v>19596</v>
      </c>
      <c r="J129" s="5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